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showInkAnnotation="0" updateLinks="never" codeName="ThisWorkbook" defaultThemeVersion="124226"/>
  <mc:AlternateContent xmlns:mc="http://schemas.openxmlformats.org/markup-compatibility/2006">
    <mc:Choice Requires="x15">
      <x15ac:absPath xmlns:x15ac="http://schemas.microsoft.com/office/spreadsheetml/2010/11/ac" url="https://d.docs.live.net/8f7846404bca0fa6/Desktop/"/>
    </mc:Choice>
  </mc:AlternateContent>
  <xr:revisionPtr revIDLastSave="2" documentId="8_{D0C9C942-D906-4155-9C6A-5F860D981519}" xr6:coauthVersionLast="47" xr6:coauthVersionMax="47" xr10:uidLastSave="{AFE33F3A-200B-4877-8D41-8DE2C09AE9ED}"/>
  <bookViews>
    <workbookView xWindow="-120" yWindow="-120" windowWidth="38640" windowHeight="15720" tabRatio="835" firstSheet="3" activeTab="27" xr2:uid="{00000000-000D-0000-FFFF-FFFF00000000}"/>
  </bookViews>
  <sheets>
    <sheet name="שם הסקר" sheetId="27" r:id="rId1"/>
    <sheet name="תפריט" sheetId="20" r:id="rId2"/>
    <sheet name="מנהל" sheetId="28" state="hidden" r:id="rId3"/>
    <sheet name="נתוני חברה" sheetId="1" r:id="rId4"/>
    <sheet name="נתוני הקמה" sheetId="2" r:id="rId5"/>
    <sheet name="תקרת השקעה" sheetId="4" r:id="rId6"/>
    <sheet name="מקורות מימון" sheetId="30" r:id="rId7"/>
    <sheet name="נ.בסיס לינה" sheetId="5" r:id="rId8"/>
    <sheet name="הכנסות לינה" sheetId="6" r:id="rId9"/>
    <sheet name="מזון ומשקאות" sheetId="8" r:id="rId10"/>
    <sheet name="הכנסות נוספות" sheetId="9" r:id="rId11"/>
    <sheet name="הוצאות" sheetId="14" r:id="rId12"/>
    <sheet name="פחת" sheetId="29" r:id="rId13"/>
    <sheet name="כח אדם" sheetId="15" r:id="rId14"/>
    <sheet name="קבועות" sheetId="17" r:id="rId15"/>
    <sheet name="רווח והפסד" sheetId="18" r:id="rId16"/>
    <sheet name="מימון" sheetId="19" r:id="rId17"/>
    <sheet name="חישוב הלוואה" sheetId="26" r:id="rId18"/>
    <sheet name="כדאיות למשק" sheetId="21" r:id="rId19"/>
    <sheet name="כדאיות לפירמה" sheetId="22" r:id="rId20"/>
    <sheet name="כדאיות ליזם" sheetId="23" r:id="rId21"/>
    <sheet name="תזרים מזומנים" sheetId="24" r:id="rId22"/>
    <sheet name="רגישות" sheetId="13" r:id="rId23"/>
    <sheet name="גיליון1" sheetId="36" r:id="rId24"/>
    <sheet name="נתוני השוואה" sheetId="25" state="hidden" r:id="rId25"/>
    <sheet name="ריכוז" sheetId="31" state="hidden" r:id="rId26"/>
    <sheet name="דוחות" sheetId="32" state="hidden" r:id="rId27"/>
    <sheet name="גרפים" sheetId="33" r:id="rId28"/>
    <sheet name="נתוני תפוסה" sheetId="35" state="hidden" r:id="rId29"/>
  </sheets>
  <externalReferences>
    <externalReference r:id="rId30"/>
  </externalReferences>
  <definedNames>
    <definedName name="Beg_Bal" localSheetId="12">'[1]חישוב הלוואה'!$C$18:$C$377</definedName>
    <definedName name="Beg_Bal">'חישוב הלוואה'!$C$18:$C$377</definedName>
    <definedName name="Data">'חישוב הלוואה'!$A$18:$I$377</definedName>
    <definedName name="End_Bal" localSheetId="12">'[1]חישוב הלוואה'!$I$18:$I$377</definedName>
    <definedName name="End_Bal">'חישוב הלוואה'!$I$18:$I$377</definedName>
    <definedName name="Extra_Pay" localSheetId="12">'[1]חישוב הלוואה'!$E$18:$E$377</definedName>
    <definedName name="Extra_Pay">'חישוב הלוואה'!$E$18:$E$377</definedName>
    <definedName name="Full_Print" localSheetId="12">'[1]חישוב הלוואה'!$A$1:$I$377</definedName>
    <definedName name="Full_Print">'חישוב הלוואה'!$A$1:$I$377</definedName>
    <definedName name="Header_Row" localSheetId="12">ROW('[1]חישוב הלוואה'!$A$17:$IV$17)</definedName>
    <definedName name="Header_Row">ROW('חישוב הלוואה'!$A$17:$IV$17)</definedName>
    <definedName name="Int" localSheetId="12">'[1]חישוב הלוואה'!$H$18:$H$377</definedName>
    <definedName name="Int">'חישוב הלוואה'!$H$18:$H$377</definedName>
    <definedName name="Interest_Rate" localSheetId="12">'[1]חישוב הלוואה'!$D$7</definedName>
    <definedName name="Interest_Rate">'חישוב הלוואה'!$D$7</definedName>
    <definedName name="Last_Row" localSheetId="12">IF(פחת!Values_Entered,פחת!Header_Row+פחת!Number_of_Payments,פחת!Header_Row)</definedName>
    <definedName name="Last_Row">IF(פחת!Values_Entered,Header_Row+פחת!Number_of_Payments,Header_Row)</definedName>
    <definedName name="Loan_Amount" localSheetId="12">'[1]חישוב הלוואה'!$D$6</definedName>
    <definedName name="Loan_Amount">'חישוב הלוואה'!$D$6</definedName>
    <definedName name="Loan_Start" localSheetId="12">'[1]חישוב הלוואה'!$D$10</definedName>
    <definedName name="Loan_Start">'חישוב הלוואה'!$D$10</definedName>
    <definedName name="Loan_Years" localSheetId="12">'[1]חישוב הלוואה'!$D$8</definedName>
    <definedName name="Loan_Years">'חישוב הלוואה'!$D$8</definedName>
    <definedName name="Num_Pmt_Per_Year" localSheetId="12">'[1]חישוב הלוואה'!$D$9</definedName>
    <definedName name="Num_Pmt_Per_Year">'חישוב הלוואה'!$D$9</definedName>
    <definedName name="Number_of_Payments" localSheetId="12">MATCH(0.01,פחת!End_Bal,-1)+1</definedName>
    <definedName name="Number_of_Payments">MATCH(0.01,End_Bal,-1)+1</definedName>
    <definedName name="Pay_Date">'חישוב הלוואה'!$B$18:$B$377</definedName>
    <definedName name="Pay_Num" localSheetId="12">'[1]חישוב הלוואה'!$A$18:$A$377</definedName>
    <definedName name="Pay_Num">'חישוב הלוואה'!$A$18:$A$377</definedName>
    <definedName name="Payment_Date" localSheetId="12">DATE(YEAR(פחת!Loan_Start),MONTH(פחת!Loan_Start)+Payment_Number,DAY(פחת!Loan_Start))</definedName>
    <definedName name="Payment_Date">DATE(YEAR(Loan_Start),MONTH(Loan_Start)+Payment_Number,DAY(Loan_Start))</definedName>
    <definedName name="Princ" localSheetId="12">'[1]חישוב הלוואה'!$G$18:$G$377</definedName>
    <definedName name="Princ">'חישוב הלוואה'!$G$18:$G$377</definedName>
    <definedName name="Print_Area_Reset" localSheetId="12">OFFSET(פחת!Full_Print,0,0,פחת!Last_Row)</definedName>
    <definedName name="Print_Area_Reset">OFFSET(Full_Print,0,0,Last_Row)</definedName>
    <definedName name="Sched_Pay" localSheetId="12">'[1]חישוב הלוואה'!$D$18:$D$377</definedName>
    <definedName name="Sched_Pay">'חישוב הלוואה'!$D$18:$D$377</definedName>
    <definedName name="Scheduled_Extra_Payments" localSheetId="12">'[1]חישוב הלוואה'!$D$11</definedName>
    <definedName name="Scheduled_Extra_Payments">'חישוב הלוואה'!$D$11</definedName>
    <definedName name="Scheduled_Interest_Rate">'חישוב הלוואה'!$D$7</definedName>
    <definedName name="Scheduled_Monthly_Payment" localSheetId="12">'[1]חישוב הלוואה'!$H$6</definedName>
    <definedName name="Scheduled_Monthly_Payment">'חישוב הלוואה'!$H$6</definedName>
    <definedName name="solver_adj" localSheetId="8" hidden="1">'הכנסות לינה'!$D$5</definedName>
    <definedName name="solver_cvg" localSheetId="8" hidden="1">0.0001</definedName>
    <definedName name="solver_cvg" localSheetId="22" hidden="1">0.0001</definedName>
    <definedName name="solver_drv" localSheetId="8" hidden="1">1</definedName>
    <definedName name="solver_drv" localSheetId="22" hidden="1">1</definedName>
    <definedName name="solver_est" localSheetId="8" hidden="1">1</definedName>
    <definedName name="solver_est" localSheetId="22" hidden="1">1</definedName>
    <definedName name="solver_itr" localSheetId="8" hidden="1">100</definedName>
    <definedName name="solver_itr" localSheetId="22" hidden="1">100</definedName>
    <definedName name="solver_lin" localSheetId="8" hidden="1">2</definedName>
    <definedName name="solver_lin" localSheetId="22" hidden="1">2</definedName>
    <definedName name="solver_neg" localSheetId="8" hidden="1">2</definedName>
    <definedName name="solver_neg" localSheetId="22" hidden="1">2</definedName>
    <definedName name="solver_num" localSheetId="8" hidden="1">0</definedName>
    <definedName name="solver_num" localSheetId="22" hidden="1">0</definedName>
    <definedName name="solver_nwt" localSheetId="8" hidden="1">1</definedName>
    <definedName name="solver_nwt" localSheetId="22" hidden="1">1</definedName>
    <definedName name="solver_opt" localSheetId="8" hidden="1">'הכנסות לינה'!$E$18</definedName>
    <definedName name="solver_opt" localSheetId="22" hidden="1">רגישות!#REF!</definedName>
    <definedName name="solver_pre" localSheetId="8" hidden="1">0.000001</definedName>
    <definedName name="solver_pre" localSheetId="22" hidden="1">0.000001</definedName>
    <definedName name="solver_scl" localSheetId="8" hidden="1">2</definedName>
    <definedName name="solver_scl" localSheetId="22" hidden="1">2</definedName>
    <definedName name="solver_sho" localSheetId="8" hidden="1">2</definedName>
    <definedName name="solver_sho" localSheetId="22" hidden="1">2</definedName>
    <definedName name="solver_tim" localSheetId="8" hidden="1">100</definedName>
    <definedName name="solver_tim" localSheetId="22" hidden="1">100</definedName>
    <definedName name="solver_tol" localSheetId="8" hidden="1">0.05</definedName>
    <definedName name="solver_tol" localSheetId="22" hidden="1">0.05</definedName>
    <definedName name="solver_typ" localSheetId="8" hidden="1">1</definedName>
    <definedName name="solver_typ" localSheetId="22" hidden="1">1</definedName>
    <definedName name="solver_val" localSheetId="8" hidden="1">0</definedName>
    <definedName name="solver_val" localSheetId="22" hidden="1">0</definedName>
    <definedName name="Total_Interest">'חישוב הלוואה'!$H$10</definedName>
    <definedName name="Total_Pay" localSheetId="12">'[1]חישוב הלוואה'!$F$18:$F$377</definedName>
    <definedName name="Total_Pay">'חישוב הלוואה'!$F$18:$F$377</definedName>
    <definedName name="Total_Payment" localSheetId="12">Scheduled_Payment+Extra_Payment</definedName>
    <definedName name="Total_Payment">Scheduled_Payment+Extra_Payment</definedName>
    <definedName name="Values_Entered" localSheetId="12">IF(פחת!Loan_Amount*פחת!Interest_Rate*פחת!Loan_Years*פחת!Loan_Start&gt;0,1,0)</definedName>
    <definedName name="Values_Entered">IF(Loan_Amount*Interest_Rate*Loan_Years*Loan_Start&gt;0,1,0)</definedName>
    <definedName name="_xlnm.Print_Area" localSheetId="8">'הכנסות לינה'!$A$1:$BC$28</definedName>
    <definedName name="_xlnm.Print_Area" localSheetId="9">'מזון ומשקאות'!$A$1:$G$34</definedName>
    <definedName name="_xlnm.Print_Area" localSheetId="7">'נ.בסיס לינה'!$A$1:$CK$80</definedName>
    <definedName name="_xlnm.Print_Area" localSheetId="22">רגישות!$A$2:$P$88</definedName>
    <definedName name="_xlnm.Print_Area" localSheetId="0">'שם הסקר'!$A$1:$I$9</definedName>
    <definedName name="_xlnm.Print_Area" localSheetId="5">'תקרת השקעה'!$A$1:$D$32</definedName>
    <definedName name="_xlnm.Print_Titles" localSheetId="13">'כח אדם'!$12:$13</definedName>
    <definedName name="_xlnm.Print_Titles" localSheetId="15">'רווח והפסד'!$A:$B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9" l="1"/>
  <c r="J46" i="15" l="1"/>
  <c r="B12" i="2" l="1"/>
  <c r="C5" i="4" l="1"/>
  <c r="C6" i="4"/>
  <c r="C7" i="4"/>
  <c r="C8" i="4"/>
  <c r="C9" i="4"/>
  <c r="C10" i="4"/>
  <c r="C11" i="4"/>
  <c r="C12" i="4"/>
  <c r="C14" i="4"/>
  <c r="C15" i="4"/>
  <c r="C16" i="4"/>
  <c r="C17" i="4"/>
  <c r="C19" i="4"/>
  <c r="C20" i="4"/>
  <c r="C21" i="4"/>
  <c r="C22" i="4"/>
  <c r="C24" i="4"/>
  <c r="C25" i="4"/>
  <c r="C26" i="4"/>
  <c r="C27" i="4"/>
  <c r="C29" i="4"/>
  <c r="C30" i="4"/>
  <c r="C32" i="4"/>
  <c r="A31" i="24" l="1"/>
  <c r="A16" i="24"/>
  <c r="H82" i="15" l="1"/>
  <c r="H75" i="15"/>
  <c r="H61" i="15"/>
  <c r="H56" i="15"/>
  <c r="H51" i="15"/>
  <c r="H47" i="15"/>
  <c r="H40" i="15"/>
  <c r="F87" i="15"/>
  <c r="E82" i="15"/>
  <c r="E75" i="15"/>
  <c r="E61" i="15"/>
  <c r="E56" i="15"/>
  <c r="E51" i="15"/>
  <c r="E47" i="15"/>
  <c r="E40" i="15"/>
  <c r="K3" i="9"/>
  <c r="K4" i="9"/>
  <c r="L4" i="9" s="1"/>
  <c r="K5" i="9"/>
  <c r="L5" i="9" s="1"/>
  <c r="K6" i="9"/>
  <c r="L6" i="9" s="1"/>
  <c r="K7" i="9"/>
  <c r="L7" i="9" s="1"/>
  <c r="C30" i="1"/>
  <c r="D30" i="1"/>
  <c r="E30" i="1"/>
  <c r="B30" i="1"/>
  <c r="C1" i="18"/>
  <c r="B93" i="28"/>
  <c r="B94" i="28" s="1"/>
  <c r="B95" i="28" s="1"/>
  <c r="B96" i="28" s="1"/>
  <c r="B97" i="28" s="1"/>
  <c r="B98" i="28" s="1"/>
  <c r="B99" i="28" s="1"/>
  <c r="B100" i="28" s="1"/>
  <c r="B101" i="28" s="1"/>
  <c r="B102" i="28" s="1"/>
  <c r="B103" i="28" s="1"/>
  <c r="B104" i="28" s="1"/>
  <c r="B105" i="28" s="1"/>
  <c r="B106" i="28" s="1"/>
  <c r="B107" i="28" s="1"/>
  <c r="B108" i="28" s="1"/>
  <c r="B109" i="28" s="1"/>
  <c r="B110" i="28" s="1"/>
  <c r="B111" i="28" s="1"/>
  <c r="B112" i="28" s="1"/>
  <c r="B113" i="28" s="1"/>
  <c r="B114" i="28" s="1"/>
  <c r="B115" i="28" s="1"/>
  <c r="B116" i="28" s="1"/>
  <c r="F9" i="5"/>
  <c r="F10" i="5"/>
  <c r="F6" i="5"/>
  <c r="F7" i="5"/>
  <c r="F8" i="5"/>
  <c r="B15" i="25"/>
  <c r="C20" i="25"/>
  <c r="D20" i="25" s="1"/>
  <c r="B20" i="25"/>
  <c r="C19" i="25"/>
  <c r="D19" i="25" s="1"/>
  <c r="B19" i="25"/>
  <c r="C18" i="25"/>
  <c r="D18" i="25" s="1"/>
  <c r="B18" i="25"/>
  <c r="D16" i="25"/>
  <c r="D15" i="25"/>
  <c r="D21" i="25"/>
  <c r="D17" i="25"/>
  <c r="A16" i="25"/>
  <c r="A17" i="25"/>
  <c r="A18" i="25"/>
  <c r="A19" i="25"/>
  <c r="A20" i="25"/>
  <c r="A21" i="25"/>
  <c r="A22" i="25"/>
  <c r="A15" i="25"/>
  <c r="A46" i="33"/>
  <c r="A45" i="33"/>
  <c r="A44" i="33"/>
  <c r="A43" i="33"/>
  <c r="A42" i="33"/>
  <c r="A41" i="33"/>
  <c r="A40" i="33"/>
  <c r="A39" i="33"/>
  <c r="B56" i="15"/>
  <c r="J55" i="15"/>
  <c r="G55" i="15"/>
  <c r="D55" i="15"/>
  <c r="J54" i="15"/>
  <c r="G54" i="15"/>
  <c r="D54" i="15"/>
  <c r="J53" i="15"/>
  <c r="G53" i="15"/>
  <c r="D53" i="15"/>
  <c r="C63" i="1"/>
  <c r="C64" i="1"/>
  <c r="C65" i="1"/>
  <c r="G52" i="28"/>
  <c r="H52" i="28"/>
  <c r="G55" i="28"/>
  <c r="H55" i="28"/>
  <c r="G58" i="28"/>
  <c r="H58" i="28"/>
  <c r="G59" i="28"/>
  <c r="H59" i="28"/>
  <c r="J47" i="28"/>
  <c r="I47" i="28"/>
  <c r="H47" i="28"/>
  <c r="G47" i="28"/>
  <c r="D47" i="28"/>
  <c r="E47" i="28"/>
  <c r="F47" i="28"/>
  <c r="D8" i="26"/>
  <c r="A19" i="31"/>
  <c r="A20" i="31"/>
  <c r="B20" i="31"/>
  <c r="A21" i="31"/>
  <c r="A22" i="31"/>
  <c r="B22" i="31"/>
  <c r="A23" i="31"/>
  <c r="A24" i="31"/>
  <c r="B24" i="31"/>
  <c r="A25" i="31"/>
  <c r="B25" i="31"/>
  <c r="A26" i="31"/>
  <c r="B18" i="31"/>
  <c r="A18" i="31"/>
  <c r="A2" i="31"/>
  <c r="B2" i="31"/>
  <c r="D3" i="31"/>
  <c r="E3" i="31"/>
  <c r="D4" i="31"/>
  <c r="E4" i="31"/>
  <c r="D5" i="31"/>
  <c r="E5" i="31"/>
  <c r="D6" i="31"/>
  <c r="E6" i="31"/>
  <c r="D7" i="31"/>
  <c r="E7" i="31"/>
  <c r="D8" i="31"/>
  <c r="E8" i="31"/>
  <c r="D9" i="31"/>
  <c r="E9" i="31"/>
  <c r="D10" i="31"/>
  <c r="D11" i="31"/>
  <c r="D13" i="31"/>
  <c r="D15" i="31"/>
  <c r="E2" i="31"/>
  <c r="D2" i="31"/>
  <c r="A4" i="31"/>
  <c r="B4" i="31"/>
  <c r="A5" i="31"/>
  <c r="B5" i="31"/>
  <c r="A6" i="31"/>
  <c r="B6" i="31"/>
  <c r="A7" i="31"/>
  <c r="B7" i="31"/>
  <c r="A8" i="31"/>
  <c r="B8" i="31"/>
  <c r="A9" i="31"/>
  <c r="B9" i="31"/>
  <c r="A10" i="31"/>
  <c r="B10" i="31"/>
  <c r="A11" i="31"/>
  <c r="B11" i="31"/>
  <c r="A12" i="31"/>
  <c r="B12" i="31"/>
  <c r="A13" i="31"/>
  <c r="B13" i="31"/>
  <c r="A14" i="31"/>
  <c r="B14" i="31"/>
  <c r="A15" i="31"/>
  <c r="B15" i="31"/>
  <c r="B3" i="31"/>
  <c r="A3" i="31"/>
  <c r="G38" i="25"/>
  <c r="F38" i="25"/>
  <c r="E38" i="25"/>
  <c r="D38" i="25"/>
  <c r="C9" i="25"/>
  <c r="D9" i="25"/>
  <c r="E9" i="25"/>
  <c r="B9" i="25"/>
  <c r="B2" i="20"/>
  <c r="C58" i="18" l="1"/>
  <c r="B23" i="25"/>
  <c r="E84" i="15"/>
  <c r="H63" i="15"/>
  <c r="E63" i="15"/>
  <c r="J56" i="15"/>
  <c r="C23" i="25"/>
  <c r="K8" i="9"/>
  <c r="L3" i="9"/>
  <c r="F30" i="1"/>
  <c r="D1" i="18"/>
  <c r="D23" i="25"/>
  <c r="G56" i="15"/>
  <c r="D56" i="15"/>
  <c r="B22" i="5"/>
  <c r="C14" i="14"/>
  <c r="L69" i="5"/>
  <c r="L71" i="5"/>
  <c r="L72" i="5"/>
  <c r="L74" i="5"/>
  <c r="L75" i="5"/>
  <c r="L77" i="5"/>
  <c r="L78" i="5"/>
  <c r="L68" i="5"/>
  <c r="J52" i="28"/>
  <c r="L73" i="5" s="1"/>
  <c r="J55" i="28"/>
  <c r="L76" i="5" s="1"/>
  <c r="J58" i="28"/>
  <c r="L79" i="5" s="1"/>
  <c r="J59" i="28"/>
  <c r="C3" i="29"/>
  <c r="C4" i="29"/>
  <c r="C5" i="29"/>
  <c r="C6" i="29"/>
  <c r="C7" i="29"/>
  <c r="C8" i="29"/>
  <c r="C2" i="29"/>
  <c r="C80" i="28"/>
  <c r="D8" i="29" s="1"/>
  <c r="C79" i="28"/>
  <c r="D7" i="29" s="1"/>
  <c r="C78" i="28"/>
  <c r="D6" i="29" s="1"/>
  <c r="C77" i="28"/>
  <c r="D5" i="29" s="1"/>
  <c r="C76" i="28"/>
  <c r="D4" i="29" s="1"/>
  <c r="C75" i="28"/>
  <c r="D3" i="29" s="1"/>
  <c r="C74" i="28"/>
  <c r="D2" i="29" s="1"/>
  <c r="D10" i="30"/>
  <c r="D9" i="30"/>
  <c r="D7" i="30"/>
  <c r="D6" i="30"/>
  <c r="D4" i="30"/>
  <c r="G68" i="5"/>
  <c r="F68" i="5"/>
  <c r="E68" i="5"/>
  <c r="D68" i="5"/>
  <c r="C47" i="28"/>
  <c r="C68" i="5" s="1"/>
  <c r="C72" i="5"/>
  <c r="D72" i="5"/>
  <c r="E72" i="5"/>
  <c r="F72" i="5"/>
  <c r="G72" i="5"/>
  <c r="C74" i="5"/>
  <c r="D74" i="5"/>
  <c r="E74" i="5"/>
  <c r="F74" i="5"/>
  <c r="G74" i="5"/>
  <c r="C75" i="5"/>
  <c r="D75" i="5"/>
  <c r="E75" i="5"/>
  <c r="F75" i="5"/>
  <c r="G75" i="5"/>
  <c r="C77" i="5"/>
  <c r="D77" i="5"/>
  <c r="E77" i="5"/>
  <c r="F77" i="5"/>
  <c r="G77" i="5"/>
  <c r="C78" i="5"/>
  <c r="D78" i="5"/>
  <c r="E78" i="5"/>
  <c r="F78" i="5"/>
  <c r="G78" i="5"/>
  <c r="G71" i="5"/>
  <c r="F71" i="5"/>
  <c r="E71" i="5"/>
  <c r="D71" i="5"/>
  <c r="C71" i="5"/>
  <c r="D69" i="5"/>
  <c r="E69" i="5"/>
  <c r="F69" i="5"/>
  <c r="G69" i="5"/>
  <c r="C69" i="5"/>
  <c r="B59" i="5"/>
  <c r="B60" i="5"/>
  <c r="B61" i="5"/>
  <c r="B62" i="5"/>
  <c r="B63" i="5"/>
  <c r="B64" i="5"/>
  <c r="B58" i="5"/>
  <c r="I59" i="28"/>
  <c r="F59" i="28"/>
  <c r="E59" i="28"/>
  <c r="D59" i="28"/>
  <c r="C59" i="28"/>
  <c r="I58" i="28"/>
  <c r="G79" i="5" s="1"/>
  <c r="F58" i="28"/>
  <c r="F79" i="5" s="1"/>
  <c r="E58" i="28"/>
  <c r="E79" i="5" s="1"/>
  <c r="D58" i="28"/>
  <c r="D79" i="5" s="1"/>
  <c r="C58" i="28"/>
  <c r="C79" i="5" s="1"/>
  <c r="I55" i="28"/>
  <c r="G76" i="5" s="1"/>
  <c r="F55" i="28"/>
  <c r="F76" i="5" s="1"/>
  <c r="E55" i="28"/>
  <c r="E76" i="5" s="1"/>
  <c r="D55" i="28"/>
  <c r="D76" i="5" s="1"/>
  <c r="C55" i="28"/>
  <c r="C76" i="5" s="1"/>
  <c r="I52" i="28"/>
  <c r="G73" i="5" s="1"/>
  <c r="F52" i="28"/>
  <c r="F73" i="5" s="1"/>
  <c r="E52" i="28"/>
  <c r="E73" i="5" s="1"/>
  <c r="D52" i="28"/>
  <c r="D73" i="5" s="1"/>
  <c r="C52" i="28"/>
  <c r="C73" i="5" s="1"/>
  <c r="E59" i="1"/>
  <c r="E58" i="1"/>
  <c r="C62" i="1"/>
  <c r="C61" i="1"/>
  <c r="C60" i="1"/>
  <c r="C59" i="1"/>
  <c r="C58" i="1"/>
  <c r="A68" i="1"/>
  <c r="A67" i="1"/>
  <c r="A66" i="1"/>
  <c r="A65" i="1"/>
  <c r="A64" i="1"/>
  <c r="A63" i="1"/>
  <c r="A58" i="1"/>
  <c r="D10" i="26"/>
  <c r="F26" i="1"/>
  <c r="A29" i="1" s="1"/>
  <c r="B3" i="29"/>
  <c r="B4" i="29"/>
  <c r="B5" i="29"/>
  <c r="B6" i="29"/>
  <c r="B7" i="29"/>
  <c r="B8" i="29"/>
  <c r="B2" i="29"/>
  <c r="C60" i="18" l="1"/>
  <c r="E1" i="18"/>
  <c r="D58" i="18"/>
  <c r="B31" i="18"/>
  <c r="B32" i="18"/>
  <c r="B33" i="18"/>
  <c r="B34" i="18"/>
  <c r="B13" i="18"/>
  <c r="G80" i="5"/>
  <c r="L80" i="5"/>
  <c r="B9" i="29"/>
  <c r="B15" i="18"/>
  <c r="B14" i="18"/>
  <c r="B12" i="18"/>
  <c r="A1" i="20"/>
  <c r="E3" i="27"/>
  <c r="E4" i="27"/>
  <c r="D3" i="19"/>
  <c r="D4" i="19"/>
  <c r="D5" i="19"/>
  <c r="D6" i="19"/>
  <c r="D7" i="19"/>
  <c r="D8" i="19"/>
  <c r="C8" i="19"/>
  <c r="A8" i="19"/>
  <c r="B8" i="19"/>
  <c r="A3" i="19"/>
  <c r="A4" i="19"/>
  <c r="A5" i="19"/>
  <c r="B5" i="19"/>
  <c r="A6" i="19"/>
  <c r="A7" i="19"/>
  <c r="B7" i="19"/>
  <c r="A2" i="19"/>
  <c r="D2" i="19"/>
  <c r="B30" i="8"/>
  <c r="B29" i="8"/>
  <c r="F1" i="18" l="1"/>
  <c r="E58" i="18"/>
  <c r="E60" i="18" s="1"/>
  <c r="D60" i="18"/>
  <c r="D33" i="14"/>
  <c r="E33" i="14"/>
  <c r="E12" i="14"/>
  <c r="G33" i="14"/>
  <c r="G12" i="14"/>
  <c r="F33" i="14"/>
  <c r="F12" i="14"/>
  <c r="E8" i="19"/>
  <c r="D9" i="26"/>
  <c r="B6" i="23"/>
  <c r="B6" i="22"/>
  <c r="B12" i="21"/>
  <c r="B15" i="19"/>
  <c r="D7" i="26" s="1"/>
  <c r="I87" i="15"/>
  <c r="J81" i="15"/>
  <c r="J80" i="15"/>
  <c r="J79" i="15"/>
  <c r="J78" i="15"/>
  <c r="J74" i="15"/>
  <c r="J73" i="15"/>
  <c r="J72" i="15"/>
  <c r="J71" i="15"/>
  <c r="J70" i="15"/>
  <c r="J69" i="15"/>
  <c r="J68" i="15"/>
  <c r="J60" i="15"/>
  <c r="J59" i="15"/>
  <c r="J58" i="15"/>
  <c r="J50" i="15"/>
  <c r="J49" i="15"/>
  <c r="J45" i="15"/>
  <c r="J44" i="15"/>
  <c r="J43" i="15"/>
  <c r="J42" i="15"/>
  <c r="J39" i="15"/>
  <c r="J38" i="15"/>
  <c r="J37" i="15"/>
  <c r="J36" i="15"/>
  <c r="J35" i="15"/>
  <c r="J34" i="15"/>
  <c r="J33" i="15"/>
  <c r="H29" i="15"/>
  <c r="J28" i="15"/>
  <c r="J27" i="15"/>
  <c r="J26" i="15"/>
  <c r="H22" i="15"/>
  <c r="J21" i="15"/>
  <c r="J20" i="15"/>
  <c r="J19" i="15"/>
  <c r="J17" i="15"/>
  <c r="J16" i="15"/>
  <c r="J15" i="15"/>
  <c r="G81" i="15"/>
  <c r="G80" i="15"/>
  <c r="G79" i="15"/>
  <c r="G78" i="15"/>
  <c r="G74" i="15"/>
  <c r="G73" i="15"/>
  <c r="G72" i="15"/>
  <c r="G71" i="15"/>
  <c r="G70" i="15"/>
  <c r="G69" i="15"/>
  <c r="G68" i="15"/>
  <c r="G60" i="15"/>
  <c r="G59" i="15"/>
  <c r="G58" i="15"/>
  <c r="G50" i="15"/>
  <c r="G49" i="15"/>
  <c r="G46" i="15"/>
  <c r="G45" i="15"/>
  <c r="G44" i="15"/>
  <c r="G43" i="15"/>
  <c r="G42" i="15"/>
  <c r="G39" i="15"/>
  <c r="G38" i="15"/>
  <c r="G37" i="15"/>
  <c r="G36" i="15"/>
  <c r="G35" i="15"/>
  <c r="G34" i="15"/>
  <c r="G33" i="15"/>
  <c r="E29" i="15"/>
  <c r="G28" i="15"/>
  <c r="G27" i="15"/>
  <c r="G26" i="15"/>
  <c r="E22" i="15"/>
  <c r="G21" i="15"/>
  <c r="G20" i="15"/>
  <c r="G19" i="15"/>
  <c r="G17" i="15"/>
  <c r="G16" i="15"/>
  <c r="G15" i="15"/>
  <c r="C21" i="17"/>
  <c r="B21" i="8"/>
  <c r="D12" i="14"/>
  <c r="F27" i="17"/>
  <c r="G26" i="17"/>
  <c r="G25" i="17"/>
  <c r="G24" i="17"/>
  <c r="G23" i="17"/>
  <c r="B28" i="17"/>
  <c r="C27" i="17"/>
  <c r="C26" i="17"/>
  <c r="F17" i="17"/>
  <c r="H17" i="17" s="1"/>
  <c r="H19" i="17" s="1"/>
  <c r="B6" i="17"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G19" i="17"/>
  <c r="F19" i="17"/>
  <c r="F14" i="17"/>
  <c r="G14" i="17"/>
  <c r="C19" i="17"/>
  <c r="C20" i="17"/>
  <c r="C22" i="17"/>
  <c r="C18" i="17"/>
  <c r="B23" i="17"/>
  <c r="C13" i="17"/>
  <c r="C14" i="17"/>
  <c r="C12" i="17"/>
  <c r="B15" i="17"/>
  <c r="B23" i="2"/>
  <c r="E10" i="31" s="1"/>
  <c r="C87" i="15"/>
  <c r="B82" i="15"/>
  <c r="B75" i="15"/>
  <c r="B61" i="15"/>
  <c r="B47" i="15"/>
  <c r="B51" i="15"/>
  <c r="D43" i="15"/>
  <c r="D44" i="15"/>
  <c r="D45" i="15"/>
  <c r="D46" i="15"/>
  <c r="D49" i="15"/>
  <c r="D50" i="15"/>
  <c r="D58" i="15"/>
  <c r="D59" i="15"/>
  <c r="D60" i="15"/>
  <c r="D68" i="15"/>
  <c r="D69" i="15"/>
  <c r="D70" i="15"/>
  <c r="D71" i="15"/>
  <c r="D72" i="15"/>
  <c r="D73" i="15"/>
  <c r="D74" i="15"/>
  <c r="D78" i="15"/>
  <c r="D79" i="15"/>
  <c r="D80" i="15"/>
  <c r="D81" i="15"/>
  <c r="D42" i="15"/>
  <c r="D33" i="15"/>
  <c r="D35" i="15"/>
  <c r="D36" i="15"/>
  <c r="D37" i="15"/>
  <c r="D38" i="15"/>
  <c r="D39" i="15"/>
  <c r="D34" i="15"/>
  <c r="B40" i="15"/>
  <c r="D27" i="15"/>
  <c r="D28" i="15"/>
  <c r="D26" i="15"/>
  <c r="B29" i="15"/>
  <c r="D21" i="15"/>
  <c r="D20" i="15"/>
  <c r="D19" i="15"/>
  <c r="D16" i="15"/>
  <c r="D17" i="15"/>
  <c r="D15" i="15"/>
  <c r="B22" i="15"/>
  <c r="B34" i="9"/>
  <c r="C9" i="18" s="1"/>
  <c r="D9" i="18" s="1"/>
  <c r="D13" i="18" s="1"/>
  <c r="D25" i="9"/>
  <c r="E25" i="9" s="1"/>
  <c r="D24" i="9"/>
  <c r="E24" i="9" s="1"/>
  <c r="B26" i="9"/>
  <c r="B27" i="9" s="1"/>
  <c r="C20" i="9"/>
  <c r="D7" i="18" s="1"/>
  <c r="D20" i="9"/>
  <c r="E7" i="18" s="1"/>
  <c r="F7" i="18" s="1"/>
  <c r="G7" i="18" s="1"/>
  <c r="H7" i="18" s="1"/>
  <c r="I7" i="18" s="1"/>
  <c r="J7" i="18" s="1"/>
  <c r="K7" i="18" s="1"/>
  <c r="L7" i="18" s="1"/>
  <c r="M7" i="18" s="1"/>
  <c r="N7" i="18" s="1"/>
  <c r="O7" i="18" s="1"/>
  <c r="P7" i="18" s="1"/>
  <c r="Q7" i="18" s="1"/>
  <c r="R7" i="18" s="1"/>
  <c r="S7" i="18" s="1"/>
  <c r="T7" i="18" s="1"/>
  <c r="U7" i="18" s="1"/>
  <c r="V7" i="18" s="1"/>
  <c r="W7" i="18" s="1"/>
  <c r="X7" i="18" s="1"/>
  <c r="Y7" i="18" s="1"/>
  <c r="Z7" i="18" s="1"/>
  <c r="AA7" i="18" s="1"/>
  <c r="B20" i="9"/>
  <c r="C7" i="18" s="1"/>
  <c r="B10" i="9"/>
  <c r="C10" i="9" s="1"/>
  <c r="D10" i="9" s="1"/>
  <c r="E128" i="5"/>
  <c r="D128" i="5"/>
  <c r="C128" i="5"/>
  <c r="E127" i="5"/>
  <c r="D127" i="5"/>
  <c r="C127" i="5"/>
  <c r="E125" i="5"/>
  <c r="D125" i="5"/>
  <c r="C125" i="5"/>
  <c r="E124" i="5"/>
  <c r="D124" i="5"/>
  <c r="C124" i="5"/>
  <c r="E131" i="5"/>
  <c r="D131" i="5"/>
  <c r="C131" i="5"/>
  <c r="E130" i="5"/>
  <c r="D130" i="5"/>
  <c r="C130" i="5"/>
  <c r="D121" i="5"/>
  <c r="E121" i="5"/>
  <c r="C121" i="5"/>
  <c r="G121" i="5"/>
  <c r="G131" i="5"/>
  <c r="G130" i="5"/>
  <c r="G128" i="5"/>
  <c r="G127" i="5"/>
  <c r="G125" i="5"/>
  <c r="G124" i="5"/>
  <c r="J6" i="5"/>
  <c r="J8" i="5" s="1"/>
  <c r="K8" i="5" s="1"/>
  <c r="F28" i="8"/>
  <c r="E28" i="8"/>
  <c r="D28" i="8"/>
  <c r="E2" i="6"/>
  <c r="D80" i="5"/>
  <c r="E80" i="5"/>
  <c r="F80" i="5"/>
  <c r="G6" i="5"/>
  <c r="G7" i="5"/>
  <c r="G8" i="5"/>
  <c r="G9" i="5"/>
  <c r="G10" i="5"/>
  <c r="C80" i="5"/>
  <c r="B11" i="5"/>
  <c r="F11" i="5" s="1"/>
  <c r="B11" i="2"/>
  <c r="D6" i="5"/>
  <c r="D7" i="5"/>
  <c r="D8" i="5"/>
  <c r="D9" i="5"/>
  <c r="D10" i="5"/>
  <c r="B24" i="5"/>
  <c r="B28" i="5"/>
  <c r="B18" i="8" s="1"/>
  <c r="B21" i="5"/>
  <c r="G1" i="18" l="1"/>
  <c r="F58" i="18"/>
  <c r="F60" i="18" s="1"/>
  <c r="D26" i="9"/>
  <c r="C15" i="17"/>
  <c r="B2" i="17" s="1"/>
  <c r="C20" i="18" s="1"/>
  <c r="D20" i="18" s="1"/>
  <c r="E20" i="18" s="1"/>
  <c r="G27" i="17"/>
  <c r="B7" i="17" s="1"/>
  <c r="C27" i="18" s="1"/>
  <c r="D27" i="18" s="1"/>
  <c r="E27" i="18" s="1"/>
  <c r="F27" i="18" s="1"/>
  <c r="G27" i="18" s="1"/>
  <c r="H27" i="18" s="1"/>
  <c r="I27" i="18" s="1"/>
  <c r="J27" i="18" s="1"/>
  <c r="K27" i="18" s="1"/>
  <c r="L27" i="18" s="1"/>
  <c r="M27" i="18" s="1"/>
  <c r="N27" i="18" s="1"/>
  <c r="O27" i="18" s="1"/>
  <c r="P27" i="18" s="1"/>
  <c r="Q27" i="18" s="1"/>
  <c r="R27" i="18" s="1"/>
  <c r="S27" i="18" s="1"/>
  <c r="T27" i="18" s="1"/>
  <c r="U27" i="18" s="1"/>
  <c r="V27" i="18" s="1"/>
  <c r="W27" i="18" s="1"/>
  <c r="X27" i="18" s="1"/>
  <c r="Y27" i="18" s="1"/>
  <c r="Z27" i="18" s="1"/>
  <c r="AA27" i="18" s="1"/>
  <c r="C28" i="17"/>
  <c r="B4" i="17" s="1"/>
  <c r="C22" i="18" s="1"/>
  <c r="D22" i="18" s="1"/>
  <c r="E22" i="18" s="1"/>
  <c r="F22" i="18" s="1"/>
  <c r="G22" i="18" s="1"/>
  <c r="H22" i="18" s="1"/>
  <c r="I22" i="18" s="1"/>
  <c r="J22" i="18" s="1"/>
  <c r="K22" i="18" s="1"/>
  <c r="L22" i="18" s="1"/>
  <c r="M22" i="18" s="1"/>
  <c r="N22" i="18" s="1"/>
  <c r="O22" i="18" s="1"/>
  <c r="P22" i="18" s="1"/>
  <c r="Q22" i="18" s="1"/>
  <c r="R22" i="18" s="1"/>
  <c r="S22" i="18" s="1"/>
  <c r="T22" i="18" s="1"/>
  <c r="U22" i="18" s="1"/>
  <c r="V22" i="18" s="1"/>
  <c r="W22" i="18" s="1"/>
  <c r="X22" i="18" s="1"/>
  <c r="Y22" i="18" s="1"/>
  <c r="Z22" i="18" s="1"/>
  <c r="AA22" i="18" s="1"/>
  <c r="E87" i="15"/>
  <c r="B63" i="15"/>
  <c r="A42" i="13"/>
  <c r="A62" i="13"/>
  <c r="A22" i="13"/>
  <c r="A82" i="13"/>
  <c r="C33" i="14"/>
  <c r="D2" i="20" s="1"/>
  <c r="B12" i="6"/>
  <c r="B8" i="6"/>
  <c r="B13" i="6"/>
  <c r="B9" i="6"/>
  <c r="B14" i="6"/>
  <c r="B10" i="6"/>
  <c r="B5" i="6"/>
  <c r="B15" i="6"/>
  <c r="B11" i="6"/>
  <c r="B7" i="6"/>
  <c r="I8" i="5"/>
  <c r="H8" i="5"/>
  <c r="C23" i="17"/>
  <c r="B3" i="17" s="1"/>
  <c r="C21" i="18" s="1"/>
  <c r="D21" i="18" s="1"/>
  <c r="E21" i="18" s="1"/>
  <c r="F21" i="18" s="1"/>
  <c r="G21" i="18" s="1"/>
  <c r="H21" i="18" s="1"/>
  <c r="I21" i="18" s="1"/>
  <c r="J21" i="18" s="1"/>
  <c r="K21" i="18" s="1"/>
  <c r="L21" i="18" s="1"/>
  <c r="M21" i="18" s="1"/>
  <c r="N21" i="18" s="1"/>
  <c r="O21" i="18" s="1"/>
  <c r="P21" i="18" s="1"/>
  <c r="Q21" i="18" s="1"/>
  <c r="R21" i="18" s="1"/>
  <c r="S21" i="18" s="1"/>
  <c r="T21" i="18" s="1"/>
  <c r="U21" i="18" s="1"/>
  <c r="V21" i="18" s="1"/>
  <c r="W21" i="18" s="1"/>
  <c r="X21" i="18" s="1"/>
  <c r="Y21" i="18" s="1"/>
  <c r="Z21" i="18" s="1"/>
  <c r="AA21" i="18" s="1"/>
  <c r="D51" i="15"/>
  <c r="D47" i="15"/>
  <c r="D61" i="15"/>
  <c r="D22" i="15"/>
  <c r="D75" i="15"/>
  <c r="D40" i="15"/>
  <c r="D82" i="15"/>
  <c r="G61" i="15"/>
  <c r="G75" i="15"/>
  <c r="G82" i="15"/>
  <c r="J61" i="15"/>
  <c r="J75" i="15"/>
  <c r="J82" i="15"/>
  <c r="J29" i="15"/>
  <c r="G22" i="15"/>
  <c r="D29" i="15"/>
  <c r="G29" i="15"/>
  <c r="J22" i="15"/>
  <c r="B1" i="20"/>
  <c r="E26" i="9"/>
  <c r="C8" i="18" s="1"/>
  <c r="D8" i="18" s="1"/>
  <c r="E8" i="18" s="1"/>
  <c r="F8" i="18" s="1"/>
  <c r="G8" i="18" s="1"/>
  <c r="H8" i="18" s="1"/>
  <c r="I8" i="18" s="1"/>
  <c r="J8" i="18" s="1"/>
  <c r="K8" i="18" s="1"/>
  <c r="L8" i="18" s="1"/>
  <c r="M8" i="18" s="1"/>
  <c r="N8" i="18" s="1"/>
  <c r="O8" i="18" s="1"/>
  <c r="P8" i="18" s="1"/>
  <c r="Q8" i="18" s="1"/>
  <c r="R8" i="18" s="1"/>
  <c r="S8" i="18" s="1"/>
  <c r="T8" i="18" s="1"/>
  <c r="U8" i="18" s="1"/>
  <c r="V8" i="18" s="1"/>
  <c r="W8" i="18" s="1"/>
  <c r="X8" i="18" s="1"/>
  <c r="Y8" i="18" s="1"/>
  <c r="Z8" i="18" s="1"/>
  <c r="AA8" i="18" s="1"/>
  <c r="F26" i="5"/>
  <c r="F130" i="5" s="1"/>
  <c r="F131" i="5" s="1"/>
  <c r="E26" i="5"/>
  <c r="F127" i="5" s="1"/>
  <c r="F128" i="5" s="1"/>
  <c r="B29" i="5"/>
  <c r="B19" i="8" s="1"/>
  <c r="C26" i="5"/>
  <c r="F121" i="5" s="1"/>
  <c r="B25" i="5"/>
  <c r="D26" i="5"/>
  <c r="F124" i="5" s="1"/>
  <c r="F125" i="5" s="1"/>
  <c r="B12" i="5"/>
  <c r="D11" i="5"/>
  <c r="B24" i="2"/>
  <c r="C13" i="18"/>
  <c r="B39" i="33" s="1"/>
  <c r="B35" i="18"/>
  <c r="B84" i="15"/>
  <c r="H84" i="15"/>
  <c r="J51" i="15"/>
  <c r="G51" i="15"/>
  <c r="J47" i="15"/>
  <c r="G47" i="15"/>
  <c r="G40" i="15"/>
  <c r="J40" i="15"/>
  <c r="J7" i="5"/>
  <c r="K7" i="5" s="1"/>
  <c r="J9" i="5"/>
  <c r="K9" i="5" s="1"/>
  <c r="J10" i="5"/>
  <c r="K10" i="5" s="1"/>
  <c r="K6" i="5"/>
  <c r="B26" i="2"/>
  <c r="E13" i="31" s="1"/>
  <c r="E9" i="18"/>
  <c r="E13" i="18" s="1"/>
  <c r="H1" i="18" l="1"/>
  <c r="G58" i="18"/>
  <c r="G60" i="18" s="1"/>
  <c r="E11" i="31"/>
  <c r="B11" i="30"/>
  <c r="J63" i="15"/>
  <c r="G63" i="15"/>
  <c r="D63" i="15"/>
  <c r="A78" i="13"/>
  <c r="A63" i="13"/>
  <c r="A48" i="13"/>
  <c r="A40" i="13"/>
  <c r="A25" i="13"/>
  <c r="A21" i="13"/>
  <c r="A80" i="13"/>
  <c r="A65" i="13"/>
  <c r="A57" i="13"/>
  <c r="A38" i="13"/>
  <c r="A23" i="13"/>
  <c r="A87" i="13"/>
  <c r="A79" i="13"/>
  <c r="A64" i="13"/>
  <c r="A56" i="13"/>
  <c r="A41" i="13"/>
  <c r="A26" i="13"/>
  <c r="A20" i="13"/>
  <c r="A85" i="13"/>
  <c r="A77" i="13"/>
  <c r="A58" i="13"/>
  <c r="A43" i="13"/>
  <c r="A28" i="13"/>
  <c r="A18" i="13"/>
  <c r="A86" i="13"/>
  <c r="A67" i="13"/>
  <c r="A59" i="13"/>
  <c r="A44" i="13"/>
  <c r="A36" i="13"/>
  <c r="A17" i="13"/>
  <c r="A84" i="13"/>
  <c r="A76" i="13"/>
  <c r="A61" i="13"/>
  <c r="A46" i="13"/>
  <c r="A27" i="13"/>
  <c r="A19" i="13"/>
  <c r="A83" i="13"/>
  <c r="A68" i="13"/>
  <c r="A60" i="13"/>
  <c r="A45" i="13"/>
  <c r="A37" i="13"/>
  <c r="A16" i="13"/>
  <c r="A88" i="13"/>
  <c r="A81" i="13"/>
  <c r="A66" i="13"/>
  <c r="A47" i="13"/>
  <c r="A39" i="13"/>
  <c r="A24" i="13"/>
  <c r="Q17" i="5"/>
  <c r="B16" i="6"/>
  <c r="I6" i="5"/>
  <c r="H6" i="5"/>
  <c r="I10" i="5"/>
  <c r="H10" i="5"/>
  <c r="I7" i="5"/>
  <c r="H7" i="5"/>
  <c r="I9" i="5"/>
  <c r="H9" i="5"/>
  <c r="G92" i="15"/>
  <c r="D84" i="15"/>
  <c r="J84" i="15"/>
  <c r="B87" i="15"/>
  <c r="D92" i="15" s="1"/>
  <c r="G84" i="15"/>
  <c r="H87" i="15"/>
  <c r="J92" i="15" s="1"/>
  <c r="S17" i="5"/>
  <c r="R17" i="5"/>
  <c r="E20" i="31" s="1"/>
  <c r="H15" i="6"/>
  <c r="D9" i="6"/>
  <c r="H14" i="6"/>
  <c r="H11" i="6"/>
  <c r="D8" i="6"/>
  <c r="D5" i="6"/>
  <c r="H12" i="6"/>
  <c r="F5" i="6"/>
  <c r="H5" i="6"/>
  <c r="D15" i="6"/>
  <c r="D14" i="6"/>
  <c r="F15" i="6"/>
  <c r="F14" i="6"/>
  <c r="H9" i="6"/>
  <c r="H8" i="6"/>
  <c r="D12" i="6"/>
  <c r="F8" i="6"/>
  <c r="F12" i="6"/>
  <c r="F9" i="6"/>
  <c r="B28" i="2"/>
  <c r="C8" i="21"/>
  <c r="C10" i="21" s="1"/>
  <c r="C12" i="21" s="1"/>
  <c r="C2" i="22"/>
  <c r="G12" i="17"/>
  <c r="H12" i="17" s="1"/>
  <c r="H14" i="17" s="1"/>
  <c r="B5" i="17" s="1"/>
  <c r="D11" i="6"/>
  <c r="F9" i="18"/>
  <c r="G9" i="18" s="1"/>
  <c r="F11" i="6"/>
  <c r="F20" i="18"/>
  <c r="B26" i="31" l="1"/>
  <c r="B4" i="30"/>
  <c r="I1" i="18"/>
  <c r="H58" i="18"/>
  <c r="H60" i="18" s="1"/>
  <c r="E15" i="31"/>
  <c r="B6" i="30"/>
  <c r="B21" i="31" s="1"/>
  <c r="D20" i="31"/>
  <c r="I74" i="13"/>
  <c r="I34" i="13"/>
  <c r="I54" i="13"/>
  <c r="I14" i="13"/>
  <c r="F20" i="31"/>
  <c r="C24" i="18"/>
  <c r="D24" i="18" s="1"/>
  <c r="E24" i="18" s="1"/>
  <c r="H32" i="17"/>
  <c r="B3" i="20" s="1"/>
  <c r="E1" i="20"/>
  <c r="D87" i="15"/>
  <c r="D91" i="15" s="1"/>
  <c r="J87" i="15"/>
  <c r="J91" i="15" s="1"/>
  <c r="G87" i="15"/>
  <c r="G94" i="15" s="1"/>
  <c r="G96" i="15" s="1"/>
  <c r="B11" i="29"/>
  <c r="B29" i="2"/>
  <c r="H16" i="6"/>
  <c r="D16" i="6"/>
  <c r="B11" i="9" s="1"/>
  <c r="B13" i="9" s="1"/>
  <c r="C6" i="18" s="1"/>
  <c r="F16" i="6"/>
  <c r="E17" i="8" s="1"/>
  <c r="E21" i="8" s="1"/>
  <c r="F56" i="21"/>
  <c r="I11" i="5"/>
  <c r="E14" i="6" s="1"/>
  <c r="H11" i="5"/>
  <c r="F13" i="18"/>
  <c r="H9" i="18"/>
  <c r="G13" i="18"/>
  <c r="G20" i="18"/>
  <c r="J1" i="18" l="1"/>
  <c r="I58" i="18"/>
  <c r="I60" i="18" s="1"/>
  <c r="F17" i="8"/>
  <c r="F19" i="8" s="1"/>
  <c r="B3" i="9"/>
  <c r="N74" i="13"/>
  <c r="J74" i="13"/>
  <c r="E74" i="13"/>
  <c r="N54" i="13"/>
  <c r="J54" i="13"/>
  <c r="N34" i="13"/>
  <c r="E34" i="13"/>
  <c r="J14" i="13"/>
  <c r="L74" i="13"/>
  <c r="G74" i="13"/>
  <c r="L54" i="13"/>
  <c r="G54" i="13"/>
  <c r="C54" i="13"/>
  <c r="G34" i="13"/>
  <c r="C34" i="13"/>
  <c r="G14" i="13"/>
  <c r="O74" i="13"/>
  <c r="K74" i="13"/>
  <c r="F74" i="13"/>
  <c r="O54" i="13"/>
  <c r="K54" i="13"/>
  <c r="F54" i="13"/>
  <c r="O34" i="13"/>
  <c r="K34" i="13"/>
  <c r="F34" i="13"/>
  <c r="O14" i="13"/>
  <c r="K14" i="13"/>
  <c r="F14" i="13"/>
  <c r="M74" i="13"/>
  <c r="H74" i="13"/>
  <c r="D74" i="13"/>
  <c r="M54" i="13"/>
  <c r="H54" i="13"/>
  <c r="D54" i="13"/>
  <c r="M34" i="13"/>
  <c r="H34" i="13"/>
  <c r="D34" i="13"/>
  <c r="M14" i="13"/>
  <c r="H14" i="13"/>
  <c r="D14" i="13"/>
  <c r="E54" i="13"/>
  <c r="J34" i="13"/>
  <c r="N14" i="13"/>
  <c r="E14" i="13"/>
  <c r="C74" i="13"/>
  <c r="L34" i="13"/>
  <c r="L14" i="13"/>
  <c r="C14" i="13"/>
  <c r="F6" i="29"/>
  <c r="F5" i="29"/>
  <c r="G5" i="29" s="1"/>
  <c r="F4" i="29"/>
  <c r="G4" i="29" s="1"/>
  <c r="F8" i="29"/>
  <c r="F3" i="29"/>
  <c r="G3" i="29" s="1"/>
  <c r="F7" i="29"/>
  <c r="F2" i="29"/>
  <c r="D89" i="15"/>
  <c r="D90" i="15"/>
  <c r="D94" i="15"/>
  <c r="J90" i="15"/>
  <c r="J89" i="15"/>
  <c r="J94" i="15"/>
  <c r="J96" i="15" s="1"/>
  <c r="G89" i="15"/>
  <c r="D16" i="18"/>
  <c r="E33" i="21" s="1"/>
  <c r="G90" i="15"/>
  <c r="G91" i="15"/>
  <c r="B4" i="19"/>
  <c r="D11" i="9"/>
  <c r="D13" i="9" s="1"/>
  <c r="C11" i="9"/>
  <c r="C13" i="9" s="1"/>
  <c r="D6" i="18" s="1"/>
  <c r="D17" i="8"/>
  <c r="D21" i="8" s="1"/>
  <c r="I14" i="6"/>
  <c r="G11" i="6"/>
  <c r="G15" i="6"/>
  <c r="E15" i="6"/>
  <c r="G5" i="6"/>
  <c r="G9" i="6"/>
  <c r="I12" i="6"/>
  <c r="E5" i="6"/>
  <c r="I5" i="6"/>
  <c r="E12" i="6"/>
  <c r="G8" i="6"/>
  <c r="G14" i="6"/>
  <c r="E8" i="6"/>
  <c r="I9" i="6"/>
  <c r="E9" i="6"/>
  <c r="I11" i="6"/>
  <c r="I15" i="6"/>
  <c r="G12" i="6"/>
  <c r="E11" i="6"/>
  <c r="I8" i="6"/>
  <c r="H13" i="18"/>
  <c r="I9" i="18"/>
  <c r="H20" i="18"/>
  <c r="F24" i="18"/>
  <c r="E18" i="8"/>
  <c r="E19" i="8"/>
  <c r="K1" i="18" l="1"/>
  <c r="J58" i="18"/>
  <c r="J60" i="18" s="1"/>
  <c r="F18" i="8"/>
  <c r="F21" i="8"/>
  <c r="E6" i="18"/>
  <c r="F6" i="18" s="1"/>
  <c r="G6" i="18" s="1"/>
  <c r="H6" i="18" s="1"/>
  <c r="I6" i="18" s="1"/>
  <c r="J6" i="18" s="1"/>
  <c r="K6" i="18" s="1"/>
  <c r="L6" i="18" s="1"/>
  <c r="M6" i="18" s="1"/>
  <c r="N6" i="18" s="1"/>
  <c r="O6" i="18" s="1"/>
  <c r="P6" i="18" s="1"/>
  <c r="Q6" i="18" s="1"/>
  <c r="R6" i="18" s="1"/>
  <c r="S6" i="18" s="1"/>
  <c r="T6" i="18" s="1"/>
  <c r="U6" i="18" s="1"/>
  <c r="V6" i="18" s="1"/>
  <c r="W6" i="18" s="1"/>
  <c r="X6" i="18" s="1"/>
  <c r="Y6" i="18" s="1"/>
  <c r="Z6" i="18" s="1"/>
  <c r="AA6" i="18" s="1"/>
  <c r="D96" i="15"/>
  <c r="C16" i="18" s="1"/>
  <c r="A3" i="20"/>
  <c r="K16" i="29"/>
  <c r="B25" i="29"/>
  <c r="E25" i="29"/>
  <c r="D25" i="29"/>
  <c r="K25" i="29"/>
  <c r="C16" i="29"/>
  <c r="H16" i="29"/>
  <c r="G16" i="29"/>
  <c r="J16" i="29"/>
  <c r="I16" i="29"/>
  <c r="D16" i="29"/>
  <c r="J25" i="29"/>
  <c r="F16" i="29"/>
  <c r="G25" i="29"/>
  <c r="E16" i="29"/>
  <c r="I25" i="29"/>
  <c r="F25" i="29"/>
  <c r="B16" i="29"/>
  <c r="H25" i="29"/>
  <c r="C25" i="29"/>
  <c r="E16" i="18"/>
  <c r="G2" i="29"/>
  <c r="G13" i="29" s="1"/>
  <c r="J15" i="29"/>
  <c r="J23" i="29"/>
  <c r="H15" i="29"/>
  <c r="E15" i="29"/>
  <c r="H24" i="29"/>
  <c r="E24" i="29"/>
  <c r="H23" i="29"/>
  <c r="C14" i="29"/>
  <c r="H14" i="29"/>
  <c r="I14" i="29"/>
  <c r="F14" i="29"/>
  <c r="C23" i="29"/>
  <c r="G14" i="29"/>
  <c r="B14" i="29"/>
  <c r="D14" i="29"/>
  <c r="J14" i="29"/>
  <c r="G23" i="29"/>
  <c r="F23" i="29"/>
  <c r="K14" i="29"/>
  <c r="D23" i="29"/>
  <c r="K23" i="29"/>
  <c r="E14" i="29"/>
  <c r="I23" i="29"/>
  <c r="G24" i="29"/>
  <c r="J24" i="29"/>
  <c r="D15" i="29"/>
  <c r="K15" i="29"/>
  <c r="D24" i="29"/>
  <c r="I15" i="29"/>
  <c r="B24" i="29"/>
  <c r="I24" i="29"/>
  <c r="C15" i="29"/>
  <c r="B15" i="29"/>
  <c r="B23" i="29"/>
  <c r="E23" i="29"/>
  <c r="C24" i="29"/>
  <c r="F24" i="29"/>
  <c r="K24" i="29"/>
  <c r="G15" i="29"/>
  <c r="F15" i="29"/>
  <c r="G8" i="29"/>
  <c r="D18" i="8"/>
  <c r="B4" i="9"/>
  <c r="D19" i="8"/>
  <c r="E16" i="6"/>
  <c r="E17" i="6"/>
  <c r="I16" i="6"/>
  <c r="G16" i="6"/>
  <c r="G17" i="6"/>
  <c r="I17" i="6"/>
  <c r="J9" i="18"/>
  <c r="I13" i="18"/>
  <c r="G24" i="18"/>
  <c r="I20" i="18"/>
  <c r="L1" i="18" l="1"/>
  <c r="K58" i="18"/>
  <c r="K60" i="18" s="1"/>
  <c r="E32" i="21"/>
  <c r="B42" i="33"/>
  <c r="F16" i="18"/>
  <c r="E34" i="21"/>
  <c r="B31" i="29"/>
  <c r="B38" i="29" s="1"/>
  <c r="W26" i="18" s="1"/>
  <c r="H5" i="29"/>
  <c r="H13" i="29"/>
  <c r="C31" i="29"/>
  <c r="C38" i="29" s="1"/>
  <c r="X26" i="18" s="1"/>
  <c r="H4" i="29"/>
  <c r="E22" i="29"/>
  <c r="I22" i="29"/>
  <c r="J13" i="29"/>
  <c r="H3" i="29"/>
  <c r="K22" i="29"/>
  <c r="K13" i="29"/>
  <c r="C22" i="29"/>
  <c r="B13" i="29"/>
  <c r="D31" i="29"/>
  <c r="D38" i="29" s="1"/>
  <c r="Y26" i="18" s="1"/>
  <c r="D13" i="29"/>
  <c r="E13" i="29"/>
  <c r="H22" i="29"/>
  <c r="F22" i="29"/>
  <c r="F31" i="29"/>
  <c r="F38" i="29" s="1"/>
  <c r="AA26" i="18" s="1"/>
  <c r="C13" i="29"/>
  <c r="I13" i="29"/>
  <c r="E31" i="29"/>
  <c r="E38" i="29" s="1"/>
  <c r="Z26" i="18" s="1"/>
  <c r="B22" i="29"/>
  <c r="D22" i="29"/>
  <c r="J22" i="29"/>
  <c r="G22" i="29"/>
  <c r="F13" i="29"/>
  <c r="K28" i="29"/>
  <c r="J19" i="29"/>
  <c r="E19" i="29"/>
  <c r="C19" i="29"/>
  <c r="C28" i="29"/>
  <c r="E28" i="29"/>
  <c r="F19" i="29"/>
  <c r="I28" i="29"/>
  <c r="J28" i="29"/>
  <c r="K19" i="29"/>
  <c r="H28" i="29"/>
  <c r="B28" i="29"/>
  <c r="B19" i="29"/>
  <c r="H19" i="29"/>
  <c r="I19" i="29"/>
  <c r="F28" i="29"/>
  <c r="G19" i="29"/>
  <c r="D28" i="29"/>
  <c r="G28" i="29"/>
  <c r="D19" i="29"/>
  <c r="G7" i="29"/>
  <c r="B8" i="17"/>
  <c r="E3" i="9"/>
  <c r="E18" i="6"/>
  <c r="I18" i="6"/>
  <c r="G18" i="6"/>
  <c r="G19" i="6" s="1"/>
  <c r="G23" i="6" s="1"/>
  <c r="J13" i="18"/>
  <c r="K9" i="18"/>
  <c r="E4" i="9"/>
  <c r="B5" i="9"/>
  <c r="E5" i="9" s="1"/>
  <c r="J20" i="18"/>
  <c r="H24" i="18"/>
  <c r="B29" i="29" l="1"/>
  <c r="M26" i="18" s="1"/>
  <c r="I29" i="29"/>
  <c r="T26" i="18" s="1"/>
  <c r="M1" i="18"/>
  <c r="L58" i="18"/>
  <c r="L60" i="18" s="1"/>
  <c r="C29" i="29"/>
  <c r="N26" i="18" s="1"/>
  <c r="E19" i="6"/>
  <c r="E23" i="6" s="1"/>
  <c r="C3" i="18"/>
  <c r="C12" i="18" s="1"/>
  <c r="G16" i="18"/>
  <c r="H16" i="18" s="1"/>
  <c r="I16" i="18" s="1"/>
  <c r="J16" i="18" s="1"/>
  <c r="K16" i="18" s="1"/>
  <c r="L16" i="18" s="1"/>
  <c r="M16" i="18" s="1"/>
  <c r="N16" i="18" s="1"/>
  <c r="O16" i="18" s="1"/>
  <c r="P16" i="18" s="1"/>
  <c r="Q16" i="18" s="1"/>
  <c r="R16" i="18" s="1"/>
  <c r="S16" i="18" s="1"/>
  <c r="T16" i="18" s="1"/>
  <c r="U16" i="18" s="1"/>
  <c r="V16" i="18" s="1"/>
  <c r="W16" i="18" s="1"/>
  <c r="X16" i="18" s="1"/>
  <c r="Y16" i="18" s="1"/>
  <c r="Z16" i="18" s="1"/>
  <c r="AA16" i="18" s="1"/>
  <c r="E39" i="21"/>
  <c r="E38" i="21"/>
  <c r="E42" i="21"/>
  <c r="E46" i="21"/>
  <c r="E50" i="21"/>
  <c r="E54" i="21"/>
  <c r="E41" i="21"/>
  <c r="E45" i="21"/>
  <c r="E49" i="21"/>
  <c r="E53" i="21"/>
  <c r="E35" i="21"/>
  <c r="E40" i="21"/>
  <c r="E44" i="21"/>
  <c r="E48" i="21"/>
  <c r="E52" i="21"/>
  <c r="E56" i="21"/>
  <c r="E43" i="21"/>
  <c r="E47" i="21"/>
  <c r="E51" i="21"/>
  <c r="E55" i="21"/>
  <c r="E37" i="21"/>
  <c r="E36" i="21"/>
  <c r="E29" i="29"/>
  <c r="P26" i="18" s="1"/>
  <c r="G29" i="29"/>
  <c r="R26" i="18" s="1"/>
  <c r="F29" i="29"/>
  <c r="Q26" i="18" s="1"/>
  <c r="H29" i="29"/>
  <c r="S26" i="18" s="1"/>
  <c r="J29" i="29"/>
  <c r="U26" i="18" s="1"/>
  <c r="K29" i="29"/>
  <c r="V26" i="18" s="1"/>
  <c r="G6" i="29"/>
  <c r="F17" i="29" s="1"/>
  <c r="F9" i="29"/>
  <c r="C4" i="22" s="1"/>
  <c r="C6" i="22" s="1"/>
  <c r="H8" i="29"/>
  <c r="D29" i="29"/>
  <c r="O26" i="18" s="1"/>
  <c r="G9" i="29"/>
  <c r="I18" i="29"/>
  <c r="I20" i="29" s="1"/>
  <c r="J26" i="18" s="1"/>
  <c r="K18" i="29"/>
  <c r="K20" i="29" s="1"/>
  <c r="L26" i="18" s="1"/>
  <c r="H18" i="29"/>
  <c r="H20" i="29" s="1"/>
  <c r="I26" i="18" s="1"/>
  <c r="B18" i="29"/>
  <c r="J18" i="29"/>
  <c r="J20" i="29" s="1"/>
  <c r="K26" i="18" s="1"/>
  <c r="E18" i="29"/>
  <c r="D18" i="29"/>
  <c r="C18" i="29"/>
  <c r="G18" i="29"/>
  <c r="G20" i="29" s="1"/>
  <c r="H26" i="18" s="1"/>
  <c r="F18" i="29"/>
  <c r="I21" i="6"/>
  <c r="I19" i="6"/>
  <c r="I23" i="6" s="1"/>
  <c r="G21" i="6"/>
  <c r="E21" i="6"/>
  <c r="E3" i="18"/>
  <c r="E12" i="18" s="1"/>
  <c r="D3" i="18"/>
  <c r="D12" i="18" s="1"/>
  <c r="E6" i="9"/>
  <c r="K13" i="18"/>
  <c r="L9" i="18"/>
  <c r="I24" i="18"/>
  <c r="K20" i="18"/>
  <c r="N1" i="18" l="1"/>
  <c r="M58" i="18"/>
  <c r="M60" i="18" s="1"/>
  <c r="A2" i="20"/>
  <c r="L8" i="9"/>
  <c r="L12" i="9" s="1"/>
  <c r="C2" i="20" s="1"/>
  <c r="C5" i="18"/>
  <c r="C17" i="29"/>
  <c r="C20" i="29" s="1"/>
  <c r="D26" i="18" s="1"/>
  <c r="E17" i="29"/>
  <c r="E20" i="29" s="1"/>
  <c r="F26" i="18" s="1"/>
  <c r="E5" i="24" s="1"/>
  <c r="B17" i="29"/>
  <c r="B20" i="29" s="1"/>
  <c r="C26" i="18" s="1"/>
  <c r="B45" i="33" s="1"/>
  <c r="H7" i="29"/>
  <c r="D17" i="29"/>
  <c r="D20" i="29" s="1"/>
  <c r="E26" i="18" s="1"/>
  <c r="D5" i="24" s="1"/>
  <c r="F20" i="29"/>
  <c r="G26" i="18" s="1"/>
  <c r="F5" i="24" s="1"/>
  <c r="F3" i="18"/>
  <c r="F12" i="18" s="1"/>
  <c r="M9" i="18"/>
  <c r="L13" i="18"/>
  <c r="J24" i="18"/>
  <c r="L20" i="18"/>
  <c r="O1" i="18" l="1"/>
  <c r="N58" i="18"/>
  <c r="N60" i="18" s="1"/>
  <c r="D5" i="18"/>
  <c r="E5" i="18" s="1"/>
  <c r="F5" i="18" s="1"/>
  <c r="H6" i="29"/>
  <c r="H9" i="29" s="1"/>
  <c r="E2" i="20" s="1"/>
  <c r="E28" i="18"/>
  <c r="F28" i="18"/>
  <c r="C28" i="18"/>
  <c r="B5" i="24"/>
  <c r="C5" i="24"/>
  <c r="D28" i="18"/>
  <c r="G3" i="18"/>
  <c r="G12" i="18" s="1"/>
  <c r="M13" i="18"/>
  <c r="N9" i="18"/>
  <c r="K24" i="18"/>
  <c r="M20" i="18"/>
  <c r="G5" i="24"/>
  <c r="G28" i="18"/>
  <c r="P1" i="18" l="1"/>
  <c r="O58" i="18"/>
  <c r="O60" i="18" s="1"/>
  <c r="H3" i="18"/>
  <c r="H12" i="18" s="1"/>
  <c r="O9" i="18"/>
  <c r="N13" i="18"/>
  <c r="G5" i="18"/>
  <c r="H5" i="24"/>
  <c r="H28" i="18"/>
  <c r="N20" i="18"/>
  <c r="L24" i="18"/>
  <c r="Q1" i="18" l="1"/>
  <c r="P58" i="18"/>
  <c r="P60" i="18" s="1"/>
  <c r="I3" i="18"/>
  <c r="J3" i="18" s="1"/>
  <c r="P9" i="18"/>
  <c r="O13" i="18"/>
  <c r="M24" i="18"/>
  <c r="O20" i="18"/>
  <c r="I5" i="24"/>
  <c r="I28" i="18"/>
  <c r="H5" i="18"/>
  <c r="R1" i="18" l="1"/>
  <c r="Q58" i="18"/>
  <c r="Q60" i="18" s="1"/>
  <c r="I12" i="18"/>
  <c r="K3" i="18"/>
  <c r="J12" i="18"/>
  <c r="Q9" i="18"/>
  <c r="P13" i="18"/>
  <c r="I5" i="18"/>
  <c r="J5" i="24"/>
  <c r="J28" i="18"/>
  <c r="P20" i="18"/>
  <c r="N24" i="18"/>
  <c r="S1" i="18" l="1"/>
  <c r="R58" i="18"/>
  <c r="R60" i="18" s="1"/>
  <c r="L3" i="18"/>
  <c r="K12" i="18"/>
  <c r="Q13" i="18"/>
  <c r="R9" i="18"/>
  <c r="O24" i="18"/>
  <c r="J5" i="18"/>
  <c r="Q20" i="18"/>
  <c r="K5" i="24"/>
  <c r="K28" i="18"/>
  <c r="T1" i="18" l="1"/>
  <c r="S58" i="18"/>
  <c r="S60" i="18" s="1"/>
  <c r="L12" i="18"/>
  <c r="M3" i="18"/>
  <c r="R13" i="18"/>
  <c r="S9" i="18"/>
  <c r="B19" i="24"/>
  <c r="L28" i="18"/>
  <c r="R20" i="18"/>
  <c r="K5" i="18"/>
  <c r="P24" i="18"/>
  <c r="U1" i="18" l="1"/>
  <c r="T58" i="18"/>
  <c r="T60" i="18" s="1"/>
  <c r="N3" i="18"/>
  <c r="M12" i="18"/>
  <c r="S13" i="18"/>
  <c r="T9" i="18"/>
  <c r="Q24" i="18"/>
  <c r="S20" i="18"/>
  <c r="L5" i="18"/>
  <c r="C19" i="24"/>
  <c r="M28" i="18"/>
  <c r="V1" i="18" l="1"/>
  <c r="U58" i="18"/>
  <c r="U60" i="18" s="1"/>
  <c r="O3" i="18"/>
  <c r="N12" i="18"/>
  <c r="T13" i="18"/>
  <c r="U9" i="18"/>
  <c r="D19" i="24"/>
  <c r="N28" i="18"/>
  <c r="M5" i="18"/>
  <c r="R24" i="18"/>
  <c r="T20" i="18"/>
  <c r="W1" i="18" l="1"/>
  <c r="V58" i="18"/>
  <c r="V60" i="18" s="1"/>
  <c r="O12" i="18"/>
  <c r="P3" i="18"/>
  <c r="V9" i="18"/>
  <c r="U13" i="18"/>
  <c r="S24" i="18"/>
  <c r="N5" i="18"/>
  <c r="U20" i="18"/>
  <c r="E19" i="24"/>
  <c r="O28" i="18"/>
  <c r="X1" i="18" l="1"/>
  <c r="W58" i="18"/>
  <c r="W60" i="18" s="1"/>
  <c r="P12" i="18"/>
  <c r="Q3" i="18"/>
  <c r="W9" i="18"/>
  <c r="V13" i="18"/>
  <c r="V20" i="18"/>
  <c r="T24" i="18"/>
  <c r="F19" i="24"/>
  <c r="P28" i="18"/>
  <c r="O5" i="18"/>
  <c r="Y1" i="18" l="1"/>
  <c r="X58" i="18"/>
  <c r="X60" i="18" s="1"/>
  <c r="Q12" i="18"/>
  <c r="R3" i="18"/>
  <c r="X9" i="18"/>
  <c r="W13" i="18"/>
  <c r="W20" i="18"/>
  <c r="P5" i="18"/>
  <c r="U24" i="18"/>
  <c r="G19" i="24"/>
  <c r="Q28" i="18"/>
  <c r="Z1" i="18" l="1"/>
  <c r="Y58" i="18"/>
  <c r="Y60" i="18" s="1"/>
  <c r="S3" i="18"/>
  <c r="R12" i="18"/>
  <c r="Y9" i="18"/>
  <c r="X13" i="18"/>
  <c r="V24" i="18"/>
  <c r="Q5" i="18"/>
  <c r="X20" i="18"/>
  <c r="H19" i="24"/>
  <c r="R28" i="18"/>
  <c r="AA1" i="18" l="1"/>
  <c r="AA58" i="18" s="1"/>
  <c r="AA60" i="18" s="1"/>
  <c r="Z58" i="18"/>
  <c r="Z60" i="18" s="1"/>
  <c r="T3" i="18"/>
  <c r="S12" i="18"/>
  <c r="Y13" i="18"/>
  <c r="Z9" i="18"/>
  <c r="I19" i="24"/>
  <c r="S28" i="18"/>
  <c r="R5" i="18"/>
  <c r="Y20" i="18"/>
  <c r="W24" i="18"/>
  <c r="U3" i="18" l="1"/>
  <c r="T12" i="18"/>
  <c r="AA9" i="18"/>
  <c r="AA13" i="18" s="1"/>
  <c r="Z13" i="18"/>
  <c r="S5" i="18"/>
  <c r="Z20" i="18"/>
  <c r="J19" i="24"/>
  <c r="T28" i="18"/>
  <c r="X24" i="18"/>
  <c r="U12" i="18" l="1"/>
  <c r="V3" i="18"/>
  <c r="K19" i="24"/>
  <c r="U28" i="18"/>
  <c r="Y24" i="18"/>
  <c r="AA20" i="18"/>
  <c r="T5" i="18"/>
  <c r="W3" i="18" l="1"/>
  <c r="V12" i="18"/>
  <c r="Z24" i="18"/>
  <c r="B34" i="24"/>
  <c r="V28" i="18"/>
  <c r="U5" i="18"/>
  <c r="W12" i="18" l="1"/>
  <c r="X3" i="18"/>
  <c r="V5" i="18"/>
  <c r="C34" i="24"/>
  <c r="W28" i="18"/>
  <c r="AA24" i="18"/>
  <c r="Y3" i="18" l="1"/>
  <c r="X12" i="18"/>
  <c r="D34" i="24"/>
  <c r="X28" i="18"/>
  <c r="W5" i="18"/>
  <c r="Y12" i="18" l="1"/>
  <c r="Z3" i="18"/>
  <c r="X5" i="18"/>
  <c r="E34" i="24"/>
  <c r="Y28" i="18"/>
  <c r="Z12" i="18" l="1"/>
  <c r="AA3" i="18"/>
  <c r="AA12" i="18" s="1"/>
  <c r="Z28" i="18"/>
  <c r="Y5" i="18"/>
  <c r="AA28" i="18" l="1"/>
  <c r="F34" i="24"/>
  <c r="Z5" i="18"/>
  <c r="AA5" i="18" l="1"/>
  <c r="C9" i="30" l="1"/>
  <c r="C7" i="19" s="1"/>
  <c r="E7" i="19" s="1"/>
  <c r="C7" i="30"/>
  <c r="E7" i="30" s="1"/>
  <c r="C6" i="30"/>
  <c r="C4" i="19" s="1"/>
  <c r="E4" i="19" s="1"/>
  <c r="B8" i="30" l="1"/>
  <c r="C8" i="30" s="1"/>
  <c r="E8" i="30" s="1"/>
  <c r="B19" i="31"/>
  <c r="C4" i="30"/>
  <c r="C2" i="19" s="1"/>
  <c r="C5" i="19"/>
  <c r="E5" i="19" s="1"/>
  <c r="E9" i="30"/>
  <c r="B2" i="19"/>
  <c r="E6" i="30"/>
  <c r="C2" i="23"/>
  <c r="E4" i="30" l="1"/>
  <c r="B6" i="19"/>
  <c r="B12" i="19" s="1"/>
  <c r="B23" i="31"/>
  <c r="C6" i="19"/>
  <c r="E6" i="19" s="1"/>
  <c r="B3" i="19"/>
  <c r="C5" i="30"/>
  <c r="E2" i="19"/>
  <c r="B15" i="23"/>
  <c r="E15" i="23" s="1"/>
  <c r="B16" i="23"/>
  <c r="E16" i="23" s="1"/>
  <c r="F16" i="23" s="1"/>
  <c r="D6" i="26" l="1"/>
  <c r="B24" i="19"/>
  <c r="B25" i="19"/>
  <c r="B23" i="19"/>
  <c r="B19" i="19"/>
  <c r="B20" i="19"/>
  <c r="B21" i="19"/>
  <c r="B18" i="19"/>
  <c r="C18" i="19" s="1"/>
  <c r="B22" i="19"/>
  <c r="B9" i="19"/>
  <c r="C3" i="19"/>
  <c r="C11" i="30"/>
  <c r="C1" i="20" s="1"/>
  <c r="E5" i="30"/>
  <c r="E11" i="30" s="1"/>
  <c r="B12" i="22" s="1"/>
  <c r="F15" i="23"/>
  <c r="G15" i="23" s="1"/>
  <c r="A18" i="26" l="1"/>
  <c r="A19" i="26" s="1"/>
  <c r="H7" i="26"/>
  <c r="C18" i="26"/>
  <c r="H6" i="26"/>
  <c r="D18" i="19"/>
  <c r="C19" i="19"/>
  <c r="E3" i="19"/>
  <c r="E9" i="19" s="1"/>
  <c r="C9" i="19"/>
  <c r="H15" i="23"/>
  <c r="G16" i="23"/>
  <c r="B19" i="26" l="1"/>
  <c r="A20" i="26"/>
  <c r="D19" i="26"/>
  <c r="H18" i="26"/>
  <c r="B18" i="26"/>
  <c r="D18" i="26"/>
  <c r="E18" i="26" s="1"/>
  <c r="D19" i="19"/>
  <c r="C20" i="19"/>
  <c r="H16" i="23"/>
  <c r="F18" i="26" l="1"/>
  <c r="G18" i="26" s="1"/>
  <c r="I18" i="26" s="1"/>
  <c r="C19" i="26" s="1"/>
  <c r="E19" i="26" s="1"/>
  <c r="F19" i="26" s="1"/>
  <c r="C21" i="19"/>
  <c r="D20" i="19"/>
  <c r="B20" i="26"/>
  <c r="A21" i="26"/>
  <c r="D20" i="26"/>
  <c r="H19" i="26" l="1"/>
  <c r="G19" i="26" s="1"/>
  <c r="I19" i="26" s="1"/>
  <c r="C20" i="26" s="1"/>
  <c r="A22" i="26"/>
  <c r="D21" i="26"/>
  <c r="B21" i="26"/>
  <c r="C22" i="19"/>
  <c r="D21" i="19"/>
  <c r="E21" i="19" s="1"/>
  <c r="A23" i="26" l="1"/>
  <c r="D22" i="26"/>
  <c r="B22" i="26"/>
  <c r="C23" i="19"/>
  <c r="D22" i="19"/>
  <c r="H20" i="26"/>
  <c r="E20" i="26"/>
  <c r="F20" i="26" s="1"/>
  <c r="A24" i="26" l="1"/>
  <c r="B23" i="26"/>
  <c r="D23" i="26"/>
  <c r="D23" i="19"/>
  <c r="C24" i="19"/>
  <c r="G20" i="26"/>
  <c r="C25" i="19" l="1"/>
  <c r="D25" i="19" s="1"/>
  <c r="D24" i="19"/>
  <c r="A25" i="26"/>
  <c r="B24" i="26"/>
  <c r="D24" i="26"/>
  <c r="I20" i="26"/>
  <c r="C21" i="26" s="1"/>
  <c r="E25" i="19" l="1"/>
  <c r="C7" i="22" s="1"/>
  <c r="C8" i="22" s="1"/>
  <c r="D25" i="26"/>
  <c r="B25" i="26"/>
  <c r="A26" i="26"/>
  <c r="H21" i="26"/>
  <c r="J21" i="26" s="1"/>
  <c r="C43" i="18" s="1"/>
  <c r="E21" i="26"/>
  <c r="C13" i="21" l="1"/>
  <c r="C14" i="21" s="1"/>
  <c r="B30" i="21" s="1"/>
  <c r="G30" i="21" s="1"/>
  <c r="H30" i="21" s="1"/>
  <c r="I30" i="21" s="1"/>
  <c r="J30" i="21" s="1"/>
  <c r="E3" i="20"/>
  <c r="B21" i="22"/>
  <c r="F21" i="22" s="1"/>
  <c r="G21" i="22" s="1"/>
  <c r="H21" i="22" s="1"/>
  <c r="I21" i="22" s="1"/>
  <c r="B22" i="22"/>
  <c r="F22" i="22" s="1"/>
  <c r="G22" i="22" s="1"/>
  <c r="C14" i="22"/>
  <c r="C8" i="23" s="1"/>
  <c r="D41" i="23" s="1"/>
  <c r="A27" i="26"/>
  <c r="D26" i="26"/>
  <c r="B26" i="26"/>
  <c r="B9" i="24"/>
  <c r="F21" i="26"/>
  <c r="G21" i="26" s="1"/>
  <c r="K21" i="26" s="1"/>
  <c r="B10" i="24" s="1"/>
  <c r="B31" i="21" l="1"/>
  <c r="G31" i="21" s="1"/>
  <c r="H31" i="21" s="1"/>
  <c r="I31" i="21" s="1"/>
  <c r="J31" i="21" s="1"/>
  <c r="E47" i="22"/>
  <c r="H22" i="22"/>
  <c r="I22" i="22" s="1"/>
  <c r="A28" i="26"/>
  <c r="D27" i="26"/>
  <c r="B27" i="26"/>
  <c r="I21" i="26"/>
  <c r="C22" i="26" s="1"/>
  <c r="A29" i="26" l="1"/>
  <c r="B28" i="26"/>
  <c r="D28" i="26"/>
  <c r="H22" i="26"/>
  <c r="E22" i="26"/>
  <c r="A30" i="26" l="1"/>
  <c r="B29" i="26"/>
  <c r="D29" i="26"/>
  <c r="F22" i="26"/>
  <c r="G22" i="26" s="1"/>
  <c r="I22" i="26" s="1"/>
  <c r="C23" i="26" s="1"/>
  <c r="A31" i="26" l="1"/>
  <c r="D30" i="26"/>
  <c r="B30" i="26"/>
  <c r="H23" i="26"/>
  <c r="E23" i="26"/>
  <c r="A32" i="26" l="1"/>
  <c r="D31" i="26"/>
  <c r="B31" i="26"/>
  <c r="F23" i="26"/>
  <c r="G23" i="26" s="1"/>
  <c r="I23" i="26" s="1"/>
  <c r="C24" i="26" s="1"/>
  <c r="A33" i="26" l="1"/>
  <c r="B32" i="26"/>
  <c r="D32" i="26"/>
  <c r="H24" i="26"/>
  <c r="E24" i="26"/>
  <c r="B33" i="26" l="1"/>
  <c r="D33" i="26"/>
  <c r="A34" i="26"/>
  <c r="F24" i="26"/>
  <c r="G24" i="26" s="1"/>
  <c r="I24" i="26" s="1"/>
  <c r="C25" i="26" s="1"/>
  <c r="A35" i="26" l="1"/>
  <c r="D34" i="26"/>
  <c r="B34" i="26"/>
  <c r="E25" i="26"/>
  <c r="H25" i="26"/>
  <c r="J25" i="26" s="1"/>
  <c r="D43" i="18" s="1"/>
  <c r="B35" i="26" l="1"/>
  <c r="D35" i="26"/>
  <c r="A36" i="26"/>
  <c r="F25" i="26"/>
  <c r="G25" i="26" s="1"/>
  <c r="K25" i="26" s="1"/>
  <c r="C10" i="24" s="1"/>
  <c r="C9" i="24"/>
  <c r="D36" i="26" l="1"/>
  <c r="B36" i="26"/>
  <c r="A37" i="26"/>
  <c r="I25" i="26"/>
  <c r="C26" i="26" s="1"/>
  <c r="B37" i="26" l="1"/>
  <c r="D37" i="26"/>
  <c r="A38" i="26"/>
  <c r="E26" i="26"/>
  <c r="H26" i="26"/>
  <c r="A39" i="26" l="1"/>
  <c r="D38" i="26"/>
  <c r="B38" i="26"/>
  <c r="F26" i="26"/>
  <c r="G26" i="26" s="1"/>
  <c r="I26" i="26" s="1"/>
  <c r="C27" i="26" s="1"/>
  <c r="B39" i="26" l="1"/>
  <c r="D39" i="26"/>
  <c r="A40" i="26"/>
  <c r="H27" i="26"/>
  <c r="E27" i="26"/>
  <c r="A41" i="26" l="1"/>
  <c r="D40" i="26"/>
  <c r="B40" i="26"/>
  <c r="F27" i="26"/>
  <c r="G27" i="26" s="1"/>
  <c r="I27" i="26" s="1"/>
  <c r="C28" i="26" s="1"/>
  <c r="A42" i="26" l="1"/>
  <c r="D41" i="26"/>
  <c r="B41" i="26"/>
  <c r="H28" i="26"/>
  <c r="E28" i="26"/>
  <c r="D42" i="26" l="1"/>
  <c r="A43" i="26"/>
  <c r="B42" i="26"/>
  <c r="F28" i="26"/>
  <c r="G28" i="26" s="1"/>
  <c r="I28" i="26" s="1"/>
  <c r="C29" i="26" s="1"/>
  <c r="B43" i="26" l="1"/>
  <c r="A44" i="26"/>
  <c r="D43" i="26"/>
  <c r="H29" i="26"/>
  <c r="J29" i="26" s="1"/>
  <c r="E43" i="18" s="1"/>
  <c r="E29" i="26"/>
  <c r="D44" i="26" l="1"/>
  <c r="B44" i="26"/>
  <c r="A45" i="26"/>
  <c r="D9" i="24"/>
  <c r="F29" i="26"/>
  <c r="G29" i="26" s="1"/>
  <c r="K29" i="26" s="1"/>
  <c r="D10" i="24" s="1"/>
  <c r="B45" i="26" l="1"/>
  <c r="D45" i="26"/>
  <c r="A46" i="26"/>
  <c r="I29" i="26"/>
  <c r="C30" i="26" s="1"/>
  <c r="E30" i="26" s="1"/>
  <c r="A47" i="26" l="1"/>
  <c r="B46" i="26"/>
  <c r="D46" i="26"/>
  <c r="H30" i="26"/>
  <c r="F30" i="26"/>
  <c r="A48" i="26" l="1"/>
  <c r="D47" i="26"/>
  <c r="B47" i="26"/>
  <c r="G30" i="26"/>
  <c r="I30" i="26" s="1"/>
  <c r="C31" i="26" s="1"/>
  <c r="H31" i="26" s="1"/>
  <c r="A49" i="26" l="1"/>
  <c r="B48" i="26"/>
  <c r="D48" i="26"/>
  <c r="E31" i="26"/>
  <c r="F31" i="26" s="1"/>
  <c r="G31" i="26" s="1"/>
  <c r="I31" i="26" s="1"/>
  <c r="C32" i="26" s="1"/>
  <c r="A50" i="26" l="1"/>
  <c r="B49" i="26"/>
  <c r="D49" i="26"/>
  <c r="E32" i="26"/>
  <c r="H32" i="26"/>
  <c r="A51" i="26" l="1"/>
  <c r="B50" i="26"/>
  <c r="D50" i="26"/>
  <c r="F32" i="26"/>
  <c r="G32" i="26" s="1"/>
  <c r="B51" i="26" l="1"/>
  <c r="A52" i="26"/>
  <c r="D51" i="26"/>
  <c r="I32" i="26"/>
  <c r="C33" i="26" s="1"/>
  <c r="B52" i="26" l="1"/>
  <c r="A53" i="26"/>
  <c r="D52" i="26"/>
  <c r="E33" i="26"/>
  <c r="H33" i="26"/>
  <c r="J33" i="26" s="1"/>
  <c r="F43" i="18" s="1"/>
  <c r="D53" i="26" l="1"/>
  <c r="A54" i="26"/>
  <c r="B53" i="26"/>
  <c r="F33" i="26"/>
  <c r="G33" i="26" s="1"/>
  <c r="K33" i="26" s="1"/>
  <c r="E10" i="24" s="1"/>
  <c r="E9" i="24"/>
  <c r="D54" i="26" l="1"/>
  <c r="A55" i="26"/>
  <c r="B54" i="26"/>
  <c r="I33" i="26"/>
  <c r="C34" i="26" s="1"/>
  <c r="D55" i="26" l="1"/>
  <c r="B55" i="26"/>
  <c r="A56" i="26"/>
  <c r="E34" i="26"/>
  <c r="H34" i="26"/>
  <c r="B56" i="26" l="1"/>
  <c r="A57" i="26"/>
  <c r="D56" i="26"/>
  <c r="F34" i="26"/>
  <c r="G34" i="26" s="1"/>
  <c r="I34" i="26" s="1"/>
  <c r="C35" i="26" s="1"/>
  <c r="D57" i="26" l="1"/>
  <c r="B57" i="26"/>
  <c r="A58" i="26"/>
  <c r="E35" i="26"/>
  <c r="H35" i="26"/>
  <c r="A59" i="26" l="1"/>
  <c r="D58" i="26"/>
  <c r="B58" i="26"/>
  <c r="F35" i="26"/>
  <c r="G35" i="26" s="1"/>
  <c r="I35" i="26" s="1"/>
  <c r="C36" i="26" s="1"/>
  <c r="D59" i="26" l="1"/>
  <c r="B59" i="26"/>
  <c r="A60" i="26"/>
  <c r="E36" i="26"/>
  <c r="H36" i="26"/>
  <c r="A61" i="26" l="1"/>
  <c r="B60" i="26"/>
  <c r="D60" i="26"/>
  <c r="F36" i="26"/>
  <c r="G36" i="26" s="1"/>
  <c r="I36" i="26" s="1"/>
  <c r="C37" i="26" s="1"/>
  <c r="A62" i="26" l="1"/>
  <c r="D61" i="26"/>
  <c r="B61" i="26"/>
  <c r="H37" i="26"/>
  <c r="J37" i="26" s="1"/>
  <c r="G43" i="18" s="1"/>
  <c r="E37" i="26"/>
  <c r="A63" i="26" l="1"/>
  <c r="B62" i="26"/>
  <c r="D62" i="26"/>
  <c r="F9" i="24"/>
  <c r="F37" i="26"/>
  <c r="G37" i="26" s="1"/>
  <c r="K37" i="26" s="1"/>
  <c r="F10" i="24" s="1"/>
  <c r="A64" i="26" l="1"/>
  <c r="D63" i="26"/>
  <c r="B63" i="26"/>
  <c r="I37" i="26"/>
  <c r="C38" i="26" s="1"/>
  <c r="A65" i="26" l="1"/>
  <c r="B64" i="26"/>
  <c r="D64" i="26"/>
  <c r="E38" i="26"/>
  <c r="H38" i="26"/>
  <c r="B65" i="26" l="1"/>
  <c r="A66" i="26"/>
  <c r="D65" i="26"/>
  <c r="F38" i="26"/>
  <c r="G38" i="26" s="1"/>
  <c r="A67" i="26" l="1"/>
  <c r="B66" i="26"/>
  <c r="D66" i="26"/>
  <c r="I38" i="26"/>
  <c r="C39" i="26" s="1"/>
  <c r="D67" i="26" l="1"/>
  <c r="A68" i="26"/>
  <c r="B67" i="26"/>
  <c r="E39" i="26"/>
  <c r="H39" i="26"/>
  <c r="D68" i="26" l="1"/>
  <c r="A69" i="26"/>
  <c r="B68" i="26"/>
  <c r="F39" i="26"/>
  <c r="G39" i="26" s="1"/>
  <c r="A70" i="26" l="1"/>
  <c r="D69" i="26"/>
  <c r="B69" i="26"/>
  <c r="I39" i="26"/>
  <c r="C40" i="26" s="1"/>
  <c r="A71" i="26" l="1"/>
  <c r="D70" i="26"/>
  <c r="B70" i="26"/>
  <c r="H40" i="26"/>
  <c r="E40" i="26"/>
  <c r="A72" i="26" l="1"/>
  <c r="D71" i="26"/>
  <c r="B71" i="26"/>
  <c r="F40" i="26"/>
  <c r="G40" i="26" s="1"/>
  <c r="A73" i="26" l="1"/>
  <c r="D72" i="26"/>
  <c r="B72" i="26"/>
  <c r="I40" i="26"/>
  <c r="C41" i="26" s="1"/>
  <c r="A74" i="26" l="1"/>
  <c r="B73" i="26"/>
  <c r="D73" i="26"/>
  <c r="E41" i="26"/>
  <c r="H41" i="26"/>
  <c r="J41" i="26" s="1"/>
  <c r="H43" i="18" s="1"/>
  <c r="A75" i="26" l="1"/>
  <c r="B74" i="26"/>
  <c r="D74" i="26"/>
  <c r="F41" i="26"/>
  <c r="G41" i="26" s="1"/>
  <c r="K41" i="26" s="1"/>
  <c r="G10" i="24" s="1"/>
  <c r="G9" i="24"/>
  <c r="A76" i="26" l="1"/>
  <c r="D75" i="26"/>
  <c r="B75" i="26"/>
  <c r="I41" i="26"/>
  <c r="C42" i="26" s="1"/>
  <c r="D76" i="26" l="1"/>
  <c r="B76" i="26"/>
  <c r="A77" i="26"/>
  <c r="H42" i="26"/>
  <c r="E42" i="26"/>
  <c r="D77" i="26" l="1"/>
  <c r="A78" i="26"/>
  <c r="B77" i="26"/>
  <c r="F42" i="26"/>
  <c r="G42" i="26" s="1"/>
  <c r="I42" i="26" s="1"/>
  <c r="C43" i="26" s="1"/>
  <c r="A79" i="26" l="1"/>
  <c r="B78" i="26"/>
  <c r="D78" i="26"/>
  <c r="H43" i="26"/>
  <c r="E43" i="26"/>
  <c r="A80" i="26" l="1"/>
  <c r="B79" i="26"/>
  <c r="D79" i="26"/>
  <c r="F43" i="26"/>
  <c r="G43" i="26" s="1"/>
  <c r="A81" i="26" l="1"/>
  <c r="D80" i="26"/>
  <c r="B80" i="26"/>
  <c r="I43" i="26"/>
  <c r="C44" i="26" s="1"/>
  <c r="B81" i="26" l="1"/>
  <c r="A82" i="26"/>
  <c r="D81" i="26"/>
  <c r="E44" i="26"/>
  <c r="H44" i="26"/>
  <c r="D82" i="26" l="1"/>
  <c r="A83" i="26"/>
  <c r="B82" i="26"/>
  <c r="F44" i="26"/>
  <c r="G44" i="26" s="1"/>
  <c r="I44" i="26" s="1"/>
  <c r="C45" i="26" s="1"/>
  <c r="A84" i="26" l="1"/>
  <c r="D83" i="26"/>
  <c r="B83" i="26"/>
  <c r="H45" i="26"/>
  <c r="J45" i="26" s="1"/>
  <c r="I43" i="18" s="1"/>
  <c r="E45" i="26"/>
  <c r="A85" i="26" l="1"/>
  <c r="D84" i="26"/>
  <c r="B84" i="26"/>
  <c r="H9" i="24"/>
  <c r="F45" i="26"/>
  <c r="G45" i="26" s="1"/>
  <c r="K45" i="26" s="1"/>
  <c r="H10" i="24" s="1"/>
  <c r="A86" i="26" l="1"/>
  <c r="B85" i="26"/>
  <c r="D85" i="26"/>
  <c r="I45" i="26"/>
  <c r="C46" i="26" s="1"/>
  <c r="A87" i="26" l="1"/>
  <c r="B86" i="26"/>
  <c r="D86" i="26"/>
  <c r="E46" i="26"/>
  <c r="H46" i="26"/>
  <c r="B87" i="26" l="1"/>
  <c r="A88" i="26"/>
  <c r="D87" i="26"/>
  <c r="F46" i="26"/>
  <c r="G46" i="26" s="1"/>
  <c r="A89" i="26" l="1"/>
  <c r="B88" i="26"/>
  <c r="D88" i="26"/>
  <c r="I46" i="26"/>
  <c r="C47" i="26" s="1"/>
  <c r="B89" i="26" l="1"/>
  <c r="A90" i="26"/>
  <c r="D89" i="26"/>
  <c r="E47" i="26"/>
  <c r="H47" i="26"/>
  <c r="B90" i="26" l="1"/>
  <c r="A91" i="26"/>
  <c r="D90" i="26"/>
  <c r="F47" i="26"/>
  <c r="G47" i="26" s="1"/>
  <c r="B91" i="26" l="1"/>
  <c r="D91" i="26"/>
  <c r="A92" i="26"/>
  <c r="I47" i="26"/>
  <c r="C48" i="26" s="1"/>
  <c r="B92" i="26" l="1"/>
  <c r="D92" i="26"/>
  <c r="A93" i="26"/>
  <c r="E48" i="26"/>
  <c r="H48" i="26"/>
  <c r="B93" i="26" l="1"/>
  <c r="D93" i="26"/>
  <c r="A94" i="26"/>
  <c r="F48" i="26"/>
  <c r="G48" i="26" s="1"/>
  <c r="A95" i="26" l="1"/>
  <c r="D94" i="26"/>
  <c r="B94" i="26"/>
  <c r="I48" i="26"/>
  <c r="C49" i="26" s="1"/>
  <c r="B95" i="26" l="1"/>
  <c r="A96" i="26"/>
  <c r="D95" i="26"/>
  <c r="E49" i="26"/>
  <c r="H49" i="26"/>
  <c r="J49" i="26" s="1"/>
  <c r="J43" i="18" s="1"/>
  <c r="A97" i="26" l="1"/>
  <c r="D96" i="26"/>
  <c r="B96" i="26"/>
  <c r="F49" i="26"/>
  <c r="G49" i="26" s="1"/>
  <c r="K49" i="26" s="1"/>
  <c r="I10" i="24" s="1"/>
  <c r="I9" i="24"/>
  <c r="D97" i="26" l="1"/>
  <c r="B97" i="26"/>
  <c r="A98" i="26"/>
  <c r="I49" i="26"/>
  <c r="C50" i="26" s="1"/>
  <c r="D98" i="26" l="1"/>
  <c r="A99" i="26"/>
  <c r="B98" i="26"/>
  <c r="H50" i="26"/>
  <c r="E50" i="26"/>
  <c r="B99" i="26" l="1"/>
  <c r="D99" i="26"/>
  <c r="A100" i="26"/>
  <c r="F50" i="26"/>
  <c r="G50" i="26" s="1"/>
  <c r="B100" i="26" l="1"/>
  <c r="A101" i="26"/>
  <c r="D100" i="26"/>
  <c r="I50" i="26"/>
  <c r="C51" i="26" s="1"/>
  <c r="D101" i="26" l="1"/>
  <c r="A102" i="26"/>
  <c r="B101" i="26"/>
  <c r="E51" i="26"/>
  <c r="H51" i="26"/>
  <c r="B102" i="26" l="1"/>
  <c r="A103" i="26"/>
  <c r="D102" i="26"/>
  <c r="F51" i="26"/>
  <c r="G51" i="26" s="1"/>
  <c r="A104" i="26" l="1"/>
  <c r="D103" i="26"/>
  <c r="B103" i="26"/>
  <c r="I51" i="26"/>
  <c r="C52" i="26" s="1"/>
  <c r="B104" i="26" l="1"/>
  <c r="A105" i="26"/>
  <c r="D104" i="26"/>
  <c r="H52" i="26"/>
  <c r="E52" i="26"/>
  <c r="A106" i="26" l="1"/>
  <c r="D105" i="26"/>
  <c r="B105" i="26"/>
  <c r="F52" i="26"/>
  <c r="G52" i="26" s="1"/>
  <c r="I52" i="26" s="1"/>
  <c r="C53" i="26" s="1"/>
  <c r="D106" i="26" l="1"/>
  <c r="A107" i="26"/>
  <c r="B106" i="26"/>
  <c r="H53" i="26"/>
  <c r="J53" i="26" s="1"/>
  <c r="K43" i="18" s="1"/>
  <c r="E53" i="26"/>
  <c r="A108" i="26" l="1"/>
  <c r="D107" i="26"/>
  <c r="B107" i="26"/>
  <c r="J9" i="24"/>
  <c r="F53" i="26"/>
  <c r="G53" i="26" s="1"/>
  <c r="K53" i="26" s="1"/>
  <c r="J10" i="24" s="1"/>
  <c r="A109" i="26" l="1"/>
  <c r="D108" i="26"/>
  <c r="B108" i="26"/>
  <c r="I53" i="26"/>
  <c r="C54" i="26" s="1"/>
  <c r="E54" i="26" s="1"/>
  <c r="A110" i="26" l="1"/>
  <c r="B109" i="26"/>
  <c r="D109" i="26"/>
  <c r="H54" i="26"/>
  <c r="F54" i="26"/>
  <c r="A111" i="26" l="1"/>
  <c r="B110" i="26"/>
  <c r="D110" i="26"/>
  <c r="G54" i="26"/>
  <c r="I54" i="26" s="1"/>
  <c r="C55" i="26" s="1"/>
  <c r="A112" i="26" l="1"/>
  <c r="D111" i="26"/>
  <c r="B111" i="26"/>
  <c r="E55" i="26"/>
  <c r="H55" i="26"/>
  <c r="A113" i="26" l="1"/>
  <c r="B112" i="26"/>
  <c r="D112" i="26"/>
  <c r="F55" i="26"/>
  <c r="G55" i="26" s="1"/>
  <c r="I55" i="26" s="1"/>
  <c r="C56" i="26" s="1"/>
  <c r="A114" i="26" l="1"/>
  <c r="D113" i="26"/>
  <c r="B113" i="26"/>
  <c r="H56" i="26"/>
  <c r="E56" i="26"/>
  <c r="A115" i="26" l="1"/>
  <c r="D114" i="26"/>
  <c r="B114" i="26"/>
  <c r="F56" i="26"/>
  <c r="G56" i="26" s="1"/>
  <c r="A116" i="26" l="1"/>
  <c r="D115" i="26"/>
  <c r="B115" i="26"/>
  <c r="I56" i="26"/>
  <c r="C57" i="26" s="1"/>
  <c r="A117" i="26" l="1"/>
  <c r="D116" i="26"/>
  <c r="B116" i="26"/>
  <c r="E57" i="26"/>
  <c r="H57" i="26"/>
  <c r="J57" i="26" s="1"/>
  <c r="L43" i="18" s="1"/>
  <c r="B117" i="26" l="1"/>
  <c r="A118" i="26"/>
  <c r="D117" i="26"/>
  <c r="K9" i="24"/>
  <c r="F57" i="26"/>
  <c r="G57" i="26" s="1"/>
  <c r="K57" i="26" s="1"/>
  <c r="K10" i="24" s="1"/>
  <c r="I57" i="26" l="1"/>
  <c r="C58" i="26" s="1"/>
  <c r="E58" i="26" s="1"/>
  <c r="D118" i="26"/>
  <c r="A119" i="26"/>
  <c r="B118" i="26"/>
  <c r="H58" i="26" l="1"/>
  <c r="B119" i="26"/>
  <c r="A120" i="26"/>
  <c r="D119" i="26"/>
  <c r="F58" i="26"/>
  <c r="G58" i="26" l="1"/>
  <c r="I58" i="26" s="1"/>
  <c r="C59" i="26" s="1"/>
  <c r="H59" i="26" s="1"/>
  <c r="A121" i="26"/>
  <c r="B120" i="26"/>
  <c r="D120" i="26"/>
  <c r="E59" i="26" l="1"/>
  <c r="F59" i="26" s="1"/>
  <c r="G59" i="26" s="1"/>
  <c r="I59" i="26" s="1"/>
  <c r="C60" i="26" s="1"/>
  <c r="D121" i="26"/>
  <c r="A122" i="26"/>
  <c r="B121" i="26"/>
  <c r="A123" i="26" l="1"/>
  <c r="D122" i="26"/>
  <c r="B122" i="26"/>
  <c r="H60" i="26"/>
  <c r="E60" i="26"/>
  <c r="A124" i="26" l="1"/>
  <c r="D123" i="26"/>
  <c r="B123" i="26"/>
  <c r="F60" i="26"/>
  <c r="G60" i="26" s="1"/>
  <c r="I60" i="26" s="1"/>
  <c r="C61" i="26" s="1"/>
  <c r="A125" i="26" l="1"/>
  <c r="D124" i="26"/>
  <c r="B124" i="26"/>
  <c r="E61" i="26"/>
  <c r="H61" i="26"/>
  <c r="J61" i="26" s="1"/>
  <c r="M43" i="18" s="1"/>
  <c r="B125" i="26" l="1"/>
  <c r="A126" i="26"/>
  <c r="D125" i="26"/>
  <c r="F61" i="26"/>
  <c r="G61" i="26" s="1"/>
  <c r="K61" i="26" s="1"/>
  <c r="B24" i="24" s="1"/>
  <c r="B23" i="24"/>
  <c r="I61" i="26" l="1"/>
  <c r="C62" i="26" s="1"/>
  <c r="H62" i="26" s="1"/>
  <c r="A127" i="26"/>
  <c r="B126" i="26"/>
  <c r="D126" i="26"/>
  <c r="E62" i="26" l="1"/>
  <c r="I62" i="26" s="1"/>
  <c r="C63" i="26" s="1"/>
  <c r="D127" i="26"/>
  <c r="A128" i="26"/>
  <c r="B127" i="26"/>
  <c r="F62" i="26" l="1"/>
  <c r="G62" i="26" s="1"/>
  <c r="A129" i="26"/>
  <c r="B128" i="26"/>
  <c r="D128" i="26"/>
  <c r="E63" i="26"/>
  <c r="H63" i="26"/>
  <c r="B129" i="26" l="1"/>
  <c r="A130" i="26"/>
  <c r="D129" i="26"/>
  <c r="F63" i="26"/>
  <c r="G63" i="26" s="1"/>
  <c r="I63" i="26" s="1"/>
  <c r="C64" i="26" s="1"/>
  <c r="B130" i="26" l="1"/>
  <c r="D130" i="26"/>
  <c r="A131" i="26"/>
  <c r="E64" i="26"/>
  <c r="H64" i="26"/>
  <c r="A132" i="26" l="1"/>
  <c r="B131" i="26"/>
  <c r="D131" i="26"/>
  <c r="F64" i="26"/>
  <c r="G64" i="26" s="1"/>
  <c r="I64" i="26" s="1"/>
  <c r="C65" i="26" s="1"/>
  <c r="A133" i="26" l="1"/>
  <c r="D132" i="26"/>
  <c r="B132" i="26"/>
  <c r="H65" i="26"/>
  <c r="J65" i="26" s="1"/>
  <c r="N43" i="18" s="1"/>
  <c r="E65" i="26"/>
  <c r="A134" i="26" l="1"/>
  <c r="B133" i="26"/>
  <c r="D133" i="26"/>
  <c r="I65" i="26"/>
  <c r="C66" i="26" s="1"/>
  <c r="F65" i="26"/>
  <c r="G65" i="26" s="1"/>
  <c r="K65" i="26" s="1"/>
  <c r="C24" i="24" s="1"/>
  <c r="C23" i="24"/>
  <c r="A135" i="26" l="1"/>
  <c r="D134" i="26"/>
  <c r="B134" i="26"/>
  <c r="H66" i="26"/>
  <c r="E66" i="26"/>
  <c r="D135" i="26" l="1"/>
  <c r="B135" i="26"/>
  <c r="A136" i="26"/>
  <c r="F66" i="26"/>
  <c r="G66" i="26" s="1"/>
  <c r="I66" i="26" s="1"/>
  <c r="C67" i="26" s="1"/>
  <c r="D136" i="26" l="1"/>
  <c r="A137" i="26"/>
  <c r="B136" i="26"/>
  <c r="H67" i="26"/>
  <c r="E67" i="26"/>
  <c r="B137" i="26" l="1"/>
  <c r="A138" i="26"/>
  <c r="D137" i="26"/>
  <c r="F67" i="26"/>
  <c r="G67" i="26" s="1"/>
  <c r="I67" i="26" s="1"/>
  <c r="C68" i="26" s="1"/>
  <c r="A139" i="26" l="1"/>
  <c r="D138" i="26"/>
  <c r="B138" i="26"/>
  <c r="H68" i="26"/>
  <c r="E68" i="26"/>
  <c r="A140" i="26" l="1"/>
  <c r="B139" i="26"/>
  <c r="D139" i="26"/>
  <c r="F68" i="26"/>
  <c r="G68" i="26" s="1"/>
  <c r="I68" i="26" s="1"/>
  <c r="C69" i="26" s="1"/>
  <c r="A141" i="26" l="1"/>
  <c r="D140" i="26"/>
  <c r="B140" i="26"/>
  <c r="H69" i="26"/>
  <c r="J69" i="26" s="1"/>
  <c r="O43" i="18" s="1"/>
  <c r="E69" i="26"/>
  <c r="D141" i="26" l="1"/>
  <c r="A142" i="26"/>
  <c r="B141" i="26"/>
  <c r="D23" i="24"/>
  <c r="F69" i="26"/>
  <c r="G69" i="26" s="1"/>
  <c r="K69" i="26" s="1"/>
  <c r="D24" i="24" s="1"/>
  <c r="I69" i="26" l="1"/>
  <c r="C70" i="26" s="1"/>
  <c r="E70" i="26" s="1"/>
  <c r="A143" i="26"/>
  <c r="D142" i="26"/>
  <c r="B142" i="26"/>
  <c r="H70" i="26" l="1"/>
  <c r="A144" i="26"/>
  <c r="D143" i="26"/>
  <c r="B143" i="26"/>
  <c r="F70" i="26"/>
  <c r="G70" i="26" l="1"/>
  <c r="I70" i="26" s="1"/>
  <c r="C71" i="26" s="1"/>
  <c r="H71" i="26" s="1"/>
  <c r="A145" i="26"/>
  <c r="D144" i="26"/>
  <c r="B144" i="26"/>
  <c r="E71" i="26" l="1"/>
  <c r="F71" i="26" s="1"/>
  <c r="G71" i="26" s="1"/>
  <c r="I71" i="26" s="1"/>
  <c r="C72" i="26" s="1"/>
  <c r="D145" i="26"/>
  <c r="B145" i="26"/>
  <c r="A146" i="26"/>
  <c r="A147" i="26" l="1"/>
  <c r="D146" i="26"/>
  <c r="B146" i="26"/>
  <c r="H72" i="26"/>
  <c r="E72" i="26"/>
  <c r="D147" i="26" l="1"/>
  <c r="A148" i="26"/>
  <c r="B147" i="26"/>
  <c r="F72" i="26"/>
  <c r="G72" i="26" s="1"/>
  <c r="I72" i="26" s="1"/>
  <c r="C73" i="26" s="1"/>
  <c r="B148" i="26" l="1"/>
  <c r="A149" i="26"/>
  <c r="D148" i="26"/>
  <c r="E73" i="26"/>
  <c r="F73" i="26" s="1"/>
  <c r="H73" i="26"/>
  <c r="J73" i="26" s="1"/>
  <c r="P43" i="18" s="1"/>
  <c r="A150" i="26" l="1"/>
  <c r="B149" i="26"/>
  <c r="D149" i="26"/>
  <c r="G73" i="26"/>
  <c r="I73" i="26" s="1"/>
  <c r="C74" i="26" s="1"/>
  <c r="E74" i="26" s="1"/>
  <c r="E23" i="24"/>
  <c r="D150" i="26" l="1"/>
  <c r="B150" i="26"/>
  <c r="A151" i="26"/>
  <c r="K73" i="26"/>
  <c r="E24" i="24" s="1"/>
  <c r="H74" i="26"/>
  <c r="F74" i="26"/>
  <c r="D151" i="26" l="1"/>
  <c r="A152" i="26"/>
  <c r="B151" i="26"/>
  <c r="G74" i="26"/>
  <c r="I74" i="26" s="1"/>
  <c r="C75" i="26" s="1"/>
  <c r="H75" i="26" s="1"/>
  <c r="E75" i="26" l="1"/>
  <c r="I75" i="26" s="1"/>
  <c r="C76" i="26" s="1"/>
  <c r="B152" i="26"/>
  <c r="A153" i="26"/>
  <c r="D152" i="26"/>
  <c r="F75" i="26" l="1"/>
  <c r="G75" i="26" s="1"/>
  <c r="B153" i="26"/>
  <c r="D153" i="26"/>
  <c r="A154" i="26"/>
  <c r="H76" i="26"/>
  <c r="E76" i="26"/>
  <c r="D154" i="26" l="1"/>
  <c r="B154" i="26"/>
  <c r="A155" i="26"/>
  <c r="F76" i="26"/>
  <c r="G76" i="26" s="1"/>
  <c r="I76" i="26" s="1"/>
  <c r="C77" i="26" s="1"/>
  <c r="A156" i="26" l="1"/>
  <c r="B155" i="26"/>
  <c r="D155" i="26"/>
  <c r="E77" i="26"/>
  <c r="H77" i="26"/>
  <c r="J77" i="26" s="1"/>
  <c r="Q43" i="18" s="1"/>
  <c r="A157" i="26" l="1"/>
  <c r="B156" i="26"/>
  <c r="D156" i="26"/>
  <c r="F77" i="26"/>
  <c r="G77" i="26" s="1"/>
  <c r="K77" i="26" s="1"/>
  <c r="F24" i="24" s="1"/>
  <c r="I77" i="26"/>
  <c r="C78" i="26" s="1"/>
  <c r="F23" i="24"/>
  <c r="A158" i="26" l="1"/>
  <c r="B157" i="26"/>
  <c r="D157" i="26"/>
  <c r="H78" i="26"/>
  <c r="E78" i="26"/>
  <c r="D158" i="26" l="1"/>
  <c r="B158" i="26"/>
  <c r="A159" i="26"/>
  <c r="I78" i="26"/>
  <c r="C79" i="26" s="1"/>
  <c r="F78" i="26"/>
  <c r="G78" i="26" s="1"/>
  <c r="A160" i="26" l="1"/>
  <c r="B159" i="26"/>
  <c r="D159" i="26"/>
  <c r="H79" i="26"/>
  <c r="E79" i="26"/>
  <c r="B160" i="26" l="1"/>
  <c r="A161" i="26"/>
  <c r="D160" i="26"/>
  <c r="F79" i="26"/>
  <c r="G79" i="26" s="1"/>
  <c r="I79" i="26"/>
  <c r="C80" i="26" s="1"/>
  <c r="A162" i="26" l="1"/>
  <c r="B161" i="26"/>
  <c r="D161" i="26"/>
  <c r="H80" i="26"/>
  <c r="E80" i="26"/>
  <c r="A163" i="26" l="1"/>
  <c r="B162" i="26"/>
  <c r="D162" i="26"/>
  <c r="I80" i="26"/>
  <c r="C81" i="26" s="1"/>
  <c r="F80" i="26"/>
  <c r="G80" i="26" s="1"/>
  <c r="A164" i="26" l="1"/>
  <c r="B163" i="26"/>
  <c r="D163" i="26"/>
  <c r="H81" i="26"/>
  <c r="J81" i="26" s="1"/>
  <c r="R43" i="18" s="1"/>
  <c r="E81" i="26"/>
  <c r="A165" i="26" l="1"/>
  <c r="B164" i="26"/>
  <c r="D164" i="26"/>
  <c r="G23" i="24"/>
  <c r="I81" i="26"/>
  <c r="C82" i="26" s="1"/>
  <c r="F81" i="26"/>
  <c r="G81" i="26" s="1"/>
  <c r="K81" i="26" s="1"/>
  <c r="G24" i="24" s="1"/>
  <c r="A166" i="26" l="1"/>
  <c r="B165" i="26"/>
  <c r="D165" i="26"/>
  <c r="H82" i="26"/>
  <c r="E82" i="26"/>
  <c r="B166" i="26" l="1"/>
  <c r="D166" i="26"/>
  <c r="A167" i="26"/>
  <c r="F82" i="26"/>
  <c r="G82" i="26" s="1"/>
  <c r="I82" i="26"/>
  <c r="C83" i="26" s="1"/>
  <c r="A168" i="26" l="1"/>
  <c r="B167" i="26"/>
  <c r="D167" i="26"/>
  <c r="H83" i="26"/>
  <c r="E83" i="26"/>
  <c r="B168" i="26" l="1"/>
  <c r="A169" i="26"/>
  <c r="D168" i="26"/>
  <c r="I83" i="26"/>
  <c r="C84" i="26" s="1"/>
  <c r="F83" i="26"/>
  <c r="G83" i="26" s="1"/>
  <c r="B169" i="26" l="1"/>
  <c r="D169" i="26"/>
  <c r="A170" i="26"/>
  <c r="H84" i="26"/>
  <c r="E84" i="26"/>
  <c r="B170" i="26" l="1"/>
  <c r="A171" i="26"/>
  <c r="D170" i="26"/>
  <c r="F84" i="26"/>
  <c r="G84" i="26" s="1"/>
  <c r="I84" i="26"/>
  <c r="C85" i="26" s="1"/>
  <c r="A172" i="26" l="1"/>
  <c r="D171" i="26"/>
  <c r="B171" i="26"/>
  <c r="H85" i="26"/>
  <c r="J85" i="26" s="1"/>
  <c r="S43" i="18" s="1"/>
  <c r="E85" i="26"/>
  <c r="D172" i="26" l="1"/>
  <c r="A173" i="26"/>
  <c r="B172" i="26"/>
  <c r="H23" i="24"/>
  <c r="I85" i="26"/>
  <c r="C86" i="26" s="1"/>
  <c r="F85" i="26"/>
  <c r="G85" i="26" s="1"/>
  <c r="K85" i="26" s="1"/>
  <c r="H24" i="24" s="1"/>
  <c r="A174" i="26" l="1"/>
  <c r="D173" i="26"/>
  <c r="B173" i="26"/>
  <c r="H86" i="26"/>
  <c r="E86" i="26"/>
  <c r="D174" i="26" l="1"/>
  <c r="A175" i="26"/>
  <c r="B174" i="26"/>
  <c r="I86" i="26"/>
  <c r="C87" i="26" s="1"/>
  <c r="F86" i="26"/>
  <c r="G86" i="26" s="1"/>
  <c r="A176" i="26" l="1"/>
  <c r="D175" i="26"/>
  <c r="B175" i="26"/>
  <c r="H87" i="26"/>
  <c r="E87" i="26"/>
  <c r="B176" i="26" l="1"/>
  <c r="D176" i="26"/>
  <c r="A177" i="26"/>
  <c r="I87" i="26"/>
  <c r="C88" i="26" s="1"/>
  <c r="F87" i="26"/>
  <c r="G87" i="26" s="1"/>
  <c r="B177" i="26" l="1"/>
  <c r="A178" i="26"/>
  <c r="D177" i="26"/>
  <c r="H88" i="26"/>
  <c r="E88" i="26"/>
  <c r="B178" i="26" l="1"/>
  <c r="D178" i="26"/>
  <c r="A179" i="26"/>
  <c r="I88" i="26"/>
  <c r="C89" i="26" s="1"/>
  <c r="F88" i="26"/>
  <c r="G88" i="26" s="1"/>
  <c r="A180" i="26" l="1"/>
  <c r="D179" i="26"/>
  <c r="B179" i="26"/>
  <c r="H89" i="26"/>
  <c r="J89" i="26" s="1"/>
  <c r="T43" i="18" s="1"/>
  <c r="E89" i="26"/>
  <c r="A181" i="26" l="1"/>
  <c r="D180" i="26"/>
  <c r="B180" i="26"/>
  <c r="I89" i="26"/>
  <c r="C90" i="26" s="1"/>
  <c r="F89" i="26"/>
  <c r="G89" i="26" s="1"/>
  <c r="K89" i="26" s="1"/>
  <c r="I24" i="24" s="1"/>
  <c r="I23" i="24"/>
  <c r="B181" i="26" l="1"/>
  <c r="A182" i="26"/>
  <c r="D181" i="26"/>
  <c r="H90" i="26"/>
  <c r="E90" i="26"/>
  <c r="B182" i="26" l="1"/>
  <c r="D182" i="26"/>
  <c r="A183" i="26"/>
  <c r="I90" i="26"/>
  <c r="C91" i="26" s="1"/>
  <c r="F90" i="26"/>
  <c r="G90" i="26" s="1"/>
  <c r="A184" i="26" l="1"/>
  <c r="D183" i="26"/>
  <c r="B183" i="26"/>
  <c r="H91" i="26"/>
  <c r="E91" i="26"/>
  <c r="D184" i="26" l="1"/>
  <c r="B184" i="26"/>
  <c r="A185" i="26"/>
  <c r="F91" i="26"/>
  <c r="G91" i="26" s="1"/>
  <c r="I91" i="26"/>
  <c r="C92" i="26" s="1"/>
  <c r="A186" i="26" l="1"/>
  <c r="B185" i="26"/>
  <c r="D185" i="26"/>
  <c r="H92" i="26"/>
  <c r="E92" i="26"/>
  <c r="A187" i="26" l="1"/>
  <c r="B186" i="26"/>
  <c r="D186" i="26"/>
  <c r="I92" i="26"/>
  <c r="C93" i="26" s="1"/>
  <c r="F92" i="26"/>
  <c r="G92" i="26" s="1"/>
  <c r="A188" i="26" l="1"/>
  <c r="B187" i="26"/>
  <c r="D187" i="26"/>
  <c r="H93" i="26"/>
  <c r="J93" i="26" s="1"/>
  <c r="U43" i="18" s="1"/>
  <c r="E93" i="26"/>
  <c r="D188" i="26" l="1"/>
  <c r="B188" i="26"/>
  <c r="A189" i="26"/>
  <c r="F93" i="26"/>
  <c r="G93" i="26" s="1"/>
  <c r="K93" i="26" s="1"/>
  <c r="J24" i="24" s="1"/>
  <c r="I93" i="26"/>
  <c r="C94" i="26" s="1"/>
  <c r="J23" i="24"/>
  <c r="A190" i="26" l="1"/>
  <c r="D189" i="26"/>
  <c r="B189" i="26"/>
  <c r="H94" i="26"/>
  <c r="E94" i="26"/>
  <c r="A191" i="26" l="1"/>
  <c r="D190" i="26"/>
  <c r="B190" i="26"/>
  <c r="F94" i="26"/>
  <c r="G94" i="26" s="1"/>
  <c r="I94" i="26"/>
  <c r="C95" i="26" s="1"/>
  <c r="B191" i="26" l="1"/>
  <c r="A192" i="26"/>
  <c r="D191" i="26"/>
  <c r="H95" i="26"/>
  <c r="E95" i="26"/>
  <c r="B192" i="26" l="1"/>
  <c r="D192" i="26"/>
  <c r="A193" i="26"/>
  <c r="I95" i="26"/>
  <c r="C96" i="26" s="1"/>
  <c r="F95" i="26"/>
  <c r="G95" i="26" s="1"/>
  <c r="D193" i="26" l="1"/>
  <c r="A194" i="26"/>
  <c r="B193" i="26"/>
  <c r="H96" i="26"/>
  <c r="E96" i="26"/>
  <c r="A195" i="26" l="1"/>
  <c r="B194" i="26"/>
  <c r="D194" i="26"/>
  <c r="I96" i="26"/>
  <c r="C97" i="26" s="1"/>
  <c r="F96" i="26"/>
  <c r="G96" i="26" s="1"/>
  <c r="D195" i="26" l="1"/>
  <c r="A196" i="26"/>
  <c r="B195" i="26"/>
  <c r="H97" i="26"/>
  <c r="J97" i="26" s="1"/>
  <c r="V43" i="18" s="1"/>
  <c r="E97" i="26"/>
  <c r="A197" i="26" l="1"/>
  <c r="D196" i="26"/>
  <c r="B196" i="26"/>
  <c r="F97" i="26"/>
  <c r="G97" i="26" s="1"/>
  <c r="K97" i="26" s="1"/>
  <c r="K24" i="24" s="1"/>
  <c r="I97" i="26"/>
  <c r="C98" i="26" s="1"/>
  <c r="K23" i="24"/>
  <c r="D197" i="26" l="1"/>
  <c r="B197" i="26"/>
  <c r="A198" i="26"/>
  <c r="H98" i="26"/>
  <c r="E98" i="26"/>
  <c r="A199" i="26" l="1"/>
  <c r="D198" i="26"/>
  <c r="B198" i="26"/>
  <c r="F98" i="26"/>
  <c r="G98" i="26" s="1"/>
  <c r="I98" i="26"/>
  <c r="C99" i="26" s="1"/>
  <c r="A200" i="26" l="1"/>
  <c r="B199" i="26"/>
  <c r="D199" i="26"/>
  <c r="H99" i="26"/>
  <c r="E99" i="26"/>
  <c r="B200" i="26" l="1"/>
  <c r="A201" i="26"/>
  <c r="D200" i="26"/>
  <c r="F99" i="26"/>
  <c r="G99" i="26" s="1"/>
  <c r="I99" i="26"/>
  <c r="C100" i="26" s="1"/>
  <c r="A202" i="26" l="1"/>
  <c r="D201" i="26"/>
  <c r="B201" i="26"/>
  <c r="H100" i="26"/>
  <c r="E100" i="26"/>
  <c r="B202" i="26" l="1"/>
  <c r="A203" i="26"/>
  <c r="D202" i="26"/>
  <c r="F100" i="26"/>
  <c r="G100" i="26" s="1"/>
  <c r="I100" i="26"/>
  <c r="C101" i="26" s="1"/>
  <c r="A204" i="26" l="1"/>
  <c r="B203" i="26"/>
  <c r="D203" i="26"/>
  <c r="H101" i="26"/>
  <c r="J101" i="26" s="1"/>
  <c r="W43" i="18" s="1"/>
  <c r="E101" i="26"/>
  <c r="D204" i="26" l="1"/>
  <c r="B204" i="26"/>
  <c r="A205" i="26"/>
  <c r="F101" i="26"/>
  <c r="G101" i="26" s="1"/>
  <c r="K101" i="26" s="1"/>
  <c r="B39" i="24" s="1"/>
  <c r="I101" i="26"/>
  <c r="C102" i="26" s="1"/>
  <c r="B38" i="24"/>
  <c r="B205" i="26" l="1"/>
  <c r="A206" i="26"/>
  <c r="D205" i="26"/>
  <c r="H102" i="26"/>
  <c r="E102" i="26"/>
  <c r="A207" i="26" l="1"/>
  <c r="D206" i="26"/>
  <c r="B206" i="26"/>
  <c r="F102" i="26"/>
  <c r="G102" i="26" s="1"/>
  <c r="I102" i="26"/>
  <c r="C103" i="26" s="1"/>
  <c r="B207" i="26" l="1"/>
  <c r="A208" i="26"/>
  <c r="D207" i="26"/>
  <c r="H103" i="26"/>
  <c r="E103" i="26"/>
  <c r="A209" i="26" l="1"/>
  <c r="D208" i="26"/>
  <c r="B208" i="26"/>
  <c r="F103" i="26"/>
  <c r="G103" i="26" s="1"/>
  <c r="I103" i="26"/>
  <c r="C104" i="26" s="1"/>
  <c r="B209" i="26" l="1"/>
  <c r="A210" i="26"/>
  <c r="D209" i="26"/>
  <c r="H104" i="26"/>
  <c r="E104" i="26"/>
  <c r="A211" i="26" l="1"/>
  <c r="D210" i="26"/>
  <c r="B210" i="26"/>
  <c r="I104" i="26"/>
  <c r="C105" i="26" s="1"/>
  <c r="F104" i="26"/>
  <c r="G104" i="26" s="1"/>
  <c r="A212" i="26" l="1"/>
  <c r="B211" i="26"/>
  <c r="D211" i="26"/>
  <c r="E105" i="26"/>
  <c r="H105" i="26"/>
  <c r="J105" i="26" s="1"/>
  <c r="X43" i="18" s="1"/>
  <c r="A213" i="26" l="1"/>
  <c r="D212" i="26"/>
  <c r="B212" i="26"/>
  <c r="I105" i="26"/>
  <c r="C106" i="26" s="1"/>
  <c r="F105" i="26"/>
  <c r="G105" i="26" s="1"/>
  <c r="K105" i="26" s="1"/>
  <c r="C39" i="24" s="1"/>
  <c r="C38" i="24"/>
  <c r="A214" i="26" l="1"/>
  <c r="B213" i="26"/>
  <c r="D213" i="26"/>
  <c r="H106" i="26"/>
  <c r="E106" i="26"/>
  <c r="B214" i="26" l="1"/>
  <c r="D214" i="26"/>
  <c r="A215" i="26"/>
  <c r="I106" i="26"/>
  <c r="C107" i="26" s="1"/>
  <c r="F106" i="26"/>
  <c r="G106" i="26" s="1"/>
  <c r="A216" i="26" l="1"/>
  <c r="B215" i="26"/>
  <c r="D215" i="26"/>
  <c r="E107" i="26"/>
  <c r="H107" i="26"/>
  <c r="A217" i="26" l="1"/>
  <c r="B216" i="26"/>
  <c r="D216" i="26"/>
  <c r="F107" i="26"/>
  <c r="G107" i="26" s="1"/>
  <c r="I107" i="26"/>
  <c r="C108" i="26" s="1"/>
  <c r="A218" i="26" l="1"/>
  <c r="D217" i="26"/>
  <c r="B217" i="26"/>
  <c r="H108" i="26"/>
  <c r="E108" i="26"/>
  <c r="D218" i="26" l="1"/>
  <c r="A219" i="26"/>
  <c r="B218" i="26"/>
  <c r="I108" i="26"/>
  <c r="C109" i="26" s="1"/>
  <c r="F108" i="26"/>
  <c r="G108" i="26" s="1"/>
  <c r="D219" i="26" l="1"/>
  <c r="A220" i="26"/>
  <c r="B219" i="26"/>
  <c r="H109" i="26"/>
  <c r="J109" i="26" s="1"/>
  <c r="Y43" i="18" s="1"/>
  <c r="E109" i="26"/>
  <c r="A221" i="26" l="1"/>
  <c r="B220" i="26"/>
  <c r="D220" i="26"/>
  <c r="D38" i="24"/>
  <c r="F109" i="26"/>
  <c r="G109" i="26" s="1"/>
  <c r="K109" i="26" s="1"/>
  <c r="D39" i="24" s="1"/>
  <c r="I109" i="26"/>
  <c r="C110" i="26" s="1"/>
  <c r="A222" i="26" l="1"/>
  <c r="B221" i="26"/>
  <c r="D221" i="26"/>
  <c r="H110" i="26"/>
  <c r="E110" i="26"/>
  <c r="D222" i="26" l="1"/>
  <c r="B222" i="26"/>
  <c r="A223" i="26"/>
  <c r="I110" i="26"/>
  <c r="C111" i="26" s="1"/>
  <c r="F110" i="26"/>
  <c r="G110" i="26" s="1"/>
  <c r="B223" i="26" l="1"/>
  <c r="A224" i="26"/>
  <c r="D223" i="26"/>
  <c r="H111" i="26"/>
  <c r="E111" i="26"/>
  <c r="A225" i="26" l="1"/>
  <c r="D224" i="26"/>
  <c r="B224" i="26"/>
  <c r="F111" i="26"/>
  <c r="G111" i="26" s="1"/>
  <c r="I111" i="26"/>
  <c r="C112" i="26" s="1"/>
  <c r="A226" i="26" l="1"/>
  <c r="B225" i="26"/>
  <c r="D225" i="26"/>
  <c r="H112" i="26"/>
  <c r="E112" i="26"/>
  <c r="B226" i="26" l="1"/>
  <c r="A227" i="26"/>
  <c r="D226" i="26"/>
  <c r="I112" i="26"/>
  <c r="C113" i="26" s="1"/>
  <c r="F112" i="26"/>
  <c r="G112" i="26" s="1"/>
  <c r="A228" i="26" l="1"/>
  <c r="B227" i="26"/>
  <c r="D227" i="26"/>
  <c r="H113" i="26"/>
  <c r="J113" i="26" s="1"/>
  <c r="Z43" i="18" s="1"/>
  <c r="E113" i="26"/>
  <c r="A229" i="26" l="1"/>
  <c r="D228" i="26"/>
  <c r="B228" i="26"/>
  <c r="E38" i="24"/>
  <c r="F113" i="26"/>
  <c r="G113" i="26" s="1"/>
  <c r="K113" i="26" s="1"/>
  <c r="E39" i="24" s="1"/>
  <c r="I113" i="26"/>
  <c r="C114" i="26" s="1"/>
  <c r="A230" i="26" l="1"/>
  <c r="B229" i="26"/>
  <c r="D229" i="26"/>
  <c r="H114" i="26"/>
  <c r="E114" i="26"/>
  <c r="B230" i="26" l="1"/>
  <c r="D230" i="26"/>
  <c r="A231" i="26"/>
  <c r="F114" i="26"/>
  <c r="G114" i="26" s="1"/>
  <c r="I114" i="26"/>
  <c r="C115" i="26" s="1"/>
  <c r="A232" i="26" l="1"/>
  <c r="D231" i="26"/>
  <c r="B231" i="26"/>
  <c r="H115" i="26"/>
  <c r="E115" i="26"/>
  <c r="D232" i="26" l="1"/>
  <c r="A233" i="26"/>
  <c r="B232" i="26"/>
  <c r="F115" i="26"/>
  <c r="G115" i="26" s="1"/>
  <c r="I115" i="26"/>
  <c r="C116" i="26" s="1"/>
  <c r="A234" i="26" l="1"/>
  <c r="D233" i="26"/>
  <c r="B233" i="26"/>
  <c r="H116" i="26"/>
  <c r="E116" i="26"/>
  <c r="B234" i="26" l="1"/>
  <c r="A235" i="26"/>
  <c r="D234" i="26"/>
  <c r="I116" i="26"/>
  <c r="C117" i="26" s="1"/>
  <c r="F116" i="26"/>
  <c r="G116" i="26" s="1"/>
  <c r="A236" i="26" l="1"/>
  <c r="D235" i="26"/>
  <c r="B235" i="26"/>
  <c r="E117" i="26"/>
  <c r="H117" i="26"/>
  <c r="J117" i="26" s="1"/>
  <c r="AA43" i="18" s="1"/>
  <c r="B236" i="26" l="1"/>
  <c r="A237" i="26"/>
  <c r="D236" i="26"/>
  <c r="I117" i="26"/>
  <c r="C118" i="26" s="1"/>
  <c r="F117" i="26"/>
  <c r="G117" i="26" s="1"/>
  <c r="K117" i="26" s="1"/>
  <c r="F39" i="24" s="1"/>
  <c r="F38" i="24"/>
  <c r="A238" i="26" l="1"/>
  <c r="D237" i="26"/>
  <c r="B237" i="26"/>
  <c r="H118" i="26"/>
  <c r="E118" i="26"/>
  <c r="D238" i="26" l="1"/>
  <c r="B238" i="26"/>
  <c r="A239" i="26"/>
  <c r="F118" i="26"/>
  <c r="G118" i="26" s="1"/>
  <c r="I118" i="26"/>
  <c r="C119" i="26" s="1"/>
  <c r="A240" i="26" l="1"/>
  <c r="B239" i="26"/>
  <c r="D239" i="26"/>
  <c r="H119" i="26"/>
  <c r="E119" i="26"/>
  <c r="A241" i="26" l="1"/>
  <c r="B240" i="26"/>
  <c r="D240" i="26"/>
  <c r="I119" i="26"/>
  <c r="C120" i="26" s="1"/>
  <c r="F119" i="26"/>
  <c r="G119" i="26" s="1"/>
  <c r="A242" i="26" l="1"/>
  <c r="D241" i="26"/>
  <c r="B241" i="26"/>
  <c r="H120" i="26"/>
  <c r="E120" i="26"/>
  <c r="B242" i="26" l="1"/>
  <c r="A243" i="26"/>
  <c r="D242" i="26"/>
  <c r="I120" i="26"/>
  <c r="C121" i="26" s="1"/>
  <c r="F120" i="26"/>
  <c r="G120" i="26" s="1"/>
  <c r="D243" i="26" l="1"/>
  <c r="A244" i="26"/>
  <c r="B243" i="26"/>
  <c r="H121" i="26"/>
  <c r="J121" i="26" s="1"/>
  <c r="E121" i="26"/>
  <c r="A245" i="26" l="1"/>
  <c r="D244" i="26"/>
  <c r="B244" i="26"/>
  <c r="I121" i="26"/>
  <c r="C122" i="26" s="1"/>
  <c r="F121" i="26"/>
  <c r="G121" i="26" s="1"/>
  <c r="K121" i="26" s="1"/>
  <c r="A246" i="26" l="1"/>
  <c r="B245" i="26"/>
  <c r="D245" i="26"/>
  <c r="E122" i="26"/>
  <c r="H122" i="26"/>
  <c r="A247" i="26" l="1"/>
  <c r="D246" i="26"/>
  <c r="B246" i="26"/>
  <c r="I122" i="26"/>
  <c r="C123" i="26" s="1"/>
  <c r="F122" i="26"/>
  <c r="G122" i="26" s="1"/>
  <c r="A248" i="26" l="1"/>
  <c r="B247" i="26"/>
  <c r="D247" i="26"/>
  <c r="H123" i="26"/>
  <c r="E123" i="26"/>
  <c r="D248" i="26" l="1"/>
  <c r="B248" i="26"/>
  <c r="A249" i="26"/>
  <c r="I123" i="26"/>
  <c r="C124" i="26" s="1"/>
  <c r="F123" i="26"/>
  <c r="G123" i="26" s="1"/>
  <c r="D249" i="26" l="1"/>
  <c r="A250" i="26"/>
  <c r="B249" i="26"/>
  <c r="H124" i="26"/>
  <c r="E124" i="26"/>
  <c r="A251" i="26" l="1"/>
  <c r="D250" i="26"/>
  <c r="B250" i="26"/>
  <c r="I124" i="26"/>
  <c r="C125" i="26" s="1"/>
  <c r="F124" i="26"/>
  <c r="G124" i="26" s="1"/>
  <c r="D251" i="26" l="1"/>
  <c r="A252" i="26"/>
  <c r="B251" i="26"/>
  <c r="H125" i="26"/>
  <c r="J125" i="26" s="1"/>
  <c r="E125" i="26"/>
  <c r="A253" i="26" l="1"/>
  <c r="B252" i="26"/>
  <c r="D252" i="26"/>
  <c r="I125" i="26"/>
  <c r="C126" i="26" s="1"/>
  <c r="F125" i="26"/>
  <c r="G125" i="26" s="1"/>
  <c r="K125" i="26" s="1"/>
  <c r="A254" i="26" l="1"/>
  <c r="D253" i="26"/>
  <c r="B253" i="26"/>
  <c r="E126" i="26"/>
  <c r="H126" i="26"/>
  <c r="A255" i="26" l="1"/>
  <c r="B254" i="26"/>
  <c r="D254" i="26"/>
  <c r="F126" i="26"/>
  <c r="G126" i="26" s="1"/>
  <c r="I126" i="26"/>
  <c r="C127" i="26" s="1"/>
  <c r="A256" i="26" l="1"/>
  <c r="B255" i="26"/>
  <c r="D255" i="26"/>
  <c r="H127" i="26"/>
  <c r="E127" i="26"/>
  <c r="A257" i="26" l="1"/>
  <c r="B256" i="26"/>
  <c r="D256" i="26"/>
  <c r="I127" i="26"/>
  <c r="C128" i="26" s="1"/>
  <c r="F127" i="26"/>
  <c r="G127" i="26" s="1"/>
  <c r="D257" i="26" l="1"/>
  <c r="A258" i="26"/>
  <c r="B257" i="26"/>
  <c r="E128" i="26"/>
  <c r="H128" i="26"/>
  <c r="D258" i="26" l="1"/>
  <c r="A259" i="26"/>
  <c r="B258" i="26"/>
  <c r="F128" i="26"/>
  <c r="G128" i="26" s="1"/>
  <c r="I128" i="26"/>
  <c r="C129" i="26" s="1"/>
  <c r="A260" i="26" l="1"/>
  <c r="D259" i="26"/>
  <c r="B259" i="26"/>
  <c r="E129" i="26"/>
  <c r="H129" i="26"/>
  <c r="J129" i="26" s="1"/>
  <c r="B260" i="26" l="1"/>
  <c r="D260" i="26"/>
  <c r="A261" i="26"/>
  <c r="I129" i="26"/>
  <c r="C130" i="26" s="1"/>
  <c r="F129" i="26"/>
  <c r="G129" i="26" s="1"/>
  <c r="K129" i="26" s="1"/>
  <c r="B261" i="26" l="1"/>
  <c r="A262" i="26"/>
  <c r="D261" i="26"/>
  <c r="H130" i="26"/>
  <c r="E130" i="26"/>
  <c r="B262" i="26" l="1"/>
  <c r="A263" i="26"/>
  <c r="D262" i="26"/>
  <c r="F130" i="26"/>
  <c r="G130" i="26" s="1"/>
  <c r="I130" i="26"/>
  <c r="C131" i="26" s="1"/>
  <c r="A264" i="26" l="1"/>
  <c r="B263" i="26"/>
  <c r="D263" i="26"/>
  <c r="E131" i="26"/>
  <c r="H131" i="26"/>
  <c r="B264" i="26" l="1"/>
  <c r="D264" i="26"/>
  <c r="A265" i="26"/>
  <c r="I131" i="26"/>
  <c r="C132" i="26" s="1"/>
  <c r="F131" i="26"/>
  <c r="G131" i="26" s="1"/>
  <c r="A266" i="26" l="1"/>
  <c r="D265" i="26"/>
  <c r="B265" i="26"/>
  <c r="H132" i="26"/>
  <c r="E132" i="26"/>
  <c r="A267" i="26" l="1"/>
  <c r="D266" i="26"/>
  <c r="B266" i="26"/>
  <c r="I132" i="26"/>
  <c r="C133" i="26" s="1"/>
  <c r="F132" i="26"/>
  <c r="G132" i="26" s="1"/>
  <c r="A268" i="26" l="1"/>
  <c r="D267" i="26"/>
  <c r="B267" i="26"/>
  <c r="E133" i="26"/>
  <c r="H133" i="26"/>
  <c r="J133" i="26" s="1"/>
  <c r="B268" i="26" l="1"/>
  <c r="D268" i="26"/>
  <c r="A269" i="26"/>
  <c r="I133" i="26"/>
  <c r="C134" i="26" s="1"/>
  <c r="F133" i="26"/>
  <c r="G133" i="26" s="1"/>
  <c r="K133" i="26" s="1"/>
  <c r="B269" i="26" l="1"/>
  <c r="D269" i="26"/>
  <c r="A270" i="26"/>
  <c r="H134" i="26"/>
  <c r="E134" i="26"/>
  <c r="A271" i="26" l="1"/>
  <c r="D270" i="26"/>
  <c r="B270" i="26"/>
  <c r="I134" i="26"/>
  <c r="C135" i="26" s="1"/>
  <c r="F134" i="26"/>
  <c r="G134" i="26" s="1"/>
  <c r="A272" i="26" l="1"/>
  <c r="D271" i="26"/>
  <c r="B271" i="26"/>
  <c r="E135" i="26"/>
  <c r="H135" i="26"/>
  <c r="B272" i="26" l="1"/>
  <c r="A273" i="26"/>
  <c r="D272" i="26"/>
  <c r="F135" i="26"/>
  <c r="G135" i="26" s="1"/>
  <c r="I135" i="26"/>
  <c r="C136" i="26" s="1"/>
  <c r="B273" i="26" l="1"/>
  <c r="A274" i="26"/>
  <c r="D273" i="26"/>
  <c r="H136" i="26"/>
  <c r="E136" i="26"/>
  <c r="A275" i="26" l="1"/>
  <c r="B274" i="26"/>
  <c r="D274" i="26"/>
  <c r="I136" i="26"/>
  <c r="C137" i="26" s="1"/>
  <c r="F136" i="26"/>
  <c r="G136" i="26" s="1"/>
  <c r="A276" i="26" l="1"/>
  <c r="D275" i="26"/>
  <c r="B275" i="26"/>
  <c r="H137" i="26"/>
  <c r="J137" i="26" s="1"/>
  <c r="E137" i="26"/>
  <c r="D276" i="26" l="1"/>
  <c r="B276" i="26"/>
  <c r="A277" i="26"/>
  <c r="I137" i="26"/>
  <c r="C138" i="26" s="1"/>
  <c r="F137" i="26"/>
  <c r="G137" i="26" s="1"/>
  <c r="K137" i="26" s="1"/>
  <c r="B277" i="26" l="1"/>
  <c r="D277" i="26"/>
  <c r="A278" i="26"/>
  <c r="H138" i="26"/>
  <c r="E138" i="26"/>
  <c r="B278" i="26" l="1"/>
  <c r="D278" i="26"/>
  <c r="A279" i="26"/>
  <c r="I138" i="26"/>
  <c r="C139" i="26" s="1"/>
  <c r="F138" i="26"/>
  <c r="G138" i="26" s="1"/>
  <c r="A280" i="26" l="1"/>
  <c r="D279" i="26"/>
  <c r="B279" i="26"/>
  <c r="E139" i="26"/>
  <c r="H139" i="26"/>
  <c r="B280" i="26" l="1"/>
  <c r="A281" i="26"/>
  <c r="D280" i="26"/>
  <c r="I139" i="26"/>
  <c r="C140" i="26" s="1"/>
  <c r="F139" i="26"/>
  <c r="G139" i="26" s="1"/>
  <c r="D281" i="26" l="1"/>
  <c r="A282" i="26"/>
  <c r="B281" i="26"/>
  <c r="H140" i="26"/>
  <c r="E140" i="26"/>
  <c r="D282" i="26" l="1"/>
  <c r="B282" i="26"/>
  <c r="A283" i="26"/>
  <c r="I140" i="26"/>
  <c r="C141" i="26" s="1"/>
  <c r="F140" i="26"/>
  <c r="G140" i="26" s="1"/>
  <c r="D283" i="26" l="1"/>
  <c r="A284" i="26"/>
  <c r="B283" i="26"/>
  <c r="H141" i="26"/>
  <c r="E141" i="26"/>
  <c r="B284" i="26" l="1"/>
  <c r="D284" i="26"/>
  <c r="A285" i="26"/>
  <c r="F141" i="26"/>
  <c r="G141" i="26" s="1"/>
  <c r="K141" i="26" s="1"/>
  <c r="I141" i="26"/>
  <c r="C142" i="26" s="1"/>
  <c r="B285" i="26" l="1"/>
  <c r="A286" i="26"/>
  <c r="D285" i="26"/>
  <c r="E142" i="26"/>
  <c r="H142" i="26"/>
  <c r="D286" i="26" l="1"/>
  <c r="B286" i="26"/>
  <c r="A287" i="26"/>
  <c r="I142" i="26"/>
  <c r="C143" i="26" s="1"/>
  <c r="F142" i="26"/>
  <c r="G142" i="26" s="1"/>
  <c r="B287" i="26" l="1"/>
  <c r="A288" i="26"/>
  <c r="D287" i="26"/>
  <c r="E143" i="26"/>
  <c r="H143" i="26"/>
  <c r="D288" i="26" l="1"/>
  <c r="A289" i="26"/>
  <c r="B288" i="26"/>
  <c r="F143" i="26"/>
  <c r="G143" i="26" s="1"/>
  <c r="I143" i="26"/>
  <c r="C144" i="26" s="1"/>
  <c r="D289" i="26" l="1"/>
  <c r="B289" i="26"/>
  <c r="A290" i="26"/>
  <c r="E144" i="26"/>
  <c r="H144" i="26"/>
  <c r="A291" i="26" l="1"/>
  <c r="D290" i="26"/>
  <c r="B290" i="26"/>
  <c r="I144" i="26"/>
  <c r="C145" i="26" s="1"/>
  <c r="F144" i="26"/>
  <c r="G144" i="26" s="1"/>
  <c r="B291" i="26" l="1"/>
  <c r="D291" i="26"/>
  <c r="A292" i="26"/>
  <c r="H145" i="26"/>
  <c r="E145" i="26"/>
  <c r="D292" i="26" l="1"/>
  <c r="B292" i="26"/>
  <c r="A293" i="26"/>
  <c r="F145" i="26"/>
  <c r="G145" i="26" s="1"/>
  <c r="I145" i="26"/>
  <c r="C146" i="26" s="1"/>
  <c r="B293" i="26" l="1"/>
  <c r="A294" i="26"/>
  <c r="D293" i="26"/>
  <c r="E146" i="26"/>
  <c r="H146" i="26"/>
  <c r="A295" i="26" l="1"/>
  <c r="B294" i="26"/>
  <c r="D294" i="26"/>
  <c r="F146" i="26"/>
  <c r="G146" i="26" s="1"/>
  <c r="I146" i="26"/>
  <c r="C147" i="26" s="1"/>
  <c r="D295" i="26" l="1"/>
  <c r="B295" i="26"/>
  <c r="A296" i="26"/>
  <c r="H147" i="26"/>
  <c r="E147" i="26"/>
  <c r="A297" i="26" l="1"/>
  <c r="D296" i="26"/>
  <c r="B296" i="26"/>
  <c r="F147" i="26"/>
  <c r="G147" i="26" s="1"/>
  <c r="I147" i="26"/>
  <c r="C148" i="26" s="1"/>
  <c r="B297" i="26" l="1"/>
  <c r="D297" i="26"/>
  <c r="A298" i="26"/>
  <c r="H148" i="26"/>
  <c r="E148" i="26"/>
  <c r="A299" i="26" l="1"/>
  <c r="D298" i="26"/>
  <c r="B298" i="26"/>
  <c r="I148" i="26"/>
  <c r="C149" i="26" s="1"/>
  <c r="F148" i="26"/>
  <c r="G148" i="26" s="1"/>
  <c r="A300" i="26" l="1"/>
  <c r="D299" i="26"/>
  <c r="B299" i="26"/>
  <c r="E149" i="26"/>
  <c r="H149" i="26"/>
  <c r="A301" i="26" l="1"/>
  <c r="D300" i="26"/>
  <c r="B300" i="26"/>
  <c r="I149" i="26"/>
  <c r="C150" i="26" s="1"/>
  <c r="F149" i="26"/>
  <c r="G149" i="26" s="1"/>
  <c r="B301" i="26" l="1"/>
  <c r="D301" i="26"/>
  <c r="A302" i="26"/>
  <c r="H150" i="26"/>
  <c r="E150" i="26"/>
  <c r="B302" i="26" l="1"/>
  <c r="A303" i="26"/>
  <c r="D302" i="26"/>
  <c r="I150" i="26"/>
  <c r="C151" i="26" s="1"/>
  <c r="F150" i="26"/>
  <c r="G150" i="26" s="1"/>
  <c r="A304" i="26" l="1"/>
  <c r="D303" i="26"/>
  <c r="B303" i="26"/>
  <c r="H151" i="26"/>
  <c r="E151" i="26"/>
  <c r="B304" i="26" l="1"/>
  <c r="A305" i="26"/>
  <c r="D304" i="26"/>
  <c r="F151" i="26"/>
  <c r="G151" i="26" s="1"/>
  <c r="I151" i="26"/>
  <c r="C152" i="26" s="1"/>
  <c r="A306" i="26" l="1"/>
  <c r="D305" i="26"/>
  <c r="B305" i="26"/>
  <c r="H152" i="26"/>
  <c r="E152" i="26"/>
  <c r="B306" i="26" l="1"/>
  <c r="A307" i="26"/>
  <c r="D306" i="26"/>
  <c r="I152" i="26"/>
  <c r="C153" i="26" s="1"/>
  <c r="F152" i="26"/>
  <c r="G152" i="26" s="1"/>
  <c r="A308" i="26" l="1"/>
  <c r="D307" i="26"/>
  <c r="B307" i="26"/>
  <c r="H153" i="26"/>
  <c r="E153" i="26"/>
  <c r="B308" i="26" l="1"/>
  <c r="A309" i="26"/>
  <c r="D308" i="26"/>
  <c r="I153" i="26"/>
  <c r="C154" i="26" s="1"/>
  <c r="F153" i="26"/>
  <c r="G153" i="26" s="1"/>
  <c r="A310" i="26" l="1"/>
  <c r="D309" i="26"/>
  <c r="B309" i="26"/>
  <c r="E154" i="26"/>
  <c r="H154" i="26"/>
  <c r="A311" i="26" l="1"/>
  <c r="D310" i="26"/>
  <c r="B310" i="26"/>
  <c r="F154" i="26"/>
  <c r="G154" i="26" s="1"/>
  <c r="I154" i="26"/>
  <c r="C155" i="26" s="1"/>
  <c r="A312" i="26" l="1"/>
  <c r="D311" i="26"/>
  <c r="B311" i="26"/>
  <c r="E155" i="26"/>
  <c r="H155" i="26"/>
  <c r="D312" i="26" l="1"/>
  <c r="B312" i="26"/>
  <c r="A313" i="26"/>
  <c r="F155" i="26"/>
  <c r="G155" i="26" s="1"/>
  <c r="I155" i="26"/>
  <c r="C156" i="26" s="1"/>
  <c r="A314" i="26" l="1"/>
  <c r="D313" i="26"/>
  <c r="B313" i="26"/>
  <c r="E156" i="26"/>
  <c r="H156" i="26"/>
  <c r="A315" i="26" l="1"/>
  <c r="D314" i="26"/>
  <c r="B314" i="26"/>
  <c r="I156" i="26"/>
  <c r="C157" i="26" s="1"/>
  <c r="F156" i="26"/>
  <c r="G156" i="26" s="1"/>
  <c r="A316" i="26" l="1"/>
  <c r="D315" i="26"/>
  <c r="B315" i="26"/>
  <c r="E157" i="26"/>
  <c r="H157" i="26"/>
  <c r="A317" i="26" l="1"/>
  <c r="D316" i="26"/>
  <c r="B316" i="26"/>
  <c r="F157" i="26"/>
  <c r="G157" i="26" s="1"/>
  <c r="I157" i="26"/>
  <c r="C158" i="26" s="1"/>
  <c r="D317" i="26" l="1"/>
  <c r="B317" i="26"/>
  <c r="A318" i="26"/>
  <c r="H158" i="26"/>
  <c r="E158" i="26"/>
  <c r="A319" i="26" l="1"/>
  <c r="B318" i="26"/>
  <c r="D318" i="26"/>
  <c r="I158" i="26"/>
  <c r="C159" i="26" s="1"/>
  <c r="F158" i="26"/>
  <c r="G158" i="26" s="1"/>
  <c r="B319" i="26" l="1"/>
  <c r="D319" i="26"/>
  <c r="A320" i="26"/>
  <c r="H159" i="26"/>
  <c r="E159" i="26"/>
  <c r="D320" i="26" l="1"/>
  <c r="B320" i="26"/>
  <c r="A321" i="26"/>
  <c r="F159" i="26"/>
  <c r="G159" i="26" s="1"/>
  <c r="I159" i="26"/>
  <c r="C160" i="26" s="1"/>
  <c r="A322" i="26" l="1"/>
  <c r="D321" i="26"/>
  <c r="B321" i="26"/>
  <c r="H160" i="26"/>
  <c r="E160" i="26"/>
  <c r="B322" i="26" l="1"/>
  <c r="D322" i="26"/>
  <c r="A323" i="26"/>
  <c r="F160" i="26"/>
  <c r="G160" i="26" s="1"/>
  <c r="I160" i="26"/>
  <c r="C161" i="26" s="1"/>
  <c r="A324" i="26" l="1"/>
  <c r="D323" i="26"/>
  <c r="B323" i="26"/>
  <c r="H161" i="26"/>
  <c r="E161" i="26"/>
  <c r="B324" i="26" l="1"/>
  <c r="A325" i="26"/>
  <c r="D324" i="26"/>
  <c r="F161" i="26"/>
  <c r="G161" i="26" s="1"/>
  <c r="I161" i="26"/>
  <c r="C162" i="26" s="1"/>
  <c r="A326" i="26" l="1"/>
  <c r="D325" i="26"/>
  <c r="B325" i="26"/>
  <c r="H162" i="26"/>
  <c r="E162" i="26"/>
  <c r="B326" i="26" l="1"/>
  <c r="A327" i="26"/>
  <c r="D326" i="26"/>
  <c r="F162" i="26"/>
  <c r="G162" i="26" s="1"/>
  <c r="I162" i="26"/>
  <c r="C163" i="26" s="1"/>
  <c r="D327" i="26" l="1"/>
  <c r="B327" i="26"/>
  <c r="A328" i="26"/>
  <c r="E163" i="26"/>
  <c r="H163" i="26"/>
  <c r="B328" i="26" l="1"/>
  <c r="A329" i="26"/>
  <c r="D328" i="26"/>
  <c r="I163" i="26"/>
  <c r="C164" i="26" s="1"/>
  <c r="F163" i="26"/>
  <c r="G163" i="26" s="1"/>
  <c r="A330" i="26" l="1"/>
  <c r="D329" i="26"/>
  <c r="B329" i="26"/>
  <c r="H164" i="26"/>
  <c r="E164" i="26"/>
  <c r="B330" i="26" l="1"/>
  <c r="A331" i="26"/>
  <c r="D330" i="26"/>
  <c r="I164" i="26"/>
  <c r="C165" i="26" s="1"/>
  <c r="F164" i="26"/>
  <c r="G164" i="26" s="1"/>
  <c r="B331" i="26" l="1"/>
  <c r="A332" i="26"/>
  <c r="D331" i="26"/>
  <c r="H165" i="26"/>
  <c r="E165" i="26"/>
  <c r="A333" i="26" l="1"/>
  <c r="D332" i="26"/>
  <c r="B332" i="26"/>
  <c r="F165" i="26"/>
  <c r="G165" i="26" s="1"/>
  <c r="I165" i="26"/>
  <c r="C166" i="26" s="1"/>
  <c r="A334" i="26" l="1"/>
  <c r="D333" i="26"/>
  <c r="B333" i="26"/>
  <c r="H166" i="26"/>
  <c r="E166" i="26"/>
  <c r="A335" i="26" l="1"/>
  <c r="D334" i="26"/>
  <c r="B334" i="26"/>
  <c r="F166" i="26"/>
  <c r="G166" i="26" s="1"/>
  <c r="I166" i="26"/>
  <c r="C167" i="26" s="1"/>
  <c r="B335" i="26" l="1"/>
  <c r="A336" i="26"/>
  <c r="D335" i="26"/>
  <c r="E167" i="26"/>
  <c r="H167" i="26"/>
  <c r="A337" i="26" l="1"/>
  <c r="D336" i="26"/>
  <c r="B336" i="26"/>
  <c r="I167" i="26"/>
  <c r="C168" i="26" s="1"/>
  <c r="F167" i="26"/>
  <c r="G167" i="26" s="1"/>
  <c r="B337" i="26" l="1"/>
  <c r="D337" i="26"/>
  <c r="A338" i="26"/>
  <c r="H168" i="26"/>
  <c r="E168" i="26"/>
  <c r="D338" i="26" l="1"/>
  <c r="B338" i="26"/>
  <c r="A339" i="26"/>
  <c r="F168" i="26"/>
  <c r="G168" i="26" s="1"/>
  <c r="I168" i="26"/>
  <c r="C169" i="26" s="1"/>
  <c r="A340" i="26" l="1"/>
  <c r="D339" i="26"/>
  <c r="B339" i="26"/>
  <c r="H169" i="26"/>
  <c r="E169" i="26"/>
  <c r="A341" i="26" l="1"/>
  <c r="D340" i="26"/>
  <c r="B340" i="26"/>
  <c r="F169" i="26"/>
  <c r="G169" i="26" s="1"/>
  <c r="I169" i="26"/>
  <c r="C170" i="26" s="1"/>
  <c r="D341" i="26" l="1"/>
  <c r="A342" i="26"/>
  <c r="B341" i="26"/>
  <c r="E170" i="26"/>
  <c r="H170" i="26"/>
  <c r="A343" i="26" l="1"/>
  <c r="D342" i="26"/>
  <c r="B342" i="26"/>
  <c r="I170" i="26"/>
  <c r="C171" i="26" s="1"/>
  <c r="F170" i="26"/>
  <c r="G170" i="26" s="1"/>
  <c r="B343" i="26" l="1"/>
  <c r="A344" i="26"/>
  <c r="D343" i="26"/>
  <c r="H171" i="26"/>
  <c r="E171" i="26"/>
  <c r="A345" i="26" l="1"/>
  <c r="D344" i="26"/>
  <c r="B344" i="26"/>
  <c r="F171" i="26"/>
  <c r="G171" i="26" s="1"/>
  <c r="I171" i="26"/>
  <c r="C172" i="26" s="1"/>
  <c r="A346" i="26" l="1"/>
  <c r="B345" i="26"/>
  <c r="D345" i="26"/>
  <c r="H172" i="26"/>
  <c r="E172" i="26"/>
  <c r="B346" i="26" l="1"/>
  <c r="A347" i="26"/>
  <c r="D346" i="26"/>
  <c r="I172" i="26"/>
  <c r="C173" i="26" s="1"/>
  <c r="F172" i="26"/>
  <c r="G172" i="26" s="1"/>
  <c r="A348" i="26" l="1"/>
  <c r="D347" i="26"/>
  <c r="B347" i="26"/>
  <c r="E173" i="26"/>
  <c r="H173" i="26"/>
  <c r="B348" i="26" l="1"/>
  <c r="A349" i="26"/>
  <c r="D348" i="26"/>
  <c r="F173" i="26"/>
  <c r="G173" i="26" s="1"/>
  <c r="I173" i="26"/>
  <c r="C174" i="26" s="1"/>
  <c r="A350" i="26" l="1"/>
  <c r="D349" i="26"/>
  <c r="B349" i="26"/>
  <c r="H174" i="26"/>
  <c r="E174" i="26"/>
  <c r="D350" i="26" l="1"/>
  <c r="B350" i="26"/>
  <c r="A351" i="26"/>
  <c r="I174" i="26"/>
  <c r="C175" i="26" s="1"/>
  <c r="F174" i="26"/>
  <c r="G174" i="26" s="1"/>
  <c r="B351" i="26" l="1"/>
  <c r="D351" i="26"/>
  <c r="A352" i="26"/>
  <c r="E175" i="26"/>
  <c r="H175" i="26"/>
  <c r="A353" i="26" l="1"/>
  <c r="D352" i="26"/>
  <c r="B352" i="26"/>
  <c r="F175" i="26"/>
  <c r="G175" i="26" s="1"/>
  <c r="I175" i="26"/>
  <c r="C176" i="26" s="1"/>
  <c r="A354" i="26" l="1"/>
  <c r="D353" i="26"/>
  <c r="B353" i="26"/>
  <c r="H176" i="26"/>
  <c r="E176" i="26"/>
  <c r="B354" i="26" l="1"/>
  <c r="D354" i="26"/>
  <c r="A355" i="26"/>
  <c r="F176" i="26"/>
  <c r="G176" i="26" s="1"/>
  <c r="I176" i="26"/>
  <c r="C177" i="26" s="1"/>
  <c r="B355" i="26" l="1"/>
  <c r="A356" i="26"/>
  <c r="D355" i="26"/>
  <c r="H177" i="26"/>
  <c r="E177" i="26"/>
  <c r="A357" i="26" l="1"/>
  <c r="B356" i="26"/>
  <c r="D356" i="26"/>
  <c r="F177" i="26"/>
  <c r="G177" i="26" s="1"/>
  <c r="I177" i="26"/>
  <c r="C178" i="26" s="1"/>
  <c r="A358" i="26" l="1"/>
  <c r="B357" i="26"/>
  <c r="D357" i="26"/>
  <c r="H178" i="26"/>
  <c r="E178" i="26"/>
  <c r="B358" i="26" l="1"/>
  <c r="A359" i="26"/>
  <c r="D358" i="26"/>
  <c r="I178" i="26"/>
  <c r="C179" i="26" s="1"/>
  <c r="F178" i="26"/>
  <c r="G178" i="26" s="1"/>
  <c r="B359" i="26" l="1"/>
  <c r="D359" i="26"/>
  <c r="A360" i="26"/>
  <c r="E179" i="26"/>
  <c r="H179" i="26"/>
  <c r="A361" i="26" l="1"/>
  <c r="B360" i="26"/>
  <c r="D360" i="26"/>
  <c r="F179" i="26"/>
  <c r="G179" i="26" s="1"/>
  <c r="I179" i="26"/>
  <c r="C180" i="26" s="1"/>
  <c r="A362" i="26" l="1"/>
  <c r="D361" i="26"/>
  <c r="B361" i="26"/>
  <c r="E180" i="26"/>
  <c r="H180" i="26"/>
  <c r="D362" i="26" l="1"/>
  <c r="A363" i="26"/>
  <c r="B362" i="26"/>
  <c r="F180" i="26"/>
  <c r="G180" i="26" s="1"/>
  <c r="I180" i="26"/>
  <c r="C181" i="26" s="1"/>
  <c r="A364" i="26" l="1"/>
  <c r="D363" i="26"/>
  <c r="B363" i="26"/>
  <c r="H181" i="26"/>
  <c r="E181" i="26"/>
  <c r="A365" i="26" l="1"/>
  <c r="D364" i="26"/>
  <c r="B364" i="26"/>
  <c r="F181" i="26"/>
  <c r="G181" i="26" s="1"/>
  <c r="I181" i="26"/>
  <c r="C182" i="26" s="1"/>
  <c r="A366" i="26" l="1"/>
  <c r="D365" i="26"/>
  <c r="B365" i="26"/>
  <c r="H182" i="26"/>
  <c r="E182" i="26"/>
  <c r="D366" i="26" l="1"/>
  <c r="B366" i="26"/>
  <c r="A367" i="26"/>
  <c r="F182" i="26"/>
  <c r="G182" i="26" s="1"/>
  <c r="I182" i="26"/>
  <c r="C183" i="26" s="1"/>
  <c r="A368" i="26" l="1"/>
  <c r="D367" i="26"/>
  <c r="B367" i="26"/>
  <c r="H183" i="26"/>
  <c r="E183" i="26"/>
  <c r="B368" i="26" l="1"/>
  <c r="A369" i="26"/>
  <c r="D368" i="26"/>
  <c r="F183" i="26"/>
  <c r="G183" i="26" s="1"/>
  <c r="I183" i="26"/>
  <c r="C184" i="26" s="1"/>
  <c r="A370" i="26" l="1"/>
  <c r="D369" i="26"/>
  <c r="B369" i="26"/>
  <c r="H184" i="26"/>
  <c r="E184" i="26"/>
  <c r="B370" i="26" l="1"/>
  <c r="A371" i="26"/>
  <c r="D370" i="26"/>
  <c r="F184" i="26"/>
  <c r="G184" i="26" s="1"/>
  <c r="I184" i="26"/>
  <c r="C185" i="26" s="1"/>
  <c r="A372" i="26" l="1"/>
  <c r="B371" i="26"/>
  <c r="D371" i="26"/>
  <c r="H185" i="26"/>
  <c r="E185" i="26"/>
  <c r="B372" i="26" l="1"/>
  <c r="A373" i="26"/>
  <c r="D372" i="26"/>
  <c r="F185" i="26"/>
  <c r="G185" i="26" s="1"/>
  <c r="I185" i="26"/>
  <c r="C186" i="26" s="1"/>
  <c r="B373" i="26" l="1"/>
  <c r="A374" i="26"/>
  <c r="D373" i="26"/>
  <c r="H186" i="26"/>
  <c r="E186" i="26"/>
  <c r="A375" i="26" l="1"/>
  <c r="D374" i="26"/>
  <c r="B374" i="26"/>
  <c r="F186" i="26"/>
  <c r="G186" i="26" s="1"/>
  <c r="I186" i="26"/>
  <c r="C187" i="26" s="1"/>
  <c r="A376" i="26" l="1"/>
  <c r="D375" i="26"/>
  <c r="B375" i="26"/>
  <c r="E187" i="26"/>
  <c r="H187" i="26"/>
  <c r="B376" i="26" l="1"/>
  <c r="A377" i="26"/>
  <c r="D376" i="26"/>
  <c r="I187" i="26"/>
  <c r="C188" i="26" s="1"/>
  <c r="F187" i="26"/>
  <c r="G187" i="26" s="1"/>
  <c r="B377" i="26" l="1"/>
  <c r="D377" i="26"/>
  <c r="H188" i="26"/>
  <c r="E188" i="26"/>
  <c r="I188" i="26" l="1"/>
  <c r="C189" i="26" s="1"/>
  <c r="F188" i="26"/>
  <c r="G188" i="26" s="1"/>
  <c r="H189" i="26" l="1"/>
  <c r="E189" i="26"/>
  <c r="F189" i="26" l="1"/>
  <c r="G189" i="26" s="1"/>
  <c r="I189" i="26"/>
  <c r="C190" i="26" s="1"/>
  <c r="E190" i="26" l="1"/>
  <c r="H190" i="26"/>
  <c r="I190" i="26" l="1"/>
  <c r="C191" i="26" s="1"/>
  <c r="F190" i="26"/>
  <c r="G190" i="26" s="1"/>
  <c r="H191" i="26" l="1"/>
  <c r="E191" i="26"/>
  <c r="F191" i="26" l="1"/>
  <c r="G191" i="26" s="1"/>
  <c r="I191" i="26"/>
  <c r="C192" i="26" s="1"/>
  <c r="E192" i="26" l="1"/>
  <c r="H192" i="26"/>
  <c r="F192" i="26" l="1"/>
  <c r="G192" i="26" s="1"/>
  <c r="I192" i="26"/>
  <c r="C193" i="26" s="1"/>
  <c r="H193" i="26" l="1"/>
  <c r="E193" i="26"/>
  <c r="I193" i="26" l="1"/>
  <c r="C194" i="26" s="1"/>
  <c r="F193" i="26"/>
  <c r="G193" i="26" s="1"/>
  <c r="H194" i="26" l="1"/>
  <c r="E194" i="26"/>
  <c r="I194" i="26" l="1"/>
  <c r="C195" i="26" s="1"/>
  <c r="F194" i="26"/>
  <c r="G194" i="26" s="1"/>
  <c r="H195" i="26" l="1"/>
  <c r="E195" i="26"/>
  <c r="I195" i="26" l="1"/>
  <c r="C196" i="26" s="1"/>
  <c r="F195" i="26"/>
  <c r="G195" i="26" s="1"/>
  <c r="H196" i="26" l="1"/>
  <c r="E196" i="26"/>
  <c r="I196" i="26" l="1"/>
  <c r="C197" i="26" s="1"/>
  <c r="F196" i="26"/>
  <c r="G196" i="26" s="1"/>
  <c r="H197" i="26" l="1"/>
  <c r="E197" i="26"/>
  <c r="I197" i="26" l="1"/>
  <c r="C198" i="26" s="1"/>
  <c r="F197" i="26"/>
  <c r="G197" i="26" s="1"/>
  <c r="E198" i="26" l="1"/>
  <c r="H198" i="26"/>
  <c r="F198" i="26" l="1"/>
  <c r="G198" i="26" s="1"/>
  <c r="I198" i="26"/>
  <c r="C199" i="26" s="1"/>
  <c r="H199" i="26" l="1"/>
  <c r="E199" i="26"/>
  <c r="F199" i="26" l="1"/>
  <c r="G199" i="26" s="1"/>
  <c r="I199" i="26"/>
  <c r="C200" i="26" s="1"/>
  <c r="H200" i="26" l="1"/>
  <c r="E200" i="26"/>
  <c r="F200" i="26" l="1"/>
  <c r="G200" i="26" s="1"/>
  <c r="I200" i="26"/>
  <c r="C201" i="26" s="1"/>
  <c r="H201" i="26" l="1"/>
  <c r="E201" i="26"/>
  <c r="F201" i="26" l="1"/>
  <c r="G201" i="26" s="1"/>
  <c r="I201" i="26"/>
  <c r="C202" i="26" s="1"/>
  <c r="H202" i="26" l="1"/>
  <c r="E202" i="26"/>
  <c r="F202" i="26" l="1"/>
  <c r="G202" i="26" s="1"/>
  <c r="I202" i="26"/>
  <c r="C203" i="26" s="1"/>
  <c r="H203" i="26" l="1"/>
  <c r="E203" i="26"/>
  <c r="F203" i="26" l="1"/>
  <c r="G203" i="26" s="1"/>
  <c r="I203" i="26"/>
  <c r="C204" i="26" s="1"/>
  <c r="H204" i="26" l="1"/>
  <c r="E204" i="26"/>
  <c r="F204" i="26" l="1"/>
  <c r="G204" i="26" s="1"/>
  <c r="I204" i="26"/>
  <c r="C205" i="26" s="1"/>
  <c r="H205" i="26" l="1"/>
  <c r="E205" i="26"/>
  <c r="F205" i="26" l="1"/>
  <c r="G205" i="26" s="1"/>
  <c r="I205" i="26"/>
  <c r="C206" i="26" s="1"/>
  <c r="E206" i="26" l="1"/>
  <c r="H206" i="26"/>
  <c r="F206" i="26" l="1"/>
  <c r="G206" i="26" s="1"/>
  <c r="I206" i="26"/>
  <c r="C207" i="26" s="1"/>
  <c r="H207" i="26" l="1"/>
  <c r="E207" i="26"/>
  <c r="I207" i="26" l="1"/>
  <c r="C208" i="26" s="1"/>
  <c r="F207" i="26"/>
  <c r="G207" i="26" s="1"/>
  <c r="H208" i="26" l="1"/>
  <c r="E208" i="26"/>
  <c r="I208" i="26" l="1"/>
  <c r="C209" i="26" s="1"/>
  <c r="F208" i="26"/>
  <c r="G208" i="26" s="1"/>
  <c r="H209" i="26" l="1"/>
  <c r="E209" i="26"/>
  <c r="I209" i="26" l="1"/>
  <c r="C210" i="26" s="1"/>
  <c r="F209" i="26"/>
  <c r="G209" i="26" s="1"/>
  <c r="H210" i="26" l="1"/>
  <c r="E210" i="26"/>
  <c r="I210" i="26" l="1"/>
  <c r="C211" i="26" s="1"/>
  <c r="F210" i="26"/>
  <c r="G210" i="26" s="1"/>
  <c r="H211" i="26" l="1"/>
  <c r="E211" i="26"/>
  <c r="F211" i="26" l="1"/>
  <c r="G211" i="26" s="1"/>
  <c r="I211" i="26"/>
  <c r="C212" i="26" s="1"/>
  <c r="H212" i="26" l="1"/>
  <c r="E212" i="26"/>
  <c r="F212" i="26" l="1"/>
  <c r="G212" i="26" s="1"/>
  <c r="I212" i="26"/>
  <c r="C213" i="26" s="1"/>
  <c r="H213" i="26" l="1"/>
  <c r="E213" i="26"/>
  <c r="F213" i="26" l="1"/>
  <c r="G213" i="26" s="1"/>
  <c r="I213" i="26"/>
  <c r="C214" i="26" s="1"/>
  <c r="H214" i="26" l="1"/>
  <c r="E214" i="26"/>
  <c r="I214" i="26" l="1"/>
  <c r="C215" i="26" s="1"/>
  <c r="F214" i="26"/>
  <c r="G214" i="26" s="1"/>
  <c r="H215" i="26" l="1"/>
  <c r="E215" i="26"/>
  <c r="F215" i="26" l="1"/>
  <c r="G215" i="26" s="1"/>
  <c r="I215" i="26"/>
  <c r="C216" i="26" s="1"/>
  <c r="H216" i="26" l="1"/>
  <c r="E216" i="26"/>
  <c r="I216" i="26" l="1"/>
  <c r="C217" i="26" s="1"/>
  <c r="F216" i="26"/>
  <c r="G216" i="26" s="1"/>
  <c r="H217" i="26" l="1"/>
  <c r="E217" i="26"/>
  <c r="F217" i="26" l="1"/>
  <c r="G217" i="26" s="1"/>
  <c r="I217" i="26"/>
  <c r="C218" i="26" s="1"/>
  <c r="H218" i="26" l="1"/>
  <c r="E218" i="26"/>
  <c r="F218" i="26" l="1"/>
  <c r="G218" i="26" s="1"/>
  <c r="I218" i="26"/>
  <c r="C219" i="26" s="1"/>
  <c r="H219" i="26" l="1"/>
  <c r="E219" i="26"/>
  <c r="I219" i="26" l="1"/>
  <c r="C220" i="26" s="1"/>
  <c r="F219" i="26"/>
  <c r="G219" i="26" s="1"/>
  <c r="H220" i="26" l="1"/>
  <c r="E220" i="26"/>
  <c r="I220" i="26" l="1"/>
  <c r="C221" i="26" s="1"/>
  <c r="F220" i="26"/>
  <c r="G220" i="26" s="1"/>
  <c r="H221" i="26" l="1"/>
  <c r="E221" i="26"/>
  <c r="F221" i="26" l="1"/>
  <c r="G221" i="26" s="1"/>
  <c r="I221" i="26"/>
  <c r="C222" i="26" s="1"/>
  <c r="H222" i="26" l="1"/>
  <c r="E222" i="26"/>
  <c r="I222" i="26" l="1"/>
  <c r="C223" i="26" s="1"/>
  <c r="F222" i="26"/>
  <c r="G222" i="26" s="1"/>
  <c r="H223" i="26" l="1"/>
  <c r="E223" i="26"/>
  <c r="F223" i="26" l="1"/>
  <c r="G223" i="26" s="1"/>
  <c r="I223" i="26"/>
  <c r="C224" i="26" s="1"/>
  <c r="H224" i="26" l="1"/>
  <c r="E224" i="26"/>
  <c r="F224" i="26" l="1"/>
  <c r="G224" i="26" s="1"/>
  <c r="I224" i="26"/>
  <c r="C225" i="26" s="1"/>
  <c r="E225" i="26" l="1"/>
  <c r="H225" i="26"/>
  <c r="F225" i="26" l="1"/>
  <c r="G225" i="26" s="1"/>
  <c r="I225" i="26"/>
  <c r="C226" i="26" s="1"/>
  <c r="H226" i="26" l="1"/>
  <c r="E226" i="26"/>
  <c r="F226" i="26" l="1"/>
  <c r="G226" i="26" s="1"/>
  <c r="I226" i="26"/>
  <c r="C227" i="26" s="1"/>
  <c r="H227" i="26" l="1"/>
  <c r="E227" i="26"/>
  <c r="I227" i="26" l="1"/>
  <c r="C228" i="26" s="1"/>
  <c r="F227" i="26"/>
  <c r="G227" i="26" s="1"/>
  <c r="H228" i="26" l="1"/>
  <c r="E228" i="26"/>
  <c r="I228" i="26" l="1"/>
  <c r="C229" i="26" s="1"/>
  <c r="F228" i="26"/>
  <c r="G228" i="26" s="1"/>
  <c r="H229" i="26" l="1"/>
  <c r="E229" i="26"/>
  <c r="F229" i="26" l="1"/>
  <c r="G229" i="26" s="1"/>
  <c r="I229" i="26"/>
  <c r="C230" i="26" s="1"/>
  <c r="H230" i="26" l="1"/>
  <c r="E230" i="26"/>
  <c r="F230" i="26" l="1"/>
  <c r="G230" i="26" s="1"/>
  <c r="I230" i="26"/>
  <c r="C231" i="26" s="1"/>
  <c r="H231" i="26" l="1"/>
  <c r="E231" i="26"/>
  <c r="F231" i="26" l="1"/>
  <c r="G231" i="26" s="1"/>
  <c r="I231" i="26"/>
  <c r="C232" i="26" s="1"/>
  <c r="H232" i="26" l="1"/>
  <c r="E232" i="26"/>
  <c r="I232" i="26" l="1"/>
  <c r="C233" i="26" s="1"/>
  <c r="F232" i="26"/>
  <c r="G232" i="26" s="1"/>
  <c r="H233" i="26" l="1"/>
  <c r="E233" i="26"/>
  <c r="I233" i="26" l="1"/>
  <c r="C234" i="26" s="1"/>
  <c r="F233" i="26"/>
  <c r="G233" i="26" s="1"/>
  <c r="H234" i="26" l="1"/>
  <c r="E234" i="26"/>
  <c r="F234" i="26" l="1"/>
  <c r="G234" i="26" s="1"/>
  <c r="I234" i="26"/>
  <c r="C235" i="26" s="1"/>
  <c r="H235" i="26" l="1"/>
  <c r="E235" i="26"/>
  <c r="I235" i="26" l="1"/>
  <c r="C236" i="26" s="1"/>
  <c r="F235" i="26"/>
  <c r="G235" i="26" s="1"/>
  <c r="H236" i="26" l="1"/>
  <c r="E236" i="26"/>
  <c r="I236" i="26" l="1"/>
  <c r="C237" i="26" s="1"/>
  <c r="F236" i="26"/>
  <c r="G236" i="26" s="1"/>
  <c r="E237" i="26" l="1"/>
  <c r="H237" i="26"/>
  <c r="F237" i="26" l="1"/>
  <c r="G237" i="26" s="1"/>
  <c r="I237" i="26"/>
  <c r="C238" i="26" s="1"/>
  <c r="H238" i="26" l="1"/>
  <c r="E238" i="26"/>
  <c r="F238" i="26" l="1"/>
  <c r="G238" i="26" s="1"/>
  <c r="I238" i="26"/>
  <c r="C239" i="26" s="1"/>
  <c r="H239" i="26" l="1"/>
  <c r="E239" i="26"/>
  <c r="F239" i="26" l="1"/>
  <c r="G239" i="26" s="1"/>
  <c r="I239" i="26"/>
  <c r="C240" i="26" s="1"/>
  <c r="H240" i="26" l="1"/>
  <c r="E240" i="26"/>
  <c r="F240" i="26" l="1"/>
  <c r="G240" i="26" s="1"/>
  <c r="I240" i="26"/>
  <c r="C241" i="26" s="1"/>
  <c r="H241" i="26" l="1"/>
  <c r="E241" i="26"/>
  <c r="F241" i="26" l="1"/>
  <c r="G241" i="26" s="1"/>
  <c r="I241" i="26"/>
  <c r="C242" i="26" s="1"/>
  <c r="H242" i="26" l="1"/>
  <c r="E242" i="26"/>
  <c r="F242" i="26" l="1"/>
  <c r="G242" i="26" s="1"/>
  <c r="I242" i="26"/>
  <c r="C243" i="26" s="1"/>
  <c r="H243" i="26" l="1"/>
  <c r="E243" i="26"/>
  <c r="I243" i="26" l="1"/>
  <c r="C244" i="26" s="1"/>
  <c r="F243" i="26"/>
  <c r="G243" i="26" s="1"/>
  <c r="H244" i="26" l="1"/>
  <c r="E244" i="26"/>
  <c r="F244" i="26" l="1"/>
  <c r="G244" i="26" s="1"/>
  <c r="I244" i="26"/>
  <c r="C245" i="26" s="1"/>
  <c r="H245" i="26" l="1"/>
  <c r="E245" i="26"/>
  <c r="F245" i="26" l="1"/>
  <c r="G245" i="26" s="1"/>
  <c r="I245" i="26"/>
  <c r="C246" i="26" s="1"/>
  <c r="E246" i="26" l="1"/>
  <c r="H246" i="26"/>
  <c r="I246" i="26" l="1"/>
  <c r="C247" i="26" s="1"/>
  <c r="F246" i="26"/>
  <c r="G246" i="26" s="1"/>
  <c r="H247" i="26" l="1"/>
  <c r="E247" i="26"/>
  <c r="I247" i="26" l="1"/>
  <c r="C248" i="26" s="1"/>
  <c r="F247" i="26"/>
  <c r="G247" i="26" s="1"/>
  <c r="H248" i="26" l="1"/>
  <c r="E248" i="26"/>
  <c r="F248" i="26" l="1"/>
  <c r="G248" i="26" s="1"/>
  <c r="I248" i="26"/>
  <c r="C249" i="26" s="1"/>
  <c r="H249" i="26" l="1"/>
  <c r="E249" i="26"/>
  <c r="I249" i="26" l="1"/>
  <c r="C250" i="26" s="1"/>
  <c r="F249" i="26"/>
  <c r="G249" i="26" s="1"/>
  <c r="H250" i="26" l="1"/>
  <c r="E250" i="26"/>
  <c r="F250" i="26" l="1"/>
  <c r="G250" i="26" s="1"/>
  <c r="I250" i="26"/>
  <c r="C251" i="26" s="1"/>
  <c r="H251" i="26" l="1"/>
  <c r="E251" i="26"/>
  <c r="F251" i="26" l="1"/>
  <c r="G251" i="26" s="1"/>
  <c r="I251" i="26"/>
  <c r="C252" i="26" s="1"/>
  <c r="H252" i="26" l="1"/>
  <c r="E252" i="26"/>
  <c r="I252" i="26" l="1"/>
  <c r="C253" i="26" s="1"/>
  <c r="F252" i="26"/>
  <c r="G252" i="26" s="1"/>
  <c r="E253" i="26" l="1"/>
  <c r="H253" i="26"/>
  <c r="F253" i="26" l="1"/>
  <c r="G253" i="26" s="1"/>
  <c r="I253" i="26"/>
  <c r="C254" i="26" s="1"/>
  <c r="H254" i="26" l="1"/>
  <c r="E254" i="26"/>
  <c r="F254" i="26" l="1"/>
  <c r="G254" i="26" s="1"/>
  <c r="I254" i="26"/>
  <c r="C255" i="26" s="1"/>
  <c r="H255" i="26" l="1"/>
  <c r="E255" i="26"/>
  <c r="I255" i="26" l="1"/>
  <c r="C256" i="26" s="1"/>
  <c r="F255" i="26"/>
  <c r="G255" i="26" s="1"/>
  <c r="E256" i="26" l="1"/>
  <c r="H256" i="26"/>
  <c r="I256" i="26" l="1"/>
  <c r="C257" i="26" s="1"/>
  <c r="F256" i="26"/>
  <c r="G256" i="26" s="1"/>
  <c r="H257" i="26" l="1"/>
  <c r="E257" i="26"/>
  <c r="F257" i="26" l="1"/>
  <c r="G257" i="26" s="1"/>
  <c r="I257" i="26"/>
  <c r="C258" i="26" s="1"/>
  <c r="H258" i="26" l="1"/>
  <c r="E258" i="26"/>
  <c r="I258" i="26" l="1"/>
  <c r="C259" i="26" s="1"/>
  <c r="F258" i="26"/>
  <c r="G258" i="26" s="1"/>
  <c r="H259" i="26" l="1"/>
  <c r="E259" i="26"/>
  <c r="I259" i="26" l="1"/>
  <c r="C260" i="26" s="1"/>
  <c r="F259" i="26"/>
  <c r="G259" i="26" s="1"/>
  <c r="H260" i="26" l="1"/>
  <c r="E260" i="26"/>
  <c r="I260" i="26" l="1"/>
  <c r="C261" i="26" s="1"/>
  <c r="F260" i="26"/>
  <c r="G260" i="26" s="1"/>
  <c r="H261" i="26" l="1"/>
  <c r="E261" i="26"/>
  <c r="F261" i="26" l="1"/>
  <c r="G261" i="26" s="1"/>
  <c r="I261" i="26"/>
  <c r="C262" i="26" s="1"/>
  <c r="H262" i="26" l="1"/>
  <c r="E262" i="26"/>
  <c r="I262" i="26" l="1"/>
  <c r="C263" i="26" s="1"/>
  <c r="F262" i="26"/>
  <c r="G262" i="26" s="1"/>
  <c r="H263" i="26" l="1"/>
  <c r="E263" i="26"/>
  <c r="F263" i="26" l="1"/>
  <c r="G263" i="26" s="1"/>
  <c r="I263" i="26"/>
  <c r="C264" i="26" s="1"/>
  <c r="H264" i="26" l="1"/>
  <c r="E264" i="26"/>
  <c r="F264" i="26" l="1"/>
  <c r="G264" i="26" s="1"/>
  <c r="I264" i="26"/>
  <c r="C265" i="26" s="1"/>
  <c r="H265" i="26" l="1"/>
  <c r="E265" i="26"/>
  <c r="I265" i="26" l="1"/>
  <c r="C266" i="26" s="1"/>
  <c r="F265" i="26"/>
  <c r="G265" i="26" s="1"/>
  <c r="H266" i="26" l="1"/>
  <c r="E266" i="26"/>
  <c r="I266" i="26" l="1"/>
  <c r="C267" i="26" s="1"/>
  <c r="F266" i="26"/>
  <c r="G266" i="26" s="1"/>
  <c r="H267" i="26" l="1"/>
  <c r="E267" i="26"/>
  <c r="I267" i="26" l="1"/>
  <c r="C268" i="26" s="1"/>
  <c r="F267" i="26"/>
  <c r="G267" i="26" s="1"/>
  <c r="H268" i="26" l="1"/>
  <c r="E268" i="26"/>
  <c r="I268" i="26" l="1"/>
  <c r="C269" i="26" s="1"/>
  <c r="F268" i="26"/>
  <c r="G268" i="26" s="1"/>
  <c r="E269" i="26" l="1"/>
  <c r="H269" i="26"/>
  <c r="I269" i="26" l="1"/>
  <c r="C270" i="26" s="1"/>
  <c r="F269" i="26"/>
  <c r="G269" i="26" s="1"/>
  <c r="H270" i="26" l="1"/>
  <c r="E270" i="26"/>
  <c r="I270" i="26" l="1"/>
  <c r="C271" i="26" s="1"/>
  <c r="F270" i="26"/>
  <c r="G270" i="26" s="1"/>
  <c r="H271" i="26" l="1"/>
  <c r="E271" i="26"/>
  <c r="I271" i="26" l="1"/>
  <c r="C272" i="26" s="1"/>
  <c r="F271" i="26"/>
  <c r="G271" i="26" s="1"/>
  <c r="H272" i="26" l="1"/>
  <c r="E272" i="26"/>
  <c r="I272" i="26" l="1"/>
  <c r="C273" i="26" s="1"/>
  <c r="F272" i="26"/>
  <c r="G272" i="26" s="1"/>
  <c r="H273" i="26" l="1"/>
  <c r="E273" i="26"/>
  <c r="F273" i="26" l="1"/>
  <c r="G273" i="26" s="1"/>
  <c r="I273" i="26"/>
  <c r="C274" i="26" s="1"/>
  <c r="E274" i="26" l="1"/>
  <c r="H274" i="26"/>
  <c r="F274" i="26" l="1"/>
  <c r="G274" i="26" s="1"/>
  <c r="I274" i="26"/>
  <c r="C275" i="26" s="1"/>
  <c r="H275" i="26" l="1"/>
  <c r="E275" i="26"/>
  <c r="I275" i="26" l="1"/>
  <c r="C276" i="26" s="1"/>
  <c r="F275" i="26"/>
  <c r="G275" i="26" s="1"/>
  <c r="H276" i="26" l="1"/>
  <c r="E276" i="26"/>
  <c r="I276" i="26" l="1"/>
  <c r="C277" i="26" s="1"/>
  <c r="F276" i="26"/>
  <c r="G276" i="26" s="1"/>
  <c r="H277" i="26" l="1"/>
  <c r="E277" i="26"/>
  <c r="I277" i="26" l="1"/>
  <c r="C278" i="26" s="1"/>
  <c r="F277" i="26"/>
  <c r="G277" i="26" s="1"/>
  <c r="H278" i="26" l="1"/>
  <c r="E278" i="26"/>
  <c r="I278" i="26" l="1"/>
  <c r="C279" i="26" s="1"/>
  <c r="F278" i="26"/>
  <c r="G278" i="26" s="1"/>
  <c r="H279" i="26" l="1"/>
  <c r="E279" i="26"/>
  <c r="F279" i="26" l="1"/>
  <c r="G279" i="26" s="1"/>
  <c r="I279" i="26"/>
  <c r="C280" i="26" s="1"/>
  <c r="H280" i="26" l="1"/>
  <c r="E280" i="26"/>
  <c r="I280" i="26" l="1"/>
  <c r="C281" i="26" s="1"/>
  <c r="F280" i="26"/>
  <c r="G280" i="26" s="1"/>
  <c r="H281" i="26" l="1"/>
  <c r="E281" i="26"/>
  <c r="I281" i="26" l="1"/>
  <c r="C282" i="26" s="1"/>
  <c r="F281" i="26"/>
  <c r="G281" i="26" s="1"/>
  <c r="H282" i="26" l="1"/>
  <c r="E282" i="26"/>
  <c r="F282" i="26" l="1"/>
  <c r="G282" i="26" s="1"/>
  <c r="I282" i="26"/>
  <c r="C283" i="26" s="1"/>
  <c r="H283" i="26" l="1"/>
  <c r="E283" i="26"/>
  <c r="F283" i="26" l="1"/>
  <c r="G283" i="26" s="1"/>
  <c r="I283" i="26"/>
  <c r="C284" i="26" s="1"/>
  <c r="H284" i="26" l="1"/>
  <c r="E284" i="26"/>
  <c r="I284" i="26" l="1"/>
  <c r="C285" i="26" s="1"/>
  <c r="F284" i="26"/>
  <c r="G284" i="26" s="1"/>
  <c r="H285" i="26" l="1"/>
  <c r="E285" i="26"/>
  <c r="F285" i="26" l="1"/>
  <c r="G285" i="26" s="1"/>
  <c r="I285" i="26"/>
  <c r="C286" i="26" s="1"/>
  <c r="H286" i="26" l="1"/>
  <c r="E286" i="26"/>
  <c r="F286" i="26" l="1"/>
  <c r="G286" i="26" s="1"/>
  <c r="I286" i="26"/>
  <c r="C287" i="26" s="1"/>
  <c r="H287" i="26" l="1"/>
  <c r="E287" i="26"/>
  <c r="I287" i="26" l="1"/>
  <c r="C288" i="26" s="1"/>
  <c r="F287" i="26"/>
  <c r="G287" i="26" s="1"/>
  <c r="H288" i="26" l="1"/>
  <c r="E288" i="26"/>
  <c r="I288" i="26" l="1"/>
  <c r="C289" i="26" s="1"/>
  <c r="F288" i="26"/>
  <c r="G288" i="26" s="1"/>
  <c r="H289" i="26" l="1"/>
  <c r="E289" i="26"/>
  <c r="I289" i="26" l="1"/>
  <c r="C290" i="26" s="1"/>
  <c r="F289" i="26"/>
  <c r="G289" i="26" s="1"/>
  <c r="H290" i="26" l="1"/>
  <c r="E290" i="26"/>
  <c r="I290" i="26" l="1"/>
  <c r="C291" i="26" s="1"/>
  <c r="F290" i="26"/>
  <c r="G290" i="26" s="1"/>
  <c r="H291" i="26" l="1"/>
  <c r="E291" i="26"/>
  <c r="F291" i="26" l="1"/>
  <c r="G291" i="26" s="1"/>
  <c r="I291" i="26"/>
  <c r="C292" i="26" s="1"/>
  <c r="H292" i="26" l="1"/>
  <c r="E292" i="26"/>
  <c r="I292" i="26" l="1"/>
  <c r="C293" i="26" s="1"/>
  <c r="F292" i="26"/>
  <c r="G292" i="26" s="1"/>
  <c r="H293" i="26" l="1"/>
  <c r="E293" i="26"/>
  <c r="I293" i="26" l="1"/>
  <c r="C294" i="26" s="1"/>
  <c r="F293" i="26"/>
  <c r="G293" i="26" s="1"/>
  <c r="H294" i="26" l="1"/>
  <c r="E294" i="26"/>
  <c r="I294" i="26" l="1"/>
  <c r="C295" i="26" s="1"/>
  <c r="F294" i="26"/>
  <c r="G294" i="26" s="1"/>
  <c r="H295" i="26" l="1"/>
  <c r="E295" i="26"/>
  <c r="F295" i="26" l="1"/>
  <c r="G295" i="26" s="1"/>
  <c r="I295" i="26"/>
  <c r="C296" i="26" s="1"/>
  <c r="H296" i="26" l="1"/>
  <c r="E296" i="26"/>
  <c r="I296" i="26" l="1"/>
  <c r="C297" i="26" s="1"/>
  <c r="F296" i="26"/>
  <c r="G296" i="26" s="1"/>
  <c r="H297" i="26" l="1"/>
  <c r="E297" i="26"/>
  <c r="F297" i="26" l="1"/>
  <c r="G297" i="26" s="1"/>
  <c r="I297" i="26"/>
  <c r="C298" i="26" s="1"/>
  <c r="H298" i="26" l="1"/>
  <c r="E298" i="26"/>
  <c r="I298" i="26" l="1"/>
  <c r="C299" i="26" s="1"/>
  <c r="F298" i="26"/>
  <c r="G298" i="26" s="1"/>
  <c r="H299" i="26" l="1"/>
  <c r="E299" i="26"/>
  <c r="I299" i="26" l="1"/>
  <c r="C300" i="26" s="1"/>
  <c r="F299" i="26"/>
  <c r="G299" i="26" s="1"/>
  <c r="H300" i="26" l="1"/>
  <c r="E300" i="26"/>
  <c r="I300" i="26" l="1"/>
  <c r="C301" i="26" s="1"/>
  <c r="F300" i="26"/>
  <c r="G300" i="26" s="1"/>
  <c r="H301" i="26" l="1"/>
  <c r="E301" i="26"/>
  <c r="F301" i="26" l="1"/>
  <c r="G301" i="26" s="1"/>
  <c r="I301" i="26"/>
  <c r="C302" i="26" s="1"/>
  <c r="H302" i="26" l="1"/>
  <c r="E302" i="26"/>
  <c r="I302" i="26" l="1"/>
  <c r="C303" i="26" s="1"/>
  <c r="F302" i="26"/>
  <c r="G302" i="26" s="1"/>
  <c r="H303" i="26" l="1"/>
  <c r="E303" i="26"/>
  <c r="I303" i="26" l="1"/>
  <c r="C304" i="26" s="1"/>
  <c r="F303" i="26"/>
  <c r="G303" i="26" s="1"/>
  <c r="H304" i="26" l="1"/>
  <c r="E304" i="26"/>
  <c r="F304" i="26" l="1"/>
  <c r="G304" i="26" s="1"/>
  <c r="I304" i="26"/>
  <c r="C305" i="26" s="1"/>
  <c r="H305" i="26" l="1"/>
  <c r="E305" i="26"/>
  <c r="I305" i="26" l="1"/>
  <c r="C306" i="26" s="1"/>
  <c r="F305" i="26"/>
  <c r="G305" i="26" s="1"/>
  <c r="H306" i="26" l="1"/>
  <c r="E306" i="26"/>
  <c r="F306" i="26" l="1"/>
  <c r="G306" i="26" s="1"/>
  <c r="I306" i="26"/>
  <c r="C307" i="26" s="1"/>
  <c r="H307" i="26" l="1"/>
  <c r="E307" i="26"/>
  <c r="I307" i="26" l="1"/>
  <c r="C308" i="26" s="1"/>
  <c r="F307" i="26"/>
  <c r="G307" i="26" s="1"/>
  <c r="H308" i="26" l="1"/>
  <c r="E308" i="26"/>
  <c r="F308" i="26" l="1"/>
  <c r="G308" i="26" s="1"/>
  <c r="I308" i="26"/>
  <c r="C309" i="26" s="1"/>
  <c r="H309" i="26" l="1"/>
  <c r="E309" i="26"/>
  <c r="I309" i="26" l="1"/>
  <c r="C310" i="26" s="1"/>
  <c r="F309" i="26"/>
  <c r="G309" i="26" s="1"/>
  <c r="H310" i="26" l="1"/>
  <c r="E310" i="26"/>
  <c r="F310" i="26" l="1"/>
  <c r="G310" i="26" s="1"/>
  <c r="I310" i="26"/>
  <c r="C311" i="26" s="1"/>
  <c r="H311" i="26" l="1"/>
  <c r="E311" i="26"/>
  <c r="I311" i="26" l="1"/>
  <c r="C312" i="26" s="1"/>
  <c r="F311" i="26"/>
  <c r="G311" i="26" s="1"/>
  <c r="H312" i="26" l="1"/>
  <c r="E312" i="26"/>
  <c r="F312" i="26" l="1"/>
  <c r="G312" i="26" s="1"/>
  <c r="I312" i="26"/>
  <c r="C313" i="26" s="1"/>
  <c r="H313" i="26" l="1"/>
  <c r="E313" i="26"/>
  <c r="I313" i="26" l="1"/>
  <c r="C314" i="26" s="1"/>
  <c r="F313" i="26"/>
  <c r="G313" i="26" s="1"/>
  <c r="H314" i="26" l="1"/>
  <c r="E314" i="26"/>
  <c r="I314" i="26" l="1"/>
  <c r="C315" i="26" s="1"/>
  <c r="F314" i="26"/>
  <c r="G314" i="26" s="1"/>
  <c r="H315" i="26" l="1"/>
  <c r="E315" i="26"/>
  <c r="I315" i="26" l="1"/>
  <c r="C316" i="26" s="1"/>
  <c r="F315" i="26"/>
  <c r="G315" i="26" s="1"/>
  <c r="H316" i="26" l="1"/>
  <c r="E316" i="26"/>
  <c r="I316" i="26" l="1"/>
  <c r="C317" i="26" s="1"/>
  <c r="F316" i="26"/>
  <c r="G316" i="26" s="1"/>
  <c r="H317" i="26" l="1"/>
  <c r="E317" i="26"/>
  <c r="I317" i="26" l="1"/>
  <c r="C318" i="26" s="1"/>
  <c r="F317" i="26"/>
  <c r="G317" i="26" s="1"/>
  <c r="H318" i="26" l="1"/>
  <c r="E318" i="26"/>
  <c r="F318" i="26" l="1"/>
  <c r="G318" i="26" s="1"/>
  <c r="I318" i="26"/>
  <c r="C319" i="26" s="1"/>
  <c r="H319" i="26" l="1"/>
  <c r="E319" i="26"/>
  <c r="F319" i="26" l="1"/>
  <c r="G319" i="26" s="1"/>
  <c r="I319" i="26"/>
  <c r="C320" i="26" s="1"/>
  <c r="H320" i="26" l="1"/>
  <c r="E320" i="26"/>
  <c r="I320" i="26" l="1"/>
  <c r="C321" i="26" s="1"/>
  <c r="F320" i="26"/>
  <c r="G320" i="26" s="1"/>
  <c r="H321" i="26" l="1"/>
  <c r="E321" i="26"/>
  <c r="I321" i="26" l="1"/>
  <c r="C322" i="26" s="1"/>
  <c r="F321" i="26"/>
  <c r="G321" i="26" s="1"/>
  <c r="H322" i="26" l="1"/>
  <c r="E322" i="26"/>
  <c r="F322" i="26" l="1"/>
  <c r="G322" i="26" s="1"/>
  <c r="I322" i="26"/>
  <c r="C323" i="26" s="1"/>
  <c r="H323" i="26" l="1"/>
  <c r="E323" i="26"/>
  <c r="I323" i="26" l="1"/>
  <c r="C324" i="26" s="1"/>
  <c r="F323" i="26"/>
  <c r="G323" i="26" s="1"/>
  <c r="H324" i="26" l="1"/>
  <c r="E324" i="26"/>
  <c r="F324" i="26" l="1"/>
  <c r="G324" i="26" s="1"/>
  <c r="I324" i="26"/>
  <c r="C325" i="26" s="1"/>
  <c r="H325" i="26" l="1"/>
  <c r="E325" i="26"/>
  <c r="I325" i="26" l="1"/>
  <c r="C326" i="26" s="1"/>
  <c r="F325" i="26"/>
  <c r="G325" i="26" s="1"/>
  <c r="H326" i="26" l="1"/>
  <c r="E326" i="26"/>
  <c r="F326" i="26" l="1"/>
  <c r="G326" i="26" s="1"/>
  <c r="I326" i="26"/>
  <c r="C327" i="26" s="1"/>
  <c r="H327" i="26" l="1"/>
  <c r="E327" i="26"/>
  <c r="I327" i="26" l="1"/>
  <c r="C328" i="26" s="1"/>
  <c r="F327" i="26"/>
  <c r="G327" i="26" s="1"/>
  <c r="H328" i="26" l="1"/>
  <c r="E328" i="26"/>
  <c r="F328" i="26" l="1"/>
  <c r="G328" i="26" s="1"/>
  <c r="I328" i="26"/>
  <c r="C329" i="26" s="1"/>
  <c r="H329" i="26" l="1"/>
  <c r="E329" i="26"/>
  <c r="I329" i="26" l="1"/>
  <c r="C330" i="26" s="1"/>
  <c r="F329" i="26"/>
  <c r="G329" i="26" s="1"/>
  <c r="H330" i="26" l="1"/>
  <c r="E330" i="26"/>
  <c r="F330" i="26" l="1"/>
  <c r="G330" i="26" s="1"/>
  <c r="I330" i="26"/>
  <c r="C331" i="26" s="1"/>
  <c r="H331" i="26" l="1"/>
  <c r="E331" i="26"/>
  <c r="I331" i="26" l="1"/>
  <c r="C332" i="26" s="1"/>
  <c r="F331" i="26"/>
  <c r="G331" i="26" s="1"/>
  <c r="H332" i="26" l="1"/>
  <c r="E332" i="26"/>
  <c r="I332" i="26" l="1"/>
  <c r="C333" i="26" s="1"/>
  <c r="F332" i="26"/>
  <c r="G332" i="26" s="1"/>
  <c r="H333" i="26" l="1"/>
  <c r="E333" i="26"/>
  <c r="I333" i="26" l="1"/>
  <c r="C334" i="26" s="1"/>
  <c r="F333" i="26"/>
  <c r="G333" i="26" s="1"/>
  <c r="H334" i="26" l="1"/>
  <c r="E334" i="26"/>
  <c r="I334" i="26" l="1"/>
  <c r="C335" i="26" s="1"/>
  <c r="F334" i="26"/>
  <c r="G334" i="26" s="1"/>
  <c r="H335" i="26" l="1"/>
  <c r="E335" i="26"/>
  <c r="I335" i="26" l="1"/>
  <c r="C336" i="26" s="1"/>
  <c r="F335" i="26"/>
  <c r="G335" i="26" s="1"/>
  <c r="H336" i="26" l="1"/>
  <c r="E336" i="26"/>
  <c r="I336" i="26" l="1"/>
  <c r="C337" i="26" s="1"/>
  <c r="F336" i="26"/>
  <c r="G336" i="26" s="1"/>
  <c r="H337" i="26" l="1"/>
  <c r="E337" i="26"/>
  <c r="F337" i="26" l="1"/>
  <c r="G337" i="26" s="1"/>
  <c r="I337" i="26"/>
  <c r="C338" i="26" s="1"/>
  <c r="H338" i="26" l="1"/>
  <c r="E338" i="26"/>
  <c r="I338" i="26" l="1"/>
  <c r="C339" i="26" s="1"/>
  <c r="F338" i="26"/>
  <c r="G338" i="26" s="1"/>
  <c r="H339" i="26" l="1"/>
  <c r="E339" i="26"/>
  <c r="I339" i="26" l="1"/>
  <c r="C340" i="26" s="1"/>
  <c r="F339" i="26"/>
  <c r="G339" i="26" s="1"/>
  <c r="H340" i="26" l="1"/>
  <c r="E340" i="26"/>
  <c r="I340" i="26" l="1"/>
  <c r="C341" i="26" s="1"/>
  <c r="F340" i="26"/>
  <c r="G340" i="26" s="1"/>
  <c r="H341" i="26" l="1"/>
  <c r="E341" i="26"/>
  <c r="F341" i="26" l="1"/>
  <c r="G341" i="26" s="1"/>
  <c r="I341" i="26"/>
  <c r="C342" i="26" s="1"/>
  <c r="H342" i="26" l="1"/>
  <c r="E342" i="26"/>
  <c r="I342" i="26" l="1"/>
  <c r="C343" i="26" s="1"/>
  <c r="F342" i="26"/>
  <c r="G342" i="26" s="1"/>
  <c r="H343" i="26" l="1"/>
  <c r="E343" i="26"/>
  <c r="I343" i="26" l="1"/>
  <c r="C344" i="26" s="1"/>
  <c r="F343" i="26"/>
  <c r="G343" i="26" s="1"/>
  <c r="H344" i="26" l="1"/>
  <c r="E344" i="26"/>
  <c r="F344" i="26" l="1"/>
  <c r="G344" i="26" s="1"/>
  <c r="I344" i="26"/>
  <c r="C345" i="26" s="1"/>
  <c r="E345" i="26" l="1"/>
  <c r="H345" i="26"/>
  <c r="I345" i="26" l="1"/>
  <c r="C346" i="26" s="1"/>
  <c r="F345" i="26"/>
  <c r="G345" i="26" s="1"/>
  <c r="H346" i="26" l="1"/>
  <c r="E346" i="26"/>
  <c r="F346" i="26" l="1"/>
  <c r="G346" i="26" s="1"/>
  <c r="I346" i="26"/>
  <c r="C347" i="26" s="1"/>
  <c r="H347" i="26" l="1"/>
  <c r="E347" i="26"/>
  <c r="I347" i="26" l="1"/>
  <c r="C348" i="26" s="1"/>
  <c r="F347" i="26"/>
  <c r="G347" i="26" s="1"/>
  <c r="H348" i="26" l="1"/>
  <c r="E348" i="26"/>
  <c r="I348" i="26" l="1"/>
  <c r="C349" i="26" s="1"/>
  <c r="F348" i="26"/>
  <c r="G348" i="26" s="1"/>
  <c r="H349" i="26" l="1"/>
  <c r="E349" i="26"/>
  <c r="I349" i="26" l="1"/>
  <c r="C350" i="26" s="1"/>
  <c r="F349" i="26"/>
  <c r="G349" i="26" s="1"/>
  <c r="H350" i="26" l="1"/>
  <c r="E350" i="26"/>
  <c r="I350" i="26" l="1"/>
  <c r="C351" i="26" s="1"/>
  <c r="F350" i="26"/>
  <c r="G350" i="26" s="1"/>
  <c r="H351" i="26" l="1"/>
  <c r="E351" i="26"/>
  <c r="I351" i="26" l="1"/>
  <c r="C352" i="26" s="1"/>
  <c r="F351" i="26"/>
  <c r="G351" i="26" s="1"/>
  <c r="E352" i="26" l="1"/>
  <c r="H352" i="26"/>
  <c r="I352" i="26" l="1"/>
  <c r="C353" i="26" s="1"/>
  <c r="F352" i="26"/>
  <c r="G352" i="26" s="1"/>
  <c r="H353" i="26" l="1"/>
  <c r="E353" i="26"/>
  <c r="I353" i="26" l="1"/>
  <c r="C354" i="26" s="1"/>
  <c r="F353" i="26"/>
  <c r="G353" i="26" s="1"/>
  <c r="H354" i="26" l="1"/>
  <c r="E354" i="26"/>
  <c r="I354" i="26" l="1"/>
  <c r="C355" i="26" s="1"/>
  <c r="F354" i="26"/>
  <c r="G354" i="26" s="1"/>
  <c r="H355" i="26" l="1"/>
  <c r="E355" i="26"/>
  <c r="F355" i="26" l="1"/>
  <c r="G355" i="26" s="1"/>
  <c r="I355" i="26"/>
  <c r="C356" i="26" s="1"/>
  <c r="H356" i="26" l="1"/>
  <c r="E356" i="26"/>
  <c r="I356" i="26" l="1"/>
  <c r="C357" i="26" s="1"/>
  <c r="F356" i="26"/>
  <c r="G356" i="26" s="1"/>
  <c r="H357" i="26" l="1"/>
  <c r="E357" i="26"/>
  <c r="I357" i="26" l="1"/>
  <c r="C358" i="26" s="1"/>
  <c r="F357" i="26"/>
  <c r="G357" i="26" s="1"/>
  <c r="H358" i="26" l="1"/>
  <c r="E358" i="26"/>
  <c r="F358" i="26" l="1"/>
  <c r="G358" i="26" s="1"/>
  <c r="I358" i="26"/>
  <c r="C359" i="26" s="1"/>
  <c r="H359" i="26" l="1"/>
  <c r="E359" i="26"/>
  <c r="F359" i="26" l="1"/>
  <c r="G359" i="26" s="1"/>
  <c r="I359" i="26"/>
  <c r="C360" i="26" s="1"/>
  <c r="H360" i="26" l="1"/>
  <c r="E360" i="26"/>
  <c r="I360" i="26" l="1"/>
  <c r="C361" i="26" s="1"/>
  <c r="F360" i="26"/>
  <c r="G360" i="26" s="1"/>
  <c r="H361" i="26" l="1"/>
  <c r="E361" i="26"/>
  <c r="I361" i="26" l="1"/>
  <c r="C362" i="26" s="1"/>
  <c r="F361" i="26"/>
  <c r="G361" i="26" s="1"/>
  <c r="H362" i="26" l="1"/>
  <c r="E362" i="26"/>
  <c r="I362" i="26" l="1"/>
  <c r="C363" i="26" s="1"/>
  <c r="F362" i="26"/>
  <c r="G362" i="26" s="1"/>
  <c r="H363" i="26" l="1"/>
  <c r="E363" i="26"/>
  <c r="I363" i="26" l="1"/>
  <c r="C364" i="26" s="1"/>
  <c r="F363" i="26"/>
  <c r="G363" i="26" s="1"/>
  <c r="H364" i="26" l="1"/>
  <c r="E364" i="26"/>
  <c r="I364" i="26" l="1"/>
  <c r="C365" i="26" s="1"/>
  <c r="F364" i="26"/>
  <c r="G364" i="26" s="1"/>
  <c r="H365" i="26" l="1"/>
  <c r="E365" i="26"/>
  <c r="I365" i="26" l="1"/>
  <c r="C366" i="26" s="1"/>
  <c r="F365" i="26"/>
  <c r="G365" i="26" s="1"/>
  <c r="H366" i="26" l="1"/>
  <c r="E366" i="26"/>
  <c r="I366" i="26" l="1"/>
  <c r="C367" i="26" s="1"/>
  <c r="F366" i="26"/>
  <c r="G366" i="26" s="1"/>
  <c r="H367" i="26" l="1"/>
  <c r="E367" i="26"/>
  <c r="F367" i="26" l="1"/>
  <c r="G367" i="26" s="1"/>
  <c r="I367" i="26"/>
  <c r="C368" i="26" s="1"/>
  <c r="H368" i="26" l="1"/>
  <c r="E368" i="26"/>
  <c r="I368" i="26" l="1"/>
  <c r="C369" i="26" s="1"/>
  <c r="F368" i="26"/>
  <c r="G368" i="26" s="1"/>
  <c r="H369" i="26" l="1"/>
  <c r="E369" i="26"/>
  <c r="I369" i="26" l="1"/>
  <c r="C370" i="26" s="1"/>
  <c r="F369" i="26"/>
  <c r="G369" i="26" s="1"/>
  <c r="H370" i="26" l="1"/>
  <c r="E370" i="26"/>
  <c r="I370" i="26" l="1"/>
  <c r="C371" i="26" s="1"/>
  <c r="F370" i="26"/>
  <c r="G370" i="26" s="1"/>
  <c r="H371" i="26" l="1"/>
  <c r="E371" i="26"/>
  <c r="I371" i="26" l="1"/>
  <c r="C372" i="26" s="1"/>
  <c r="F371" i="26"/>
  <c r="G371" i="26" s="1"/>
  <c r="H372" i="26" l="1"/>
  <c r="E372" i="26"/>
  <c r="F372" i="26" l="1"/>
  <c r="G372" i="26" s="1"/>
  <c r="I372" i="26"/>
  <c r="C373" i="26" s="1"/>
  <c r="H373" i="26" l="1"/>
  <c r="E373" i="26"/>
  <c r="I373" i="26" l="1"/>
  <c r="C374" i="26" s="1"/>
  <c r="F373" i="26"/>
  <c r="G373" i="26" s="1"/>
  <c r="H374" i="26" l="1"/>
  <c r="E374" i="26"/>
  <c r="I374" i="26" l="1"/>
  <c r="C375" i="26" s="1"/>
  <c r="F374" i="26"/>
  <c r="G374" i="26" s="1"/>
  <c r="H375" i="26" l="1"/>
  <c r="E375" i="26"/>
  <c r="I375" i="26" l="1"/>
  <c r="C376" i="26" s="1"/>
  <c r="F375" i="26"/>
  <c r="G375" i="26" s="1"/>
  <c r="H376" i="26" l="1"/>
  <c r="E376" i="26"/>
  <c r="F376" i="26" l="1"/>
  <c r="G376" i="26" s="1"/>
  <c r="I376" i="26"/>
  <c r="C377" i="26" s="1"/>
  <c r="H377" i="26" l="1"/>
  <c r="H10" i="26" s="1"/>
  <c r="D3" i="20" s="1"/>
  <c r="E377" i="26"/>
  <c r="H9" i="26" l="1"/>
  <c r="F377" i="26"/>
  <c r="G377" i="26" s="1"/>
  <c r="I377" i="26"/>
  <c r="H8" i="26" s="1"/>
  <c r="B4" i="8"/>
  <c r="B8" i="8"/>
  <c r="C24" i="8" s="1"/>
  <c r="C23" i="8" l="1"/>
  <c r="E24" i="8"/>
  <c r="D24" i="8"/>
  <c r="F24" i="8"/>
  <c r="D30" i="8" l="1"/>
  <c r="E23" i="8"/>
  <c r="E29" i="8" s="1"/>
  <c r="D23" i="8"/>
  <c r="D29" i="8" s="1"/>
  <c r="F23" i="8"/>
  <c r="F29" i="8" s="1"/>
  <c r="E30" i="8"/>
  <c r="F30" i="8"/>
  <c r="D25" i="8" l="1"/>
  <c r="D26" i="8" s="1"/>
  <c r="F31" i="8"/>
  <c r="F33" i="8" s="1"/>
  <c r="E4" i="18" s="1"/>
  <c r="F4" i="18" s="1"/>
  <c r="E31" i="8"/>
  <c r="E33" i="8" s="1"/>
  <c r="D4" i="18" s="1"/>
  <c r="D10" i="18" s="1"/>
  <c r="D15" i="18" s="1"/>
  <c r="F25" i="8"/>
  <c r="E25" i="8"/>
  <c r="D31" i="8"/>
  <c r="D33" i="8" s="1"/>
  <c r="C4" i="18" s="1"/>
  <c r="E10" i="18" l="1"/>
  <c r="E14" i="18"/>
  <c r="D14" i="18"/>
  <c r="D17" i="18" s="1"/>
  <c r="D18" i="18" s="1"/>
  <c r="F10" i="18"/>
  <c r="F15" i="18" s="1"/>
  <c r="G4" i="18"/>
  <c r="F14" i="18"/>
  <c r="C14" i="18"/>
  <c r="B40" i="33" s="1"/>
  <c r="C10" i="18"/>
  <c r="C15" i="18" s="1"/>
  <c r="B41" i="33" s="1"/>
  <c r="E26" i="8"/>
  <c r="D32" i="18"/>
  <c r="D34" i="18"/>
  <c r="D33" i="18"/>
  <c r="D29" i="18"/>
  <c r="D31" i="18"/>
  <c r="F26" i="8"/>
  <c r="F17" i="18" l="1"/>
  <c r="F18" i="18" s="1"/>
  <c r="E34" i="18"/>
  <c r="E15" i="18"/>
  <c r="E17" i="18" s="1"/>
  <c r="E18" i="18" s="1"/>
  <c r="C17" i="18"/>
  <c r="C18" i="18" s="1"/>
  <c r="E29" i="18"/>
  <c r="E32" i="18"/>
  <c r="E31" i="18"/>
  <c r="E33" i="18"/>
  <c r="C34" i="18"/>
  <c r="B44" i="33" s="1"/>
  <c r="C29" i="18"/>
  <c r="C31" i="18"/>
  <c r="B38" i="33" s="1"/>
  <c r="C32" i="18"/>
  <c r="B46" i="33" s="1"/>
  <c r="C33" i="18"/>
  <c r="B43" i="33" s="1"/>
  <c r="F32" i="18"/>
  <c r="F29" i="18"/>
  <c r="F33" i="18"/>
  <c r="F34" i="18"/>
  <c r="F31" i="18"/>
  <c r="D35" i="18"/>
  <c r="G10" i="18"/>
  <c r="G15" i="18" s="1"/>
  <c r="H4" i="18"/>
  <c r="G14" i="18"/>
  <c r="B47" i="33" l="1"/>
  <c r="G17" i="18"/>
  <c r="G18" i="18" s="1"/>
  <c r="E35" i="18"/>
  <c r="G29" i="18"/>
  <c r="G31" i="18"/>
  <c r="G33" i="18"/>
  <c r="G34" i="18"/>
  <c r="G32" i="18"/>
  <c r="D36" i="18"/>
  <c r="D38" i="18"/>
  <c r="D33" i="21" s="1"/>
  <c r="I4" i="18"/>
  <c r="H10" i="18"/>
  <c r="H15" i="18" s="1"/>
  <c r="H14" i="18"/>
  <c r="F35" i="18"/>
  <c r="C35" i="18"/>
  <c r="E38" i="18" l="1"/>
  <c r="H17" i="18"/>
  <c r="H18" i="18" s="1"/>
  <c r="E36" i="18"/>
  <c r="G35" i="18"/>
  <c r="C36" i="18"/>
  <c r="C38" i="18"/>
  <c r="D32" i="21" s="1"/>
  <c r="I10" i="18"/>
  <c r="I15" i="18" s="1"/>
  <c r="I14" i="18"/>
  <c r="J4" i="18"/>
  <c r="F36" i="18"/>
  <c r="F38" i="18"/>
  <c r="H29" i="18"/>
  <c r="H33" i="18"/>
  <c r="H31" i="18"/>
  <c r="H34" i="18"/>
  <c r="H32" i="18"/>
  <c r="D39" i="18"/>
  <c r="D40" i="18"/>
  <c r="D44" i="18" l="1"/>
  <c r="C2" i="24"/>
  <c r="D35" i="21"/>
  <c r="D39" i="21"/>
  <c r="D43" i="21"/>
  <c r="D47" i="21"/>
  <c r="D51" i="21"/>
  <c r="D55" i="21"/>
  <c r="D38" i="21"/>
  <c r="D42" i="21"/>
  <c r="D46" i="21"/>
  <c r="D50" i="21"/>
  <c r="D54" i="21"/>
  <c r="D37" i="21"/>
  <c r="D41" i="21"/>
  <c r="D45" i="21"/>
  <c r="D49" i="21"/>
  <c r="D53" i="21"/>
  <c r="D36" i="21"/>
  <c r="D40" i="21"/>
  <c r="D44" i="21"/>
  <c r="D48" i="21"/>
  <c r="D52" i="21"/>
  <c r="D56" i="21"/>
  <c r="E40" i="18"/>
  <c r="C34" i="21" s="1"/>
  <c r="D34" i="21"/>
  <c r="E39" i="18"/>
  <c r="I17" i="18"/>
  <c r="I18" i="18" s="1"/>
  <c r="G36" i="18"/>
  <c r="G38" i="18"/>
  <c r="I29" i="18"/>
  <c r="I34" i="18"/>
  <c r="I31" i="18"/>
  <c r="I33" i="18"/>
  <c r="I32" i="18"/>
  <c r="C39" i="18"/>
  <c r="C40" i="18"/>
  <c r="C24" i="22"/>
  <c r="D41" i="18"/>
  <c r="C33" i="21"/>
  <c r="F39" i="18"/>
  <c r="F40" i="18"/>
  <c r="C35" i="21" s="1"/>
  <c r="J14" i="18"/>
  <c r="K4" i="18"/>
  <c r="J10" i="18"/>
  <c r="J15" i="18" s="1"/>
  <c r="H35" i="18"/>
  <c r="E2" i="24" l="1"/>
  <c r="C26" i="22"/>
  <c r="B15" i="13"/>
  <c r="C25" i="22"/>
  <c r="E41" i="18"/>
  <c r="D2" i="24"/>
  <c r="C44" i="18"/>
  <c r="B2" i="24"/>
  <c r="E44" i="18"/>
  <c r="J17" i="18"/>
  <c r="J18" i="18" s="1"/>
  <c r="I35" i="18"/>
  <c r="J33" i="18"/>
  <c r="J32" i="18"/>
  <c r="J34" i="18"/>
  <c r="J29" i="18"/>
  <c r="J31" i="18"/>
  <c r="C23" i="22"/>
  <c r="C32" i="21"/>
  <c r="C41" i="18"/>
  <c r="G39" i="18"/>
  <c r="G40" i="18"/>
  <c r="C36" i="21" s="1"/>
  <c r="F41" i="18"/>
  <c r="F44" i="18"/>
  <c r="H36" i="18"/>
  <c r="H38" i="18"/>
  <c r="L4" i="18"/>
  <c r="K14" i="18"/>
  <c r="K10" i="18"/>
  <c r="K15" i="18" s="1"/>
  <c r="F2" i="24" l="1"/>
  <c r="C27" i="22"/>
  <c r="I36" i="18"/>
  <c r="K17" i="18"/>
  <c r="K18" i="18" s="1"/>
  <c r="I38" i="18"/>
  <c r="I40" i="18" s="1"/>
  <c r="C38" i="21" s="1"/>
  <c r="J35" i="18"/>
  <c r="M4" i="18"/>
  <c r="L10" i="18"/>
  <c r="L15" i="18" s="1"/>
  <c r="L14" i="18"/>
  <c r="K34" i="18"/>
  <c r="K33" i="18"/>
  <c r="K32" i="18"/>
  <c r="K31" i="18"/>
  <c r="K29" i="18"/>
  <c r="G41" i="18"/>
  <c r="G44" i="18"/>
  <c r="C45" i="18"/>
  <c r="H39" i="18"/>
  <c r="H40" i="18"/>
  <c r="C37" i="21" s="1"/>
  <c r="H2" i="24" l="1"/>
  <c r="C29" i="22"/>
  <c r="G2" i="24"/>
  <c r="C28" i="22"/>
  <c r="J36" i="18"/>
  <c r="C56" i="18"/>
  <c r="C57" i="18" s="1"/>
  <c r="L17" i="18"/>
  <c r="L18" i="18" s="1"/>
  <c r="I39" i="18"/>
  <c r="J38" i="18"/>
  <c r="K35" i="18"/>
  <c r="D45" i="18"/>
  <c r="M14" i="18"/>
  <c r="M10" i="18"/>
  <c r="M15" i="18" s="1"/>
  <c r="N4" i="18"/>
  <c r="H41" i="18"/>
  <c r="H44" i="18"/>
  <c r="I41" i="18"/>
  <c r="I44" i="18"/>
  <c r="L32" i="18"/>
  <c r="L29" i="18"/>
  <c r="L33" i="18"/>
  <c r="L31" i="18"/>
  <c r="L34" i="18"/>
  <c r="C47" i="18" l="1"/>
  <c r="C48" i="18" s="1"/>
  <c r="K36" i="18"/>
  <c r="D56" i="18"/>
  <c r="D57" i="18" s="1"/>
  <c r="M17" i="18"/>
  <c r="M18" i="18" s="1"/>
  <c r="J39" i="18"/>
  <c r="J40" i="18"/>
  <c r="C39" i="21" s="1"/>
  <c r="K38" i="18"/>
  <c r="K40" i="18" s="1"/>
  <c r="C40" i="21" s="1"/>
  <c r="M32" i="18"/>
  <c r="M33" i="18"/>
  <c r="M34" i="18"/>
  <c r="M29" i="18"/>
  <c r="M31" i="18"/>
  <c r="L35" i="18"/>
  <c r="N14" i="18"/>
  <c r="O4" i="18"/>
  <c r="N10" i="18"/>
  <c r="N15" i="18" s="1"/>
  <c r="E45" i="18"/>
  <c r="J2" i="24" l="1"/>
  <c r="C31" i="22"/>
  <c r="I2" i="24"/>
  <c r="C30" i="22"/>
  <c r="B8" i="24"/>
  <c r="B12" i="24" s="1"/>
  <c r="C17" i="23" s="1"/>
  <c r="E17" i="23" s="1"/>
  <c r="F17" i="23" s="1"/>
  <c r="G17" i="23" s="1"/>
  <c r="C49" i="18"/>
  <c r="D24" i="31" s="1"/>
  <c r="D23" i="22"/>
  <c r="F23" i="22" s="1"/>
  <c r="G23" i="22" s="1"/>
  <c r="H23" i="22" s="1"/>
  <c r="D47" i="18"/>
  <c r="D48" i="18" s="1"/>
  <c r="C8" i="24" s="1"/>
  <c r="C12" i="24" s="1"/>
  <c r="C18" i="23" s="1"/>
  <c r="E56" i="18"/>
  <c r="E57" i="18" s="1"/>
  <c r="K39" i="18"/>
  <c r="N17" i="18"/>
  <c r="N18" i="18" s="1"/>
  <c r="J44" i="18"/>
  <c r="J41" i="18"/>
  <c r="O14" i="18"/>
  <c r="P4" i="18"/>
  <c r="O10" i="18"/>
  <c r="O15" i="18" s="1"/>
  <c r="L36" i="18"/>
  <c r="L38" i="18"/>
  <c r="K41" i="18"/>
  <c r="K44" i="18"/>
  <c r="M35" i="18"/>
  <c r="N32" i="18"/>
  <c r="N33" i="18"/>
  <c r="N34" i="18"/>
  <c r="N31" i="18"/>
  <c r="N29" i="18"/>
  <c r="F45" i="18"/>
  <c r="D49" i="18" l="1"/>
  <c r="E24" i="31" s="1"/>
  <c r="D24" i="22"/>
  <c r="F24" i="22" s="1"/>
  <c r="G24" i="22" s="1"/>
  <c r="H24" i="22" s="1"/>
  <c r="E47" i="18"/>
  <c r="E48" i="18" s="1"/>
  <c r="E18" i="23"/>
  <c r="F18" i="23" s="1"/>
  <c r="G18" i="23" s="1"/>
  <c r="F56" i="18"/>
  <c r="F57" i="18" s="1"/>
  <c r="O17" i="18"/>
  <c r="O18" i="18" s="1"/>
  <c r="G45" i="18"/>
  <c r="Q4" i="18"/>
  <c r="P14" i="18"/>
  <c r="P10" i="18"/>
  <c r="P15" i="18" s="1"/>
  <c r="O34" i="18"/>
  <c r="O29" i="18"/>
  <c r="O31" i="18"/>
  <c r="O33" i="18"/>
  <c r="O32" i="18"/>
  <c r="M36" i="18"/>
  <c r="M38" i="18"/>
  <c r="H17" i="23"/>
  <c r="N35" i="18"/>
  <c r="I23" i="22"/>
  <c r="L39" i="18"/>
  <c r="L40" i="18"/>
  <c r="C41" i="21" s="1"/>
  <c r="K2" i="24" l="1"/>
  <c r="C32" i="22"/>
  <c r="D8" i="24"/>
  <c r="D12" i="24" s="1"/>
  <c r="C19" i="23" s="1"/>
  <c r="E19" i="23" s="1"/>
  <c r="F19" i="23" s="1"/>
  <c r="G19" i="23" s="1"/>
  <c r="D25" i="22"/>
  <c r="F25" i="22" s="1"/>
  <c r="G25" i="22" s="1"/>
  <c r="H25" i="22" s="1"/>
  <c r="E49" i="18"/>
  <c r="F24" i="31" s="1"/>
  <c r="F47" i="18"/>
  <c r="F48" i="18" s="1"/>
  <c r="G56" i="18"/>
  <c r="G57" i="18" s="1"/>
  <c r="P17" i="18"/>
  <c r="P18" i="18" s="1"/>
  <c r="N36" i="18"/>
  <c r="N38" i="18"/>
  <c r="H45" i="18"/>
  <c r="M39" i="18"/>
  <c r="M40" i="18"/>
  <c r="C42" i="21" s="1"/>
  <c r="Q10" i="18"/>
  <c r="Q15" i="18" s="1"/>
  <c r="Q14" i="18"/>
  <c r="R4" i="18"/>
  <c r="L41" i="18"/>
  <c r="L44" i="18"/>
  <c r="I24" i="22"/>
  <c r="H18" i="23"/>
  <c r="P29" i="18"/>
  <c r="P33" i="18"/>
  <c r="P34" i="18"/>
  <c r="P31" i="18"/>
  <c r="P32" i="18"/>
  <c r="O35" i="18"/>
  <c r="B16" i="24" l="1"/>
  <c r="C33" i="22"/>
  <c r="F49" i="18"/>
  <c r="E8" i="24"/>
  <c r="E12" i="24" s="1"/>
  <c r="C20" i="23" s="1"/>
  <c r="E20" i="23" s="1"/>
  <c r="F20" i="23" s="1"/>
  <c r="G20" i="23" s="1"/>
  <c r="D26" i="22"/>
  <c r="F26" i="22" s="1"/>
  <c r="G26" i="22" s="1"/>
  <c r="H26" i="22" s="1"/>
  <c r="G47" i="18"/>
  <c r="G48" i="18" s="1"/>
  <c r="G34" i="21"/>
  <c r="H34" i="21" s="1"/>
  <c r="G38" i="21"/>
  <c r="H38" i="21" s="1"/>
  <c r="G33" i="21"/>
  <c r="H33" i="21" s="1"/>
  <c r="G32" i="21"/>
  <c r="H32" i="21" s="1"/>
  <c r="I32" i="21" s="1"/>
  <c r="G36" i="21"/>
  <c r="H36" i="21" s="1"/>
  <c r="G40" i="21"/>
  <c r="H40" i="21" s="1"/>
  <c r="G35" i="21"/>
  <c r="H35" i="21" s="1"/>
  <c r="G39" i="21"/>
  <c r="H39" i="21" s="1"/>
  <c r="G37" i="21"/>
  <c r="H37" i="21" s="1"/>
  <c r="H56" i="18"/>
  <c r="H57" i="18" s="1"/>
  <c r="Q17" i="18"/>
  <c r="Q18" i="18" s="1"/>
  <c r="P35" i="18"/>
  <c r="P36" i="18" s="1"/>
  <c r="H19" i="23"/>
  <c r="M41" i="18"/>
  <c r="M44" i="18"/>
  <c r="Q29" i="18"/>
  <c r="Q32" i="18"/>
  <c r="Q34" i="18"/>
  <c r="Q33" i="18"/>
  <c r="Q31" i="18"/>
  <c r="I45" i="18"/>
  <c r="N39" i="18"/>
  <c r="N40" i="18"/>
  <c r="C43" i="21" s="1"/>
  <c r="I25" i="22"/>
  <c r="O36" i="18"/>
  <c r="O38" i="18"/>
  <c r="G41" i="21"/>
  <c r="R14" i="18"/>
  <c r="R10" i="18"/>
  <c r="R15" i="18" s="1"/>
  <c r="S4" i="18"/>
  <c r="C16" i="24" l="1"/>
  <c r="C34" i="22"/>
  <c r="F8" i="24"/>
  <c r="F12" i="24" s="1"/>
  <c r="C21" i="23" s="1"/>
  <c r="E21" i="23" s="1"/>
  <c r="F21" i="23" s="1"/>
  <c r="G21" i="23" s="1"/>
  <c r="D27" i="22"/>
  <c r="F27" i="22" s="1"/>
  <c r="G27" i="22" s="1"/>
  <c r="H27" i="22" s="1"/>
  <c r="G49" i="18"/>
  <c r="H47" i="18"/>
  <c r="H48" i="18" s="1"/>
  <c r="I33" i="21"/>
  <c r="J32" i="21"/>
  <c r="I56" i="18"/>
  <c r="I57" i="18" s="1"/>
  <c r="R17" i="18"/>
  <c r="R18" i="18" s="1"/>
  <c r="Q35" i="18"/>
  <c r="Q36" i="18" s="1"/>
  <c r="P38" i="18"/>
  <c r="P40" i="18" s="1"/>
  <c r="C45" i="21" s="1"/>
  <c r="H20" i="23"/>
  <c r="R32" i="18"/>
  <c r="R31" i="18"/>
  <c r="R33" i="18"/>
  <c r="R29" i="18"/>
  <c r="R34" i="18"/>
  <c r="I26" i="22"/>
  <c r="J45" i="18"/>
  <c r="G42" i="21"/>
  <c r="H42" i="21" s="1"/>
  <c r="H41" i="21"/>
  <c r="O39" i="18"/>
  <c r="O40" i="18"/>
  <c r="C44" i="21" s="1"/>
  <c r="N41" i="18"/>
  <c r="N44" i="18"/>
  <c r="T4" i="18"/>
  <c r="S10" i="18"/>
  <c r="S15" i="18" s="1"/>
  <c r="S14" i="18"/>
  <c r="E16" i="24" l="1"/>
  <c r="C36" i="22"/>
  <c r="D16" i="24"/>
  <c r="C35" i="22"/>
  <c r="G8" i="24"/>
  <c r="G12" i="24" s="1"/>
  <c r="C22" i="23" s="1"/>
  <c r="E22" i="23" s="1"/>
  <c r="F22" i="23" s="1"/>
  <c r="G22" i="23" s="1"/>
  <c r="D28" i="22"/>
  <c r="F28" i="22" s="1"/>
  <c r="G28" i="22" s="1"/>
  <c r="H28" i="22" s="1"/>
  <c r="H49" i="18"/>
  <c r="I47" i="18"/>
  <c r="I48" i="18" s="1"/>
  <c r="J33" i="21"/>
  <c r="I34" i="21"/>
  <c r="J56" i="18"/>
  <c r="J57" i="18" s="1"/>
  <c r="S17" i="18"/>
  <c r="S18" i="18" s="1"/>
  <c r="P39" i="18"/>
  <c r="Q38" i="18"/>
  <c r="Q40" i="18" s="1"/>
  <c r="C46" i="21" s="1"/>
  <c r="R35" i="18"/>
  <c r="I27" i="22"/>
  <c r="H21" i="23"/>
  <c r="O44" i="18"/>
  <c r="O41" i="18"/>
  <c r="P44" i="18"/>
  <c r="P41" i="18"/>
  <c r="S34" i="18"/>
  <c r="S32" i="18"/>
  <c r="S31" i="18"/>
  <c r="S29" i="18"/>
  <c r="S33" i="18"/>
  <c r="U4" i="18"/>
  <c r="T14" i="18"/>
  <c r="T10" i="18"/>
  <c r="T15" i="18" s="1"/>
  <c r="G43" i="21"/>
  <c r="H43" i="21" s="1"/>
  <c r="K45" i="18"/>
  <c r="F16" i="24" l="1"/>
  <c r="C37" i="22"/>
  <c r="D29" i="22"/>
  <c r="F29" i="22" s="1"/>
  <c r="G29" i="22" s="1"/>
  <c r="H29" i="22" s="1"/>
  <c r="I49" i="18"/>
  <c r="H8" i="24"/>
  <c r="H12" i="24" s="1"/>
  <c r="C23" i="23" s="1"/>
  <c r="E23" i="23" s="1"/>
  <c r="F23" i="23" s="1"/>
  <c r="G23" i="23" s="1"/>
  <c r="J47" i="18"/>
  <c r="J48" i="18" s="1"/>
  <c r="J34" i="21"/>
  <c r="I35" i="21"/>
  <c r="K56" i="18"/>
  <c r="K57" i="18" s="1"/>
  <c r="Q39" i="18"/>
  <c r="T17" i="18"/>
  <c r="T18" i="18" s="1"/>
  <c r="S35" i="18"/>
  <c r="S36" i="18" s="1"/>
  <c r="R36" i="18"/>
  <c r="R38" i="18"/>
  <c r="H22" i="23"/>
  <c r="I28" i="22"/>
  <c r="G44" i="21"/>
  <c r="H44" i="21" s="1"/>
  <c r="U14" i="18"/>
  <c r="V4" i="18"/>
  <c r="U10" i="18"/>
  <c r="U15" i="18" s="1"/>
  <c r="Q41" i="18"/>
  <c r="Q44" i="18"/>
  <c r="L45" i="18"/>
  <c r="T32" i="18"/>
  <c r="T29" i="18"/>
  <c r="T33" i="18"/>
  <c r="T31" i="18"/>
  <c r="T34" i="18"/>
  <c r="D30" i="22" l="1"/>
  <c r="F30" i="22" s="1"/>
  <c r="G30" i="22" s="1"/>
  <c r="H30" i="22" s="1"/>
  <c r="J49" i="18"/>
  <c r="I8" i="24"/>
  <c r="I12" i="24" s="1"/>
  <c r="C24" i="23" s="1"/>
  <c r="E24" i="23" s="1"/>
  <c r="F24" i="23" s="1"/>
  <c r="G24" i="23" s="1"/>
  <c r="K47" i="18"/>
  <c r="K48" i="18" s="1"/>
  <c r="I36" i="21"/>
  <c r="J35" i="21"/>
  <c r="L56" i="18"/>
  <c r="L57" i="18" s="1"/>
  <c r="U17" i="18"/>
  <c r="U18" i="18" s="1"/>
  <c r="S38" i="18"/>
  <c r="S39" i="18" s="1"/>
  <c r="R39" i="18"/>
  <c r="R40" i="18"/>
  <c r="C47" i="21" s="1"/>
  <c r="U34" i="18"/>
  <c r="U32" i="18"/>
  <c r="U33" i="18"/>
  <c r="U31" i="18"/>
  <c r="U29" i="18"/>
  <c r="M45" i="18"/>
  <c r="G45" i="21"/>
  <c r="H45" i="21" s="1"/>
  <c r="H23" i="23"/>
  <c r="T35" i="18"/>
  <c r="I29" i="22"/>
  <c r="V10" i="18"/>
  <c r="V15" i="18" s="1"/>
  <c r="V14" i="18"/>
  <c r="W4" i="18"/>
  <c r="G16" i="24" l="1"/>
  <c r="C38" i="22"/>
  <c r="D31" i="22"/>
  <c r="F31" i="22" s="1"/>
  <c r="G31" i="22" s="1"/>
  <c r="H31" i="22" s="1"/>
  <c r="J8" i="24"/>
  <c r="J12" i="24" s="1"/>
  <c r="C25" i="23" s="1"/>
  <c r="E25" i="23" s="1"/>
  <c r="F25" i="23" s="1"/>
  <c r="G25" i="23" s="1"/>
  <c r="K49" i="18"/>
  <c r="L47" i="18"/>
  <c r="L48" i="18" s="1"/>
  <c r="J36" i="21"/>
  <c r="I37" i="21"/>
  <c r="M56" i="18"/>
  <c r="M57" i="18" s="1"/>
  <c r="V17" i="18"/>
  <c r="V18" i="18" s="1"/>
  <c r="S40" i="18"/>
  <c r="U35" i="18"/>
  <c r="U36" i="18" s="1"/>
  <c r="R41" i="18"/>
  <c r="R44" i="18"/>
  <c r="H24" i="23"/>
  <c r="T36" i="18"/>
  <c r="T38" i="18"/>
  <c r="G46" i="21"/>
  <c r="H46" i="21" s="1"/>
  <c r="N45" i="18"/>
  <c r="V33" i="18"/>
  <c r="V32" i="18"/>
  <c r="V29" i="18"/>
  <c r="V34" i="18"/>
  <c r="V31" i="18"/>
  <c r="X4" i="18"/>
  <c r="W14" i="18"/>
  <c r="W10" i="18"/>
  <c r="W15" i="18" s="1"/>
  <c r="I30" i="22"/>
  <c r="C39" i="22" l="1"/>
  <c r="C48" i="21"/>
  <c r="S41" i="18"/>
  <c r="H16" i="24"/>
  <c r="D32" i="22"/>
  <c r="F32" i="22" s="1"/>
  <c r="G32" i="22" s="1"/>
  <c r="H32" i="22" s="1"/>
  <c r="K8" i="24"/>
  <c r="K12" i="24" s="1"/>
  <c r="C26" i="23" s="1"/>
  <c r="E26" i="23" s="1"/>
  <c r="F26" i="23" s="1"/>
  <c r="G26" i="23" s="1"/>
  <c r="L49" i="18"/>
  <c r="M47" i="18"/>
  <c r="M48" i="18" s="1"/>
  <c r="I38" i="21"/>
  <c r="J37" i="21"/>
  <c r="N56" i="18"/>
  <c r="N57" i="18" s="1"/>
  <c r="W17" i="18"/>
  <c r="W18" i="18" s="1"/>
  <c r="S44" i="18"/>
  <c r="U38" i="18"/>
  <c r="U39" i="18" s="1"/>
  <c r="O45" i="18"/>
  <c r="W32" i="18"/>
  <c r="W33" i="18"/>
  <c r="W34" i="18"/>
  <c r="W31" i="18"/>
  <c r="W29" i="18"/>
  <c r="G47" i="21"/>
  <c r="H47" i="21" s="1"/>
  <c r="H25" i="23"/>
  <c r="I31" i="22"/>
  <c r="X14" i="18"/>
  <c r="X10" i="18"/>
  <c r="X15" i="18" s="1"/>
  <c r="Y4" i="18"/>
  <c r="T39" i="18"/>
  <c r="T40" i="18"/>
  <c r="C49" i="21" s="1"/>
  <c r="V35" i="18"/>
  <c r="I16" i="24" l="1"/>
  <c r="C40" i="22"/>
  <c r="B22" i="24"/>
  <c r="B26" i="24" s="1"/>
  <c r="C27" i="23" s="1"/>
  <c r="E27" i="23" s="1"/>
  <c r="F27" i="23" s="1"/>
  <c r="G27" i="23" s="1"/>
  <c r="M49" i="18"/>
  <c r="D33" i="22"/>
  <c r="F33" i="22" s="1"/>
  <c r="G33" i="22" s="1"/>
  <c r="H33" i="22" s="1"/>
  <c r="N47" i="18"/>
  <c r="N48" i="18" s="1"/>
  <c r="O56" i="18"/>
  <c r="O57" i="18" s="1"/>
  <c r="O47" i="18" s="1"/>
  <c r="O48" i="18" s="1"/>
  <c r="O49" i="18" s="1"/>
  <c r="J38" i="21"/>
  <c r="I39" i="21"/>
  <c r="P45" i="18"/>
  <c r="X17" i="18"/>
  <c r="X18" i="18" s="1"/>
  <c r="U40" i="18"/>
  <c r="I32" i="22"/>
  <c r="H26" i="23"/>
  <c r="V36" i="18"/>
  <c r="V38" i="18"/>
  <c r="T41" i="18"/>
  <c r="T44" i="18"/>
  <c r="X32" i="18"/>
  <c r="X34" i="18"/>
  <c r="X29" i="18"/>
  <c r="X31" i="18"/>
  <c r="X33" i="18"/>
  <c r="Z4" i="18"/>
  <c r="Y14" i="18"/>
  <c r="Y10" i="18"/>
  <c r="Y15" i="18" s="1"/>
  <c r="G48" i="21"/>
  <c r="H48" i="21" s="1"/>
  <c r="W35" i="18"/>
  <c r="C41" i="22" l="1"/>
  <c r="C50" i="21"/>
  <c r="U41" i="18"/>
  <c r="J16" i="24"/>
  <c r="D34" i="22"/>
  <c r="F34" i="22" s="1"/>
  <c r="G34" i="22" s="1"/>
  <c r="H34" i="22" s="1"/>
  <c r="N49" i="18"/>
  <c r="C22" i="24"/>
  <c r="C26" i="24" s="1"/>
  <c r="C28" i="23" s="1"/>
  <c r="E28" i="23" s="1"/>
  <c r="F28" i="23" s="1"/>
  <c r="G28" i="23" s="1"/>
  <c r="D35" i="22"/>
  <c r="F35" i="22" s="1"/>
  <c r="G35" i="22" s="1"/>
  <c r="D22" i="24"/>
  <c r="D26" i="24" s="1"/>
  <c r="C29" i="23" s="1"/>
  <c r="E29" i="23" s="1"/>
  <c r="F29" i="23" s="1"/>
  <c r="P56" i="18"/>
  <c r="P57" i="18" s="1"/>
  <c r="P47" i="18" s="1"/>
  <c r="P48" i="18" s="1"/>
  <c r="D36" i="22" s="1"/>
  <c r="F36" i="22" s="1"/>
  <c r="G36" i="22" s="1"/>
  <c r="I40" i="21"/>
  <c r="J39" i="21"/>
  <c r="Q45" i="18"/>
  <c r="Y17" i="18"/>
  <c r="Y18" i="18" s="1"/>
  <c r="U44" i="18"/>
  <c r="X35" i="18"/>
  <c r="X36" i="18" s="1"/>
  <c r="Y32" i="18"/>
  <c r="Y33" i="18"/>
  <c r="Y31" i="18"/>
  <c r="Y29" i="18"/>
  <c r="Y34" i="18"/>
  <c r="I33" i="22"/>
  <c r="W36" i="18"/>
  <c r="W38" i="18"/>
  <c r="Z14" i="18"/>
  <c r="AA4" i="18"/>
  <c r="Z10" i="18"/>
  <c r="Z15" i="18" s="1"/>
  <c r="V39" i="18"/>
  <c r="V40" i="18"/>
  <c r="C51" i="21" s="1"/>
  <c r="G49" i="21"/>
  <c r="H49" i="21" s="1"/>
  <c r="H27" i="23"/>
  <c r="K16" i="24" l="1"/>
  <c r="C42" i="22"/>
  <c r="E22" i="24"/>
  <c r="E26" i="24" s="1"/>
  <c r="C30" i="23" s="1"/>
  <c r="E30" i="23" s="1"/>
  <c r="F30" i="23" s="1"/>
  <c r="P49" i="18"/>
  <c r="Q56" i="18"/>
  <c r="Q57" i="18" s="1"/>
  <c r="Q47" i="18" s="1"/>
  <c r="Q48" i="18" s="1"/>
  <c r="Q49" i="18" s="1"/>
  <c r="I41" i="21"/>
  <c r="J40" i="21"/>
  <c r="R45" i="18"/>
  <c r="Z17" i="18"/>
  <c r="Z18" i="18" s="1"/>
  <c r="X38" i="18"/>
  <c r="X40" i="18" s="1"/>
  <c r="C53" i="21" s="1"/>
  <c r="H28" i="23"/>
  <c r="G29" i="23"/>
  <c r="AA10" i="18"/>
  <c r="AA15" i="18" s="1"/>
  <c r="AA14" i="18"/>
  <c r="Z34" i="18"/>
  <c r="Z33" i="18"/>
  <c r="Z29" i="18"/>
  <c r="Z31" i="18"/>
  <c r="Z32" i="18"/>
  <c r="I34" i="22"/>
  <c r="H35" i="22"/>
  <c r="Y35" i="18"/>
  <c r="G50" i="21"/>
  <c r="H50" i="21" s="1"/>
  <c r="V41" i="18"/>
  <c r="V44" i="18"/>
  <c r="W39" i="18"/>
  <c r="W40" i="18"/>
  <c r="C52" i="21" s="1"/>
  <c r="C31" i="24" l="1"/>
  <c r="C44" i="22"/>
  <c r="B31" i="24"/>
  <c r="C43" i="22"/>
  <c r="F22" i="24"/>
  <c r="F26" i="24" s="1"/>
  <c r="C31" i="23" s="1"/>
  <c r="E31" i="23" s="1"/>
  <c r="F31" i="23" s="1"/>
  <c r="D37" i="22"/>
  <c r="F37" i="22" s="1"/>
  <c r="G37" i="22" s="1"/>
  <c r="R56" i="18"/>
  <c r="R57" i="18" s="1"/>
  <c r="R47" i="18" s="1"/>
  <c r="R48" i="18" s="1"/>
  <c r="G22" i="24" s="1"/>
  <c r="G26" i="24" s="1"/>
  <c r="C32" i="23" s="1"/>
  <c r="I42" i="21"/>
  <c r="J41" i="21"/>
  <c r="S45" i="18"/>
  <c r="AA17" i="18"/>
  <c r="AA18" i="18" s="1"/>
  <c r="X39" i="18"/>
  <c r="Z35" i="18"/>
  <c r="Z36" i="18" s="1"/>
  <c r="W41" i="18"/>
  <c r="W44" i="18"/>
  <c r="Y36" i="18"/>
  <c r="Y38" i="18"/>
  <c r="G30" i="23"/>
  <c r="H29" i="23"/>
  <c r="G51" i="21"/>
  <c r="H51" i="21" s="1"/>
  <c r="AA33" i="18"/>
  <c r="AA34" i="18"/>
  <c r="AA29" i="18"/>
  <c r="AA32" i="18"/>
  <c r="AA31" i="18"/>
  <c r="X44" i="18"/>
  <c r="X41" i="18"/>
  <c r="H36" i="22"/>
  <c r="I35" i="22"/>
  <c r="R49" i="18" l="1"/>
  <c r="S56" i="18"/>
  <c r="S57" i="18" s="1"/>
  <c r="S47" i="18" s="1"/>
  <c r="S48" i="18" s="1"/>
  <c r="S49" i="18" s="1"/>
  <c r="D38" i="22"/>
  <c r="F38" i="22" s="1"/>
  <c r="G38" i="22" s="1"/>
  <c r="E32" i="23"/>
  <c r="F32" i="23" s="1"/>
  <c r="I43" i="21"/>
  <c r="J42" i="21"/>
  <c r="T45" i="18"/>
  <c r="AA35" i="18"/>
  <c r="Z38" i="18"/>
  <c r="Z40" i="18" s="1"/>
  <c r="C55" i="21" s="1"/>
  <c r="Y39" i="18"/>
  <c r="Y40" i="18"/>
  <c r="C54" i="21" s="1"/>
  <c r="H37" i="22"/>
  <c r="I36" i="22"/>
  <c r="G52" i="21"/>
  <c r="H52" i="21" s="1"/>
  <c r="H30" i="23"/>
  <c r="G31" i="23"/>
  <c r="E31" i="24" l="1"/>
  <c r="C46" i="22"/>
  <c r="D31" i="24"/>
  <c r="C45" i="22"/>
  <c r="H22" i="24"/>
  <c r="H26" i="24" s="1"/>
  <c r="C33" i="23" s="1"/>
  <c r="E33" i="23" s="1"/>
  <c r="F33" i="23" s="1"/>
  <c r="D39" i="22"/>
  <c r="F39" i="22" s="1"/>
  <c r="G39" i="22" s="1"/>
  <c r="T56" i="18"/>
  <c r="T57" i="18" s="1"/>
  <c r="T47" i="18" s="1"/>
  <c r="T48" i="18" s="1"/>
  <c r="D40" i="22" s="1"/>
  <c r="J43" i="21"/>
  <c r="I44" i="21"/>
  <c r="U45" i="18"/>
  <c r="Z39" i="18"/>
  <c r="AA36" i="18"/>
  <c r="AA38" i="18"/>
  <c r="I37" i="22"/>
  <c r="H38" i="22"/>
  <c r="Z41" i="18"/>
  <c r="Z44" i="18"/>
  <c r="G53" i="21"/>
  <c r="H53" i="21" s="1"/>
  <c r="G54" i="21"/>
  <c r="Y44" i="18"/>
  <c r="Y41" i="18"/>
  <c r="H31" i="23"/>
  <c r="G32" i="23"/>
  <c r="T49" i="18" l="1"/>
  <c r="U56" i="18"/>
  <c r="U57" i="18" s="1"/>
  <c r="U47" i="18" s="1"/>
  <c r="U48" i="18" s="1"/>
  <c r="I22" i="24"/>
  <c r="I26" i="24" s="1"/>
  <c r="C34" i="23" s="1"/>
  <c r="E34" i="23" s="1"/>
  <c r="F34" i="23" s="1"/>
  <c r="J44" i="21"/>
  <c r="I45" i="21"/>
  <c r="V45" i="18"/>
  <c r="AA39" i="18"/>
  <c r="AA40" i="18"/>
  <c r="C56" i="21" s="1"/>
  <c r="H32" i="23"/>
  <c r="G33" i="23"/>
  <c r="I38" i="22"/>
  <c r="H39" i="22"/>
  <c r="H54" i="21"/>
  <c r="G55" i="21"/>
  <c r="U49" i="18" l="1"/>
  <c r="D41" i="22"/>
  <c r="F41" i="22" s="1"/>
  <c r="G41" i="22" s="1"/>
  <c r="F31" i="24"/>
  <c r="C47" i="22"/>
  <c r="F40" i="22"/>
  <c r="G40" i="22" s="1"/>
  <c r="H40" i="22" s="1"/>
  <c r="J22" i="24"/>
  <c r="J26" i="24" s="1"/>
  <c r="C35" i="23" s="1"/>
  <c r="E35" i="23" s="1"/>
  <c r="F35" i="23" s="1"/>
  <c r="V56" i="18"/>
  <c r="V57" i="18" s="1"/>
  <c r="V47" i="18" s="1"/>
  <c r="V48" i="18" s="1"/>
  <c r="J45" i="21"/>
  <c r="I46" i="21"/>
  <c r="W45" i="18"/>
  <c r="AA41" i="18"/>
  <c r="AA44" i="18"/>
  <c r="G34" i="23"/>
  <c r="H33" i="23"/>
  <c r="I39" i="22"/>
  <c r="H55" i="21"/>
  <c r="G56" i="21"/>
  <c r="V49" i="18" l="1"/>
  <c r="D42" i="22"/>
  <c r="F42" i="22" s="1"/>
  <c r="G42" i="22" s="1"/>
  <c r="K22" i="24"/>
  <c r="K26" i="24" s="1"/>
  <c r="C36" i="23" s="1"/>
  <c r="E36" i="23" s="1"/>
  <c r="F36" i="23" s="1"/>
  <c r="W56" i="18"/>
  <c r="W57" i="18" s="1"/>
  <c r="W47" i="18" s="1"/>
  <c r="I47" i="21"/>
  <c r="J46" i="21"/>
  <c r="X45" i="18"/>
  <c r="I40" i="22"/>
  <c r="H41" i="22"/>
  <c r="H56" i="21"/>
  <c r="B25" i="21"/>
  <c r="H34" i="23"/>
  <c r="G35" i="23"/>
  <c r="W48" i="18" l="1"/>
  <c r="D43" i="22" s="1"/>
  <c r="F43" i="22" s="1"/>
  <c r="G43" i="22" s="1"/>
  <c r="X56" i="18"/>
  <c r="X57" i="18" s="1"/>
  <c r="X47" i="18" s="1"/>
  <c r="B55" i="13"/>
  <c r="J47" i="21"/>
  <c r="I48" i="21"/>
  <c r="Y45" i="18"/>
  <c r="H35" i="23"/>
  <c r="G36" i="23"/>
  <c r="I41" i="22"/>
  <c r="H42" i="22"/>
  <c r="B37" i="24" l="1"/>
  <c r="B41" i="24" s="1"/>
  <c r="C37" i="23" s="1"/>
  <c r="W49" i="18"/>
  <c r="X48" i="18"/>
  <c r="D44" i="22" s="1"/>
  <c r="F44" i="22" s="1"/>
  <c r="G44" i="22" s="1"/>
  <c r="Y56" i="18"/>
  <c r="Y57" i="18" s="1"/>
  <c r="Y47" i="18" s="1"/>
  <c r="J48" i="21"/>
  <c r="I49" i="21"/>
  <c r="Z45" i="18"/>
  <c r="I42" i="22"/>
  <c r="H43" i="22"/>
  <c r="H36" i="23"/>
  <c r="X49" i="18" l="1"/>
  <c r="C37" i="24"/>
  <c r="C41" i="24" s="1"/>
  <c r="C38" i="23"/>
  <c r="E37" i="23"/>
  <c r="F37" i="23" s="1"/>
  <c r="G37" i="23" s="1"/>
  <c r="H37" i="23" s="1"/>
  <c r="Y48" i="18"/>
  <c r="D45" i="22" s="1"/>
  <c r="F45" i="22" s="1"/>
  <c r="Z56" i="18"/>
  <c r="Z57" i="18" s="1"/>
  <c r="Z47" i="18" s="1"/>
  <c r="I50" i="21"/>
  <c r="J49" i="21"/>
  <c r="AA45" i="18"/>
  <c r="I43" i="22"/>
  <c r="H44" i="22"/>
  <c r="C39" i="23" l="1"/>
  <c r="E38" i="23"/>
  <c r="F38" i="23" s="1"/>
  <c r="G38" i="23" s="1"/>
  <c r="H38" i="23" s="1"/>
  <c r="D37" i="24"/>
  <c r="D41" i="24" s="1"/>
  <c r="Y49" i="18"/>
  <c r="Z48" i="18"/>
  <c r="AA56" i="18"/>
  <c r="AA57" i="18" s="1"/>
  <c r="AA47" i="18" s="1"/>
  <c r="I51" i="21"/>
  <c r="J50" i="21"/>
  <c r="G45" i="22"/>
  <c r="H45" i="22" s="1"/>
  <c r="I44" i="22"/>
  <c r="Z49" i="18" l="1"/>
  <c r="D46" i="22"/>
  <c r="F46" i="22" s="1"/>
  <c r="G46" i="22" s="1"/>
  <c r="H46" i="22" s="1"/>
  <c r="E37" i="24"/>
  <c r="E41" i="24" s="1"/>
  <c r="C40" i="23"/>
  <c r="E39" i="23"/>
  <c r="F39" i="23" s="1"/>
  <c r="G39" i="23" s="1"/>
  <c r="H39" i="23" s="1"/>
  <c r="AA48" i="18"/>
  <c r="D47" i="22" s="1"/>
  <c r="F47" i="22" s="1"/>
  <c r="G47" i="22" s="1"/>
  <c r="J51" i="21"/>
  <c r="I52" i="21"/>
  <c r="B16" i="22"/>
  <c r="B29" i="31" s="1"/>
  <c r="I45" i="22"/>
  <c r="C41" i="23" l="1"/>
  <c r="E41" i="23" s="1"/>
  <c r="F41" i="23" s="1"/>
  <c r="E40" i="23"/>
  <c r="AA49" i="18"/>
  <c r="C3" i="20" s="1"/>
  <c r="E4" i="20" s="1"/>
  <c r="F37" i="24"/>
  <c r="F41" i="24" s="1"/>
  <c r="D4" i="20" s="1"/>
  <c r="J52" i="21"/>
  <c r="I53" i="21"/>
  <c r="I46" i="22"/>
  <c r="H47" i="22"/>
  <c r="F40" i="23" l="1"/>
  <c r="G40" i="23" s="1"/>
  <c r="B10" i="23"/>
  <c r="C29" i="31" s="1"/>
  <c r="I54" i="21"/>
  <c r="J53" i="21"/>
  <c r="B18" i="22"/>
  <c r="B31" i="31" s="1"/>
  <c r="I47" i="22"/>
  <c r="B17" i="22" s="1"/>
  <c r="G41" i="23" l="1"/>
  <c r="H40" i="23"/>
  <c r="B4" i="20"/>
  <c r="B30" i="31"/>
  <c r="I55" i="21"/>
  <c r="J54" i="21"/>
  <c r="H41" i="23" l="1"/>
  <c r="B11" i="23" s="1"/>
  <c r="B12" i="23"/>
  <c r="C31" i="31" s="1"/>
  <c r="J55" i="21"/>
  <c r="I56" i="21"/>
  <c r="C30" i="31" l="1"/>
  <c r="C4" i="20"/>
  <c r="J56" i="21"/>
  <c r="B26" i="21" s="1"/>
  <c r="B27" i="21"/>
  <c r="B35" i="13"/>
  <c r="B75" i="13" l="1"/>
  <c r="A4" i="20"/>
</calcChain>
</file>

<file path=xl/sharedStrings.xml><?xml version="1.0" encoding="utf-8"?>
<sst xmlns="http://schemas.openxmlformats.org/spreadsheetml/2006/main" count="1124" uniqueCount="620">
  <si>
    <t>שם החברה</t>
  </si>
  <si>
    <t>תאריך הקמה</t>
  </si>
  <si>
    <t>מספר ח.פ</t>
  </si>
  <si>
    <t>עיר</t>
  </si>
  <si>
    <t>רחוב</t>
  </si>
  <si>
    <t>כתובת הפרוייקט</t>
  </si>
  <si>
    <t>מספר</t>
  </si>
  <si>
    <t>טלפון</t>
  </si>
  <si>
    <t>פקס</t>
  </si>
  <si>
    <t>שם איש קשר</t>
  </si>
  <si>
    <t>נייד</t>
  </si>
  <si>
    <t>בעל מניות</t>
  </si>
  <si>
    <t>שם בעל מניות</t>
  </si>
  <si>
    <t>אחוז בעלות</t>
  </si>
  <si>
    <t>ח.פ/ת.ז</t>
  </si>
  <si>
    <t>כתובת משרדי הנהלה</t>
  </si>
  <si>
    <t>רמה</t>
  </si>
  <si>
    <t>מספר חדרים</t>
  </si>
  <si>
    <t>שטח כללי מ"ר</t>
  </si>
  <si>
    <t>שטח קרקע במ"ר</t>
  </si>
  <si>
    <t>שטח מבונה במ"ר</t>
  </si>
  <si>
    <t>שטח לשימוש מלון/אטרקציה</t>
  </si>
  <si>
    <t>שטח מסחרי להשכרה במ"ר</t>
  </si>
  <si>
    <t>נתוני הקמה כספיים</t>
  </si>
  <si>
    <t xml:space="preserve">עלות קרקע </t>
  </si>
  <si>
    <t>בש"ח</t>
  </si>
  <si>
    <t>עלות מערכות</t>
  </si>
  <si>
    <t>עלות ריהוט ודקורציה</t>
  </si>
  <si>
    <t>עלות פיתוח</t>
  </si>
  <si>
    <t>עלות תכנון ופיקוח</t>
  </si>
  <si>
    <t>עלות בינוי</t>
  </si>
  <si>
    <t>עלות אחרת</t>
  </si>
  <si>
    <t>% פחת חוק</t>
  </si>
  <si>
    <t>סה"כ עלויות חזויות</t>
  </si>
  <si>
    <t>תקרת השקעה לחדר לפי רמה</t>
  </si>
  <si>
    <t>פקטור תקרת השקעה לחדר</t>
  </si>
  <si>
    <t>מצב קיים</t>
  </si>
  <si>
    <t>כמות חדרים</t>
  </si>
  <si>
    <t xml:space="preserve">חודש </t>
  </si>
  <si>
    <t>נקודות (מדד בסיס ינואר 1992 = 100)</t>
  </si>
  <si>
    <t xml:space="preserve">תקרת השקעה </t>
  </si>
  <si>
    <t>תקרת השקעה  בש"ח</t>
  </si>
  <si>
    <t>מלון  חדרים רמה A נופש</t>
  </si>
  <si>
    <t>מלון  חדרים רמה A עירוני</t>
  </si>
  <si>
    <t>מלון  חדרים רמה B נופש</t>
  </si>
  <si>
    <t>מלון  חדרים רמה B עירוני</t>
  </si>
  <si>
    <t>מלון  חדרים רמה C נופש</t>
  </si>
  <si>
    <t>מלון  חדרים רמה C עירוני</t>
  </si>
  <si>
    <t>מלון  חדרים רמה D נופש</t>
  </si>
  <si>
    <t>מלון  חדרים רמה D עירוני</t>
  </si>
  <si>
    <t>מלון סויטות רמה A נופש</t>
  </si>
  <si>
    <t>מלון סויטות רמה A עירוני</t>
  </si>
  <si>
    <t>מלון סויטות רמה C נופש</t>
  </si>
  <si>
    <t>מלון סויטות רמה C עירוני</t>
  </si>
  <si>
    <t>מלונית חדרים רמה A נופש</t>
  </si>
  <si>
    <t>מלונית חדרים רמה A עירוני</t>
  </si>
  <si>
    <t>מלונית חדרים רמה C נופש</t>
  </si>
  <si>
    <t>מלונית חדרים רמה C עירוני</t>
  </si>
  <si>
    <t>מלונית סויטות רמה A נופש</t>
  </si>
  <si>
    <t>מלונית סויטות רמה A עירוני</t>
  </si>
  <si>
    <t>מלונית סויטות רמה C נופש</t>
  </si>
  <si>
    <t>מלונית סויטות רמה C עירוני</t>
  </si>
  <si>
    <t>כפר נופש רמה A</t>
  </si>
  <si>
    <t>כפר נופש רמה C</t>
  </si>
  <si>
    <t>אכסניית נוער (למיטה)</t>
  </si>
  <si>
    <t>פחת מואץ</t>
  </si>
  <si>
    <t>סוג חדר</t>
  </si>
  <si>
    <t>בודד</t>
  </si>
  <si>
    <t>זוגי</t>
  </si>
  <si>
    <t>טריפל</t>
  </si>
  <si>
    <t>זוג + 2</t>
  </si>
  <si>
    <t>סוויטה</t>
  </si>
  <si>
    <t>אורחים לחדר</t>
  </si>
  <si>
    <t>עונה</t>
  </si>
  <si>
    <t>תעריף</t>
  </si>
  <si>
    <t>שנה ראשונה</t>
  </si>
  <si>
    <t>שנה שניה</t>
  </si>
  <si>
    <t>שנה שלישית</t>
  </si>
  <si>
    <t>H/H/S</t>
  </si>
  <si>
    <t>H/S</t>
  </si>
  <si>
    <t>יחידה</t>
  </si>
  <si>
    <t>ימי חול (ראשון-רביעי)</t>
  </si>
  <si>
    <t>סוף שבוע (חמישי-שבת)</t>
  </si>
  <si>
    <t>R/S</t>
  </si>
  <si>
    <t>L/S</t>
  </si>
  <si>
    <t>בדיקה</t>
  </si>
  <si>
    <t>מקדמי העונה</t>
  </si>
  <si>
    <t>סוף שבוע (חמישי - שבת)</t>
  </si>
  <si>
    <t>ימי חול (ראשון -רבעי)</t>
  </si>
  <si>
    <t>תוספת H/H/S</t>
  </si>
  <si>
    <t>תוספת H/S</t>
  </si>
  <si>
    <t>מקדם R/S</t>
  </si>
  <si>
    <t>מקדם L/S</t>
  </si>
  <si>
    <t>פילוח לקוחות</t>
  </si>
  <si>
    <t>משקל הקבוצה</t>
  </si>
  <si>
    <t>גובה ההנחות ועמלות סוכנים על פי עונות</t>
  </si>
  <si>
    <t>ישראלים</t>
  </si>
  <si>
    <t>מזה: קבוצות</t>
  </si>
  <si>
    <t>F.I.T.'s</t>
  </si>
  <si>
    <t>תיירים</t>
  </si>
  <si>
    <t>כל האוכלוסיה</t>
  </si>
  <si>
    <t>תעריף בסיסי= סוף שבוע R/S</t>
  </si>
  <si>
    <t>סה"כ</t>
  </si>
  <si>
    <t>ממוצע לתקופה</t>
  </si>
  <si>
    <t>טבלת חדרים ולינות</t>
  </si>
  <si>
    <t>מלון</t>
  </si>
  <si>
    <t>הנחה</t>
  </si>
  <si>
    <t>אטרקציה</t>
  </si>
  <si>
    <t>סוג</t>
  </si>
  <si>
    <t>הקמה</t>
  </si>
  <si>
    <t>השבחה</t>
  </si>
  <si>
    <t>הסבה</t>
  </si>
  <si>
    <t>השבה</t>
  </si>
  <si>
    <t>הנחות קבוצות וסוכנים</t>
  </si>
  <si>
    <t>הכנסות לינה לפי עונות</t>
  </si>
  <si>
    <t>עונתיות</t>
  </si>
  <si>
    <t>סוג עונה</t>
  </si>
  <si>
    <t>מקדם</t>
  </si>
  <si>
    <t>אזור:</t>
  </si>
  <si>
    <t>ימים</t>
  </si>
  <si>
    <t>התפלגות האורחים לפי שיטת האירוח</t>
  </si>
  <si>
    <t>יחידות אורחים</t>
  </si>
  <si>
    <t>B/B</t>
  </si>
  <si>
    <t>H/B</t>
  </si>
  <si>
    <t>F/B</t>
  </si>
  <si>
    <t>מכירה ארוחות נוספות</t>
  </si>
  <si>
    <t>מחיר ארוחה</t>
  </si>
  <si>
    <t>שעור רוכשי ארוחה נוספת</t>
  </si>
  <si>
    <t>מספר ארוחות</t>
  </si>
  <si>
    <t>מספר לינות  מלון סה"כ</t>
  </si>
  <si>
    <t>מכירת ארוחות  לקבוצות</t>
  </si>
  <si>
    <t>מכירת ארוחות ל-F.I.T.'s</t>
  </si>
  <si>
    <t>הכנסה מקבוצות (אלפי $)</t>
  </si>
  <si>
    <t>הכנסה מ- F.I.T.'s (אלפי $)</t>
  </si>
  <si>
    <t>שיעור תפוסה</t>
  </si>
  <si>
    <t>לינות</t>
  </si>
  <si>
    <t>הכנסות</t>
  </si>
  <si>
    <t>שנה שנייה</t>
  </si>
  <si>
    <t>הכנסות נטו לתקופה</t>
  </si>
  <si>
    <t>מחיר לחדר</t>
  </si>
  <si>
    <t>שינוי שיעור תפוסה</t>
  </si>
  <si>
    <t>שיעור תפוסה לרגישות</t>
  </si>
  <si>
    <t xml:space="preserve">סה"כ ארוחות </t>
  </si>
  <si>
    <t>ממוצע ארוחות ליום</t>
  </si>
  <si>
    <r>
      <t xml:space="preserve">מזה: </t>
    </r>
    <r>
      <rPr>
        <sz val="12"/>
        <rFont val="David"/>
        <family val="2"/>
        <charset val="177"/>
      </rPr>
      <t>קבוצות</t>
    </r>
  </si>
  <si>
    <t xml:space="preserve">שע"ח דולר = ₪ </t>
  </si>
  <si>
    <t>סה"כ הכנסות מארוחות בש"ח</t>
  </si>
  <si>
    <t>כמות אוכלים</t>
  </si>
  <si>
    <t>לובי ושירות חדרים</t>
  </si>
  <si>
    <t>סוג שרות</t>
  </si>
  <si>
    <t>כמות לינות</t>
  </si>
  <si>
    <t>אחוז רוכשים</t>
  </si>
  <si>
    <t>מחיר ממוצע</t>
  </si>
  <si>
    <t>שתייה</t>
  </si>
  <si>
    <t>מזון</t>
  </si>
  <si>
    <t>שירות חדרים</t>
  </si>
  <si>
    <t>הכנסות חזויות</t>
  </si>
  <si>
    <t>SPA</t>
  </si>
  <si>
    <t>מחיר לשירות ממוצע</t>
  </si>
  <si>
    <t>סוגי שירותי ספא</t>
  </si>
  <si>
    <t>חדר כושר</t>
  </si>
  <si>
    <t>בריכה</t>
  </si>
  <si>
    <t>טיפולי יופי</t>
  </si>
  <si>
    <t>הכנסה חזויה</t>
  </si>
  <si>
    <t>ממוצע הכנסה</t>
  </si>
  <si>
    <t>כמות אירועים/כנסים</t>
  </si>
  <si>
    <t>מספר משתתפים ממוצע</t>
  </si>
  <si>
    <t>הכנסה ממשתתף ממוצעת נטו</t>
  </si>
  <si>
    <t>הכנסות מאירועים</t>
  </si>
  <si>
    <t>אירועים</t>
  </si>
  <si>
    <t>שטח מסחרי</t>
  </si>
  <si>
    <t>תעריף למ"ר</t>
  </si>
  <si>
    <t>נתון להשוואה</t>
  </si>
  <si>
    <t>תקני</t>
  </si>
  <si>
    <t>לא תקני</t>
  </si>
  <si>
    <t>הכנסות חודשיות</t>
  </si>
  <si>
    <t>הכנסות שנתיות</t>
  </si>
  <si>
    <t>סוג הכנסה</t>
  </si>
  <si>
    <t>סכום</t>
  </si>
  <si>
    <t>הערות</t>
  </si>
  <si>
    <t>שטחי מסחר</t>
  </si>
  <si>
    <t>הכנסות אחרות</t>
  </si>
  <si>
    <t>סה"כ אחרות</t>
  </si>
  <si>
    <t>מס"ד</t>
  </si>
  <si>
    <t>סוג ההוצאה</t>
  </si>
  <si>
    <t>אופן חישוב</t>
  </si>
  <si>
    <t>הוצאות ישירות להפעלת החדרים</t>
  </si>
  <si>
    <t>כ-% מהכנסה מחדרים</t>
  </si>
  <si>
    <t>הוצאות בגין  הכנסות שונות</t>
  </si>
  <si>
    <t>כ-% מהכנסות שונות</t>
  </si>
  <si>
    <t>הוצאות ישירות מזון ומשקאות</t>
  </si>
  <si>
    <t>כ-% מהכנסות מזון ומשקאות</t>
  </si>
  <si>
    <t>עלות שכר עבודה</t>
  </si>
  <si>
    <t>הוצאות קבועות</t>
  </si>
  <si>
    <t>שיווק ומכירות</t>
  </si>
  <si>
    <t>הנהלה וכלליות ללא שכר</t>
  </si>
  <si>
    <t>הוצאות כלליות אחרות</t>
  </si>
  <si>
    <t>ביטוח</t>
  </si>
  <si>
    <t>ארנונה</t>
  </si>
  <si>
    <t>פחת</t>
  </si>
  <si>
    <t>אנרגיה</t>
  </si>
  <si>
    <t>סה"כ הוצאות קבועת</t>
  </si>
  <si>
    <t>הוצאות משתנות</t>
  </si>
  <si>
    <t>אחזקה</t>
  </si>
  <si>
    <t>כ - % מהכנסה</t>
  </si>
  <si>
    <t>הוצאות כלליות</t>
  </si>
  <si>
    <t>סה"כ משתנות</t>
  </si>
  <si>
    <t>מימון</t>
  </si>
  <si>
    <t>מס</t>
  </si>
  <si>
    <t>שכ"ע לחודש</t>
  </si>
  <si>
    <t>מספר עובדים</t>
  </si>
  <si>
    <t xml:space="preserve">הוצאה חודשית </t>
  </si>
  <si>
    <t>הנהלה</t>
  </si>
  <si>
    <t>מנכ"ל</t>
  </si>
  <si>
    <t xml:space="preserve"> עוזר מנכ"ל </t>
  </si>
  <si>
    <t xml:space="preserve"> מזכירה </t>
  </si>
  <si>
    <t>חשב</t>
  </si>
  <si>
    <t>מנהלי חשבונות</t>
  </si>
  <si>
    <t>קנין, קבלת סחורה, חשבונות ספקים</t>
  </si>
  <si>
    <t>מנהל שיווק</t>
  </si>
  <si>
    <t>אנשי מכירות</t>
  </si>
  <si>
    <t>נציג קשר עם לקוחות</t>
  </si>
  <si>
    <t>סה"כ שיווק</t>
  </si>
  <si>
    <t>אגף חדרים</t>
  </si>
  <si>
    <t xml:space="preserve">מנהל אגף חדרים </t>
  </si>
  <si>
    <t>מנהל</t>
  </si>
  <si>
    <t>מנהל קבלה</t>
  </si>
  <si>
    <t>פקיד קבלה</t>
  </si>
  <si>
    <t>הזמנות</t>
  </si>
  <si>
    <t>דורמן</t>
  </si>
  <si>
    <t>בל בוי</t>
  </si>
  <si>
    <t>משק בית</t>
  </si>
  <si>
    <t>מנהל משק</t>
  </si>
  <si>
    <t>סופרוייזר חדרניות</t>
  </si>
  <si>
    <t>חדרניות</t>
  </si>
  <si>
    <t>נקיון שטחים ציבוריים</t>
  </si>
  <si>
    <t>מחסנאי</t>
  </si>
  <si>
    <t>מנהל אחזקה</t>
  </si>
  <si>
    <t>עובדים כלליים</t>
  </si>
  <si>
    <t>ביטחון</t>
  </si>
  <si>
    <t>מנהל בטחון</t>
  </si>
  <si>
    <t>קב"טים</t>
  </si>
  <si>
    <t>טיימקיפר</t>
  </si>
  <si>
    <t>סה"כ אגף חדרים</t>
  </si>
  <si>
    <t>מזון ומשקאות (F&amp;B)</t>
  </si>
  <si>
    <t>מנהל מזון ומשקאות</t>
  </si>
  <si>
    <t>שף</t>
  </si>
  <si>
    <t>סו שף</t>
  </si>
  <si>
    <t>טבח</t>
  </si>
  <si>
    <t>עוזר טבח</t>
  </si>
  <si>
    <t>עובדי מטבח</t>
  </si>
  <si>
    <t>מנקה</t>
  </si>
  <si>
    <t>סה"כ מטבח</t>
  </si>
  <si>
    <t>חדר אוכל, לובי, בר, שרות חדרים</t>
  </si>
  <si>
    <t>מלצר ראשי</t>
  </si>
  <si>
    <t>מלצר חדר אוכל ושרות חדרים</t>
  </si>
  <si>
    <t>מלצר לובי, בר</t>
  </si>
  <si>
    <t>ברמן</t>
  </si>
  <si>
    <t>סה"כ הגשת המזון ומשקאות</t>
  </si>
  <si>
    <t>סה"כ חודשי</t>
  </si>
  <si>
    <t>סה"כ שנתי</t>
  </si>
  <si>
    <t>סה"כ הנהלה וכספים</t>
  </si>
  <si>
    <t>כספים</t>
  </si>
  <si>
    <t>סה"כ קבלה והזמנות</t>
  </si>
  <si>
    <t>שכר</t>
  </si>
  <si>
    <t>סה"כ משק בית</t>
  </si>
  <si>
    <t>סה"כ אחזקה</t>
  </si>
  <si>
    <t>סה"כ בטחון</t>
  </si>
  <si>
    <t>ממוצע ללא מחלקת הנהלה וכספים</t>
  </si>
  <si>
    <t>ממוצע ללא מנהלי מחלקות</t>
  </si>
  <si>
    <t>ממוצע שכר לעובד</t>
  </si>
  <si>
    <t>עלות מעביד</t>
  </si>
  <si>
    <t>נתוני ברוטו להשוואה</t>
  </si>
  <si>
    <t>עלויות לא כולל קרקע</t>
  </si>
  <si>
    <t>הערה:</t>
  </si>
  <si>
    <t>מקור מימון</t>
  </si>
  <si>
    <t>באלפי ₪</t>
  </si>
  <si>
    <t>מענק השקעה</t>
  </si>
  <si>
    <t>הלוואות בנקאיות</t>
  </si>
  <si>
    <t>אחר</t>
  </si>
  <si>
    <t>סה"כ עלויות</t>
  </si>
  <si>
    <t>שיעור מהשקעה</t>
  </si>
  <si>
    <t>מחיר הון</t>
  </si>
  <si>
    <t>מחיר הון יחסי</t>
  </si>
  <si>
    <t>הלוואות בעלים</t>
  </si>
  <si>
    <t>עלויות שיווק</t>
  </si>
  <si>
    <t>עלויות פרסום</t>
  </si>
  <si>
    <t>עלויות אחרות</t>
  </si>
  <si>
    <t>משרדיות</t>
  </si>
  <si>
    <t>אחזקת משרד</t>
  </si>
  <si>
    <t>חודשי</t>
  </si>
  <si>
    <t>שנתי</t>
  </si>
  <si>
    <t>טלפון ותקשורת</t>
  </si>
  <si>
    <t>סה"כ עלות</t>
  </si>
  <si>
    <t>אחוז</t>
  </si>
  <si>
    <t>ערך ציוד</t>
  </si>
  <si>
    <t>מבנה ומערכות</t>
  </si>
  <si>
    <t>ביטוח משלים</t>
  </si>
  <si>
    <t>שטח מ"ר</t>
  </si>
  <si>
    <t>עלות מ"ר</t>
  </si>
  <si>
    <t>אחרות</t>
  </si>
  <si>
    <t>חשמל</t>
  </si>
  <si>
    <t>מים</t>
  </si>
  <si>
    <t>גז</t>
  </si>
  <si>
    <t>מזון ומשקאות</t>
  </si>
  <si>
    <t>השכרת שטחים מסחריים</t>
  </si>
  <si>
    <t>לובי וחדרים</t>
  </si>
  <si>
    <t>סה"כ הכנסות</t>
  </si>
  <si>
    <t>הפעלת חדרים</t>
  </si>
  <si>
    <t>הוצאות ישירות</t>
  </si>
  <si>
    <t>שונות</t>
  </si>
  <si>
    <t>סה"כ ישירות</t>
  </si>
  <si>
    <t>קבועות</t>
  </si>
  <si>
    <t>משתנות</t>
  </si>
  <si>
    <t>סה"כ הוצאות לפני מימון</t>
  </si>
  <si>
    <t>רווח(הפסד)</t>
  </si>
  <si>
    <t>מצטבר</t>
  </si>
  <si>
    <t>שימור</t>
  </si>
  <si>
    <t>הון מניות נפרע</t>
  </si>
  <si>
    <t>הלוואות בערבות מדינה</t>
  </si>
  <si>
    <t>מרכיב ארוחת בוקר ממחיר חדר</t>
  </si>
  <si>
    <t>מוקד תיירות</t>
  </si>
  <si>
    <t>ירושלים</t>
  </si>
  <si>
    <t>מוקד</t>
  </si>
  <si>
    <t>עונתיות לפי מוקד</t>
  </si>
  <si>
    <t>ארוחת בוקר</t>
  </si>
  <si>
    <t>סה"כ הכנסות מארוחות בש"ח נוספות</t>
  </si>
  <si>
    <t>מקצועיות</t>
  </si>
  <si>
    <t>באחוזים</t>
  </si>
  <si>
    <t>סה"כ  לובי ושרות חדרים</t>
  </si>
  <si>
    <t>קרן הלוואה</t>
  </si>
  <si>
    <t>משך תקופה</t>
  </si>
  <si>
    <t>רבית לחישוב</t>
  </si>
  <si>
    <t>קרן לתקופה</t>
  </si>
  <si>
    <t>רבית</t>
  </si>
  <si>
    <t>תקופות בשנה</t>
  </si>
  <si>
    <t>השקעה ללא קרקע</t>
  </si>
  <si>
    <t>להוריד מסים עקיפים</t>
  </si>
  <si>
    <t>השקעה לבדיקה</t>
  </si>
  <si>
    <t>השקעה מחולקת לינארית לשנתיים הקמה</t>
  </si>
  <si>
    <t>השקעה</t>
  </si>
  <si>
    <t>שיעור היוון</t>
  </si>
  <si>
    <t>מסים עקיפים - 4%</t>
  </si>
  <si>
    <t>הוסף</t>
  </si>
  <si>
    <t>מסים עקיפים</t>
  </si>
  <si>
    <t>לכח אדם</t>
  </si>
  <si>
    <t>מסים עקיפים - 12%</t>
  </si>
  <si>
    <t>תזרים נטו</t>
  </si>
  <si>
    <t>NPV</t>
  </si>
  <si>
    <t>IRR</t>
  </si>
  <si>
    <t>מחיר הון משוקלל</t>
  </si>
  <si>
    <t>ערך גרט - 40%</t>
  </si>
  <si>
    <t>הון עצמי = השקעה</t>
  </si>
  <si>
    <t>בניכוי</t>
  </si>
  <si>
    <t>פדיון ממוצע ללינה לפי רמת מלון</t>
  </si>
  <si>
    <t>חברת ניהול</t>
  </si>
  <si>
    <t>ערך גרט</t>
  </si>
  <si>
    <t>מהוון</t>
  </si>
  <si>
    <t>רווח תפעולי ללא פחת</t>
  </si>
  <si>
    <t>שנות החזר השקעה</t>
  </si>
  <si>
    <t>בניכוי מענק</t>
  </si>
  <si>
    <t>בניכוי מס הכנסה</t>
  </si>
  <si>
    <t>רווח הפסד לפני מס</t>
  </si>
  <si>
    <t>רווח (הפסד) נטו</t>
  </si>
  <si>
    <t>סכום הלוואה</t>
  </si>
  <si>
    <t>רבית שנתית</t>
  </si>
  <si>
    <t>תקופה במשך שנים</t>
  </si>
  <si>
    <t>מספר תשלומים בשנה</t>
  </si>
  <si>
    <t>תחילת מועד ההלוואה</t>
  </si>
  <si>
    <t>חישוב תשלום שפיצר</t>
  </si>
  <si>
    <t>מספר תשלומים מחושבים</t>
  </si>
  <si>
    <t>תשלומים בפועל</t>
  </si>
  <si>
    <t>סה"כ רבית</t>
  </si>
  <si>
    <t>שעור מס</t>
  </si>
  <si>
    <t>קרן שנתית</t>
  </si>
  <si>
    <t>רבית הלוואה</t>
  </si>
  <si>
    <t>תאריך</t>
  </si>
  <si>
    <t>יתרת פתיחה</t>
  </si>
  <si>
    <t>תשלום</t>
  </si>
  <si>
    <t>סה"כ תשלום</t>
  </si>
  <si>
    <t>קרן</t>
  </si>
  <si>
    <t>יתרה</t>
  </si>
  <si>
    <t>הרחבה</t>
  </si>
  <si>
    <t>אילת</t>
  </si>
  <si>
    <t>ים המלח</t>
  </si>
  <si>
    <t>החוף</t>
  </si>
  <si>
    <t>תפקיד</t>
  </si>
  <si>
    <t>מענק הון</t>
  </si>
  <si>
    <t>כן</t>
  </si>
  <si>
    <t>לא</t>
  </si>
  <si>
    <t>ערכים לחישוב</t>
  </si>
  <si>
    <t>תמצית הלווה</t>
  </si>
  <si>
    <t>מדדים לרגישות</t>
  </si>
  <si>
    <t>ממוצע עובדים לחדר</t>
  </si>
  <si>
    <t>שטח SPA</t>
  </si>
  <si>
    <t>שטח מרכז כנסים</t>
  </si>
  <si>
    <t>במקרה של הסבה/הרחבה בלבד</t>
  </si>
  <si>
    <t>תקרת השקעות מוכרות</t>
  </si>
  <si>
    <t>ממוצע לינה בש"ח</t>
  </si>
  <si>
    <t>הכנסות בדולרים</t>
  </si>
  <si>
    <t>ממוצע לינה בדולרים</t>
  </si>
  <si>
    <t>מחיר ארוחת צהריים/ערב לקבוצה</t>
  </si>
  <si>
    <t>מחיר ארוחת צהריים/ערב ל FIT</t>
  </si>
  <si>
    <t>מבוסס על לינות בשנה מייצגת</t>
  </si>
  <si>
    <t>סוג פרוייקט</t>
  </si>
  <si>
    <t>סוג תת פרוייקט</t>
  </si>
  <si>
    <t>האם פרוייקט שימור</t>
  </si>
  <si>
    <t>מספר תיק</t>
  </si>
  <si>
    <t>מספר תוכנית</t>
  </si>
  <si>
    <t>מספר גוש</t>
  </si>
  <si>
    <t>מספר חלקה</t>
  </si>
  <si>
    <t>מספר בקשה</t>
  </si>
  <si>
    <t>האם יש חברת ניהול</t>
  </si>
  <si>
    <t>בתוספת מימון הקמה</t>
  </si>
  <si>
    <t>סה"כ עלויות לבדיקה</t>
  </si>
  <si>
    <t>סקר כלכלי</t>
  </si>
  <si>
    <t>מענק</t>
  </si>
  <si>
    <t>נכס להפחתה</t>
  </si>
  <si>
    <t>יחס תקרה</t>
  </si>
  <si>
    <t>שנה</t>
  </si>
  <si>
    <t>מחיר חדר</t>
  </si>
  <si>
    <t>פרטים</t>
  </si>
  <si>
    <t>איש קשר 1</t>
  </si>
  <si>
    <t>איש קשר 2</t>
  </si>
  <si>
    <t>חברה זרה</t>
  </si>
  <si>
    <t>טבלאות מערכת - נתוני חברה</t>
  </si>
  <si>
    <t>תת פרוייקט</t>
  </si>
  <si>
    <t>בחירה כן/לא</t>
  </si>
  <si>
    <t>עמודה1</t>
  </si>
  <si>
    <t>יחס בין תקרה מחושבת לעלות הקמה</t>
  </si>
  <si>
    <t>סעיף</t>
  </si>
  <si>
    <t>הלוואת בעלים</t>
  </si>
  <si>
    <t>לא רלוונטי בשלב זה</t>
  </si>
  <si>
    <t>לשיקול מנהל מערכת בלבד</t>
  </si>
  <si>
    <t>יתרת הסכומים להשקעה</t>
  </si>
  <si>
    <t xml:space="preserve">סכום ב - ₪ </t>
  </si>
  <si>
    <t>הסבר למקורות מימון</t>
  </si>
  <si>
    <t>להזנה על ידי היזם</t>
  </si>
  <si>
    <t>ניתן להזנה על ידי היזם, ההפרש יחושב בהלוואות בנקאיות</t>
  </si>
  <si>
    <t>מחושב לפי 20% מתקרת השקעה מאושרת או השקעה בפועל כנמוך מביניהם</t>
  </si>
  <si>
    <r>
      <t>חזרה</t>
    </r>
    <r>
      <rPr>
        <sz val="16"/>
        <color rgb="FFFFFFFF"/>
        <rFont val="Calibri"/>
        <family val="2"/>
      </rPr>
      <t xml:space="preserve"> לתפריט ראשי </t>
    </r>
  </si>
  <si>
    <t>טבלאות מנהל מערכת - לינות</t>
  </si>
  <si>
    <t>משך עונה</t>
  </si>
  <si>
    <t>אורחים ליום</t>
  </si>
  <si>
    <t>מחיר לאורח</t>
  </si>
  <si>
    <t>א. בוקר</t>
  </si>
  <si>
    <t>עמודה2</t>
  </si>
  <si>
    <t>עמודה3</t>
  </si>
  <si>
    <t>עמודה4</t>
  </si>
  <si>
    <t xml:space="preserve">ימי חול  </t>
  </si>
  <si>
    <t xml:space="preserve">סוף שבוע  </t>
  </si>
  <si>
    <t>סה"כ קבוצות באחוזים</t>
  </si>
  <si>
    <t>סה"כ בודדים באחוזים</t>
  </si>
  <si>
    <t>התפלגות</t>
  </si>
  <si>
    <t>ממוצע תפוסה</t>
  </si>
  <si>
    <t>תחשיב הנחה ממוצעת ביחס למחיר תעריפי</t>
  </si>
  <si>
    <t>A</t>
  </si>
  <si>
    <t>B</t>
  </si>
  <si>
    <t>C</t>
  </si>
  <si>
    <t>D</t>
  </si>
  <si>
    <t>רמת המלון</t>
  </si>
  <si>
    <t>פחת לשנה</t>
  </si>
  <si>
    <r>
      <t>מחלקה</t>
    </r>
    <r>
      <rPr>
        <b/>
        <sz val="14"/>
        <color rgb="FFFFFFFF"/>
        <rFont val="Calibri"/>
        <family val="2"/>
      </rPr>
      <t xml:space="preserve"> הבאה </t>
    </r>
  </si>
  <si>
    <t>עדכון טבלאות כח אדם:</t>
  </si>
  <si>
    <t>יש לבחור את המחלקות אחת אחת לעדכון</t>
  </si>
  <si>
    <t>לחץ על צלמית סכום דוח לקבלת סכום כל נתוני המחלקות</t>
  </si>
  <si>
    <t>בסיום לחץ על צלמית - תפריט ראשי להמשך עבודה</t>
  </si>
  <si>
    <t>שנים</t>
  </si>
  <si>
    <t>מספר שנים להחזר הלוואה בנקאית</t>
  </si>
  <si>
    <t>בנק מלווה:</t>
  </si>
  <si>
    <t>מס'</t>
  </si>
  <si>
    <t>חישוב הלוואה בנקאית על פי טבלת מקורות מימון</t>
  </si>
  <si>
    <t>הזנה על ידי משתמש</t>
  </si>
  <si>
    <t>שינוי באחוזים</t>
  </si>
  <si>
    <t>טבלת פחת מנהל מערכת</t>
  </si>
  <si>
    <t>טבלאות מערכת לעדכון</t>
  </si>
  <si>
    <t>מקדמי עונה לינות</t>
  </si>
  <si>
    <t>עונתיות מוקד</t>
  </si>
  <si>
    <t>מחיר הון לפי מקור מימון</t>
  </si>
  <si>
    <t>אחוז פחת לפי חוק</t>
  </si>
  <si>
    <t>תפריט ראשי</t>
  </si>
  <si>
    <t>ממוצע משוקלל של משקל ההשקעה ומחיר ההון</t>
  </si>
  <si>
    <t>סה"כ - 100% אורחים</t>
  </si>
  <si>
    <t>תוספת ארוחות לאורח באחוזים</t>
  </si>
  <si>
    <t>ממוצע כללי</t>
  </si>
  <si>
    <t>שיעורי תפוסה לפי אזורים</t>
  </si>
  <si>
    <t>פדיון ממוצע בש"ח</t>
  </si>
  <si>
    <t>ממוצע משרות לחדר</t>
  </si>
  <si>
    <t>שכר כאחוז מהפדיון</t>
  </si>
  <si>
    <t>שכר ממוצע לעובד</t>
  </si>
  <si>
    <t>הנחות יסוד מס</t>
  </si>
  <si>
    <t>שיעור מס</t>
  </si>
  <si>
    <t>פטור</t>
  </si>
  <si>
    <t>הגבלות</t>
  </si>
  <si>
    <t>שנתיים משנת רווח, עד שנה 12</t>
  </si>
  <si>
    <t>עד עשר שנים, לא מעבר ל 12 שנה</t>
  </si>
  <si>
    <t>מס חברות</t>
  </si>
  <si>
    <t>רווח</t>
  </si>
  <si>
    <t>מצט</t>
  </si>
  <si>
    <t>מההוצאות ללא כח אדם ופחת</t>
  </si>
  <si>
    <t>שיעורי מס</t>
  </si>
  <si>
    <t>דף ראשי</t>
  </si>
  <si>
    <t>נתוני חברה</t>
  </si>
  <si>
    <t>גליונות</t>
  </si>
  <si>
    <t>נתוני הקמה</t>
  </si>
  <si>
    <t>מקורות מימון</t>
  </si>
  <si>
    <t>תקרת השקעה</t>
  </si>
  <si>
    <t>נתוני לינה</t>
  </si>
  <si>
    <t>הכנסות מלינה</t>
  </si>
  <si>
    <t>הכנסות נוספות</t>
  </si>
  <si>
    <t>לשנה</t>
  </si>
  <si>
    <t>מחיר הון מניות נפרע</t>
  </si>
  <si>
    <t>רווח והפסד</t>
  </si>
  <si>
    <t>פירמה</t>
  </si>
  <si>
    <t>יזם</t>
  </si>
  <si>
    <t>הוצאות</t>
  </si>
  <si>
    <t>כח אדם</t>
  </si>
  <si>
    <t>חישוב הלוואה</t>
  </si>
  <si>
    <t>כדאיות למשק</t>
  </si>
  <si>
    <t>כדאיות לפירמה</t>
  </si>
  <si>
    <t>כדאיות ליזם</t>
  </si>
  <si>
    <t>תזרים מזומנים</t>
  </si>
  <si>
    <t>דוחות מערכת להדפסה</t>
  </si>
  <si>
    <t>מספר מנויים</t>
  </si>
  <si>
    <t>חברה זרה - 90%</t>
  </si>
  <si>
    <t>חברה זרה - עד 50%</t>
  </si>
  <si>
    <t>צפון - כנרת - גליל</t>
  </si>
  <si>
    <t>תל אביב - יפו</t>
  </si>
  <si>
    <t>כולל הרצליה ורמת גן</t>
  </si>
  <si>
    <t>דרום ואחר</t>
  </si>
  <si>
    <t>SPA ובריכה</t>
  </si>
  <si>
    <t>מציל</t>
  </si>
  <si>
    <t>עובדי SPA</t>
  </si>
  <si>
    <t>צוות בידור</t>
  </si>
  <si>
    <t>סה"כ SPA ובריכה</t>
  </si>
  <si>
    <t>הוצאה</t>
  </si>
  <si>
    <t>הפעלת חדרים ואחזקה</t>
  </si>
  <si>
    <t>אין גישה לגליון זה פרט למנהל מערכת</t>
  </si>
  <si>
    <t>מזה:</t>
  </si>
  <si>
    <t>Jobs</t>
  </si>
  <si>
    <t>מתיירים</t>
  </si>
  <si>
    <t>סך הכל</t>
  </si>
  <si>
    <t>Thereof: Tourists</t>
  </si>
  <si>
    <t>Room occupancy</t>
  </si>
  <si>
    <t>פתוחים</t>
  </si>
  <si>
    <t>(1)</t>
  </si>
  <si>
    <t>יישוב</t>
  </si>
  <si>
    <t>Thereof:</t>
  </si>
  <si>
    <t>Total</t>
  </si>
  <si>
    <t>מסך הכל</t>
  </si>
  <si>
    <t>(2)</t>
  </si>
  <si>
    <t>Hotels</t>
  </si>
  <si>
    <t>From</t>
  </si>
  <si>
    <t>Tourist</t>
  </si>
  <si>
    <t>tourists</t>
  </si>
  <si>
    <t>In opened</t>
  </si>
  <si>
    <t>hotels</t>
  </si>
  <si>
    <t>Of total</t>
  </si>
  <si>
    <t>ממוצע</t>
  </si>
  <si>
    <t>מיליוני $</t>
  </si>
  <si>
    <t>אחוזים</t>
  </si>
  <si>
    <t>אלפים</t>
  </si>
  <si>
    <t>סוף</t>
  </si>
  <si>
    <t>לחודש</t>
  </si>
  <si>
    <t xml:space="preserve"> </t>
  </si>
  <si>
    <t>MONTHLY</t>
  </si>
  <si>
    <t>MILLION $ US</t>
  </si>
  <si>
    <t>PER-</t>
  </si>
  <si>
    <t>THOUSANDS</t>
  </si>
  <si>
    <t>PERCENTAGES</t>
  </si>
  <si>
    <t>END</t>
  </si>
  <si>
    <t>AVERAGE</t>
  </si>
  <si>
    <t>CENT-</t>
  </si>
  <si>
    <t>OF YEAR</t>
  </si>
  <si>
    <t>AGES</t>
  </si>
  <si>
    <t xml:space="preserve">סך הכל </t>
  </si>
  <si>
    <t xml:space="preserve"> ירושלים</t>
  </si>
  <si>
    <t xml:space="preserve">   מזה:  </t>
  </si>
  <si>
    <t xml:space="preserve">     מערב</t>
  </si>
  <si>
    <t xml:space="preserve">     ירושלים</t>
  </si>
  <si>
    <t xml:space="preserve"> תל אביב-</t>
  </si>
  <si>
    <t xml:space="preserve">    יפו</t>
  </si>
  <si>
    <t xml:space="preserve"> חיפה</t>
  </si>
  <si>
    <t xml:space="preserve"> אילת</t>
  </si>
  <si>
    <t>. .</t>
  </si>
  <si>
    <t xml:space="preserve"> אשקלון</t>
  </si>
  <si>
    <t xml:space="preserve"> באר שבע</t>
  </si>
  <si>
    <t xml:space="preserve"> בת ים</t>
  </si>
  <si>
    <t xml:space="preserve"> הרצלייה</t>
  </si>
  <si>
    <t xml:space="preserve"> זכרון יעקב </t>
  </si>
  <si>
    <t xml:space="preserve"> טבריה</t>
  </si>
  <si>
    <t xml:space="preserve"> נהרייה</t>
  </si>
  <si>
    <t xml:space="preserve"> נתניה</t>
  </si>
  <si>
    <t xml:space="preserve"> ערד</t>
  </si>
  <si>
    <t xml:space="preserve"> צפת</t>
  </si>
  <si>
    <t xml:space="preserve"> רמת גן</t>
  </si>
  <si>
    <t xml:space="preserve"> שפת ים </t>
  </si>
  <si>
    <t xml:space="preserve">    המלח</t>
  </si>
  <si>
    <t xml:space="preserve"> מזה: </t>
  </si>
  <si>
    <t xml:space="preserve">  בתי </t>
  </si>
  <si>
    <t xml:space="preserve">  הארחה</t>
  </si>
  <si>
    <t xml:space="preserve">  בקיבוצים</t>
  </si>
  <si>
    <t xml:space="preserve">  ובמושבים</t>
  </si>
  <si>
    <t>חוף</t>
  </si>
  <si>
    <t>אכסנייה</t>
  </si>
  <si>
    <t>שנת פתיחה חזויה</t>
  </si>
  <si>
    <t>שיעור החזקת חוץ</t>
  </si>
  <si>
    <t>אחוזי החזקה חברה זרה</t>
  </si>
  <si>
    <t>זרה</t>
  </si>
  <si>
    <t>מרכזי רווח</t>
  </si>
  <si>
    <t>כן/לא</t>
  </si>
  <si>
    <t>חישוב רגישות רווח שנה ראשונה ביחס למחיר ממוצע לחדר ושיעורי תפוסה שנה שלישית</t>
  </si>
  <si>
    <t xml:space="preserve">חישוב רגישות NPV יזם ביחס למחיר חדר ממוצע ושיעורי תפוסה </t>
  </si>
  <si>
    <t xml:space="preserve">חישוב רגישות IRR יזם ביחס למחיר ממוצע לחדר ושיעורי תפוסה </t>
  </si>
  <si>
    <t xml:space="preserve">חישוב רגישות החזר השקעה בשנים יזם ביחס למחיר ממוצע לחדר ושיעורי תפוסה </t>
  </si>
  <si>
    <t>רווח הפסד תפעולי לפני מימון</t>
  </si>
  <si>
    <t>מסז'</t>
  </si>
  <si>
    <t>כ-% מהכנסה</t>
  </si>
  <si>
    <t>מחושב לפי 20% מהיקף ההשקעה</t>
  </si>
  <si>
    <t>מלונית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</si>
</sst>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4" formatCode="_ &quot;₪&quot;\ * #,##0.00_ ;_ &quot;₪&quot;\ * \-#,##0.00_ ;_ &quot;₪&quot;\ * &quot;-&quot;??_ ;_ @_ "/>
    <numFmt numFmtId="43" formatCode="_ * #,##0.00_ ;_ * \-#,##0.00_ ;_ * &quot;-&quot;??_ ;_ @_ "/>
    <numFmt numFmtId="164" formatCode="_-* #,##0.00_-;\-* #,##0.00_-;_-* &quot;-&quot;??_-;_-@_-"/>
    <numFmt numFmtId="165" formatCode="_-* #,##0_-;\-* #,##0_-;_-* &quot;-&quot;??_-;_-@_-"/>
    <numFmt numFmtId="166" formatCode="0.0000"/>
    <numFmt numFmtId="167" formatCode="0.0%"/>
    <numFmt numFmtId="168" formatCode="_ &quot;₪&quot;\ * #,##0_ ;_ &quot;₪&quot;\ * \-#,##0_ ;_ &quot;₪&quot;\ * &quot;-&quot;??_ ;_ @_ "/>
    <numFmt numFmtId="169" formatCode="[$$-409]#,##0.0_ ;\-[$$-409]#,##0.0\ "/>
    <numFmt numFmtId="170" formatCode="_ * #,##0_ ;_ * \-#,##0_ ;_ * &quot;-&quot;??_ ;_ @_ "/>
    <numFmt numFmtId="171" formatCode="[$$-409]#,##0_ ;\-[$$-409]#,##0\ "/>
    <numFmt numFmtId="172" formatCode="_-[$$-409]* #,##0.00_ ;_-[$$-409]* \-#,##0.00\ ;_-[$$-409]* &quot;-&quot;??_ ;_-@_ "/>
    <numFmt numFmtId="173" formatCode="_ [$₪-40D]\ * #,##0_ ;_ [$₪-40D]\ * \-#,##0_ ;_ [$₪-40D]\ * &quot;-&quot;??_ ;_ @_ "/>
    <numFmt numFmtId="174" formatCode="0.000%"/>
    <numFmt numFmtId="175" formatCode="_(&quot;$&quot;* #,##0.00_);_(&quot;$&quot;* \(#,##0.00\);_(&quot;$&quot;* &quot;-&quot;??_);_(@_)"/>
    <numFmt numFmtId="176" formatCode="0.00?%_)"/>
    <numFmt numFmtId="177" formatCode="0_)"/>
    <numFmt numFmtId="178" formatCode="_(* #,##0.00_);_(* \(#,##0.00\);_(* &quot;-&quot;??_);_(@_)"/>
    <numFmt numFmtId="179" formatCode="_-[$$-409]* #,##0_ ;_-[$$-409]* \-#,##0\ ;_-[$$-409]* &quot;-&quot;??_ ;_-@_ "/>
    <numFmt numFmtId="180" formatCode="_ * #,##0.0_ ;_ * \-#,##0.0_ ;_ * &quot;-&quot;?_ ;_ @_ "/>
    <numFmt numFmtId="181" formatCode="#,##0.00;@"/>
    <numFmt numFmtId="182" formatCode="General_)"/>
    <numFmt numFmtId="183" formatCode="#,##0\ \ ;\-#,##0\ \ "/>
    <numFmt numFmtId="184" formatCode="#,##0.0\ ;@\ "/>
    <numFmt numFmtId="185" formatCode="#,##0\ ;@\ "/>
    <numFmt numFmtId="186" formatCode="#,##0\ \ ;@\ \ "/>
    <numFmt numFmtId="187" formatCode="#,##0.0\ \ ;\-#,##0.0\ \ "/>
    <numFmt numFmtId="188" formatCode="#.00"/>
    <numFmt numFmtId="189" formatCode="#."/>
    <numFmt numFmtId="190" formatCode="0.000000"/>
  </numFmts>
  <fonts count="113">
    <font>
      <sz val="11"/>
      <color theme="1"/>
      <name val="Arial"/>
      <family val="2"/>
      <charset val="177"/>
      <scheme val="minor"/>
    </font>
    <font>
      <sz val="12"/>
      <name val="Courier New"/>
      <family val="3"/>
    </font>
    <font>
      <sz val="12"/>
      <name val="David"/>
      <family val="2"/>
      <charset val="177"/>
    </font>
    <font>
      <b/>
      <sz val="12"/>
      <name val="David"/>
      <family val="2"/>
      <charset val="177"/>
    </font>
    <font>
      <sz val="10"/>
      <name val="Times New Roman Cyr"/>
      <family val="1"/>
      <charset val="204"/>
    </font>
    <font>
      <b/>
      <sz val="12"/>
      <color indexed="10"/>
      <name val="Times New Roman Cyr"/>
      <family val="1"/>
      <charset val="204"/>
    </font>
    <font>
      <sz val="12"/>
      <name val="Times New Roman Cyr"/>
      <family val="1"/>
      <charset val="204"/>
    </font>
    <font>
      <b/>
      <sz val="12"/>
      <name val="Times New Roman Cyr"/>
      <family val="1"/>
      <charset val="204"/>
    </font>
    <font>
      <b/>
      <sz val="12"/>
      <name val="Times New Roman Cyr"/>
      <charset val="177"/>
    </font>
    <font>
      <b/>
      <sz val="10"/>
      <name val="Times New Roman Cyr"/>
      <family val="1"/>
      <charset val="204"/>
    </font>
    <font>
      <sz val="10"/>
      <name val="David"/>
      <family val="2"/>
      <charset val="177"/>
    </font>
    <font>
      <b/>
      <sz val="14"/>
      <name val="Times New Roman Cyr"/>
      <family val="1"/>
      <charset val="204"/>
    </font>
    <font>
      <b/>
      <u/>
      <sz val="14"/>
      <name val="Times New Roman Cyr"/>
      <family val="1"/>
      <charset val="204"/>
    </font>
    <font>
      <sz val="12"/>
      <color indexed="10"/>
      <name val="Times New Roman Cyr"/>
      <family val="1"/>
      <charset val="204"/>
    </font>
    <font>
      <sz val="14"/>
      <name val="Times New Roman Cyr"/>
      <family val="1"/>
      <charset val="204"/>
    </font>
    <font>
      <b/>
      <sz val="14"/>
      <name val="Times New Roman Cyr"/>
      <charset val="177"/>
    </font>
    <font>
      <sz val="14"/>
      <name val="David"/>
      <family val="2"/>
      <charset val="177"/>
    </font>
    <font>
      <b/>
      <u/>
      <sz val="12"/>
      <name val="David"/>
      <family val="2"/>
      <charset val="177"/>
    </font>
    <font>
      <b/>
      <sz val="14"/>
      <color indexed="10"/>
      <name val="Times New Roman Cyr"/>
      <family val="1"/>
      <charset val="204"/>
    </font>
    <font>
      <sz val="11"/>
      <color theme="1"/>
      <name val="Arial"/>
      <family val="2"/>
      <charset val="177"/>
      <scheme val="minor"/>
    </font>
    <font>
      <b/>
      <sz val="11"/>
      <color theme="1"/>
      <name val="Arial"/>
      <family val="2"/>
      <charset val="177"/>
      <scheme val="minor"/>
    </font>
    <font>
      <b/>
      <u/>
      <sz val="11"/>
      <color theme="1"/>
      <name val="Arial"/>
      <family val="2"/>
      <scheme val="minor"/>
    </font>
    <font>
      <sz val="14"/>
      <color theme="1"/>
      <name val="Arial"/>
      <family val="2"/>
      <charset val="177"/>
      <scheme val="minor"/>
    </font>
    <font>
      <b/>
      <sz val="14"/>
      <color theme="1"/>
      <name val="Arial"/>
      <family val="2"/>
      <scheme val="minor"/>
    </font>
    <font>
      <b/>
      <sz val="14"/>
      <color theme="1"/>
      <name val="Arial"/>
      <family val="2"/>
      <charset val="177"/>
      <scheme val="minor"/>
    </font>
    <font>
      <sz val="12"/>
      <color theme="1"/>
      <name val="Arial"/>
      <family val="2"/>
      <charset val="177"/>
      <scheme val="minor"/>
    </font>
    <font>
      <b/>
      <sz val="12"/>
      <color theme="1"/>
      <name val="Arial"/>
      <family val="2"/>
      <charset val="177"/>
      <scheme val="minor"/>
    </font>
    <font>
      <b/>
      <sz val="11"/>
      <color theme="1"/>
      <name val="Arial"/>
      <family val="2"/>
      <scheme val="minor"/>
    </font>
    <font>
      <sz val="12"/>
      <color rgb="FF000000"/>
      <name val="Arial"/>
      <family val="2"/>
    </font>
    <font>
      <b/>
      <u/>
      <sz val="12"/>
      <color rgb="FF000000"/>
      <name val="Arial"/>
      <family val="2"/>
    </font>
    <font>
      <sz val="12"/>
      <color theme="1"/>
      <name val="Arial"/>
      <family val="2"/>
    </font>
    <font>
      <sz val="12"/>
      <color theme="1"/>
      <name val="David"/>
      <family val="2"/>
      <charset val="177"/>
    </font>
    <font>
      <b/>
      <sz val="12"/>
      <color theme="0"/>
      <name val="Arial"/>
      <family val="2"/>
    </font>
    <font>
      <b/>
      <sz val="12"/>
      <color theme="0"/>
      <name val="David"/>
      <family val="2"/>
      <charset val="177"/>
    </font>
    <font>
      <b/>
      <sz val="12"/>
      <color rgb="FFFFFFFF"/>
      <name val="Arial"/>
      <family val="2"/>
    </font>
    <font>
      <b/>
      <sz val="12"/>
      <color theme="1"/>
      <name val="Arial"/>
      <family val="2"/>
    </font>
    <font>
      <b/>
      <u/>
      <sz val="14"/>
      <color theme="1"/>
      <name val="Arial"/>
      <family val="2"/>
      <scheme val="minor"/>
    </font>
    <font>
      <b/>
      <sz val="12"/>
      <color theme="1"/>
      <name val="Times New Roman"/>
      <family val="1"/>
    </font>
    <font>
      <sz val="12"/>
      <color theme="1"/>
      <name val="Times New Roman"/>
      <family val="1"/>
    </font>
    <font>
      <b/>
      <u/>
      <sz val="12"/>
      <color theme="1"/>
      <name val="Times New Roman"/>
      <family val="1"/>
    </font>
    <font>
      <b/>
      <sz val="14"/>
      <color theme="1"/>
      <name val="Times New Roman"/>
      <family val="1"/>
    </font>
    <font>
      <i/>
      <sz val="12"/>
      <color theme="1"/>
      <name val="Times New Roman"/>
      <family val="1"/>
    </font>
    <font>
      <sz val="11"/>
      <color theme="1"/>
      <name val="Calibri"/>
      <family val="2"/>
    </font>
    <font>
      <b/>
      <sz val="15"/>
      <color theme="1"/>
      <name val="Times New Roman"/>
      <family val="1"/>
    </font>
    <font>
      <b/>
      <sz val="10"/>
      <color theme="1"/>
      <name val="Arial"/>
      <family val="2"/>
    </font>
    <font>
      <b/>
      <u/>
      <sz val="12"/>
      <color theme="1"/>
      <name val="Arial"/>
      <family val="2"/>
    </font>
    <font>
      <b/>
      <sz val="15"/>
      <color theme="1"/>
      <name val="Arial"/>
      <family val="2"/>
    </font>
    <font>
      <b/>
      <sz val="13"/>
      <color theme="1"/>
      <name val="Times New Roman"/>
      <family val="1"/>
    </font>
    <font>
      <sz val="12"/>
      <color theme="1"/>
      <name val="Arial"/>
      <family val="2"/>
      <scheme val="minor"/>
    </font>
    <font>
      <b/>
      <sz val="12"/>
      <color theme="1"/>
      <name val="Arial"/>
      <family val="2"/>
      <scheme val="minor"/>
    </font>
    <font>
      <b/>
      <u/>
      <sz val="12"/>
      <color theme="1"/>
      <name val="Arial"/>
      <family val="2"/>
      <charset val="177"/>
      <scheme val="minor"/>
    </font>
    <font>
      <sz val="10"/>
      <name val="Arial"/>
      <family val="2"/>
    </font>
    <font>
      <b/>
      <sz val="10"/>
      <name val="Arial"/>
      <family val="2"/>
    </font>
    <font>
      <sz val="10"/>
      <color indexed="23"/>
      <name val="Arial"/>
      <family val="2"/>
    </font>
    <font>
      <b/>
      <u/>
      <sz val="12"/>
      <color theme="1"/>
      <name val="Arial"/>
      <family val="2"/>
      <scheme val="minor"/>
    </font>
    <font>
      <b/>
      <sz val="16"/>
      <color theme="1"/>
      <name val="Arial"/>
      <family val="2"/>
      <scheme val="minor"/>
    </font>
    <font>
      <b/>
      <u/>
      <sz val="16"/>
      <color theme="1"/>
      <name val="Arial"/>
      <family val="2"/>
      <scheme val="minor"/>
    </font>
    <font>
      <sz val="14"/>
      <color theme="1"/>
      <name val="Arial"/>
      <family val="2"/>
      <scheme val="minor"/>
    </font>
    <font>
      <sz val="72"/>
      <color theme="1"/>
      <name val="Arial"/>
      <family val="2"/>
      <charset val="177"/>
      <scheme val="minor"/>
    </font>
    <font>
      <b/>
      <sz val="24"/>
      <color theme="1"/>
      <name val="Arial"/>
      <family val="2"/>
      <scheme val="minor"/>
    </font>
    <font>
      <b/>
      <sz val="12"/>
      <name val="David"/>
      <family val="2"/>
      <charset val="177"/>
    </font>
    <font>
      <sz val="16"/>
      <color rgb="FFFFFFFF"/>
      <name val="Arial"/>
      <family val="2"/>
      <scheme val="minor"/>
    </font>
    <font>
      <sz val="16"/>
      <color rgb="FFFFFFFF"/>
      <name val="Calibri"/>
      <family val="2"/>
    </font>
    <font>
      <sz val="10"/>
      <name val="David"/>
      <family val="2"/>
      <charset val="177"/>
    </font>
    <font>
      <b/>
      <sz val="10"/>
      <name val="David"/>
      <family val="2"/>
      <charset val="177"/>
    </font>
    <font>
      <b/>
      <sz val="12"/>
      <color rgb="FF000000"/>
      <name val="Arial"/>
      <family val="2"/>
    </font>
    <font>
      <b/>
      <sz val="14"/>
      <color rgb="FFFFFFFF"/>
      <name val="Arial"/>
      <family val="2"/>
      <scheme val="minor"/>
    </font>
    <font>
      <b/>
      <sz val="14"/>
      <color rgb="FFFFFFFF"/>
      <name val="Calibri"/>
      <family val="2"/>
    </font>
    <font>
      <b/>
      <i/>
      <u/>
      <sz val="16"/>
      <color theme="1"/>
      <name val="Arial"/>
      <family val="2"/>
      <scheme val="minor"/>
    </font>
    <font>
      <b/>
      <sz val="16"/>
      <name val="Arial"/>
      <family val="2"/>
    </font>
    <font>
      <b/>
      <i/>
      <u/>
      <sz val="11"/>
      <color theme="1"/>
      <name val="Arial"/>
      <family val="2"/>
      <scheme val="minor"/>
    </font>
    <font>
      <sz val="18"/>
      <color theme="1"/>
      <name val="Arial"/>
      <family val="2"/>
      <scheme val="minor"/>
    </font>
    <font>
      <b/>
      <u val="singleAccounting"/>
      <sz val="14"/>
      <color theme="1"/>
      <name val="Arial"/>
      <family val="2"/>
      <scheme val="minor"/>
    </font>
    <font>
      <sz val="6"/>
      <name val="Arial"/>
      <family val="2"/>
    </font>
    <font>
      <sz val="14"/>
      <name val="Arial"/>
      <family val="2"/>
    </font>
    <font>
      <b/>
      <sz val="6"/>
      <name val="Arial"/>
      <family val="2"/>
    </font>
    <font>
      <b/>
      <sz val="14"/>
      <name val="Arial"/>
      <family val="2"/>
    </font>
    <font>
      <sz val="12"/>
      <name val="Times New Roman"/>
      <family val="1"/>
    </font>
    <font>
      <b/>
      <sz val="12"/>
      <name val="Times New Roman"/>
      <family val="1"/>
    </font>
    <font>
      <b/>
      <sz val="11"/>
      <name val="Arial"/>
      <family val="2"/>
      <charset val="177"/>
      <scheme val="minor"/>
    </font>
    <font>
      <b/>
      <sz val="12"/>
      <name val="Arial"/>
      <family val="2"/>
    </font>
    <font>
      <u/>
      <sz val="11"/>
      <color theme="10"/>
      <name val="Arial"/>
      <family val="2"/>
      <charset val="177"/>
    </font>
    <font>
      <sz val="14"/>
      <color rgb="FF000000"/>
      <name val="Arial"/>
      <family val="2"/>
      <charset val="177"/>
      <scheme val="minor"/>
    </font>
    <font>
      <b/>
      <u/>
      <sz val="20"/>
      <color theme="1"/>
      <name val="Arial"/>
      <family val="2"/>
      <scheme val="minor"/>
    </font>
    <font>
      <sz val="20"/>
      <color theme="1"/>
      <name val="Arial"/>
      <family val="2"/>
      <charset val="177"/>
      <scheme val="minor"/>
    </font>
    <font>
      <sz val="28"/>
      <color theme="1"/>
      <name val="Arial"/>
      <family val="2"/>
      <charset val="177"/>
      <scheme val="minor"/>
    </font>
    <font>
      <sz val="12"/>
      <name val="Courier"/>
      <family val="3"/>
      <charset val="177"/>
    </font>
    <font>
      <b/>
      <sz val="14"/>
      <name val="NarkisTam"/>
      <charset val="177"/>
    </font>
    <font>
      <sz val="7"/>
      <name val="Switzerland"/>
      <family val="2"/>
      <charset val="177"/>
    </font>
    <font>
      <sz val="7"/>
      <name val="Arial"/>
      <family val="2"/>
    </font>
    <font>
      <sz val="7"/>
      <name val="Arial (Hebrew)"/>
      <family val="2"/>
      <charset val="177"/>
    </font>
    <font>
      <sz val="7"/>
      <name val="NarkisTam"/>
      <charset val="177"/>
    </font>
    <font>
      <b/>
      <sz val="8"/>
      <name val="Arial (Hebrew)"/>
      <family val="2"/>
      <charset val="177"/>
    </font>
    <font>
      <b/>
      <sz val="7"/>
      <name val="Switzerland"/>
      <family val="2"/>
      <charset val="177"/>
    </font>
    <font>
      <sz val="12"/>
      <name val="Arial"/>
      <family val="2"/>
    </font>
    <font>
      <sz val="12"/>
      <name val="Courier"/>
      <family val="3"/>
    </font>
    <font>
      <b/>
      <sz val="10"/>
      <name val="NarkisTam"/>
      <charset val="177"/>
    </font>
    <font>
      <sz val="1"/>
      <color indexed="8"/>
      <name val="Courier"/>
      <family val="3"/>
      <charset val="177"/>
    </font>
    <font>
      <sz val="7"/>
      <name val="NarkisTam Light"/>
      <charset val="177"/>
    </font>
    <font>
      <b/>
      <sz val="11"/>
      <name val="NarkisTam"/>
      <charset val="177"/>
    </font>
    <font>
      <b/>
      <sz val="1"/>
      <color indexed="8"/>
      <name val="Courier"/>
      <family val="3"/>
      <charset val="177"/>
    </font>
    <font>
      <b/>
      <sz val="9"/>
      <name val="NarkisTam"/>
      <charset val="177"/>
    </font>
    <font>
      <sz val="12"/>
      <name val="Arial (Hebrew)"/>
      <family val="2"/>
      <charset val="177"/>
    </font>
    <font>
      <sz val="12"/>
      <name val="Switzerland"/>
      <family val="2"/>
      <charset val="177"/>
    </font>
    <font>
      <b/>
      <sz val="12"/>
      <name val="Arial (Hebrew)"/>
      <family val="2"/>
      <charset val="177"/>
    </font>
    <font>
      <b/>
      <sz val="12"/>
      <name val="Switzerland"/>
      <family val="2"/>
      <charset val="177"/>
    </font>
    <font>
      <b/>
      <sz val="12"/>
      <name val="NarkisTam"/>
      <charset val="177"/>
    </font>
    <font>
      <sz val="12"/>
      <name val="SwitzerlandLight"/>
      <family val="2"/>
      <charset val="177"/>
    </font>
    <font>
      <b/>
      <sz val="20"/>
      <color theme="1"/>
      <name val="Arial"/>
      <family val="2"/>
      <scheme val="minor"/>
    </font>
    <font>
      <sz val="20"/>
      <color theme="1"/>
      <name val="Arial"/>
      <family val="2"/>
      <scheme val="minor"/>
    </font>
    <font>
      <sz val="11"/>
      <color theme="1"/>
      <name val="Arial"/>
      <family val="2"/>
      <scheme val="minor"/>
    </font>
    <font>
      <b/>
      <sz val="48"/>
      <color theme="1"/>
      <name val="Arial"/>
      <family val="2"/>
      <scheme val="minor"/>
    </font>
    <font>
      <sz val="11"/>
      <color theme="1"/>
      <name val="Arial"/>
      <family val="2"/>
      <scheme val="minor"/>
    </font>
  </fonts>
  <fills count="25">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4"/>
        <bgColor theme="4"/>
      </patternFill>
    </fill>
    <fill>
      <patternFill patternType="solid">
        <fgColor theme="0" tint="-0.14999847407452621"/>
        <bgColor theme="0" tint="-0.14999847407452621"/>
      </patternFill>
    </fill>
    <fill>
      <patternFill patternType="solid">
        <fgColor rgb="FF4F81BD"/>
        <bgColor indexed="64"/>
      </patternFill>
    </fill>
    <fill>
      <patternFill patternType="solid">
        <fgColor rgb="FFD3DFEE"/>
        <bgColor indexed="64"/>
      </patternFill>
    </fill>
    <fill>
      <patternFill patternType="solid">
        <fgColor rgb="FFD8D8D8"/>
        <bgColor indexed="64"/>
      </patternFill>
    </fill>
    <fill>
      <patternFill patternType="solid">
        <fgColor rgb="FF00B0F0"/>
        <bgColor indexed="64"/>
      </patternFill>
    </fill>
    <fill>
      <patternFill patternType="solid">
        <fgColor rgb="FFC0C0C0"/>
        <bgColor indexed="64"/>
      </patternFill>
    </fill>
    <fill>
      <patternFill patternType="solid">
        <fgColor rgb="FF00B050"/>
        <bgColor indexed="64"/>
      </patternFill>
    </fill>
    <fill>
      <patternFill patternType="solid">
        <fgColor indexed="9"/>
        <bgColor indexed="64"/>
      </patternFill>
    </fill>
    <fill>
      <patternFill patternType="solid">
        <fgColor indexed="26"/>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92D050"/>
        <bgColor theme="0" tint="-0.14999847407452621"/>
      </patternFill>
    </fill>
    <fill>
      <patternFill patternType="solid">
        <fgColor rgb="FFFF00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rgb="FF7030A0"/>
        <bgColor indexed="64"/>
      </patternFill>
    </fill>
  </fills>
  <borders count="10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style="thin">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double">
        <color indexed="64"/>
      </left>
      <right/>
      <top style="double">
        <color indexed="64"/>
      </top>
      <bottom/>
      <diagonal/>
    </border>
    <border>
      <left style="mediumDashed">
        <color indexed="64"/>
      </left>
      <right style="mediumDashed">
        <color indexed="64"/>
      </right>
      <top style="double">
        <color indexed="64"/>
      </top>
      <bottom/>
      <diagonal/>
    </border>
    <border>
      <left style="double">
        <color indexed="64"/>
      </left>
      <right/>
      <top/>
      <bottom style="medium">
        <color indexed="64"/>
      </bottom>
      <diagonal/>
    </border>
    <border>
      <left style="mediumDashed">
        <color indexed="64"/>
      </left>
      <right style="mediumDashed">
        <color indexed="64"/>
      </right>
      <top/>
      <bottom style="medium">
        <color indexed="64"/>
      </bottom>
      <diagonal/>
    </border>
    <border>
      <left style="mediumDashed">
        <color indexed="64"/>
      </left>
      <right style="mediumDashed">
        <color indexed="64"/>
      </right>
      <top style="mediumDashed">
        <color indexed="64"/>
      </top>
      <bottom style="medium">
        <color indexed="64"/>
      </bottom>
      <diagonal/>
    </border>
    <border>
      <left/>
      <right style="mediumDashed">
        <color indexed="64"/>
      </right>
      <top style="mediumDashed">
        <color indexed="64"/>
      </top>
      <bottom style="medium">
        <color indexed="64"/>
      </bottom>
      <diagonal/>
    </border>
    <border>
      <left/>
      <right style="mediumDashed">
        <color indexed="64"/>
      </right>
      <top/>
      <bottom/>
      <diagonal/>
    </border>
    <border>
      <left style="mediumDashed">
        <color indexed="64"/>
      </left>
      <right style="mediumDashed">
        <color indexed="64"/>
      </right>
      <top/>
      <bottom/>
      <diagonal/>
    </border>
    <border>
      <left style="mediumDashed">
        <color indexed="64"/>
      </left>
      <right style="mediumDashed">
        <color indexed="64"/>
      </right>
      <top/>
      <bottom style="thin">
        <color indexed="64"/>
      </bottom>
      <diagonal/>
    </border>
    <border>
      <left/>
      <right style="mediumDashed">
        <color indexed="64"/>
      </right>
      <top/>
      <bottom style="thin">
        <color indexed="64"/>
      </bottom>
      <diagonal/>
    </border>
    <border>
      <left/>
      <right style="mediumDashed">
        <color indexed="64"/>
      </right>
      <top/>
      <bottom style="medium">
        <color indexed="64"/>
      </bottom>
      <diagonal/>
    </border>
    <border>
      <left style="double">
        <color indexed="64"/>
      </left>
      <right style="mediumDashed">
        <color indexed="64"/>
      </right>
      <top/>
      <bottom/>
      <diagonal/>
    </border>
    <border>
      <left style="double">
        <color indexed="64"/>
      </left>
      <right style="mediumDashed">
        <color indexed="64"/>
      </right>
      <top/>
      <bottom style="thin">
        <color indexed="64"/>
      </bottom>
      <diagonal/>
    </border>
    <border>
      <left style="double">
        <color indexed="64"/>
      </left>
      <right style="mediumDashed">
        <color indexed="64"/>
      </right>
      <top/>
      <bottom style="medium">
        <color indexed="64"/>
      </bottom>
      <diagonal/>
    </border>
    <border>
      <left style="double">
        <color indexed="64"/>
      </left>
      <right style="mediumDashed">
        <color indexed="64"/>
      </right>
      <top style="medium">
        <color indexed="64"/>
      </top>
      <bottom style="double">
        <color indexed="64"/>
      </bottom>
      <diagonal/>
    </border>
    <border>
      <left/>
      <right style="mediumDashed">
        <color indexed="64"/>
      </right>
      <top style="medium">
        <color indexed="64"/>
      </top>
      <bottom style="double">
        <color indexed="64"/>
      </bottom>
      <diagonal/>
    </border>
    <border>
      <left style="thin">
        <color indexed="64"/>
      </left>
      <right style="thin">
        <color indexed="64"/>
      </right>
      <top/>
      <bottom style="thin">
        <color indexed="64"/>
      </bottom>
      <diagonal/>
    </border>
    <border>
      <left style="mediumDashed">
        <color indexed="64"/>
      </left>
      <right style="mediumDashed">
        <color indexed="64"/>
      </right>
      <top style="medium">
        <color indexed="64"/>
      </top>
      <bottom style="double">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diagonal/>
    </border>
    <border>
      <left/>
      <right style="medium">
        <color indexed="64"/>
      </right>
      <top style="medium">
        <color indexed="64"/>
      </top>
      <bottom style="thin">
        <color indexed="64"/>
      </bottom>
      <diagonal/>
    </border>
    <border>
      <left/>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bottom style="thin">
        <color indexed="64"/>
      </bottom>
      <diagonal/>
    </border>
    <border>
      <left/>
      <right/>
      <top style="thin">
        <color indexed="64"/>
      </top>
      <bottom/>
      <diagonal/>
    </border>
    <border>
      <left/>
      <right/>
      <top/>
      <bottom style="medium">
        <color theme="1"/>
      </bottom>
      <diagonal/>
    </border>
    <border>
      <left/>
      <right/>
      <top style="thick">
        <color indexed="54"/>
      </top>
      <bottom style="hair">
        <color indexed="16"/>
      </bottom>
      <diagonal/>
    </border>
    <border>
      <left style="hair">
        <color indexed="16"/>
      </left>
      <right/>
      <top style="hair">
        <color indexed="16"/>
      </top>
      <bottom style="hair">
        <color indexed="16"/>
      </bottom>
      <diagonal/>
    </border>
    <border>
      <left/>
      <right/>
      <top style="hair">
        <color indexed="16"/>
      </top>
      <bottom style="hair">
        <color indexed="16"/>
      </bottom>
      <diagonal/>
    </border>
    <border>
      <left/>
      <right style="hair">
        <color indexed="16"/>
      </right>
      <top style="hair">
        <color indexed="16"/>
      </top>
      <bottom style="hair">
        <color indexed="16"/>
      </bottom>
      <diagonal/>
    </border>
    <border>
      <left style="hair">
        <color indexed="16"/>
      </left>
      <right/>
      <top/>
      <bottom/>
      <diagonal/>
    </border>
    <border>
      <left style="hair">
        <color indexed="16"/>
      </left>
      <right style="hair">
        <color indexed="16"/>
      </right>
      <top/>
      <bottom style="hair">
        <color indexed="16"/>
      </bottom>
      <diagonal/>
    </border>
    <border>
      <left style="hair">
        <color indexed="16"/>
      </left>
      <right style="hair">
        <color indexed="16"/>
      </right>
      <top style="hair">
        <color indexed="16"/>
      </top>
      <bottom style="hair">
        <color indexed="16"/>
      </bottom>
      <diagonal/>
    </border>
    <border>
      <left style="hair">
        <color indexed="16"/>
      </left>
      <right/>
      <top/>
      <bottom style="hair">
        <color indexed="16"/>
      </bottom>
      <diagonal/>
    </border>
    <border>
      <left/>
      <right/>
      <top/>
      <bottom style="hair">
        <color indexed="16"/>
      </bottom>
      <diagonal/>
    </border>
    <border>
      <left/>
      <right/>
      <top style="hair">
        <color indexed="16"/>
      </top>
      <bottom/>
      <diagonal/>
    </border>
    <border>
      <left style="hair">
        <color indexed="16"/>
      </left>
      <right/>
      <top style="hair">
        <color indexed="16"/>
      </top>
      <bottom/>
      <diagonal/>
    </border>
    <border>
      <left/>
      <right style="hair">
        <color indexed="16"/>
      </right>
      <top style="hair">
        <color indexed="16"/>
      </top>
      <bottom/>
      <diagonal/>
    </border>
    <border>
      <left/>
      <right style="hair">
        <color indexed="16"/>
      </right>
      <top/>
      <bottom/>
      <diagonal/>
    </border>
    <border>
      <left/>
      <right style="hair">
        <color indexed="16"/>
      </right>
      <top/>
      <bottom style="hair">
        <color indexed="16"/>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1">
    <xf numFmtId="0" fontId="0" fillId="0" borderId="0"/>
    <xf numFmtId="43" fontId="19" fillId="0" borderId="0" applyFont="0" applyFill="0" applyBorder="0" applyAlignment="0" applyProtection="0"/>
    <xf numFmtId="164" fontId="1" fillId="0" borderId="0" applyFont="0" applyFill="0" applyBorder="0" applyAlignment="0" applyProtection="0"/>
    <xf numFmtId="44" fontId="19" fillId="0" borderId="0" applyFont="0" applyFill="0" applyBorder="0" applyAlignment="0" applyProtection="0"/>
    <xf numFmtId="0" fontId="1" fillId="0" borderId="0"/>
    <xf numFmtId="9" fontId="19" fillId="0" borderId="0" applyFont="0" applyFill="0" applyBorder="0" applyAlignment="0" applyProtection="0"/>
    <xf numFmtId="0" fontId="51" fillId="0" borderId="0"/>
    <xf numFmtId="175" fontId="51" fillId="0" borderId="0" applyFont="0" applyFill="0" applyBorder="0" applyAlignment="0" applyProtection="0"/>
    <xf numFmtId="0" fontId="73" fillId="0" borderId="0" applyNumberFormat="0" applyBorder="0" applyAlignment="0">
      <alignment horizontal="left" readingOrder="1"/>
    </xf>
    <xf numFmtId="182" fontId="75" fillId="0" borderId="0" applyNumberFormat="0" applyBorder="0" applyAlignment="0">
      <alignment horizontal="left" readingOrder="1"/>
    </xf>
    <xf numFmtId="0" fontId="81" fillId="0" borderId="0" applyNumberFormat="0" applyFill="0" applyBorder="0" applyAlignment="0" applyProtection="0">
      <alignment vertical="top"/>
      <protection locked="0"/>
    </xf>
    <xf numFmtId="182" fontId="87" fillId="0" borderId="0" applyNumberFormat="0" applyFill="0" applyBorder="0" applyProtection="0">
      <alignment horizontal="centerContinuous"/>
    </xf>
    <xf numFmtId="182" fontId="88" fillId="0" borderId="0" applyNumberFormat="0" applyFill="0" applyBorder="0" applyProtection="0">
      <alignment horizontal="center"/>
    </xf>
    <xf numFmtId="182" fontId="90" fillId="0" borderId="0" applyNumberFormat="0" applyBorder="0" applyAlignment="0">
      <alignment horizontal="center"/>
    </xf>
    <xf numFmtId="182" fontId="89" fillId="0" borderId="0" applyNumberFormat="0" applyBorder="0" applyAlignment="0">
      <alignment horizontal="center"/>
    </xf>
    <xf numFmtId="183" fontId="92" fillId="0" borderId="0" applyNumberFormat="0" applyBorder="0" applyAlignment="0">
      <alignment horizontal="right" readingOrder="2"/>
    </xf>
    <xf numFmtId="182" fontId="93" fillId="0" borderId="0" applyNumberFormat="0" applyFill="0" applyBorder="0" applyProtection="0"/>
    <xf numFmtId="183" fontId="75" fillId="0" borderId="0" applyNumberFormat="0" applyBorder="0" applyAlignment="0">
      <alignment horizontal="left" readingOrder="1"/>
    </xf>
    <xf numFmtId="182" fontId="92" fillId="0" borderId="0" applyNumberFormat="0" applyBorder="0" applyAlignment="0"/>
    <xf numFmtId="182" fontId="90" fillId="0" borderId="0" applyNumberFormat="0" applyFill="0" applyBorder="0" applyAlignment="0" applyProtection="0">
      <alignment horizontal="right" readingOrder="2"/>
    </xf>
    <xf numFmtId="182" fontId="91" fillId="0" borderId="0" applyNumberFormat="0" applyFill="0" applyBorder="0" applyProtection="0"/>
    <xf numFmtId="182" fontId="86" fillId="0" borderId="0"/>
    <xf numFmtId="182" fontId="96" fillId="0" borderId="0" applyNumberFormat="0" applyFill="0" applyBorder="0" applyProtection="0"/>
    <xf numFmtId="1" fontId="97" fillId="0" borderId="0">
      <protection locked="0"/>
    </xf>
    <xf numFmtId="188" fontId="97" fillId="0" borderId="0">
      <protection locked="0"/>
    </xf>
    <xf numFmtId="182" fontId="98" fillId="0" borderId="0" applyNumberFormat="0" applyFill="0" applyBorder="0" applyProtection="0"/>
    <xf numFmtId="182" fontId="99" fillId="0" borderId="0" applyNumberFormat="0" applyFill="0" applyBorder="0" applyProtection="0">
      <alignment horizontal="centerContinuous"/>
    </xf>
    <xf numFmtId="189" fontId="100" fillId="0" borderId="0">
      <protection locked="0"/>
    </xf>
    <xf numFmtId="189" fontId="100" fillId="0" borderId="0">
      <protection locked="0"/>
    </xf>
    <xf numFmtId="182" fontId="101" fillId="0" borderId="0" applyNumberFormat="0" applyFill="0" applyBorder="0" applyProtection="0"/>
    <xf numFmtId="182" fontId="101" fillId="0" borderId="0" applyNumberFormat="0" applyFill="0" applyBorder="0" applyProtection="0"/>
  </cellStyleXfs>
  <cellXfs count="1041">
    <xf numFmtId="0" fontId="0" fillId="0" borderId="0" xfId="0"/>
    <xf numFmtId="0" fontId="21" fillId="0" borderId="0" xfId="0" applyFont="1"/>
    <xf numFmtId="0" fontId="2" fillId="0" borderId="0" xfId="4" applyFont="1" applyAlignment="1">
      <alignment horizontal="centerContinuous"/>
    </xf>
    <xf numFmtId="165" fontId="2" fillId="0" borderId="0" xfId="2" applyNumberFormat="1" applyFont="1" applyBorder="1" applyAlignment="1">
      <alignment horizontal="centerContinuous"/>
    </xf>
    <xf numFmtId="0" fontId="2" fillId="0" borderId="0" xfId="4" applyFont="1"/>
    <xf numFmtId="0" fontId="2" fillId="0" borderId="0" xfId="4" applyFont="1" applyAlignment="1">
      <alignment horizontal="center"/>
    </xf>
    <xf numFmtId="0" fontId="3" fillId="0" borderId="1" xfId="4" applyFont="1" applyBorder="1"/>
    <xf numFmtId="165" fontId="3" fillId="0" borderId="0" xfId="2" applyNumberFormat="1" applyFont="1"/>
    <xf numFmtId="0" fontId="3" fillId="0" borderId="1" xfId="4" applyFont="1" applyBorder="1" applyAlignment="1">
      <alignment horizontal="center" vertical="center" wrapText="1"/>
    </xf>
    <xf numFmtId="165" fontId="3" fillId="0" borderId="1" xfId="2" applyNumberFormat="1" applyFont="1" applyBorder="1" applyAlignment="1">
      <alignment horizontal="center" vertical="center" wrapText="1"/>
    </xf>
    <xf numFmtId="0" fontId="2" fillId="0" borderId="0" xfId="4" applyFont="1" applyAlignment="1">
      <alignment horizontal="center" vertical="center" wrapText="1"/>
    </xf>
    <xf numFmtId="165" fontId="3" fillId="0" borderId="1" xfId="2" applyNumberFormat="1" applyFont="1" applyFill="1" applyBorder="1" applyAlignment="1"/>
    <xf numFmtId="3" fontId="3" fillId="0" borderId="1" xfId="4" applyNumberFormat="1" applyFont="1" applyBorder="1"/>
    <xf numFmtId="166" fontId="2" fillId="0" borderId="0" xfId="4" applyNumberFormat="1" applyFont="1"/>
    <xf numFmtId="165" fontId="3" fillId="0" borderId="1" xfId="2" applyNumberFormat="1" applyFont="1" applyBorder="1"/>
    <xf numFmtId="0" fontId="3" fillId="0" borderId="0" xfId="4" applyFont="1"/>
    <xf numFmtId="0" fontId="3" fillId="0" borderId="0" xfId="4" applyFont="1" applyAlignment="1">
      <alignment horizontal="center"/>
    </xf>
    <xf numFmtId="0" fontId="3" fillId="0" borderId="0" xfId="4" applyFont="1" applyAlignment="1">
      <alignment horizontal="centerContinuous" vertical="center" wrapText="1"/>
    </xf>
    <xf numFmtId="165" fontId="3" fillId="0" borderId="0" xfId="2" applyNumberFormat="1" applyFont="1" applyBorder="1" applyAlignment="1">
      <alignment horizontal="centerContinuous" vertical="center" wrapText="1"/>
    </xf>
    <xf numFmtId="0" fontId="3" fillId="0" borderId="0" xfId="4" applyFont="1" applyAlignment="1">
      <alignment horizontal="right" vertical="center" wrapText="1"/>
    </xf>
    <xf numFmtId="165" fontId="3" fillId="0" borderId="0" xfId="2" applyNumberFormat="1" applyFont="1" applyBorder="1" applyAlignment="1">
      <alignment horizontal="right" vertical="center" wrapText="1"/>
    </xf>
    <xf numFmtId="0" fontId="2" fillId="0" borderId="0" xfId="4" applyFont="1" applyProtection="1">
      <protection locked="0" hidden="1"/>
    </xf>
    <xf numFmtId="165" fontId="2" fillId="0" borderId="0" xfId="2" applyNumberFormat="1" applyFont="1" applyBorder="1" applyProtection="1">
      <protection locked="0" hidden="1"/>
    </xf>
    <xf numFmtId="0" fontId="3" fillId="0" borderId="0" xfId="4" applyFont="1" applyProtection="1">
      <protection locked="0" hidden="1"/>
    </xf>
    <xf numFmtId="165" fontId="3" fillId="0" borderId="0" xfId="2" applyNumberFormat="1" applyFont="1" applyBorder="1" applyProtection="1">
      <protection locked="0" hidden="1"/>
    </xf>
    <xf numFmtId="165" fontId="2" fillId="0" borderId="0" xfId="2" applyNumberFormat="1" applyFont="1"/>
    <xf numFmtId="0" fontId="4" fillId="0" borderId="0" xfId="0" applyFont="1" applyAlignment="1">
      <alignment horizontal="right" vertical="center"/>
    </xf>
    <xf numFmtId="0" fontId="4" fillId="0" borderId="0" xfId="0" applyFont="1" applyAlignment="1">
      <alignment vertical="center"/>
    </xf>
    <xf numFmtId="0" fontId="6" fillId="0" borderId="2" xfId="0" applyFont="1" applyBorder="1" applyAlignment="1">
      <alignment horizontal="right" vertical="center" wrapText="1"/>
    </xf>
    <xf numFmtId="0" fontId="6" fillId="0" borderId="4" xfId="0" applyFont="1" applyBorder="1" applyAlignment="1">
      <alignment horizontal="center" vertical="center" wrapText="1"/>
    </xf>
    <xf numFmtId="0" fontId="10" fillId="3" borderId="5" xfId="0" applyFont="1" applyFill="1" applyBorder="1" applyAlignment="1">
      <alignment horizontal="right" vertical="center" wrapText="1"/>
    </xf>
    <xf numFmtId="0" fontId="9" fillId="2" borderId="2" xfId="0" applyFont="1" applyFill="1" applyBorder="1" applyAlignment="1">
      <alignment horizontal="right" vertical="center"/>
    </xf>
    <xf numFmtId="0" fontId="6" fillId="2" borderId="6" xfId="0" applyFont="1" applyFill="1" applyBorder="1" applyAlignment="1">
      <alignment horizontal="right" vertical="center" wrapText="1"/>
    </xf>
    <xf numFmtId="9" fontId="8" fillId="2" borderId="6" xfId="5" applyFont="1" applyFill="1" applyBorder="1" applyAlignment="1">
      <alignment vertical="center" wrapText="1" readingOrder="2"/>
    </xf>
    <xf numFmtId="0" fontId="10" fillId="3" borderId="8" xfId="0" applyFont="1" applyFill="1" applyBorder="1" applyAlignment="1">
      <alignment horizontal="right" vertical="center" wrapText="1"/>
    </xf>
    <xf numFmtId="0" fontId="6" fillId="0" borderId="1" xfId="0" applyFont="1" applyBorder="1" applyAlignment="1">
      <alignment vertical="center"/>
    </xf>
    <xf numFmtId="0" fontId="5" fillId="0" borderId="1" xfId="0" applyFont="1" applyBorder="1" applyAlignment="1">
      <alignment vertical="center"/>
    </xf>
    <xf numFmtId="0" fontId="8" fillId="0" borderId="1" xfId="0" applyFont="1" applyBorder="1" applyAlignment="1">
      <alignment vertical="center"/>
    </xf>
    <xf numFmtId="0" fontId="0" fillId="0" borderId="1" xfId="0" applyBorder="1"/>
    <xf numFmtId="0" fontId="6" fillId="0" borderId="12" xfId="0" applyFont="1" applyBorder="1" applyAlignment="1">
      <alignment vertical="center"/>
    </xf>
    <xf numFmtId="0" fontId="6" fillId="0" borderId="13" xfId="0" applyFont="1" applyBorder="1" applyAlignment="1">
      <alignment vertical="center" wrapText="1"/>
    </xf>
    <xf numFmtId="0" fontId="6" fillId="0" borderId="14" xfId="0" applyFont="1" applyBorder="1" applyAlignment="1">
      <alignment vertical="center"/>
    </xf>
    <xf numFmtId="0" fontId="6" fillId="0" borderId="15" xfId="0" applyFont="1" applyBorder="1" applyAlignment="1">
      <alignment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9" fontId="6" fillId="0" borderId="19" xfId="5" applyFont="1" applyBorder="1" applyAlignment="1">
      <alignment vertical="center"/>
    </xf>
    <xf numFmtId="9" fontId="6" fillId="0" borderId="18" xfId="5" applyFont="1" applyBorder="1" applyAlignment="1">
      <alignment vertical="center"/>
    </xf>
    <xf numFmtId="9" fontId="6" fillId="0" borderId="22" xfId="5" applyFont="1" applyBorder="1" applyAlignment="1">
      <alignment vertical="center"/>
    </xf>
    <xf numFmtId="9" fontId="6" fillId="0" borderId="15" xfId="5" applyFont="1" applyBorder="1" applyAlignment="1">
      <alignment vertical="center"/>
    </xf>
    <xf numFmtId="0" fontId="6" fillId="0" borderId="23" xfId="0" applyFont="1" applyBorder="1" applyAlignment="1">
      <alignment horizontal="right" vertical="center"/>
    </xf>
    <xf numFmtId="0" fontId="6" fillId="0" borderId="24" xfId="0" applyFont="1" applyBorder="1" applyAlignment="1">
      <alignment horizontal="right" vertical="center"/>
    </xf>
    <xf numFmtId="0" fontId="6" fillId="0" borderId="25" xfId="0" applyFont="1" applyBorder="1" applyAlignment="1">
      <alignment horizontal="right" vertical="center"/>
    </xf>
    <xf numFmtId="9" fontId="6" fillId="4" borderId="22" xfId="5" applyFont="1" applyFill="1" applyBorder="1" applyAlignment="1">
      <alignment vertical="center"/>
    </xf>
    <xf numFmtId="9" fontId="6" fillId="4" borderId="21" xfId="5" applyFont="1" applyFill="1" applyBorder="1" applyAlignment="1">
      <alignment vertical="center"/>
    </xf>
    <xf numFmtId="0" fontId="11" fillId="0" borderId="0" xfId="0" applyFont="1" applyAlignment="1">
      <alignment vertical="center"/>
    </xf>
    <xf numFmtId="0" fontId="6" fillId="0" borderId="26" xfId="0" applyFont="1" applyBorder="1" applyAlignment="1">
      <alignment horizontal="right" vertical="center"/>
    </xf>
    <xf numFmtId="9" fontId="6" fillId="0" borderId="27" xfId="5" applyFont="1" applyFill="1" applyBorder="1" applyAlignment="1">
      <alignment vertical="center"/>
    </xf>
    <xf numFmtId="0" fontId="21" fillId="0" borderId="0" xfId="0" applyFont="1" applyAlignment="1">
      <alignment horizontal="center"/>
    </xf>
    <xf numFmtId="0" fontId="12" fillId="0" borderId="0" xfId="0" applyFont="1" applyAlignment="1">
      <alignment horizontal="center" vertical="center"/>
    </xf>
    <xf numFmtId="168" fontId="19" fillId="0" borderId="1" xfId="3" applyNumberFormat="1" applyFont="1" applyBorder="1"/>
    <xf numFmtId="168" fontId="19" fillId="0" borderId="28" xfId="3" applyNumberFormat="1" applyFont="1" applyBorder="1"/>
    <xf numFmtId="0" fontId="22" fillId="0" borderId="0" xfId="0" applyFont="1"/>
    <xf numFmtId="167" fontId="6" fillId="0" borderId="29" xfId="5" applyNumberFormat="1" applyFont="1" applyBorder="1" applyAlignment="1">
      <alignment vertical="center"/>
    </xf>
    <xf numFmtId="167" fontId="6" fillId="0" borderId="27" xfId="5" applyNumberFormat="1" applyFont="1" applyBorder="1" applyAlignment="1">
      <alignment vertical="center"/>
    </xf>
    <xf numFmtId="167" fontId="8" fillId="2" borderId="6" xfId="5" applyNumberFormat="1" applyFont="1" applyFill="1" applyBorder="1" applyAlignment="1">
      <alignment vertical="center" wrapText="1" readingOrder="2"/>
    </xf>
    <xf numFmtId="167" fontId="7" fillId="3" borderId="9" xfId="5" applyNumberFormat="1" applyFont="1" applyFill="1" applyBorder="1" applyAlignment="1">
      <alignment vertical="center" wrapText="1"/>
    </xf>
    <xf numFmtId="167" fontId="7" fillId="3" borderId="11" xfId="5" applyNumberFormat="1" applyFont="1" applyFill="1" applyBorder="1" applyAlignment="1">
      <alignment vertical="center" wrapText="1"/>
    </xf>
    <xf numFmtId="0" fontId="3" fillId="5" borderId="1" xfId="4" applyFont="1" applyFill="1" applyBorder="1"/>
    <xf numFmtId="0" fontId="3" fillId="4" borderId="1" xfId="4" applyFont="1" applyFill="1" applyBorder="1"/>
    <xf numFmtId="0" fontId="3" fillId="4" borderId="1" xfId="4" applyFont="1" applyFill="1" applyBorder="1" applyAlignment="1">
      <alignment horizontal="right"/>
    </xf>
    <xf numFmtId="168" fontId="19" fillId="0" borderId="0" xfId="3" applyNumberFormat="1" applyFont="1" applyBorder="1"/>
    <xf numFmtId="9" fontId="19" fillId="0" borderId="1" xfId="5" applyFont="1" applyBorder="1"/>
    <xf numFmtId="0" fontId="0" fillId="3" borderId="28" xfId="0" applyFill="1" applyBorder="1" applyAlignment="1">
      <alignment horizontal="center" vertical="center" wrapText="1"/>
    </xf>
    <xf numFmtId="168" fontId="19" fillId="4" borderId="33" xfId="3" applyNumberFormat="1" applyFont="1" applyFill="1" applyBorder="1"/>
    <xf numFmtId="0" fontId="0" fillId="4" borderId="33" xfId="0" applyFill="1" applyBorder="1"/>
    <xf numFmtId="0" fontId="23" fillId="0" borderId="0" xfId="0" applyFont="1"/>
    <xf numFmtId="0" fontId="15" fillId="0" borderId="1" xfId="0" applyFont="1" applyBorder="1" applyAlignment="1">
      <alignment vertical="center"/>
    </xf>
    <xf numFmtId="0" fontId="24" fillId="0" borderId="0" xfId="0" applyFont="1"/>
    <xf numFmtId="0" fontId="6" fillId="0" borderId="3" xfId="0" applyFont="1" applyBorder="1" applyAlignment="1">
      <alignment horizontal="right" vertical="center" wrapText="1"/>
    </xf>
    <xf numFmtId="0" fontId="0" fillId="0" borderId="0" xfId="0" applyAlignment="1">
      <alignment vertical="center"/>
    </xf>
    <xf numFmtId="0" fontId="0" fillId="0" borderId="35" xfId="0" applyBorder="1" applyAlignment="1">
      <alignment vertical="center"/>
    </xf>
    <xf numFmtId="0" fontId="0" fillId="0" borderId="36" xfId="0" applyBorder="1" applyAlignment="1">
      <alignment horizontal="center" vertical="center" wrapText="1"/>
    </xf>
    <xf numFmtId="0" fontId="0" fillId="0" borderId="35" xfId="0" applyBorder="1" applyAlignment="1">
      <alignment horizontal="center" vertical="center" wrapText="1"/>
    </xf>
    <xf numFmtId="0" fontId="0" fillId="0" borderId="37" xfId="0" applyBorder="1" applyAlignment="1">
      <alignment horizontal="center" vertical="center" wrapText="1"/>
    </xf>
    <xf numFmtId="0" fontId="2" fillId="0" borderId="0" xfId="0" applyFont="1"/>
    <xf numFmtId="0" fontId="25" fillId="0" borderId="0" xfId="0" applyFont="1"/>
    <xf numFmtId="0" fontId="17" fillId="0" borderId="0" xfId="0" applyFont="1" applyAlignment="1">
      <alignment horizontal="center"/>
    </xf>
    <xf numFmtId="0" fontId="3" fillId="0" borderId="37" xfId="0" applyFont="1" applyBorder="1" applyAlignment="1">
      <alignment horizontal="center" vertical="center"/>
    </xf>
    <xf numFmtId="0" fontId="3" fillId="0" borderId="37" xfId="0" applyFont="1" applyBorder="1" applyAlignment="1">
      <alignment horizontal="center" vertical="center" wrapText="1"/>
    </xf>
    <xf numFmtId="0" fontId="26" fillId="0" borderId="0" xfId="0" applyFont="1"/>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7" fillId="0" borderId="2" xfId="0" applyFont="1" applyBorder="1" applyAlignment="1">
      <alignment horizontal="right" vertical="center" wrapText="1"/>
    </xf>
    <xf numFmtId="0" fontId="7" fillId="0" borderId="3" xfId="0" applyFont="1" applyBorder="1" applyAlignment="1">
      <alignment horizontal="right" vertical="center" wrapText="1"/>
    </xf>
    <xf numFmtId="0" fontId="6" fillId="0" borderId="6" xfId="0" applyFont="1" applyBorder="1" applyAlignment="1">
      <alignment horizontal="right" vertical="center" wrapText="1"/>
    </xf>
    <xf numFmtId="9" fontId="7" fillId="0" borderId="4" xfId="5" applyFont="1" applyFill="1" applyBorder="1" applyAlignment="1">
      <alignment vertical="center" wrapText="1"/>
    </xf>
    <xf numFmtId="167" fontId="7" fillId="0" borderId="4" xfId="5" applyNumberFormat="1" applyFont="1" applyFill="1" applyBorder="1" applyAlignment="1">
      <alignment vertical="center" wrapText="1"/>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43" xfId="0" applyFont="1" applyBorder="1" applyAlignment="1">
      <alignment horizontal="center" vertical="center" wrapText="1"/>
    </xf>
    <xf numFmtId="0" fontId="7" fillId="2" borderId="3" xfId="0" applyFont="1" applyFill="1" applyBorder="1" applyAlignment="1">
      <alignment horizontal="right" vertical="center"/>
    </xf>
    <xf numFmtId="0" fontId="4" fillId="2" borderId="6" xfId="0" applyFont="1" applyFill="1" applyBorder="1" applyAlignment="1">
      <alignment horizontal="right" vertical="center" wrapText="1"/>
    </xf>
    <xf numFmtId="0" fontId="11" fillId="0" borderId="0" xfId="0" applyFont="1" applyAlignment="1">
      <alignment horizontal="center" vertical="center"/>
    </xf>
    <xf numFmtId="170" fontId="19" fillId="0" borderId="0" xfId="1" applyNumberFormat="1" applyFont="1"/>
    <xf numFmtId="9" fontId="0" fillId="0" borderId="0" xfId="0" applyNumberFormat="1"/>
    <xf numFmtId="9" fontId="19" fillId="0" borderId="28" xfId="5" applyFont="1" applyBorder="1"/>
    <xf numFmtId="9" fontId="7" fillId="3" borderId="9" xfId="5" applyFont="1" applyFill="1" applyBorder="1" applyAlignment="1">
      <alignment vertical="center" wrapText="1"/>
    </xf>
    <xf numFmtId="9" fontId="7" fillId="3" borderId="11" xfId="5" applyFont="1" applyFill="1" applyBorder="1" applyAlignment="1">
      <alignment vertical="center" wrapText="1"/>
    </xf>
    <xf numFmtId="170" fontId="27" fillId="0" borderId="0" xfId="1" applyNumberFormat="1" applyFont="1"/>
    <xf numFmtId="0" fontId="17" fillId="0" borderId="2" xfId="0" applyFont="1" applyBorder="1"/>
    <xf numFmtId="0" fontId="2" fillId="0" borderId="3" xfId="0" applyFont="1" applyBorder="1"/>
    <xf numFmtId="0" fontId="2" fillId="0" borderId="3" xfId="0" applyFont="1" applyBorder="1" applyAlignment="1">
      <alignment horizontal="center" wrapText="1"/>
    </xf>
    <xf numFmtId="0" fontId="17" fillId="0" borderId="31" xfId="0" applyFont="1" applyBorder="1"/>
    <xf numFmtId="0" fontId="2" fillId="0" borderId="30" xfId="0" applyFont="1" applyBorder="1" applyAlignment="1">
      <alignment horizontal="center"/>
    </xf>
    <xf numFmtId="0" fontId="2" fillId="0" borderId="30" xfId="0" applyFont="1" applyBorder="1" applyAlignment="1">
      <alignment horizontal="center" wrapText="1"/>
    </xf>
    <xf numFmtId="0" fontId="2" fillId="0" borderId="30" xfId="0" applyFont="1" applyBorder="1"/>
    <xf numFmtId="0" fontId="2" fillId="0" borderId="31" xfId="0" applyFont="1" applyBorder="1" applyAlignment="1">
      <alignment horizontal="center" wrapText="1"/>
    </xf>
    <xf numFmtId="3" fontId="2" fillId="0" borderId="35" xfId="0" applyNumberFormat="1" applyFont="1" applyBorder="1"/>
    <xf numFmtId="3" fontId="2" fillId="0" borderId="56" xfId="0" applyNumberFormat="1" applyFont="1" applyBorder="1"/>
    <xf numFmtId="3" fontId="2" fillId="0" borderId="36" xfId="0" applyNumberFormat="1" applyFont="1" applyBorder="1"/>
    <xf numFmtId="0" fontId="17" fillId="0" borderId="38" xfId="0" applyFont="1" applyBorder="1"/>
    <xf numFmtId="0" fontId="2" fillId="0" borderId="7" xfId="0" applyFont="1" applyBorder="1"/>
    <xf numFmtId="0" fontId="2" fillId="0" borderId="7" xfId="0" applyFont="1" applyBorder="1" applyAlignment="1">
      <alignment horizontal="center" wrapText="1"/>
    </xf>
    <xf numFmtId="170" fontId="2" fillId="0" borderId="57" xfId="1" applyNumberFormat="1" applyFont="1" applyBorder="1"/>
    <xf numFmtId="170" fontId="2" fillId="0" borderId="58" xfId="1" applyNumberFormat="1" applyFont="1" applyBorder="1"/>
    <xf numFmtId="170" fontId="2" fillId="0" borderId="59" xfId="1" applyNumberFormat="1" applyFont="1" applyBorder="1"/>
    <xf numFmtId="0" fontId="17" fillId="0" borderId="60" xfId="0" applyFont="1" applyBorder="1" applyAlignment="1">
      <alignment horizontal="left"/>
    </xf>
    <xf numFmtId="9" fontId="2" fillId="0" borderId="32" xfId="5" applyFont="1" applyBorder="1" applyAlignment="1">
      <alignment horizontal="center" vertical="center"/>
    </xf>
    <xf numFmtId="0" fontId="2" fillId="0" borderId="32" xfId="0" applyFont="1" applyBorder="1" applyAlignment="1">
      <alignment horizontal="center" wrapText="1"/>
    </xf>
    <xf numFmtId="170" fontId="2" fillId="0" borderId="60" xfId="1" applyNumberFormat="1" applyFont="1" applyBorder="1"/>
    <xf numFmtId="170" fontId="2" fillId="0" borderId="0" xfId="1" applyNumberFormat="1" applyFont="1" applyBorder="1"/>
    <xf numFmtId="170" fontId="2" fillId="0" borderId="61" xfId="1" applyNumberFormat="1" applyFont="1" applyBorder="1"/>
    <xf numFmtId="0" fontId="2" fillId="0" borderId="62" xfId="0" applyFont="1" applyBorder="1"/>
    <xf numFmtId="9" fontId="2" fillId="0" borderId="63" xfId="5" applyFont="1" applyBorder="1" applyAlignment="1">
      <alignment horizontal="center" vertical="center" wrapText="1"/>
    </xf>
    <xf numFmtId="0" fontId="2" fillId="0" borderId="63" xfId="0" applyFont="1" applyBorder="1" applyAlignment="1">
      <alignment horizontal="center" wrapText="1"/>
    </xf>
    <xf numFmtId="170" fontId="2" fillId="0" borderId="62" xfId="1" applyNumberFormat="1" applyFont="1" applyBorder="1"/>
    <xf numFmtId="170" fontId="2" fillId="0" borderId="64" xfId="1" applyNumberFormat="1" applyFont="1" applyBorder="1"/>
    <xf numFmtId="170" fontId="2" fillId="0" borderId="65" xfId="1" applyNumberFormat="1" applyFont="1" applyBorder="1"/>
    <xf numFmtId="0" fontId="2" fillId="0" borderId="60" xfId="0" applyFont="1" applyBorder="1"/>
    <xf numFmtId="0" fontId="2" fillId="0" borderId="32" xfId="0" applyFont="1" applyBorder="1"/>
    <xf numFmtId="9" fontId="2" fillId="0" borderId="32" xfId="5" applyFont="1" applyBorder="1"/>
    <xf numFmtId="170" fontId="2" fillId="0" borderId="31" xfId="1" applyNumberFormat="1" applyFont="1" applyBorder="1"/>
    <xf numFmtId="170" fontId="2" fillId="0" borderId="66" xfId="1" applyNumberFormat="1" applyFont="1" applyBorder="1"/>
    <xf numFmtId="170" fontId="2" fillId="0" borderId="67" xfId="1" applyNumberFormat="1" applyFont="1" applyBorder="1"/>
    <xf numFmtId="170" fontId="2" fillId="0" borderId="56" xfId="1" applyNumberFormat="1" applyFont="1" applyBorder="1"/>
    <xf numFmtId="170" fontId="2" fillId="0" borderId="36" xfId="1" applyNumberFormat="1" applyFont="1" applyBorder="1"/>
    <xf numFmtId="0" fontId="2" fillId="0" borderId="60" xfId="0" applyFont="1" applyBorder="1" applyAlignment="1">
      <alignment wrapText="1"/>
    </xf>
    <xf numFmtId="171" fontId="2" fillId="0" borderId="32" xfId="0" applyNumberFormat="1" applyFont="1" applyBorder="1"/>
    <xf numFmtId="9" fontId="2" fillId="0" borderId="61" xfId="5" applyFont="1" applyBorder="1"/>
    <xf numFmtId="170" fontId="2" fillId="0" borderId="40" xfId="1" applyNumberFormat="1" applyFont="1" applyBorder="1" applyAlignment="1">
      <alignment wrapText="1"/>
    </xf>
    <xf numFmtId="0" fontId="2" fillId="0" borderId="61" xfId="0" applyFont="1" applyBorder="1"/>
    <xf numFmtId="170" fontId="2" fillId="0" borderId="30" xfId="1" applyNumberFormat="1" applyFont="1" applyBorder="1" applyAlignment="1">
      <alignment wrapText="1"/>
    </xf>
    <xf numFmtId="0" fontId="2" fillId="4" borderId="35" xfId="0" applyFont="1" applyFill="1" applyBorder="1"/>
    <xf numFmtId="169" fontId="2" fillId="4" borderId="56" xfId="0" applyNumberFormat="1" applyFont="1" applyFill="1" applyBorder="1"/>
    <xf numFmtId="0" fontId="2" fillId="4" borderId="36" xfId="0" applyFont="1" applyFill="1" applyBorder="1"/>
    <xf numFmtId="170" fontId="2" fillId="4" borderId="36" xfId="1" applyNumberFormat="1" applyFont="1" applyFill="1" applyBorder="1" applyAlignment="1">
      <alignment wrapText="1"/>
    </xf>
    <xf numFmtId="170" fontId="19" fillId="0" borderId="28" xfId="1" applyNumberFormat="1" applyFont="1" applyBorder="1"/>
    <xf numFmtId="0" fontId="0" fillId="0" borderId="58" xfId="0" applyBorder="1"/>
    <xf numFmtId="170" fontId="19" fillId="0" borderId="58" xfId="1" applyNumberFormat="1" applyFont="1" applyBorder="1"/>
    <xf numFmtId="0" fontId="28" fillId="0" borderId="30" xfId="0" applyFont="1" applyBorder="1" applyAlignment="1">
      <alignment horizontal="right" readingOrder="2"/>
    </xf>
    <xf numFmtId="170" fontId="28" fillId="0" borderId="31" xfId="1" applyNumberFormat="1" applyFont="1" applyBorder="1" applyAlignment="1">
      <alignment horizontal="left" readingOrder="1"/>
    </xf>
    <xf numFmtId="170" fontId="28" fillId="0" borderId="30" xfId="1" applyNumberFormat="1" applyFont="1" applyBorder="1" applyAlignment="1">
      <alignment horizontal="left" readingOrder="1"/>
    </xf>
    <xf numFmtId="0" fontId="30" fillId="0" borderId="30" xfId="0" applyFont="1" applyBorder="1" applyAlignment="1">
      <alignment horizontal="center" wrapText="1" readingOrder="1"/>
    </xf>
    <xf numFmtId="0" fontId="31" fillId="0" borderId="31" xfId="0" applyFont="1" applyBorder="1" applyAlignment="1">
      <alignment horizontal="center" wrapText="1" readingOrder="2"/>
    </xf>
    <xf numFmtId="0" fontId="31" fillId="0" borderId="30" xfId="0" applyFont="1" applyBorder="1" applyAlignment="1">
      <alignment horizontal="center" wrapText="1" readingOrder="2"/>
    </xf>
    <xf numFmtId="0" fontId="32" fillId="7" borderId="37" xfId="0" applyFont="1" applyFill="1" applyBorder="1" applyAlignment="1">
      <alignment horizontal="center" wrapText="1" readingOrder="1"/>
    </xf>
    <xf numFmtId="0" fontId="33" fillId="7" borderId="35" xfId="0" applyFont="1" applyFill="1" applyBorder="1" applyAlignment="1">
      <alignment horizontal="center" wrapText="1" readingOrder="2"/>
    </xf>
    <xf numFmtId="0" fontId="33" fillId="7" borderId="37" xfId="0" applyFont="1" applyFill="1" applyBorder="1" applyAlignment="1">
      <alignment horizontal="center" wrapText="1" readingOrder="2"/>
    </xf>
    <xf numFmtId="0" fontId="28" fillId="8" borderId="30" xfId="0" applyFont="1" applyFill="1" applyBorder="1" applyAlignment="1">
      <alignment horizontal="right" readingOrder="2"/>
    </xf>
    <xf numFmtId="170" fontId="28" fillId="8" borderId="31" xfId="1" applyNumberFormat="1" applyFont="1" applyFill="1" applyBorder="1" applyAlignment="1">
      <alignment horizontal="left" readingOrder="1"/>
    </xf>
    <xf numFmtId="170" fontId="28" fillId="8" borderId="30" xfId="1" applyNumberFormat="1" applyFont="1" applyFill="1" applyBorder="1" applyAlignment="1">
      <alignment horizontal="left" readingOrder="1"/>
    </xf>
    <xf numFmtId="0" fontId="28" fillId="4" borderId="79" xfId="0" applyFont="1" applyFill="1" applyBorder="1" applyAlignment="1">
      <alignment horizontal="right" readingOrder="2"/>
    </xf>
    <xf numFmtId="170" fontId="28" fillId="4" borderId="79" xfId="1" applyNumberFormat="1" applyFont="1" applyFill="1" applyBorder="1" applyAlignment="1">
      <alignment horizontal="left" readingOrder="1"/>
    </xf>
    <xf numFmtId="170" fontId="28" fillId="4" borderId="79" xfId="1" applyNumberFormat="1" applyFont="1" applyFill="1" applyBorder="1" applyAlignment="1">
      <alignment horizontal="right" readingOrder="2"/>
    </xf>
    <xf numFmtId="0" fontId="28" fillId="4" borderId="0" xfId="0" applyFont="1" applyFill="1" applyAlignment="1">
      <alignment horizontal="right" readingOrder="2"/>
    </xf>
    <xf numFmtId="170" fontId="28" fillId="4" borderId="0" xfId="1" applyNumberFormat="1" applyFont="1" applyFill="1" applyBorder="1" applyAlignment="1">
      <alignment horizontal="left" readingOrder="1"/>
    </xf>
    <xf numFmtId="0" fontId="0" fillId="4" borderId="64" xfId="0" applyFill="1" applyBorder="1"/>
    <xf numFmtId="170" fontId="19" fillId="4" borderId="64" xfId="1" applyNumberFormat="1" applyFont="1" applyFill="1" applyBorder="1"/>
    <xf numFmtId="0" fontId="0" fillId="0" borderId="0" xfId="0" applyAlignment="1">
      <alignment horizontal="right"/>
    </xf>
    <xf numFmtId="170" fontId="0" fillId="0" borderId="0" xfId="0" applyNumberFormat="1"/>
    <xf numFmtId="9" fontId="19" fillId="0" borderId="0" xfId="5" applyFont="1"/>
    <xf numFmtId="0" fontId="0" fillId="4" borderId="70" xfId="0" applyFill="1" applyBorder="1"/>
    <xf numFmtId="0" fontId="27" fillId="0" borderId="0" xfId="0" applyFont="1"/>
    <xf numFmtId="0" fontId="48" fillId="4" borderId="64" xfId="0" applyFont="1" applyFill="1" applyBorder="1"/>
    <xf numFmtId="173" fontId="48" fillId="4" borderId="64" xfId="1" applyNumberFormat="1" applyFont="1" applyFill="1" applyBorder="1"/>
    <xf numFmtId="10" fontId="48" fillId="4" borderId="64" xfId="0" applyNumberFormat="1" applyFont="1" applyFill="1" applyBorder="1"/>
    <xf numFmtId="173" fontId="48" fillId="0" borderId="28" xfId="1" applyNumberFormat="1" applyFont="1" applyBorder="1"/>
    <xf numFmtId="9" fontId="48" fillId="0" borderId="28" xfId="5" applyFont="1" applyBorder="1"/>
    <xf numFmtId="10" fontId="48" fillId="0" borderId="72" xfId="5" applyNumberFormat="1" applyFont="1" applyBorder="1"/>
    <xf numFmtId="0" fontId="49" fillId="0" borderId="51" xfId="0" applyFont="1" applyBorder="1"/>
    <xf numFmtId="0" fontId="49" fillId="0" borderId="53" xfId="0" applyFont="1" applyBorder="1"/>
    <xf numFmtId="0" fontId="49" fillId="0" borderId="52" xfId="0" applyFont="1" applyBorder="1"/>
    <xf numFmtId="9" fontId="48" fillId="4" borderId="64" xfId="5" applyFont="1" applyFill="1" applyBorder="1"/>
    <xf numFmtId="168" fontId="19" fillId="0" borderId="0" xfId="3" applyNumberFormat="1" applyFont="1"/>
    <xf numFmtId="168" fontId="19" fillId="4" borderId="70" xfId="3" applyNumberFormat="1" applyFont="1" applyFill="1" applyBorder="1"/>
    <xf numFmtId="0" fontId="0" fillId="0" borderId="73" xfId="0" applyBorder="1"/>
    <xf numFmtId="0" fontId="27" fillId="0" borderId="70" xfId="0" applyFont="1" applyBorder="1"/>
    <xf numFmtId="170" fontId="27" fillId="0" borderId="70" xfId="0" applyNumberFormat="1" applyFont="1" applyBorder="1"/>
    <xf numFmtId="0" fontId="38" fillId="0" borderId="0" xfId="0" applyFont="1" applyAlignment="1">
      <alignment horizontal="right" wrapText="1" readingOrder="2"/>
    </xf>
    <xf numFmtId="0" fontId="39" fillId="0" borderId="0" xfId="0" applyFont="1" applyAlignment="1">
      <alignment horizontal="right" readingOrder="2"/>
    </xf>
    <xf numFmtId="0" fontId="38" fillId="0" borderId="0" xfId="0" applyFont="1" applyAlignment="1">
      <alignment horizontal="right" readingOrder="2"/>
    </xf>
    <xf numFmtId="0" fontId="37" fillId="0" borderId="78" xfId="0" applyFont="1" applyBorder="1" applyAlignment="1">
      <alignment horizontal="right" readingOrder="2"/>
    </xf>
    <xf numFmtId="170" fontId="20" fillId="0" borderId="78" xfId="1" applyNumberFormat="1" applyFont="1" applyBorder="1"/>
    <xf numFmtId="0" fontId="49" fillId="4" borderId="53" xfId="0" applyFont="1" applyFill="1" applyBorder="1"/>
    <xf numFmtId="9" fontId="48" fillId="4" borderId="28" xfId="5" applyFont="1" applyFill="1" applyBorder="1"/>
    <xf numFmtId="0" fontId="6" fillId="0" borderId="3" xfId="0" applyFont="1" applyBorder="1" applyAlignment="1">
      <alignment horizontal="center" vertical="center" wrapText="1"/>
    </xf>
    <xf numFmtId="168" fontId="2" fillId="0" borderId="32" xfId="3" applyNumberFormat="1" applyFont="1" applyBorder="1"/>
    <xf numFmtId="168" fontId="2" fillId="0" borderId="30" xfId="3" applyNumberFormat="1" applyFont="1" applyBorder="1"/>
    <xf numFmtId="9" fontId="0" fillId="0" borderId="0" xfId="5" applyFont="1"/>
    <xf numFmtId="9" fontId="37" fillId="0" borderId="78" xfId="0" applyNumberFormat="1" applyFont="1" applyBorder="1" applyAlignment="1">
      <alignment horizontal="right" readingOrder="2"/>
    </xf>
    <xf numFmtId="173" fontId="0" fillId="0" borderId="0" xfId="0" applyNumberFormat="1"/>
    <xf numFmtId="170" fontId="0" fillId="0" borderId="0" xfId="1" applyNumberFormat="1" applyFont="1"/>
    <xf numFmtId="10" fontId="0" fillId="0" borderId="0" xfId="5" applyNumberFormat="1" applyFont="1"/>
    <xf numFmtId="9" fontId="25" fillId="0" borderId="0" xfId="0" applyNumberFormat="1" applyFont="1"/>
    <xf numFmtId="170" fontId="25" fillId="0" borderId="0" xfId="1" applyNumberFormat="1" applyFont="1"/>
    <xf numFmtId="170" fontId="25" fillId="0" borderId="0" xfId="0" applyNumberFormat="1" applyFont="1"/>
    <xf numFmtId="9" fontId="25" fillId="0" borderId="0" xfId="5" applyFont="1"/>
    <xf numFmtId="0" fontId="50" fillId="0" borderId="0" xfId="0" applyFont="1" applyAlignment="1">
      <alignment horizontal="center"/>
    </xf>
    <xf numFmtId="0" fontId="50" fillId="0" borderId="0" xfId="0" applyFont="1" applyAlignment="1">
      <alignment horizontal="right"/>
    </xf>
    <xf numFmtId="10" fontId="26" fillId="0" borderId="0" xfId="0" applyNumberFormat="1" applyFont="1"/>
    <xf numFmtId="43" fontId="26" fillId="0" borderId="0" xfId="1" applyFont="1" applyAlignment="1">
      <alignment horizontal="right"/>
    </xf>
    <xf numFmtId="0" fontId="25" fillId="0" borderId="0" xfId="0" applyFont="1" applyAlignment="1">
      <alignment horizontal="right"/>
    </xf>
    <xf numFmtId="0" fontId="50" fillId="0" borderId="0" xfId="0" applyFont="1"/>
    <xf numFmtId="10" fontId="26" fillId="0" borderId="0" xfId="5" applyNumberFormat="1" applyFont="1"/>
    <xf numFmtId="0" fontId="51" fillId="15" borderId="0" xfId="6" applyFill="1" applyAlignment="1">
      <alignment horizontal="right"/>
    </xf>
    <xf numFmtId="175" fontId="51" fillId="16" borderId="85" xfId="7" applyFont="1" applyFill="1" applyBorder="1" applyAlignment="1">
      <alignment horizontal="right"/>
    </xf>
    <xf numFmtId="177" fontId="51" fillId="16" borderId="86" xfId="6" applyNumberFormat="1" applyFill="1" applyBorder="1" applyAlignment="1">
      <alignment horizontal="right"/>
    </xf>
    <xf numFmtId="0" fontId="51" fillId="15" borderId="88" xfId="6" applyFill="1" applyBorder="1" applyAlignment="1">
      <alignment horizontal="right"/>
    </xf>
    <xf numFmtId="0" fontId="52" fillId="15" borderId="0" xfId="6" applyFont="1" applyFill="1" applyAlignment="1">
      <alignment horizontal="right"/>
    </xf>
    <xf numFmtId="0" fontId="53" fillId="15" borderId="0" xfId="6" applyFont="1" applyFill="1" applyAlignment="1">
      <alignment horizontal="right"/>
    </xf>
    <xf numFmtId="14" fontId="53" fillId="15" borderId="0" xfId="6" applyNumberFormat="1" applyFont="1" applyFill="1" applyAlignment="1">
      <alignment horizontal="right"/>
    </xf>
    <xf numFmtId="39" fontId="53" fillId="15" borderId="0" xfId="7" applyNumberFormat="1" applyFont="1" applyFill="1" applyBorder="1" applyAlignment="1">
      <alignment horizontal="right"/>
    </xf>
    <xf numFmtId="178" fontId="51" fillId="15" borderId="0" xfId="7" applyNumberFormat="1" applyFont="1" applyFill="1" applyBorder="1" applyAlignment="1" applyProtection="1">
      <alignment horizontal="right"/>
      <protection locked="0"/>
    </xf>
    <xf numFmtId="173" fontId="53" fillId="15" borderId="0" xfId="7" applyNumberFormat="1" applyFont="1" applyFill="1" applyBorder="1" applyAlignment="1">
      <alignment horizontal="right"/>
    </xf>
    <xf numFmtId="173" fontId="51" fillId="15" borderId="0" xfId="7" applyNumberFormat="1" applyFont="1" applyFill="1" applyBorder="1" applyAlignment="1" applyProtection="1">
      <alignment horizontal="right"/>
      <protection locked="0"/>
    </xf>
    <xf numFmtId="168" fontId="51" fillId="16" borderId="85" xfId="3" applyNumberFormat="1" applyFont="1" applyFill="1" applyBorder="1" applyAlignment="1">
      <alignment horizontal="right"/>
    </xf>
    <xf numFmtId="170" fontId="51" fillId="16" borderId="85" xfId="1" applyNumberFormat="1" applyFont="1" applyFill="1" applyBorder="1" applyAlignment="1">
      <alignment horizontal="right"/>
    </xf>
    <xf numFmtId="0" fontId="25" fillId="0" borderId="0" xfId="0" applyFont="1" applyAlignment="1">
      <alignment horizontal="center"/>
    </xf>
    <xf numFmtId="10" fontId="25" fillId="0" borderId="0" xfId="5" applyNumberFormat="1" applyFont="1"/>
    <xf numFmtId="0" fontId="54" fillId="0" borderId="0" xfId="0" applyFont="1" applyAlignment="1">
      <alignment horizontal="center"/>
    </xf>
    <xf numFmtId="170" fontId="50" fillId="0" borderId="0" xfId="1" applyNumberFormat="1" applyFont="1"/>
    <xf numFmtId="170" fontId="0" fillId="4" borderId="0" xfId="1" applyNumberFormat="1" applyFont="1" applyFill="1"/>
    <xf numFmtId="170" fontId="0" fillId="0" borderId="0" xfId="1" applyNumberFormat="1" applyFont="1" applyFill="1"/>
    <xf numFmtId="10" fontId="0" fillId="0" borderId="0" xfId="5" applyNumberFormat="1" applyFont="1" applyFill="1"/>
    <xf numFmtId="10" fontId="0" fillId="4" borderId="0" xfId="5" applyNumberFormat="1" applyFont="1" applyFill="1"/>
    <xf numFmtId="0" fontId="51" fillId="0" borderId="0" xfId="6" applyAlignment="1">
      <alignment horizontal="right"/>
    </xf>
    <xf numFmtId="0" fontId="51" fillId="15" borderId="80" xfId="6" applyFill="1" applyBorder="1" applyAlignment="1">
      <alignment horizontal="right"/>
    </xf>
    <xf numFmtId="0" fontId="51" fillId="15" borderId="84" xfId="6" applyFill="1" applyBorder="1" applyAlignment="1">
      <alignment horizontal="right"/>
    </xf>
    <xf numFmtId="0" fontId="51" fillId="15" borderId="87" xfId="6" applyFill="1" applyBorder="1" applyAlignment="1">
      <alignment horizontal="right"/>
    </xf>
    <xf numFmtId="0" fontId="51" fillId="0" borderId="0" xfId="6" applyAlignment="1">
      <alignment horizontal="right" wrapText="1"/>
    </xf>
    <xf numFmtId="0" fontId="52" fillId="15" borderId="80" xfId="6" applyFont="1" applyFill="1" applyBorder="1" applyAlignment="1">
      <alignment horizontal="right" wrapText="1" indent="2"/>
    </xf>
    <xf numFmtId="0" fontId="52" fillId="15" borderId="80" xfId="6" applyFont="1" applyFill="1" applyBorder="1" applyAlignment="1">
      <alignment horizontal="right" wrapText="1" indent="3"/>
    </xf>
    <xf numFmtId="173" fontId="51" fillId="0" borderId="0" xfId="6" applyNumberFormat="1" applyAlignment="1">
      <alignment horizontal="right" wrapText="1"/>
    </xf>
    <xf numFmtId="170" fontId="26" fillId="0" borderId="0" xfId="1" applyNumberFormat="1" applyFont="1" applyAlignment="1">
      <alignment horizontal="right"/>
    </xf>
    <xf numFmtId="9" fontId="27" fillId="0" borderId="40" xfId="0" applyNumberFormat="1" applyFont="1" applyBorder="1"/>
    <xf numFmtId="9" fontId="27" fillId="4" borderId="40" xfId="0" applyNumberFormat="1" applyFont="1" applyFill="1" applyBorder="1"/>
    <xf numFmtId="9" fontId="27" fillId="0" borderId="10" xfId="0" applyNumberFormat="1" applyFont="1" applyBorder="1"/>
    <xf numFmtId="0" fontId="55" fillId="0" borderId="0" xfId="0" applyFont="1"/>
    <xf numFmtId="0" fontId="56" fillId="0" borderId="0" xfId="0" applyFont="1"/>
    <xf numFmtId="173" fontId="2" fillId="0" borderId="32" xfId="0" applyNumberFormat="1" applyFont="1" applyBorder="1"/>
    <xf numFmtId="173" fontId="25" fillId="0" borderId="0" xfId="0" applyNumberFormat="1" applyFont="1"/>
    <xf numFmtId="170" fontId="0" fillId="0" borderId="0" xfId="1" applyNumberFormat="1" applyFont="1" applyBorder="1"/>
    <xf numFmtId="0" fontId="36" fillId="0" borderId="0" xfId="0" applyFont="1"/>
    <xf numFmtId="0" fontId="57" fillId="0" borderId="0" xfId="0" applyFont="1"/>
    <xf numFmtId="0" fontId="57" fillId="0" borderId="77" xfId="0" applyFont="1" applyBorder="1"/>
    <xf numFmtId="0" fontId="57" fillId="0" borderId="74" xfId="0" applyFont="1" applyBorder="1"/>
    <xf numFmtId="0" fontId="57" fillId="0" borderId="94" xfId="0" applyFont="1" applyBorder="1"/>
    <xf numFmtId="0" fontId="57" fillId="0" borderId="1" xfId="0" applyFont="1" applyBorder="1"/>
    <xf numFmtId="180" fontId="0" fillId="0" borderId="0" xfId="0" applyNumberFormat="1"/>
    <xf numFmtId="170" fontId="25" fillId="4" borderId="70" xfId="0" applyNumberFormat="1" applyFont="1" applyFill="1" applyBorder="1"/>
    <xf numFmtId="0" fontId="0" fillId="0" borderId="0" xfId="0" applyProtection="1">
      <protection hidden="1"/>
    </xf>
    <xf numFmtId="0" fontId="58" fillId="0" borderId="0" xfId="0" applyFont="1" applyAlignment="1" applyProtection="1">
      <alignment horizontal="center"/>
      <protection hidden="1"/>
    </xf>
    <xf numFmtId="0" fontId="0" fillId="0" borderId="0" xfId="0" applyAlignment="1">
      <alignment horizontal="center"/>
    </xf>
    <xf numFmtId="9" fontId="27" fillId="0" borderId="1" xfId="5" applyFont="1" applyBorder="1" applyAlignment="1">
      <alignment horizontal="center"/>
    </xf>
    <xf numFmtId="9" fontId="27" fillId="0" borderId="1" xfId="0" applyNumberFormat="1" applyFont="1" applyBorder="1" applyAlignment="1">
      <alignment horizontal="center"/>
    </xf>
    <xf numFmtId="0" fontId="27" fillId="0" borderId="1" xfId="0" applyFont="1" applyBorder="1"/>
    <xf numFmtId="0" fontId="27" fillId="0" borderId="1" xfId="0" applyFont="1" applyBorder="1" applyAlignment="1">
      <alignment horizontal="center" vertical="center"/>
    </xf>
    <xf numFmtId="170" fontId="27" fillId="0" borderId="1" xfId="1" applyNumberFormat="1" applyFont="1" applyBorder="1" applyAlignment="1">
      <alignment horizontal="center" vertical="center"/>
    </xf>
    <xf numFmtId="9" fontId="27" fillId="0" borderId="1" xfId="5" applyFont="1" applyBorder="1" applyAlignment="1">
      <alignment horizontal="center" vertical="center"/>
    </xf>
    <xf numFmtId="0" fontId="27" fillId="0" borderId="0" xfId="0" applyFont="1" applyAlignment="1">
      <alignment horizontal="center" vertical="center"/>
    </xf>
    <xf numFmtId="10" fontId="27" fillId="0" borderId="1" xfId="5" applyNumberFormat="1" applyFont="1" applyBorder="1" applyAlignment="1">
      <alignment horizontal="center" vertical="center"/>
    </xf>
    <xf numFmtId="0" fontId="21" fillId="0" borderId="0" xfId="0" applyFont="1" applyAlignment="1">
      <alignment horizontal="right" wrapText="1" readingOrder="2"/>
    </xf>
    <xf numFmtId="0" fontId="21" fillId="0" borderId="0" xfId="0" applyFont="1" applyAlignment="1">
      <alignment wrapText="1" readingOrder="2"/>
    </xf>
    <xf numFmtId="9" fontId="19" fillId="0" borderId="0" xfId="5" applyFont="1" applyFill="1" applyBorder="1"/>
    <xf numFmtId="0" fontId="23" fillId="4" borderId="1" xfId="0" applyFont="1" applyFill="1" applyBorder="1"/>
    <xf numFmtId="0" fontId="57" fillId="0" borderId="0" xfId="0" applyFont="1" applyProtection="1">
      <protection hidden="1"/>
    </xf>
    <xf numFmtId="0" fontId="36" fillId="0" borderId="1" xfId="0" applyFont="1" applyBorder="1"/>
    <xf numFmtId="0" fontId="24" fillId="0" borderId="51" xfId="0" applyFont="1" applyBorder="1"/>
    <xf numFmtId="0" fontId="24" fillId="0" borderId="53" xfId="0" applyFont="1" applyBorder="1"/>
    <xf numFmtId="0" fontId="24" fillId="4" borderId="53" xfId="0" applyFont="1" applyFill="1" applyBorder="1"/>
    <xf numFmtId="0" fontId="22" fillId="0" borderId="71" xfId="0" applyFont="1" applyBorder="1"/>
    <xf numFmtId="9" fontId="22" fillId="0" borderId="28" xfId="5" applyFont="1" applyBorder="1"/>
    <xf numFmtId="0" fontId="22" fillId="0" borderId="45" xfId="0" applyFont="1" applyBorder="1"/>
    <xf numFmtId="9" fontId="22" fillId="0" borderId="1" xfId="5" applyFont="1" applyFill="1" applyBorder="1"/>
    <xf numFmtId="9" fontId="22" fillId="0" borderId="1" xfId="5" applyFont="1" applyBorder="1"/>
    <xf numFmtId="0" fontId="48" fillId="0" borderId="0" xfId="0" applyFont="1" applyProtection="1">
      <protection locked="0"/>
    </xf>
    <xf numFmtId="0" fontId="54" fillId="0" borderId="1" xfId="0" applyFont="1" applyBorder="1" applyProtection="1">
      <protection locked="0"/>
    </xf>
    <xf numFmtId="0" fontId="48" fillId="0" borderId="1" xfId="0" applyFont="1" applyBorder="1"/>
    <xf numFmtId="0" fontId="48" fillId="0" borderId="0" xfId="0" applyFont="1"/>
    <xf numFmtId="0" fontId="54" fillId="0" borderId="1" xfId="0" applyFont="1" applyBorder="1"/>
    <xf numFmtId="0" fontId="54" fillId="0" borderId="0" xfId="0" applyFont="1"/>
    <xf numFmtId="170" fontId="19" fillId="0" borderId="0" xfId="1" applyNumberFormat="1" applyFont="1" applyFill="1" applyBorder="1" applyProtection="1"/>
    <xf numFmtId="0" fontId="48" fillId="0" borderId="44" xfId="0" applyFont="1" applyBorder="1"/>
    <xf numFmtId="0" fontId="48" fillId="4" borderId="1" xfId="0" applyFont="1" applyFill="1" applyBorder="1"/>
    <xf numFmtId="170" fontId="48" fillId="4" borderId="1" xfId="0" applyNumberFormat="1" applyFont="1" applyFill="1" applyBorder="1"/>
    <xf numFmtId="0" fontId="48" fillId="14" borderId="1" xfId="0" applyFont="1" applyFill="1" applyBorder="1"/>
    <xf numFmtId="9" fontId="48" fillId="14" borderId="1" xfId="5" applyFont="1" applyFill="1" applyBorder="1" applyProtection="1"/>
    <xf numFmtId="0" fontId="55" fillId="0" borderId="95" xfId="0" applyFont="1" applyBorder="1"/>
    <xf numFmtId="173" fontId="55" fillId="0" borderId="95" xfId="1" applyNumberFormat="1" applyFont="1" applyFill="1" applyBorder="1"/>
    <xf numFmtId="9" fontId="55" fillId="0" borderId="95" xfId="5" applyFont="1" applyFill="1" applyBorder="1"/>
    <xf numFmtId="173" fontId="22" fillId="0" borderId="28" xfId="1" applyNumberFormat="1" applyFont="1" applyBorder="1" applyAlignment="1">
      <alignment horizontal="right" vertical="center"/>
    </xf>
    <xf numFmtId="173" fontId="22" fillId="0" borderId="1" xfId="1" applyNumberFormat="1" applyFont="1" applyBorder="1" applyAlignment="1">
      <alignment horizontal="right" vertical="center"/>
    </xf>
    <xf numFmtId="173" fontId="55" fillId="0" borderId="95" xfId="1" applyNumberFormat="1" applyFont="1" applyFill="1" applyBorder="1" applyAlignment="1">
      <alignment horizontal="right" vertical="center"/>
    </xf>
    <xf numFmtId="173" fontId="22" fillId="6" borderId="28" xfId="1" applyNumberFormat="1" applyFont="1" applyFill="1" applyBorder="1" applyAlignment="1" applyProtection="1">
      <alignment horizontal="right" vertical="center"/>
      <protection locked="0"/>
    </xf>
    <xf numFmtId="10" fontId="22" fillId="4" borderId="28" xfId="5" applyNumberFormat="1" applyFont="1" applyFill="1" applyBorder="1"/>
    <xf numFmtId="10" fontId="22" fillId="6" borderId="28" xfId="5" applyNumberFormat="1" applyFont="1" applyFill="1" applyBorder="1" applyProtection="1">
      <protection locked="0"/>
    </xf>
    <xf numFmtId="10" fontId="22" fillId="6" borderId="1" xfId="5" applyNumberFormat="1" applyFont="1" applyFill="1" applyBorder="1" applyProtection="1">
      <protection locked="0"/>
    </xf>
    <xf numFmtId="0" fontId="60" fillId="0" borderId="1" xfId="4" applyFont="1" applyBorder="1" applyAlignment="1">
      <alignment horizontal="right" vertical="center" wrapText="1"/>
    </xf>
    <xf numFmtId="0" fontId="61" fillId="0" borderId="0" xfId="0" applyFont="1" applyAlignment="1">
      <alignment horizontal="center" readingOrder="2"/>
    </xf>
    <xf numFmtId="0" fontId="3" fillId="18" borderId="1" xfId="4" applyFont="1" applyFill="1" applyBorder="1"/>
    <xf numFmtId="165" fontId="3" fillId="18" borderId="1" xfId="2" applyNumberFormat="1" applyFont="1" applyFill="1" applyBorder="1" applyAlignment="1"/>
    <xf numFmtId="3" fontId="3" fillId="18" borderId="1" xfId="4" applyNumberFormat="1" applyFont="1" applyFill="1" applyBorder="1"/>
    <xf numFmtId="0" fontId="6" fillId="2" borderId="3"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0" fillId="0" borderId="37" xfId="0" applyBorder="1" applyAlignment="1">
      <alignment vertical="center"/>
    </xf>
    <xf numFmtId="0" fontId="63" fillId="3" borderId="8" xfId="0" applyFont="1" applyFill="1" applyBorder="1" applyAlignment="1">
      <alignment horizontal="right" vertical="center" wrapText="1"/>
    </xf>
    <xf numFmtId="0" fontId="63" fillId="3" borderId="5" xfId="0" applyFont="1" applyFill="1" applyBorder="1" applyAlignment="1">
      <alignment horizontal="right" vertical="center" wrapText="1"/>
    </xf>
    <xf numFmtId="0" fontId="6" fillId="4" borderId="9" xfId="0" applyFont="1" applyFill="1" applyBorder="1" applyAlignment="1">
      <alignment horizontal="right" vertical="center"/>
    </xf>
    <xf numFmtId="167" fontId="0" fillId="4" borderId="96" xfId="0" applyNumberFormat="1" applyFill="1" applyBorder="1"/>
    <xf numFmtId="0" fontId="6" fillId="4" borderId="11" xfId="0" applyFont="1" applyFill="1" applyBorder="1" applyAlignment="1">
      <alignment horizontal="right" vertical="center"/>
    </xf>
    <xf numFmtId="167" fontId="0" fillId="4" borderId="47" xfId="0" applyNumberFormat="1" applyFill="1" applyBorder="1"/>
    <xf numFmtId="0" fontId="36" fillId="0" borderId="0" xfId="0" applyFont="1" applyAlignment="1">
      <alignment horizontal="center"/>
    </xf>
    <xf numFmtId="0" fontId="23" fillId="0" borderId="0" xfId="0" applyFont="1" applyAlignment="1">
      <alignment horizontal="center"/>
    </xf>
    <xf numFmtId="0" fontId="7" fillId="2"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0" fillId="6" borderId="0" xfId="0" applyFill="1"/>
    <xf numFmtId="9" fontId="7" fillId="4" borderId="51" xfId="5" applyFont="1" applyFill="1" applyBorder="1" applyAlignment="1">
      <alignment vertical="center" wrapText="1"/>
    </xf>
    <xf numFmtId="0" fontId="22" fillId="0" borderId="0" xfId="0" applyFont="1" applyAlignment="1" applyProtection="1">
      <alignment horizontal="center"/>
      <protection hidden="1"/>
    </xf>
    <xf numFmtId="0" fontId="22" fillId="4" borderId="0" xfId="0" applyFont="1" applyFill="1" applyAlignment="1" applyProtection="1">
      <alignment horizontal="center"/>
      <protection hidden="1"/>
    </xf>
    <xf numFmtId="0" fontId="22" fillId="0" borderId="0" xfId="0" applyFont="1" applyProtection="1">
      <protection hidden="1"/>
    </xf>
    <xf numFmtId="0" fontId="11" fillId="0" borderId="1" xfId="0" applyFont="1" applyBorder="1" applyAlignment="1" applyProtection="1">
      <alignment horizontal="center" vertical="center" wrapText="1"/>
      <protection hidden="1"/>
    </xf>
    <xf numFmtId="0" fontId="11" fillId="0" borderId="44" xfId="0" applyFont="1" applyBorder="1" applyAlignment="1" applyProtection="1">
      <alignment horizontal="center" vertical="center" wrapText="1"/>
      <protection hidden="1"/>
    </xf>
    <xf numFmtId="0" fontId="11" fillId="0" borderId="45" xfId="0" applyFont="1" applyBorder="1" applyAlignment="1" applyProtection="1">
      <alignment horizontal="center" vertical="center" wrapText="1"/>
      <protection hidden="1"/>
    </xf>
    <xf numFmtId="0" fontId="15" fillId="0" borderId="46" xfId="0" applyFont="1" applyBorder="1" applyAlignment="1" applyProtection="1">
      <alignment horizontal="center" vertical="center" wrapText="1"/>
      <protection hidden="1"/>
    </xf>
    <xf numFmtId="0" fontId="11" fillId="4" borderId="1" xfId="0" applyFont="1" applyFill="1" applyBorder="1" applyAlignment="1" applyProtection="1">
      <alignment horizontal="right" vertical="center" wrapText="1"/>
      <protection hidden="1"/>
    </xf>
    <xf numFmtId="0" fontId="11" fillId="4" borderId="44" xfId="0" applyFont="1" applyFill="1" applyBorder="1" applyAlignment="1" applyProtection="1">
      <alignment horizontal="center" vertical="center" wrapText="1"/>
      <protection hidden="1"/>
    </xf>
    <xf numFmtId="0" fontId="14" fillId="4" borderId="44" xfId="0" applyFont="1" applyFill="1" applyBorder="1" applyAlignment="1" applyProtection="1">
      <alignment horizontal="right" vertical="center" wrapText="1"/>
      <protection hidden="1"/>
    </xf>
    <xf numFmtId="170" fontId="16" fillId="4" borderId="45" xfId="1" applyNumberFormat="1" applyFont="1" applyFill="1" applyBorder="1" applyAlignment="1" applyProtection="1">
      <alignment vertical="center" wrapText="1"/>
      <protection hidden="1"/>
    </xf>
    <xf numFmtId="170" fontId="11" fillId="4" borderId="46" xfId="1" applyNumberFormat="1" applyFont="1" applyFill="1" applyBorder="1" applyAlignment="1" applyProtection="1">
      <alignment vertical="center" wrapText="1"/>
      <protection hidden="1"/>
    </xf>
    <xf numFmtId="170" fontId="14" fillId="4" borderId="45" xfId="1" applyNumberFormat="1" applyFont="1" applyFill="1" applyBorder="1" applyAlignment="1" applyProtection="1">
      <alignment vertical="center" wrapText="1"/>
      <protection hidden="1"/>
    </xf>
    <xf numFmtId="0" fontId="11" fillId="0" borderId="1" xfId="0" applyFont="1" applyBorder="1" applyAlignment="1" applyProtection="1">
      <alignment horizontal="right" vertical="center" wrapText="1"/>
      <protection hidden="1"/>
    </xf>
    <xf numFmtId="0" fontId="14" fillId="0" borderId="44" xfId="0" applyFont="1" applyBorder="1" applyAlignment="1" applyProtection="1">
      <alignment horizontal="right" vertical="center" wrapText="1"/>
      <protection hidden="1"/>
    </xf>
    <xf numFmtId="170" fontId="14" fillId="0" borderId="45" xfId="1" applyNumberFormat="1" applyFont="1" applyFill="1" applyBorder="1" applyAlignment="1" applyProtection="1">
      <alignment vertical="center" wrapText="1"/>
      <protection hidden="1"/>
    </xf>
    <xf numFmtId="170" fontId="11" fillId="0" borderId="46" xfId="1" applyNumberFormat="1" applyFont="1" applyFill="1" applyBorder="1" applyAlignment="1" applyProtection="1">
      <alignment vertical="center" wrapText="1"/>
      <protection hidden="1"/>
    </xf>
    <xf numFmtId="0" fontId="11" fillId="4" borderId="1" xfId="0" applyFont="1" applyFill="1" applyBorder="1" applyAlignment="1" applyProtection="1">
      <alignment horizontal="right" vertical="center"/>
      <protection hidden="1"/>
    </xf>
    <xf numFmtId="9" fontId="15" fillId="4" borderId="46" xfId="5" applyFont="1" applyFill="1" applyBorder="1" applyAlignment="1" applyProtection="1">
      <alignment vertical="center" wrapText="1" readingOrder="2"/>
      <protection hidden="1"/>
    </xf>
    <xf numFmtId="0" fontId="16" fillId="0" borderId="44" xfId="0" applyFont="1" applyBorder="1" applyAlignment="1" applyProtection="1">
      <alignment horizontal="right" vertical="center" wrapText="1"/>
      <protection hidden="1"/>
    </xf>
    <xf numFmtId="170" fontId="16" fillId="0" borderId="45" xfId="1" applyNumberFormat="1" applyFont="1" applyFill="1" applyBorder="1" applyAlignment="1" applyProtection="1">
      <alignment vertical="center" wrapText="1"/>
      <protection hidden="1"/>
    </xf>
    <xf numFmtId="0" fontId="16" fillId="0" borderId="48" xfId="0" applyFont="1" applyBorder="1" applyAlignment="1" applyProtection="1">
      <alignment horizontal="right" vertical="center" wrapText="1"/>
      <protection hidden="1"/>
    </xf>
    <xf numFmtId="170" fontId="16" fillId="0" borderId="11" xfId="1" applyNumberFormat="1" applyFont="1" applyFill="1" applyBorder="1" applyAlignment="1" applyProtection="1">
      <alignment vertical="center" wrapText="1"/>
      <protection hidden="1"/>
    </xf>
    <xf numFmtId="170" fontId="11" fillId="0" borderId="47" xfId="1" applyNumberFormat="1" applyFont="1" applyFill="1" applyBorder="1" applyAlignment="1" applyProtection="1">
      <alignment vertical="center" wrapText="1"/>
      <protection hidden="1"/>
    </xf>
    <xf numFmtId="0" fontId="22" fillId="4" borderId="1" xfId="0" applyFont="1" applyFill="1" applyBorder="1" applyProtection="1">
      <protection hidden="1"/>
    </xf>
    <xf numFmtId="0" fontId="22" fillId="4" borderId="44" xfId="0" applyFont="1" applyFill="1" applyBorder="1" applyProtection="1">
      <protection hidden="1"/>
    </xf>
    <xf numFmtId="170" fontId="22" fillId="4" borderId="2" xfId="1" applyNumberFormat="1" applyFont="1" applyFill="1" applyBorder="1" applyAlignment="1" applyProtection="1">
      <alignment horizontal="center" vertical="center" wrapText="1"/>
      <protection hidden="1"/>
    </xf>
    <xf numFmtId="170" fontId="22" fillId="4" borderId="43" xfId="1" applyNumberFormat="1" applyFont="1" applyFill="1" applyBorder="1" applyProtection="1">
      <protection hidden="1"/>
    </xf>
    <xf numFmtId="0" fontId="22" fillId="5" borderId="49" xfId="0" applyFont="1" applyFill="1" applyBorder="1" applyProtection="1">
      <protection hidden="1"/>
    </xf>
    <xf numFmtId="0" fontId="24" fillId="5" borderId="50" xfId="0" applyFont="1" applyFill="1" applyBorder="1" applyAlignment="1" applyProtection="1">
      <alignment horizontal="center"/>
      <protection hidden="1"/>
    </xf>
    <xf numFmtId="0" fontId="22" fillId="5" borderId="50" xfId="0" applyFont="1" applyFill="1" applyBorder="1" applyProtection="1">
      <protection hidden="1"/>
    </xf>
    <xf numFmtId="0" fontId="22" fillId="5" borderId="51" xfId="0" applyFont="1" applyFill="1" applyBorder="1" applyProtection="1">
      <protection hidden="1"/>
    </xf>
    <xf numFmtId="170" fontId="22" fillId="5" borderId="52" xfId="1" applyNumberFormat="1" applyFont="1" applyFill="1" applyBorder="1" applyProtection="1">
      <protection hidden="1"/>
    </xf>
    <xf numFmtId="0" fontId="60" fillId="0" borderId="38" xfId="0" applyFont="1" applyBorder="1" applyAlignment="1">
      <alignment horizontal="right"/>
    </xf>
    <xf numFmtId="0" fontId="60" fillId="0" borderId="39" xfId="0" applyFont="1" applyBorder="1" applyAlignment="1">
      <alignment horizontal="right"/>
    </xf>
    <xf numFmtId="0" fontId="60" fillId="0" borderId="55" xfId="0" applyFont="1" applyBorder="1"/>
    <xf numFmtId="9" fontId="60" fillId="4" borderId="10" xfId="5" applyFont="1" applyFill="1" applyBorder="1"/>
    <xf numFmtId="9" fontId="60" fillId="4" borderId="7" xfId="5" applyFont="1" applyFill="1" applyBorder="1"/>
    <xf numFmtId="168" fontId="21" fillId="6" borderId="0" xfId="3" applyNumberFormat="1" applyFont="1" applyFill="1" applyAlignment="1" applyProtection="1">
      <alignment horizontal="center"/>
      <protection locked="0"/>
    </xf>
    <xf numFmtId="0" fontId="0" fillId="6" borderId="1" xfId="0" applyFill="1" applyBorder="1" applyProtection="1">
      <protection locked="0"/>
    </xf>
    <xf numFmtId="170" fontId="19" fillId="6" borderId="28" xfId="1" applyNumberFormat="1" applyFont="1" applyFill="1" applyBorder="1" applyProtection="1">
      <protection locked="0"/>
    </xf>
    <xf numFmtId="170" fontId="19" fillId="6" borderId="1" xfId="1" applyNumberFormat="1" applyFont="1" applyFill="1" applyBorder="1" applyProtection="1">
      <protection locked="0"/>
    </xf>
    <xf numFmtId="9" fontId="13" fillId="6" borderId="18" xfId="5" applyFont="1" applyFill="1" applyBorder="1" applyAlignment="1" applyProtection="1">
      <alignment vertical="center"/>
      <protection locked="0"/>
    </xf>
    <xf numFmtId="9" fontId="13" fillId="6" borderId="19" xfId="5" applyFont="1" applyFill="1" applyBorder="1" applyAlignment="1" applyProtection="1">
      <alignment vertical="center"/>
      <protection locked="0"/>
    </xf>
    <xf numFmtId="9" fontId="13" fillId="6" borderId="20" xfId="5" applyFont="1" applyFill="1" applyBorder="1" applyAlignment="1" applyProtection="1">
      <alignment vertical="center"/>
      <protection locked="0"/>
    </xf>
    <xf numFmtId="9" fontId="13" fillId="6" borderId="21" xfId="5" applyFont="1" applyFill="1" applyBorder="1" applyAlignment="1" applyProtection="1">
      <alignment vertical="center"/>
      <protection locked="0"/>
    </xf>
    <xf numFmtId="9" fontId="8" fillId="6" borderId="6" xfId="5" applyFont="1" applyFill="1" applyBorder="1" applyAlignment="1" applyProtection="1">
      <alignment vertical="center" wrapText="1" readingOrder="2"/>
      <protection locked="0"/>
    </xf>
    <xf numFmtId="9" fontId="7" fillId="6" borderId="9" xfId="5" applyFont="1" applyFill="1" applyBorder="1" applyAlignment="1" applyProtection="1">
      <alignment vertical="center" wrapText="1"/>
      <protection locked="0"/>
    </xf>
    <xf numFmtId="9" fontId="7" fillId="6" borderId="11" xfId="5" applyFont="1" applyFill="1" applyBorder="1" applyAlignment="1" applyProtection="1">
      <alignment vertical="center" wrapText="1"/>
      <protection locked="0"/>
    </xf>
    <xf numFmtId="9" fontId="6" fillId="0" borderId="19" xfId="5" applyFont="1" applyBorder="1" applyAlignment="1" applyProtection="1">
      <alignment vertical="center"/>
    </xf>
    <xf numFmtId="9" fontId="6" fillId="0" borderId="18" xfId="5" applyFont="1" applyBorder="1" applyAlignment="1" applyProtection="1">
      <alignment vertical="center"/>
    </xf>
    <xf numFmtId="0" fontId="3" fillId="17" borderId="60" xfId="0" applyFont="1" applyFill="1" applyBorder="1" applyAlignment="1">
      <alignment horizontal="right"/>
    </xf>
    <xf numFmtId="0" fontId="3" fillId="17" borderId="3" xfId="0" applyFont="1" applyFill="1" applyBorder="1" applyAlignment="1">
      <alignment horizontal="right"/>
    </xf>
    <xf numFmtId="0" fontId="3" fillId="17" borderId="61" xfId="0" applyFont="1" applyFill="1" applyBorder="1" applyAlignment="1">
      <alignment horizontal="right"/>
    </xf>
    <xf numFmtId="170" fontId="2" fillId="17" borderId="2" xfId="1" applyNumberFormat="1" applyFont="1" applyFill="1" applyBorder="1"/>
    <xf numFmtId="170" fontId="2" fillId="17" borderId="4" xfId="1" applyNumberFormat="1" applyFont="1" applyFill="1" applyBorder="1"/>
    <xf numFmtId="170" fontId="2" fillId="17" borderId="6" xfId="1" applyNumberFormat="1" applyFont="1" applyFill="1" applyBorder="1"/>
    <xf numFmtId="0" fontId="3" fillId="17" borderId="62" xfId="0" applyFont="1" applyFill="1" applyBorder="1"/>
    <xf numFmtId="0" fontId="2" fillId="17" borderId="63" xfId="0" applyFont="1" applyFill="1" applyBorder="1"/>
    <xf numFmtId="9" fontId="2" fillId="17" borderId="65" xfId="5" applyFont="1" applyFill="1" applyBorder="1"/>
    <xf numFmtId="170" fontId="2" fillId="17" borderId="62" xfId="1" applyNumberFormat="1" applyFont="1" applyFill="1" applyBorder="1"/>
    <xf numFmtId="170" fontId="2" fillId="17" borderId="64" xfId="1" applyNumberFormat="1" applyFont="1" applyFill="1" applyBorder="1"/>
    <xf numFmtId="170" fontId="2" fillId="17" borderId="65" xfId="1" applyNumberFormat="1" applyFont="1" applyFill="1" applyBorder="1"/>
    <xf numFmtId="9" fontId="60" fillId="6" borderId="40" xfId="5" applyFont="1" applyFill="1" applyBorder="1" applyProtection="1">
      <protection locked="0"/>
    </xf>
    <xf numFmtId="173" fontId="25" fillId="6" borderId="0" xfId="0" applyNumberFormat="1" applyFont="1" applyFill="1" applyProtection="1">
      <protection locked="0"/>
    </xf>
    <xf numFmtId="0" fontId="36" fillId="0" borderId="0" xfId="0" applyFont="1" applyProtection="1">
      <protection locked="0" hidden="1"/>
    </xf>
    <xf numFmtId="0" fontId="28" fillId="0" borderId="60" xfId="0" applyFont="1" applyBorder="1" applyAlignment="1">
      <alignment horizontal="right" readingOrder="2"/>
    </xf>
    <xf numFmtId="0" fontId="28" fillId="0" borderId="31" xfId="0" applyFont="1" applyBorder="1" applyAlignment="1">
      <alignment horizontal="right" readingOrder="2"/>
    </xf>
    <xf numFmtId="0" fontId="0" fillId="20" borderId="2" xfId="0" applyFill="1" applyBorder="1" applyAlignment="1">
      <alignment horizontal="center" vertical="center"/>
    </xf>
    <xf numFmtId="0" fontId="0" fillId="20" borderId="3" xfId="0" applyFill="1" applyBorder="1"/>
    <xf numFmtId="0" fontId="0" fillId="20" borderId="3" xfId="0" applyFill="1" applyBorder="1" applyAlignment="1">
      <alignment horizontal="center" vertical="center"/>
    </xf>
    <xf numFmtId="9" fontId="0" fillId="6" borderId="0" xfId="0" applyNumberFormat="1" applyFill="1" applyProtection="1">
      <protection locked="0"/>
    </xf>
    <xf numFmtId="0" fontId="0" fillId="6" borderId="0" xfId="0" applyFill="1" applyProtection="1">
      <protection locked="0"/>
    </xf>
    <xf numFmtId="9" fontId="0" fillId="6" borderId="58" xfId="0" applyNumberFormat="1" applyFill="1" applyBorder="1" applyProtection="1">
      <protection locked="0"/>
    </xf>
    <xf numFmtId="0" fontId="0" fillId="6" borderId="58" xfId="0" applyFill="1" applyBorder="1" applyProtection="1">
      <protection locked="0"/>
    </xf>
    <xf numFmtId="170" fontId="28" fillId="19" borderId="31" xfId="1" applyNumberFormat="1" applyFont="1" applyFill="1" applyBorder="1" applyAlignment="1" applyProtection="1">
      <alignment horizontal="left" readingOrder="1"/>
      <protection locked="0"/>
    </xf>
    <xf numFmtId="170" fontId="28" fillId="19" borderId="30" xfId="1" applyNumberFormat="1" applyFont="1" applyFill="1" applyBorder="1" applyAlignment="1" applyProtection="1">
      <alignment horizontal="left" readingOrder="1"/>
      <protection locked="0"/>
    </xf>
    <xf numFmtId="170" fontId="28" fillId="6" borderId="31" xfId="1" applyNumberFormat="1" applyFont="1" applyFill="1" applyBorder="1" applyAlignment="1" applyProtection="1">
      <alignment horizontal="left" readingOrder="1"/>
      <protection locked="0"/>
    </xf>
    <xf numFmtId="170" fontId="28" fillId="19" borderId="31" xfId="1" applyNumberFormat="1" applyFont="1" applyFill="1" applyBorder="1" applyAlignment="1" applyProtection="1">
      <alignment horizontal="right" readingOrder="1"/>
      <protection locked="0"/>
    </xf>
    <xf numFmtId="170" fontId="28" fillId="19" borderId="30" xfId="1" applyNumberFormat="1" applyFont="1" applyFill="1" applyBorder="1" applyAlignment="1" applyProtection="1">
      <alignment horizontal="right" readingOrder="1"/>
      <protection locked="0"/>
    </xf>
    <xf numFmtId="3" fontId="2" fillId="0" borderId="0" xfId="4" applyNumberFormat="1" applyFont="1" applyAlignment="1">
      <alignment horizontal="left"/>
    </xf>
    <xf numFmtId="0" fontId="3" fillId="0" borderId="1" xfId="4" applyFont="1" applyBorder="1" applyAlignment="1">
      <alignment readingOrder="2"/>
    </xf>
    <xf numFmtId="9" fontId="38" fillId="0" borderId="0" xfId="5" applyFont="1" applyFill="1" applyBorder="1" applyAlignment="1">
      <alignment horizontal="right" readingOrder="1"/>
    </xf>
    <xf numFmtId="0" fontId="23" fillId="4" borderId="35" xfId="0" applyFont="1" applyFill="1" applyBorder="1"/>
    <xf numFmtId="0" fontId="23" fillId="4" borderId="52" xfId="0" applyFont="1" applyFill="1" applyBorder="1" applyAlignment="1">
      <alignment horizontal="right"/>
    </xf>
    <xf numFmtId="0" fontId="30" fillId="11" borderId="31" xfId="0" applyFont="1" applyFill="1" applyBorder="1" applyAlignment="1">
      <alignment horizontal="right" readingOrder="2"/>
    </xf>
    <xf numFmtId="0" fontId="27" fillId="0" borderId="51" xfId="0" applyFont="1" applyBorder="1"/>
    <xf numFmtId="0" fontId="27" fillId="0" borderId="53" xfId="0" applyFont="1" applyBorder="1" applyAlignment="1">
      <alignment horizontal="center"/>
    </xf>
    <xf numFmtId="0" fontId="27" fillId="0" borderId="52" xfId="0" applyFont="1" applyBorder="1" applyAlignment="1">
      <alignment horizontal="center"/>
    </xf>
    <xf numFmtId="0" fontId="30" fillId="11" borderId="30" xfId="0" applyFont="1" applyFill="1" applyBorder="1" applyAlignment="1">
      <alignment horizontal="right" readingOrder="2"/>
    </xf>
    <xf numFmtId="0" fontId="54" fillId="0" borderId="1" xfId="0" applyFont="1" applyBorder="1" applyAlignment="1">
      <alignment horizontal="center" vertical="center"/>
    </xf>
    <xf numFmtId="0" fontId="54" fillId="17" borderId="1" xfId="0" applyFont="1" applyFill="1" applyBorder="1" applyAlignment="1">
      <alignment horizontal="center" vertical="center" wrapText="1" readingOrder="2"/>
    </xf>
    <xf numFmtId="0" fontId="54" fillId="17" borderId="44" xfId="0" applyFont="1" applyFill="1" applyBorder="1" applyAlignment="1">
      <alignment horizontal="center" vertical="center" wrapText="1" readingOrder="2"/>
    </xf>
    <xf numFmtId="0" fontId="25" fillId="0" borderId="1" xfId="0" applyFont="1" applyBorder="1"/>
    <xf numFmtId="170" fontId="25" fillId="0" borderId="1" xfId="1" applyNumberFormat="1" applyFont="1" applyBorder="1" applyProtection="1"/>
    <xf numFmtId="9" fontId="25" fillId="17" borderId="1" xfId="5" applyFont="1" applyFill="1" applyBorder="1" applyProtection="1"/>
    <xf numFmtId="9" fontId="25" fillId="17" borderId="44" xfId="5" applyFont="1" applyFill="1" applyBorder="1" applyProtection="1"/>
    <xf numFmtId="170" fontId="25" fillId="17" borderId="44" xfId="1" applyNumberFormat="1" applyFont="1" applyFill="1" applyBorder="1" applyProtection="1"/>
    <xf numFmtId="170" fontId="0" fillId="4" borderId="1" xfId="1" applyNumberFormat="1" applyFont="1" applyFill="1" applyBorder="1" applyProtection="1"/>
    <xf numFmtId="170" fontId="25" fillId="17" borderId="1" xfId="0" applyNumberFormat="1" applyFont="1" applyFill="1" applyBorder="1"/>
    <xf numFmtId="9" fontId="0" fillId="0" borderId="0" xfId="5" applyFont="1" applyProtection="1"/>
    <xf numFmtId="170" fontId="25" fillId="17" borderId="1" xfId="1" applyNumberFormat="1" applyFont="1" applyFill="1" applyBorder="1" applyProtection="1"/>
    <xf numFmtId="170" fontId="0" fillId="4" borderId="70" xfId="0" applyNumberFormat="1" applyFill="1" applyBorder="1"/>
    <xf numFmtId="168" fontId="19" fillId="6" borderId="0" xfId="3" applyNumberFormat="1" applyFont="1" applyFill="1" applyProtection="1">
      <protection locked="0"/>
    </xf>
    <xf numFmtId="174" fontId="27" fillId="6" borderId="0" xfId="5" applyNumberFormat="1" applyFont="1" applyFill="1" applyProtection="1">
      <protection locked="0"/>
    </xf>
    <xf numFmtId="0" fontId="24" fillId="0" borderId="54" xfId="0" applyFont="1" applyBorder="1"/>
    <xf numFmtId="10" fontId="22" fillId="0" borderId="73" xfId="5" applyNumberFormat="1" applyFont="1" applyBorder="1"/>
    <xf numFmtId="10" fontId="22" fillId="0" borderId="44" xfId="5" applyNumberFormat="1" applyFont="1" applyBorder="1"/>
    <xf numFmtId="10" fontId="55" fillId="0" borderId="76" xfId="0" applyNumberFormat="1" applyFont="1" applyBorder="1"/>
    <xf numFmtId="0" fontId="22" fillId="0" borderId="7" xfId="0" applyFont="1" applyBorder="1"/>
    <xf numFmtId="0" fontId="22" fillId="0" borderId="40" xfId="0" applyFont="1" applyBorder="1"/>
    <xf numFmtId="0" fontId="22" fillId="0" borderId="10" xfId="0" applyFont="1" applyBorder="1"/>
    <xf numFmtId="0" fontId="22" fillId="6" borderId="40" xfId="0" applyFont="1" applyFill="1" applyBorder="1"/>
    <xf numFmtId="0" fontId="52" fillId="15" borderId="0" xfId="6" applyFont="1" applyFill="1" applyAlignment="1">
      <alignment wrapText="1"/>
    </xf>
    <xf numFmtId="0" fontId="52" fillId="15" borderId="89" xfId="6" applyFont="1" applyFill="1" applyBorder="1" applyAlignment="1">
      <alignment wrapText="1"/>
    </xf>
    <xf numFmtId="0" fontId="0" fillId="0" borderId="37" xfId="0" applyBorder="1"/>
    <xf numFmtId="0" fontId="0" fillId="0" borderId="30" xfId="0" applyBorder="1"/>
    <xf numFmtId="170" fontId="38" fillId="6" borderId="1" xfId="1" applyNumberFormat="1" applyFont="1" applyFill="1" applyBorder="1" applyAlignment="1" applyProtection="1">
      <alignment vertical="center" wrapText="1" readingOrder="1"/>
      <protection locked="0"/>
    </xf>
    <xf numFmtId="0" fontId="48" fillId="6" borderId="1" xfId="0" applyFont="1" applyFill="1" applyBorder="1" applyProtection="1">
      <protection locked="0"/>
    </xf>
    <xf numFmtId="170" fontId="48" fillId="6" borderId="1" xfId="1" applyNumberFormat="1" applyFont="1" applyFill="1" applyBorder="1" applyProtection="1">
      <protection locked="0"/>
    </xf>
    <xf numFmtId="170" fontId="48" fillId="4" borderId="1" xfId="1" applyNumberFormat="1" applyFont="1" applyFill="1" applyBorder="1" applyProtection="1"/>
    <xf numFmtId="9" fontId="48" fillId="4" borderId="1" xfId="5" applyFont="1" applyFill="1" applyBorder="1" applyProtection="1"/>
    <xf numFmtId="14" fontId="57" fillId="6" borderId="44" xfId="0" applyNumberFormat="1" applyFont="1" applyFill="1" applyBorder="1" applyProtection="1">
      <protection locked="0"/>
    </xf>
    <xf numFmtId="0" fontId="57" fillId="6" borderId="44" xfId="0" applyFont="1" applyFill="1" applyBorder="1" applyProtection="1">
      <protection locked="0"/>
    </xf>
    <xf numFmtId="0" fontId="57" fillId="6" borderId="48" xfId="0" applyFont="1" applyFill="1" applyBorder="1" applyProtection="1">
      <protection locked="0"/>
    </xf>
    <xf numFmtId="0" fontId="57" fillId="6" borderId="1" xfId="0" applyFont="1" applyFill="1" applyBorder="1" applyProtection="1">
      <protection locked="0"/>
    </xf>
    <xf numFmtId="9" fontId="57" fillId="6" borderId="1" xfId="5" applyFont="1" applyFill="1" applyBorder="1" applyProtection="1">
      <protection locked="0"/>
    </xf>
    <xf numFmtId="0" fontId="22" fillId="4" borderId="51" xfId="0" applyFont="1" applyFill="1" applyBorder="1" applyProtection="1">
      <protection hidden="1"/>
    </xf>
    <xf numFmtId="0" fontId="24" fillId="4" borderId="54" xfId="0" applyFont="1" applyFill="1" applyBorder="1" applyAlignment="1" applyProtection="1">
      <alignment horizontal="center"/>
      <protection hidden="1"/>
    </xf>
    <xf numFmtId="0" fontId="22" fillId="4" borderId="54" xfId="0" applyFont="1" applyFill="1" applyBorder="1" applyProtection="1">
      <protection hidden="1"/>
    </xf>
    <xf numFmtId="170" fontId="22" fillId="4" borderId="52" xfId="0" applyNumberFormat="1" applyFont="1" applyFill="1" applyBorder="1" applyProtection="1">
      <protection hidden="1"/>
    </xf>
    <xf numFmtId="0" fontId="25" fillId="21" borderId="1" xfId="0" applyFont="1" applyFill="1" applyBorder="1"/>
    <xf numFmtId="170" fontId="25" fillId="21" borderId="1" xfId="1" applyNumberFormat="1" applyFont="1" applyFill="1" applyBorder="1" applyProtection="1"/>
    <xf numFmtId="0" fontId="0" fillId="21" borderId="1" xfId="0" applyFill="1" applyBorder="1"/>
    <xf numFmtId="170" fontId="0" fillId="21" borderId="1" xfId="0" applyNumberFormat="1" applyFill="1" applyBorder="1"/>
    <xf numFmtId="170" fontId="38" fillId="6" borderId="45" xfId="1" applyNumberFormat="1" applyFont="1" applyFill="1" applyBorder="1" applyAlignment="1" applyProtection="1">
      <alignment vertical="center" wrapText="1" readingOrder="1"/>
      <protection locked="0"/>
    </xf>
    <xf numFmtId="170" fontId="42" fillId="6" borderId="1" xfId="1" applyNumberFormat="1" applyFont="1" applyFill="1" applyBorder="1" applyAlignment="1" applyProtection="1">
      <alignment vertical="center" wrapText="1"/>
      <protection locked="0"/>
    </xf>
    <xf numFmtId="170" fontId="38" fillId="6" borderId="98" xfId="1" applyNumberFormat="1" applyFont="1" applyFill="1" applyBorder="1" applyAlignment="1" applyProtection="1">
      <alignment vertical="center" wrapText="1" readingOrder="1"/>
      <protection locked="0"/>
    </xf>
    <xf numFmtId="170" fontId="38" fillId="6" borderId="33" xfId="1" applyNumberFormat="1" applyFont="1" applyFill="1" applyBorder="1" applyAlignment="1" applyProtection="1">
      <alignment vertical="center" wrapText="1" readingOrder="1"/>
      <protection locked="0"/>
    </xf>
    <xf numFmtId="170" fontId="27" fillId="0" borderId="0" xfId="0" applyNumberFormat="1" applyFont="1"/>
    <xf numFmtId="9" fontId="0" fillId="0" borderId="58" xfId="5" applyFont="1" applyBorder="1"/>
    <xf numFmtId="0" fontId="20" fillId="0" borderId="0" xfId="0" applyFont="1"/>
    <xf numFmtId="173" fontId="51" fillId="15" borderId="0" xfId="7" applyNumberFormat="1" applyFont="1" applyFill="1" applyBorder="1" applyAlignment="1" applyProtection="1">
      <alignment horizontal="right"/>
    </xf>
    <xf numFmtId="173" fontId="51" fillId="15" borderId="85" xfId="7" applyNumberFormat="1" applyFont="1" applyFill="1" applyBorder="1" applyAlignment="1" applyProtection="1">
      <alignment horizontal="right"/>
    </xf>
    <xf numFmtId="176" fontId="51" fillId="15" borderId="86" xfId="6" applyNumberFormat="1" applyFill="1" applyBorder="1" applyAlignment="1">
      <alignment horizontal="right"/>
    </xf>
    <xf numFmtId="177" fontId="51" fillId="15" borderId="86" xfId="6" applyNumberFormat="1" applyFill="1" applyBorder="1" applyAlignment="1">
      <alignment horizontal="right"/>
    </xf>
    <xf numFmtId="14" fontId="51" fillId="15" borderId="86" xfId="6" applyNumberFormat="1" applyFill="1" applyBorder="1" applyAlignment="1">
      <alignment horizontal="right"/>
    </xf>
    <xf numFmtId="175" fontId="51" fillId="15" borderId="86" xfId="7" applyFont="1" applyFill="1" applyBorder="1" applyAlignment="1" applyProtection="1">
      <alignment horizontal="right"/>
    </xf>
    <xf numFmtId="9" fontId="27" fillId="0" borderId="101" xfId="0" applyNumberFormat="1" applyFont="1" applyBorder="1"/>
    <xf numFmtId="9" fontId="27" fillId="4" borderId="101" xfId="0" applyNumberFormat="1" applyFont="1" applyFill="1" applyBorder="1"/>
    <xf numFmtId="9" fontId="27" fillId="0" borderId="102" xfId="0" applyNumberFormat="1" applyFont="1" applyBorder="1"/>
    <xf numFmtId="0" fontId="27" fillId="0" borderId="33" xfId="0" applyFont="1" applyBorder="1" applyAlignment="1">
      <alignment horizontal="center" vertical="center"/>
    </xf>
    <xf numFmtId="170" fontId="27" fillId="0" borderId="7" xfId="1" applyNumberFormat="1" applyFont="1" applyBorder="1" applyAlignment="1">
      <alignment horizontal="left"/>
    </xf>
    <xf numFmtId="170" fontId="27" fillId="0" borderId="40" xfId="1" applyNumberFormat="1" applyFont="1" applyBorder="1" applyAlignment="1">
      <alignment horizontal="left"/>
    </xf>
    <xf numFmtId="170" fontId="27" fillId="0" borderId="40" xfId="1" applyNumberFormat="1" applyFont="1" applyBorder="1" applyAlignment="1">
      <alignment horizontal="center"/>
    </xf>
    <xf numFmtId="170" fontId="27" fillId="0" borderId="10" xfId="1" applyNumberFormat="1" applyFont="1" applyBorder="1" applyAlignment="1">
      <alignment horizontal="left"/>
    </xf>
    <xf numFmtId="0" fontId="27" fillId="0" borderId="1" xfId="0" applyFont="1" applyBorder="1" applyAlignment="1">
      <alignment horizontal="center"/>
    </xf>
    <xf numFmtId="0" fontId="7" fillId="12" borderId="3" xfId="0" applyFont="1" applyFill="1" applyBorder="1" applyAlignment="1">
      <alignment horizontal="center" vertical="center" wrapText="1"/>
    </xf>
    <xf numFmtId="0" fontId="10" fillId="12" borderId="7" xfId="0" applyFont="1" applyFill="1" applyBorder="1" applyAlignment="1">
      <alignment horizontal="right" vertical="center" wrapText="1"/>
    </xf>
    <xf numFmtId="0" fontId="10" fillId="12" borderId="10" xfId="0" applyFont="1" applyFill="1" applyBorder="1" applyAlignment="1">
      <alignment horizontal="right" vertical="center" wrapText="1"/>
    </xf>
    <xf numFmtId="0" fontId="70" fillId="0" borderId="0" xfId="0" applyFont="1" applyProtection="1">
      <protection hidden="1"/>
    </xf>
    <xf numFmtId="0" fontId="36" fillId="0" borderId="0" xfId="0" applyFont="1" applyProtection="1">
      <protection hidden="1"/>
    </xf>
    <xf numFmtId="0" fontId="23" fillId="4" borderId="1" xfId="0" applyFont="1" applyFill="1" applyBorder="1" applyProtection="1">
      <protection hidden="1"/>
    </xf>
    <xf numFmtId="0" fontId="23" fillId="4" borderId="3" xfId="0" applyFont="1" applyFill="1" applyBorder="1" applyProtection="1">
      <protection hidden="1"/>
    </xf>
    <xf numFmtId="0" fontId="23" fillId="4" borderId="32" xfId="0" applyFont="1" applyFill="1" applyBorder="1" applyProtection="1">
      <protection hidden="1"/>
    </xf>
    <xf numFmtId="0" fontId="23" fillId="4" borderId="30" xfId="0" applyFont="1" applyFill="1" applyBorder="1" applyProtection="1">
      <protection hidden="1"/>
    </xf>
    <xf numFmtId="0" fontId="12" fillId="0" borderId="0" xfId="0" applyFont="1" applyAlignment="1" applyProtection="1">
      <alignment horizontal="center" vertical="center"/>
      <protection hidden="1"/>
    </xf>
    <xf numFmtId="0" fontId="15" fillId="0" borderId="1" xfId="0" applyFont="1" applyBorder="1" applyAlignment="1" applyProtection="1">
      <alignment vertical="center"/>
      <protection hidden="1"/>
    </xf>
    <xf numFmtId="0" fontId="6" fillId="0" borderId="1" xfId="0" applyFont="1" applyBorder="1" applyAlignment="1" applyProtection="1">
      <alignment vertical="center"/>
      <protection hidden="1"/>
    </xf>
    <xf numFmtId="0" fontId="5" fillId="0" borderId="1" xfId="0" applyFont="1" applyBorder="1" applyAlignment="1" applyProtection="1">
      <alignment vertical="center"/>
      <protection hidden="1"/>
    </xf>
    <xf numFmtId="0" fontId="8" fillId="0" borderId="1" xfId="0" applyFont="1" applyBorder="1" applyAlignment="1" applyProtection="1">
      <alignment vertical="center"/>
      <protection hidden="1"/>
    </xf>
    <xf numFmtId="0" fontId="4" fillId="0" borderId="0" xfId="0" applyFont="1" applyAlignment="1" applyProtection="1">
      <alignment horizontal="right" vertical="center"/>
      <protection hidden="1"/>
    </xf>
    <xf numFmtId="0" fontId="4" fillId="0" borderId="0" xfId="0" applyFont="1" applyAlignment="1" applyProtection="1">
      <alignment vertical="center"/>
      <protection hidden="1"/>
    </xf>
    <xf numFmtId="0" fontId="6" fillId="0" borderId="2" xfId="0" applyFont="1" applyBorder="1" applyAlignment="1" applyProtection="1">
      <alignment horizontal="right" vertical="center" wrapText="1"/>
      <protection hidden="1"/>
    </xf>
    <xf numFmtId="0" fontId="6" fillId="0" borderId="3" xfId="0" applyFont="1" applyBorder="1" applyAlignment="1" applyProtection="1">
      <alignment horizontal="center" vertical="center" wrapText="1"/>
      <protection hidden="1"/>
    </xf>
    <xf numFmtId="0" fontId="9" fillId="2" borderId="2" xfId="0" applyFont="1" applyFill="1" applyBorder="1" applyAlignment="1" applyProtection="1">
      <alignment horizontal="right" vertical="center"/>
      <protection hidden="1"/>
    </xf>
    <xf numFmtId="0" fontId="6" fillId="2" borderId="3" xfId="0" applyFont="1" applyFill="1" applyBorder="1" applyAlignment="1" applyProtection="1">
      <alignment horizontal="right" vertical="center" wrapText="1"/>
      <protection hidden="1"/>
    </xf>
    <xf numFmtId="0" fontId="7" fillId="2" borderId="3" xfId="0" applyFont="1" applyFill="1" applyBorder="1" applyAlignment="1" applyProtection="1">
      <alignment horizontal="center" vertical="center" wrapText="1"/>
      <protection hidden="1"/>
    </xf>
    <xf numFmtId="0" fontId="7" fillId="0" borderId="2" xfId="0" applyFont="1" applyBorder="1" applyAlignment="1" applyProtection="1">
      <alignment horizontal="right" vertical="center" wrapText="1"/>
      <protection hidden="1"/>
    </xf>
    <xf numFmtId="0" fontId="6" fillId="0" borderId="3" xfId="0" applyFont="1" applyBorder="1" applyAlignment="1" applyProtection="1">
      <alignment horizontal="right" vertical="center" wrapText="1"/>
      <protection hidden="1"/>
    </xf>
    <xf numFmtId="0" fontId="8" fillId="0" borderId="3" xfId="0" applyFont="1" applyBorder="1" applyAlignment="1" applyProtection="1">
      <alignment horizontal="center" vertical="center" wrapText="1"/>
      <protection hidden="1"/>
    </xf>
    <xf numFmtId="0" fontId="10" fillId="3" borderId="7" xfId="0" applyFont="1" applyFill="1" applyBorder="1" applyAlignment="1" applyProtection="1">
      <alignment horizontal="right" vertical="center" wrapText="1"/>
      <protection hidden="1"/>
    </xf>
    <xf numFmtId="0" fontId="6" fillId="3" borderId="7" xfId="0" applyFont="1" applyFill="1" applyBorder="1" applyAlignment="1" applyProtection="1">
      <alignment horizontal="center" vertical="center" wrapText="1"/>
      <protection hidden="1"/>
    </xf>
    <xf numFmtId="0" fontId="10" fillId="3" borderId="10" xfId="0" applyFont="1" applyFill="1" applyBorder="1" applyAlignment="1" applyProtection="1">
      <alignment horizontal="right" vertical="center" wrapText="1"/>
      <protection hidden="1"/>
    </xf>
    <xf numFmtId="0" fontId="6" fillId="3" borderId="10" xfId="0" applyFont="1" applyFill="1" applyBorder="1" applyAlignment="1" applyProtection="1">
      <alignment horizontal="center" vertical="center" wrapText="1"/>
      <protection hidden="1"/>
    </xf>
    <xf numFmtId="0" fontId="4" fillId="2" borderId="3" xfId="0" applyFont="1" applyFill="1" applyBorder="1" applyAlignment="1" applyProtection="1">
      <alignment horizontal="right" vertical="center" wrapText="1"/>
      <protection hidden="1"/>
    </xf>
    <xf numFmtId="0" fontId="6" fillId="3" borderId="34" xfId="0" applyFont="1" applyFill="1" applyBorder="1" applyAlignment="1" applyProtection="1">
      <alignment horizontal="center" vertical="center" wrapText="1"/>
      <protection hidden="1"/>
    </xf>
    <xf numFmtId="0" fontId="0" fillId="0" borderId="35" xfId="0" applyBorder="1" applyAlignment="1" applyProtection="1">
      <alignment vertical="center"/>
      <protection hidden="1"/>
    </xf>
    <xf numFmtId="0" fontId="0" fillId="0" borderId="37" xfId="0" applyBorder="1" applyAlignment="1" applyProtection="1">
      <alignment vertical="center"/>
      <protection hidden="1"/>
    </xf>
    <xf numFmtId="0" fontId="0" fillId="0" borderId="35" xfId="0" applyBorder="1" applyAlignment="1" applyProtection="1">
      <alignment horizontal="center" vertical="center" wrapText="1"/>
      <protection hidden="1"/>
    </xf>
    <xf numFmtId="0" fontId="0" fillId="0" borderId="37" xfId="0" applyBorder="1" applyAlignment="1" applyProtection="1">
      <alignment horizontal="center" vertical="center" wrapText="1"/>
      <protection hidden="1"/>
    </xf>
    <xf numFmtId="0" fontId="0" fillId="0" borderId="36" xfId="0" applyBorder="1" applyAlignment="1" applyProtection="1">
      <alignment horizontal="center" vertical="center" wrapText="1"/>
      <protection hidden="1"/>
    </xf>
    <xf numFmtId="0" fontId="24" fillId="0" borderId="51" xfId="0" applyFont="1" applyBorder="1" applyProtection="1">
      <protection hidden="1"/>
    </xf>
    <xf numFmtId="0" fontId="24" fillId="4" borderId="53" xfId="0" applyFont="1" applyFill="1" applyBorder="1" applyProtection="1">
      <protection hidden="1"/>
    </xf>
    <xf numFmtId="0" fontId="22" fillId="0" borderId="71" xfId="0" applyFont="1" applyBorder="1" applyProtection="1">
      <protection hidden="1"/>
    </xf>
    <xf numFmtId="10" fontId="22" fillId="4" borderId="28" xfId="5" applyNumberFormat="1" applyFont="1" applyFill="1" applyBorder="1" applyProtection="1">
      <protection hidden="1"/>
    </xf>
    <xf numFmtId="10" fontId="22" fillId="6" borderId="28" xfId="5" applyNumberFormat="1" applyFont="1" applyFill="1" applyBorder="1" applyProtection="1">
      <protection hidden="1"/>
    </xf>
    <xf numFmtId="0" fontId="22" fillId="0" borderId="45" xfId="0" applyFont="1" applyBorder="1" applyProtection="1">
      <protection hidden="1"/>
    </xf>
    <xf numFmtId="10" fontId="22" fillId="4" borderId="1" xfId="5" applyNumberFormat="1" applyFont="1" applyFill="1" applyBorder="1" applyProtection="1">
      <protection hidden="1"/>
    </xf>
    <xf numFmtId="10" fontId="22" fillId="6" borderId="1" xfId="5" applyNumberFormat="1" applyFont="1" applyFill="1" applyBorder="1" applyProtection="1">
      <protection hidden="1"/>
    </xf>
    <xf numFmtId="0" fontId="54" fillId="0" borderId="1" xfId="0" applyFont="1" applyBorder="1" applyAlignment="1" applyProtection="1">
      <alignment horizontal="center" vertical="center"/>
      <protection hidden="1"/>
    </xf>
    <xf numFmtId="0" fontId="54" fillId="17" borderId="1" xfId="0" applyFont="1" applyFill="1" applyBorder="1" applyAlignment="1" applyProtection="1">
      <alignment horizontal="center" vertical="center" wrapText="1" readingOrder="2"/>
      <protection hidden="1"/>
    </xf>
    <xf numFmtId="0" fontId="25" fillId="0" borderId="1" xfId="0" applyFont="1" applyBorder="1" applyProtection="1">
      <protection hidden="1"/>
    </xf>
    <xf numFmtId="0" fontId="0" fillId="12" borderId="70" xfId="0" applyFill="1" applyBorder="1"/>
    <xf numFmtId="170" fontId="0" fillId="12" borderId="70" xfId="1" applyNumberFormat="1" applyFont="1" applyFill="1" applyBorder="1"/>
    <xf numFmtId="0" fontId="27" fillId="4" borderId="0" xfId="0" applyFont="1" applyFill="1"/>
    <xf numFmtId="0" fontId="57" fillId="6" borderId="73" xfId="0" applyFont="1" applyFill="1" applyBorder="1" applyAlignment="1" applyProtection="1">
      <alignment wrapText="1"/>
      <protection locked="0"/>
    </xf>
    <xf numFmtId="9" fontId="57" fillId="4" borderId="1" xfId="5" applyFont="1" applyFill="1" applyBorder="1" applyProtection="1"/>
    <xf numFmtId="0" fontId="0" fillId="6" borderId="3" xfId="0" applyFill="1" applyBorder="1"/>
    <xf numFmtId="173" fontId="22" fillId="0" borderId="0" xfId="0" applyNumberFormat="1" applyFont="1"/>
    <xf numFmtId="9" fontId="6" fillId="4" borderId="18" xfId="5" applyFont="1" applyFill="1" applyBorder="1" applyAlignment="1" applyProtection="1">
      <alignment vertical="center"/>
      <protection locked="0"/>
    </xf>
    <xf numFmtId="179" fontId="72" fillId="0" borderId="0" xfId="0" applyNumberFormat="1" applyFont="1" applyProtection="1">
      <protection hidden="1"/>
    </xf>
    <xf numFmtId="0" fontId="72" fillId="0" borderId="0" xfId="0" applyFont="1" applyProtection="1">
      <protection hidden="1"/>
    </xf>
    <xf numFmtId="173" fontId="72" fillId="0" borderId="0" xfId="0" applyNumberFormat="1" applyFont="1" applyProtection="1">
      <protection hidden="1"/>
    </xf>
    <xf numFmtId="179" fontId="23" fillId="0" borderId="0" xfId="0" applyNumberFormat="1" applyFont="1" applyProtection="1">
      <protection hidden="1"/>
    </xf>
    <xf numFmtId="0" fontId="23" fillId="0" borderId="0" xfId="0" applyFont="1" applyProtection="1">
      <protection hidden="1"/>
    </xf>
    <xf numFmtId="0" fontId="49" fillId="0" borderId="0" xfId="0" applyFont="1"/>
    <xf numFmtId="0" fontId="60" fillId="0" borderId="104" xfId="0" applyFont="1" applyBorder="1" applyAlignment="1">
      <alignment horizontal="right"/>
    </xf>
    <xf numFmtId="0" fontId="34" fillId="9" borderId="1" xfId="0" applyFont="1" applyFill="1" applyBorder="1" applyAlignment="1">
      <alignment horizontal="right" vertical="top" wrapText="1" readingOrder="2"/>
    </xf>
    <xf numFmtId="170" fontId="30" fillId="6" borderId="1" xfId="1" applyNumberFormat="1" applyFont="1" applyFill="1" applyBorder="1" applyAlignment="1" applyProtection="1">
      <alignment vertical="center" readingOrder="2"/>
      <protection locked="0"/>
    </xf>
    <xf numFmtId="170" fontId="30" fillId="6" borderId="1" xfId="1" applyNumberFormat="1" applyFont="1" applyFill="1" applyBorder="1" applyAlignment="1" applyProtection="1">
      <alignment readingOrder="2"/>
      <protection locked="0"/>
    </xf>
    <xf numFmtId="170" fontId="30" fillId="4" borderId="1" xfId="1" applyNumberFormat="1" applyFont="1" applyFill="1" applyBorder="1" applyAlignment="1">
      <alignment readingOrder="2"/>
    </xf>
    <xf numFmtId="0" fontId="35" fillId="10" borderId="1" xfId="0" applyFont="1" applyFill="1" applyBorder="1" applyAlignment="1">
      <alignment horizontal="right" vertical="top" wrapText="1" readingOrder="2"/>
    </xf>
    <xf numFmtId="0" fontId="35" fillId="0" borderId="1" xfId="0" applyFont="1" applyBorder="1" applyAlignment="1">
      <alignment horizontal="right" vertical="top" wrapText="1" readingOrder="2"/>
    </xf>
    <xf numFmtId="0" fontId="35" fillId="4" borderId="1" xfId="0" applyFont="1" applyFill="1" applyBorder="1" applyAlignment="1">
      <alignment horizontal="right" vertical="top" wrapText="1" readingOrder="2"/>
    </xf>
    <xf numFmtId="10" fontId="80" fillId="4" borderId="31" xfId="5" applyNumberFormat="1" applyFont="1" applyFill="1" applyBorder="1" applyAlignment="1" applyProtection="1">
      <alignment readingOrder="1"/>
    </xf>
    <xf numFmtId="10" fontId="80" fillId="4" borderId="30" xfId="5" applyNumberFormat="1" applyFont="1" applyFill="1" applyBorder="1" applyAlignment="1" applyProtection="1">
      <alignment readingOrder="1"/>
    </xf>
    <xf numFmtId="0" fontId="21" fillId="0" borderId="60" xfId="0" applyFont="1" applyBorder="1" applyProtection="1">
      <protection hidden="1"/>
    </xf>
    <xf numFmtId="0" fontId="21" fillId="0" borderId="0" xfId="0" applyFont="1" applyProtection="1">
      <protection hidden="1"/>
    </xf>
    <xf numFmtId="0" fontId="0" fillId="0" borderId="61" xfId="0" applyBorder="1" applyProtection="1">
      <protection hidden="1"/>
    </xf>
    <xf numFmtId="0" fontId="0" fillId="0" borderId="60" xfId="0" applyBorder="1" applyProtection="1">
      <protection hidden="1"/>
    </xf>
    <xf numFmtId="0" fontId="0" fillId="0" borderId="31" xfId="0" applyBorder="1" applyProtection="1">
      <protection hidden="1"/>
    </xf>
    <xf numFmtId="0" fontId="0" fillId="0" borderId="66" xfId="0" applyBorder="1"/>
    <xf numFmtId="0" fontId="0" fillId="0" borderId="67" xfId="0" applyBorder="1"/>
    <xf numFmtId="0" fontId="22" fillId="0" borderId="1" xfId="0" applyFont="1" applyBorder="1" applyProtection="1">
      <protection hidden="1"/>
    </xf>
    <xf numFmtId="0" fontId="81" fillId="0" borderId="0" xfId="10" applyAlignment="1" applyProtection="1">
      <protection hidden="1"/>
    </xf>
    <xf numFmtId="0" fontId="82" fillId="0" borderId="1" xfId="0" applyFont="1" applyBorder="1" applyAlignment="1">
      <alignment horizontal="right" readingOrder="2"/>
    </xf>
    <xf numFmtId="0" fontId="22" fillId="0" borderId="1" xfId="0" applyFont="1" applyBorder="1"/>
    <xf numFmtId="170" fontId="28" fillId="4" borderId="31" xfId="1" applyNumberFormat="1" applyFont="1" applyFill="1" applyBorder="1" applyAlignment="1">
      <alignment horizontal="left" readingOrder="1"/>
    </xf>
    <xf numFmtId="170" fontId="28" fillId="4" borderId="30" xfId="1" applyNumberFormat="1" applyFont="1" applyFill="1" applyBorder="1" applyAlignment="1">
      <alignment horizontal="left" readingOrder="1"/>
    </xf>
    <xf numFmtId="9" fontId="25" fillId="6" borderId="1" xfId="5" applyFont="1" applyFill="1" applyBorder="1" applyProtection="1">
      <protection hidden="1"/>
    </xf>
    <xf numFmtId="9" fontId="0" fillId="6" borderId="0" xfId="0" applyNumberFormat="1" applyFill="1" applyProtection="1">
      <protection hidden="1"/>
    </xf>
    <xf numFmtId="9" fontId="0" fillId="6" borderId="66" xfId="0" applyNumberFormat="1" applyFill="1" applyBorder="1"/>
    <xf numFmtId="0" fontId="0" fillId="0" borderId="0" xfId="0" applyAlignment="1" applyProtection="1">
      <alignment horizontal="right"/>
      <protection hidden="1"/>
    </xf>
    <xf numFmtId="0" fontId="0" fillId="0" borderId="61" xfId="0" applyBorder="1" applyAlignment="1" applyProtection="1">
      <alignment horizontal="right"/>
      <protection hidden="1"/>
    </xf>
    <xf numFmtId="0" fontId="50" fillId="0" borderId="1" xfId="0" applyFont="1" applyBorder="1"/>
    <xf numFmtId="0" fontId="26" fillId="0" borderId="1" xfId="0" applyFont="1" applyBorder="1"/>
    <xf numFmtId="0" fontId="26" fillId="4" borderId="1" xfId="0" applyFont="1" applyFill="1" applyBorder="1"/>
    <xf numFmtId="170" fontId="25" fillId="4" borderId="1" xfId="1" applyNumberFormat="1" applyFont="1" applyFill="1" applyBorder="1" applyProtection="1"/>
    <xf numFmtId="0" fontId="25" fillId="0" borderId="44" xfId="0" applyFont="1" applyBorder="1"/>
    <xf numFmtId="170" fontId="25" fillId="4" borderId="1" xfId="0" applyNumberFormat="1" applyFont="1" applyFill="1" applyBorder="1"/>
    <xf numFmtId="0" fontId="26" fillId="22" borderId="1" xfId="0" applyFont="1" applyFill="1" applyBorder="1"/>
    <xf numFmtId="0" fontId="26" fillId="4" borderId="1" xfId="0" applyFont="1" applyFill="1" applyBorder="1" applyAlignment="1">
      <alignment horizontal="right" wrapText="1"/>
    </xf>
    <xf numFmtId="9" fontId="25" fillId="4" borderId="1" xfId="5" applyFont="1" applyFill="1" applyBorder="1" applyAlignment="1" applyProtection="1">
      <alignment horizontal="center" vertical="center"/>
    </xf>
    <xf numFmtId="0" fontId="82" fillId="0" borderId="0" xfId="0" applyFont="1" applyAlignment="1">
      <alignment horizontal="right" readingOrder="2"/>
    </xf>
    <xf numFmtId="0" fontId="28" fillId="0" borderId="35" xfId="0" applyFont="1" applyBorder="1" applyAlignment="1">
      <alignment horizontal="right" readingOrder="2"/>
    </xf>
    <xf numFmtId="0" fontId="85" fillId="0" borderId="0" xfId="0" applyFont="1"/>
    <xf numFmtId="182" fontId="86" fillId="0" borderId="0" xfId="0" applyNumberFormat="1" applyFont="1"/>
    <xf numFmtId="182" fontId="86" fillId="0" borderId="107" xfId="0" applyNumberFormat="1" applyFont="1" applyBorder="1"/>
    <xf numFmtId="182" fontId="86" fillId="0" borderId="0" xfId="0" applyNumberFormat="1" applyFont="1" applyAlignment="1">
      <alignment vertical="center"/>
    </xf>
    <xf numFmtId="182" fontId="86" fillId="0" borderId="103" xfId="0" applyNumberFormat="1" applyFont="1" applyBorder="1" applyAlignment="1">
      <alignment vertical="center"/>
    </xf>
    <xf numFmtId="182" fontId="86" fillId="0" borderId="0" xfId="0" applyNumberFormat="1" applyFont="1" applyAlignment="1">
      <alignment horizontal="center" vertical="center"/>
    </xf>
    <xf numFmtId="182" fontId="86" fillId="0" borderId="28" xfId="0" applyNumberFormat="1" applyFont="1" applyBorder="1"/>
    <xf numFmtId="182" fontId="86" fillId="0" borderId="0" xfId="0" applyNumberFormat="1" applyFont="1" applyAlignment="1">
      <alignment horizontal="centerContinuous" vertical="center"/>
    </xf>
    <xf numFmtId="182" fontId="86" fillId="0" borderId="107" xfId="0" applyNumberFormat="1" applyFont="1" applyBorder="1" applyAlignment="1">
      <alignment horizontal="centerContinuous"/>
    </xf>
    <xf numFmtId="182" fontId="94" fillId="0" borderId="0" xfId="0" applyNumberFormat="1" applyFont="1" applyAlignment="1">
      <alignment horizontal="centerContinuous"/>
    </xf>
    <xf numFmtId="182" fontId="86" fillId="0" borderId="103" xfId="0" applyNumberFormat="1" applyFont="1" applyBorder="1"/>
    <xf numFmtId="185" fontId="86" fillId="0" borderId="103" xfId="0" applyNumberFormat="1" applyFont="1" applyBorder="1" applyAlignment="1">
      <alignment horizontal="right" readingOrder="2"/>
    </xf>
    <xf numFmtId="185" fontId="86" fillId="0" borderId="0" xfId="0" applyNumberFormat="1" applyFont="1" applyAlignment="1">
      <alignment horizontal="right" readingOrder="2"/>
    </xf>
    <xf numFmtId="186" fontId="95" fillId="0" borderId="107" xfId="0" applyNumberFormat="1" applyFont="1" applyBorder="1"/>
    <xf numFmtId="184" fontId="95" fillId="0" borderId="0" xfId="0" applyNumberFormat="1" applyFont="1"/>
    <xf numFmtId="182" fontId="95" fillId="0" borderId="107" xfId="0" applyNumberFormat="1" applyFont="1" applyBorder="1"/>
    <xf numFmtId="182" fontId="95" fillId="0" borderId="0" xfId="0" applyNumberFormat="1" applyFont="1"/>
    <xf numFmtId="182" fontId="95" fillId="0" borderId="103" xfId="0" applyNumberFormat="1" applyFont="1" applyBorder="1"/>
    <xf numFmtId="182" fontId="94" fillId="0" borderId="0" xfId="12" applyFont="1" applyFill="1" applyBorder="1" applyAlignment="1" applyProtection="1">
      <alignment horizontal="center" vertical="center"/>
    </xf>
    <xf numFmtId="182" fontId="102" fillId="0" borderId="107" xfId="12" applyFont="1" applyFill="1" applyBorder="1" applyAlignment="1" applyProtection="1">
      <alignment horizontal="center" vertical="center" readingOrder="2"/>
    </xf>
    <xf numFmtId="182" fontId="94" fillId="0" borderId="73" xfId="12" applyFont="1" applyFill="1" applyBorder="1" applyAlignment="1" applyProtection="1">
      <alignment horizontal="centerContinuous" vertical="center"/>
    </xf>
    <xf numFmtId="182" fontId="103" fillId="0" borderId="0" xfId="12" applyFont="1" applyFill="1" applyAlignment="1" applyProtection="1">
      <alignment horizontal="centerContinuous" vertical="center"/>
    </xf>
    <xf numFmtId="182" fontId="102" fillId="0" borderId="107" xfId="12" applyFont="1" applyFill="1" applyBorder="1" applyAlignment="1" applyProtection="1">
      <alignment horizontal="centerContinuous" vertical="center" readingOrder="2"/>
    </xf>
    <xf numFmtId="182" fontId="94" fillId="0" borderId="103" xfId="12" applyFont="1" applyFill="1" applyBorder="1" applyAlignment="1" applyProtection="1">
      <alignment horizontal="center" vertical="center"/>
    </xf>
    <xf numFmtId="182" fontId="102" fillId="0" borderId="103" xfId="13" quotePrefix="1" applyFont="1" applyBorder="1" applyAlignment="1">
      <alignment horizontal="center" vertical="center"/>
    </xf>
    <xf numFmtId="182" fontId="102" fillId="0" borderId="107" xfId="13" applyFont="1" applyBorder="1" applyAlignment="1">
      <alignment horizontal="center" vertical="center"/>
    </xf>
    <xf numFmtId="182" fontId="94" fillId="0" borderId="103" xfId="12" quotePrefix="1" applyFont="1" applyFill="1" applyBorder="1" applyAlignment="1" applyProtection="1">
      <alignment horizontal="center" vertical="center"/>
    </xf>
    <xf numFmtId="182" fontId="102" fillId="0" borderId="103" xfId="12" applyFont="1" applyFill="1" applyBorder="1" applyAlignment="1" applyProtection="1">
      <alignment horizontal="center" vertical="center" readingOrder="2"/>
    </xf>
    <xf numFmtId="182" fontId="94" fillId="0" borderId="107" xfId="12" applyFont="1" applyFill="1" applyBorder="1" applyAlignment="1" applyProtection="1">
      <alignment horizontal="center" vertical="center"/>
    </xf>
    <xf numFmtId="182" fontId="102" fillId="0" borderId="48" xfId="12" applyFont="1" applyFill="1" applyBorder="1" applyAlignment="1" applyProtection="1">
      <alignment horizontal="center" vertical="center" readingOrder="2"/>
    </xf>
    <xf numFmtId="182" fontId="94" fillId="0" borderId="0" xfId="14" applyFont="1" applyAlignment="1"/>
    <xf numFmtId="49" fontId="94" fillId="0" borderId="103" xfId="14" applyNumberFormat="1" applyFont="1" applyBorder="1" applyAlignment="1">
      <alignment horizontal="center" vertical="center"/>
    </xf>
    <xf numFmtId="49" fontId="94" fillId="0" borderId="107" xfId="14" applyNumberFormat="1" applyFont="1" applyBorder="1" applyAlignment="1">
      <alignment horizontal="center" vertical="center"/>
    </xf>
    <xf numFmtId="182" fontId="103" fillId="0" borderId="103" xfId="12" applyFont="1" applyFill="1" applyBorder="1" applyAlignment="1" applyProtection="1">
      <alignment horizontal="center" vertical="center"/>
    </xf>
    <xf numFmtId="182" fontId="103" fillId="0" borderId="0" xfId="12" applyFont="1" applyFill="1" applyBorder="1" applyAlignment="1" applyProtection="1">
      <alignment horizontal="center" vertical="center"/>
    </xf>
    <xf numFmtId="182" fontId="94" fillId="0" borderId="107" xfId="12" applyFont="1" applyFill="1" applyBorder="1" applyAlignment="1" applyProtection="1">
      <alignment horizontal="centerContinuous" vertical="center"/>
    </xf>
    <xf numFmtId="182" fontId="94" fillId="0" borderId="106" xfId="14" applyFont="1" applyBorder="1" applyAlignment="1">
      <alignment horizontal="center" vertical="center"/>
    </xf>
    <xf numFmtId="182" fontId="94" fillId="0" borderId="0" xfId="14" applyFont="1" applyBorder="1" applyAlignment="1">
      <alignment horizontal="center" vertical="center"/>
    </xf>
    <xf numFmtId="182" fontId="94" fillId="0" borderId="107" xfId="14" applyFont="1" applyBorder="1" applyAlignment="1">
      <alignment horizontal="center" vertical="center"/>
    </xf>
    <xf numFmtId="182" fontId="103" fillId="0" borderId="107" xfId="12" applyFont="1" applyFill="1" applyBorder="1" applyAlignment="1" applyProtection="1">
      <alignment horizontal="center" vertical="center"/>
    </xf>
    <xf numFmtId="182" fontId="103" fillId="0" borderId="0" xfId="12" applyFont="1" applyFill="1" applyAlignment="1" applyProtection="1">
      <alignment horizontal="center" vertical="center"/>
    </xf>
    <xf numFmtId="182" fontId="94" fillId="0" borderId="73" xfId="12" applyFont="1" applyFill="1" applyBorder="1" applyAlignment="1" applyProtection="1">
      <alignment horizontal="center" vertical="center"/>
    </xf>
    <xf numFmtId="182" fontId="103" fillId="0" borderId="28" xfId="12" applyFont="1" applyFill="1" applyBorder="1" applyAlignment="1" applyProtection="1">
      <alignment horizontal="center" vertical="center"/>
    </xf>
    <xf numFmtId="182" fontId="94" fillId="0" borderId="103" xfId="14" applyFont="1" applyBorder="1" applyAlignment="1">
      <alignment horizontal="center" vertical="center"/>
    </xf>
    <xf numFmtId="182" fontId="104" fillId="0" borderId="33" xfId="15" applyNumberFormat="1" applyFont="1" applyBorder="1" applyAlignment="1">
      <alignment horizontal="centerContinuous" vertical="center" readingOrder="2"/>
    </xf>
    <xf numFmtId="182" fontId="104" fillId="0" borderId="78" xfId="15" applyNumberFormat="1" applyFont="1" applyBorder="1" applyAlignment="1">
      <alignment horizontal="centerContinuous" vertical="center" readingOrder="2"/>
    </xf>
    <xf numFmtId="182" fontId="105" fillId="0" borderId="78" xfId="16" applyFont="1" applyBorder="1" applyAlignment="1" applyProtection="1">
      <alignment horizontal="centerContinuous" vertical="center"/>
    </xf>
    <xf numFmtId="182" fontId="104" fillId="0" borderId="33" xfId="15" applyNumberFormat="1" applyFont="1" applyBorder="1" applyAlignment="1">
      <alignment horizontal="center" vertical="center" readingOrder="2"/>
    </xf>
    <xf numFmtId="182" fontId="104" fillId="0" borderId="94" xfId="15" applyNumberFormat="1" applyFont="1" applyBorder="1" applyAlignment="1">
      <alignment horizontal="centerContinuous" vertical="center" readingOrder="2"/>
    </xf>
    <xf numFmtId="182" fontId="105" fillId="0" borderId="94" xfId="16" applyFont="1" applyFill="1" applyBorder="1" applyAlignment="1" applyProtection="1">
      <alignment horizontal="centerContinuous" vertical="center"/>
    </xf>
    <xf numFmtId="182" fontId="103" fillId="0" borderId="78" xfId="12" applyFont="1" applyFill="1" applyBorder="1" applyProtection="1">
      <alignment horizontal="center"/>
    </xf>
    <xf numFmtId="182" fontId="104" fillId="0" borderId="107" xfId="15" applyNumberFormat="1" applyFont="1" applyBorder="1" applyAlignment="1">
      <alignment horizontal="centerContinuous" vertical="center" readingOrder="2"/>
    </xf>
    <xf numFmtId="182" fontId="80" fillId="0" borderId="0" xfId="17" applyNumberFormat="1" applyFont="1" applyBorder="1" applyAlignment="1">
      <alignment horizontal="centerContinuous" vertical="center"/>
    </xf>
    <xf numFmtId="182" fontId="105" fillId="0" borderId="0" xfId="16" applyFont="1" applyBorder="1" applyAlignment="1" applyProtection="1">
      <alignment horizontal="centerContinuous" vertical="center"/>
    </xf>
    <xf numFmtId="182" fontId="106" fillId="0" borderId="107" xfId="16" applyFont="1" applyBorder="1" applyAlignment="1" applyProtection="1">
      <alignment horizontal="center" vertical="center"/>
    </xf>
    <xf numFmtId="182" fontId="106" fillId="0" borderId="0" xfId="16" applyFont="1" applyBorder="1" applyAlignment="1" applyProtection="1">
      <alignment horizontal="centerContinuous" vertical="center"/>
    </xf>
    <xf numFmtId="182" fontId="106" fillId="0" borderId="107" xfId="16" applyFont="1" applyBorder="1" applyAlignment="1" applyProtection="1">
      <alignment horizontal="centerContinuous" vertical="center"/>
    </xf>
    <xf numFmtId="182" fontId="104" fillId="0" borderId="0" xfId="15" applyNumberFormat="1" applyFont="1" applyBorder="1" applyAlignment="1">
      <alignment horizontal="centerContinuous" vertical="center" readingOrder="2"/>
    </xf>
    <xf numFmtId="182" fontId="105" fillId="0" borderId="106" xfId="16" applyFont="1" applyFill="1" applyBorder="1" applyAlignment="1" applyProtection="1">
      <alignment horizontal="centerContinuous" vertical="center"/>
    </xf>
    <xf numFmtId="182" fontId="103" fillId="0" borderId="0" xfId="12" applyFont="1" applyFill="1" applyBorder="1" applyProtection="1">
      <alignment horizontal="center"/>
    </xf>
    <xf numFmtId="182" fontId="80" fillId="0" borderId="107" xfId="17" applyNumberFormat="1" applyFont="1" applyBorder="1" applyAlignment="1">
      <alignment horizontal="center" vertical="center"/>
    </xf>
    <xf numFmtId="182" fontId="80" fillId="0" borderId="107" xfId="17" quotePrefix="1" applyNumberFormat="1" applyFont="1" applyBorder="1" applyAlignment="1">
      <alignment horizontal="center" vertical="center"/>
    </xf>
    <xf numFmtId="182" fontId="80" fillId="0" borderId="107" xfId="17" applyNumberFormat="1" applyFont="1" applyBorder="1" applyAlignment="1">
      <alignment horizontal="centerContinuous" vertical="center"/>
    </xf>
    <xf numFmtId="182" fontId="80" fillId="0" borderId="106" xfId="17" applyNumberFormat="1" applyFont="1" applyBorder="1" applyAlignment="1">
      <alignment horizontal="centerContinuous" vertical="center"/>
    </xf>
    <xf numFmtId="182" fontId="80" fillId="0" borderId="0" xfId="17" applyNumberFormat="1" applyFont="1" applyAlignment="1">
      <alignment horizontal="centerContinuous"/>
    </xf>
    <xf numFmtId="182" fontId="106" fillId="0" borderId="0" xfId="16" applyFont="1" applyFill="1" applyBorder="1" applyAlignment="1" applyProtection="1">
      <alignment horizontal="centerContinuous"/>
    </xf>
    <xf numFmtId="182" fontId="105" fillId="0" borderId="106" xfId="16" applyFont="1" applyFill="1" applyBorder="1" applyAlignment="1" applyProtection="1">
      <alignment horizontal="centerContinuous"/>
    </xf>
    <xf numFmtId="182" fontId="104" fillId="0" borderId="0" xfId="18" applyFont="1" applyBorder="1" applyAlignment="1">
      <alignment horizontal="center" readingOrder="2"/>
    </xf>
    <xf numFmtId="182" fontId="102" fillId="0" borderId="0" xfId="19" applyFont="1" applyBorder="1" applyAlignment="1" applyProtection="1">
      <alignment horizontal="right" readingOrder="2"/>
    </xf>
    <xf numFmtId="186" fontId="107" fillId="0" borderId="107" xfId="20" applyNumberFormat="1" applyFont="1" applyBorder="1" applyAlignment="1" applyProtection="1">
      <alignment horizontal="right" readingOrder="2"/>
    </xf>
    <xf numFmtId="184" fontId="107" fillId="0" borderId="0" xfId="20" applyNumberFormat="1" applyFont="1" applyBorder="1" applyAlignment="1" applyProtection="1">
      <alignment horizontal="right" readingOrder="2"/>
    </xf>
    <xf numFmtId="184" fontId="103" fillId="0" borderId="107" xfId="20" applyNumberFormat="1" applyFont="1" applyBorder="1" applyAlignment="1" applyProtection="1">
      <alignment horizontal="right"/>
    </xf>
    <xf numFmtId="184" fontId="103" fillId="0" borderId="0" xfId="20" applyNumberFormat="1" applyFont="1" applyBorder="1" applyAlignment="1" applyProtection="1">
      <alignment horizontal="right" readingOrder="2"/>
    </xf>
    <xf numFmtId="185" fontId="103" fillId="0" borderId="107" xfId="20" applyNumberFormat="1" applyFont="1" applyBorder="1" applyAlignment="1" applyProtection="1">
      <alignment horizontal="right"/>
    </xf>
    <xf numFmtId="182" fontId="102" fillId="0" borderId="0" xfId="19" applyFont="1" applyBorder="1" applyAlignment="1" applyProtection="1"/>
    <xf numFmtId="185" fontId="94" fillId="0" borderId="107" xfId="8" applyNumberFormat="1" applyFont="1" applyBorder="1" applyAlignment="1">
      <alignment horizontal="right" readingOrder="2"/>
    </xf>
    <xf numFmtId="186" fontId="107" fillId="0" borderId="28" xfId="20" applyNumberFormat="1" applyFont="1" applyBorder="1" applyAlignment="1" applyProtection="1">
      <alignment horizontal="right" readingOrder="2"/>
    </xf>
    <xf numFmtId="184" fontId="107" fillId="0" borderId="58" xfId="20" applyNumberFormat="1" applyFont="1" applyBorder="1" applyAlignment="1" applyProtection="1">
      <alignment horizontal="right" readingOrder="2"/>
    </xf>
    <xf numFmtId="184" fontId="103" fillId="0" borderId="28" xfId="20" applyNumberFormat="1" applyFont="1" applyBorder="1" applyAlignment="1" applyProtection="1">
      <alignment horizontal="right"/>
    </xf>
    <xf numFmtId="184" fontId="103" fillId="0" borderId="58" xfId="20" applyNumberFormat="1" applyFont="1" applyBorder="1" applyAlignment="1" applyProtection="1">
      <alignment horizontal="right" readingOrder="2"/>
    </xf>
    <xf numFmtId="185" fontId="103" fillId="0" borderId="73" xfId="20" applyNumberFormat="1" applyFont="1" applyBorder="1" applyAlignment="1" applyProtection="1">
      <alignment horizontal="right" readingOrder="2"/>
    </xf>
    <xf numFmtId="185" fontId="103" fillId="0" borderId="58" xfId="20" applyNumberFormat="1" applyFont="1" applyBorder="1" applyAlignment="1" applyProtection="1">
      <alignment horizontal="right" readingOrder="2"/>
    </xf>
    <xf numFmtId="185" fontId="103" fillId="0" borderId="28" xfId="20" applyNumberFormat="1" applyFont="1" applyBorder="1" applyAlignment="1" applyProtection="1">
      <alignment horizontal="right"/>
    </xf>
    <xf numFmtId="182" fontId="102" fillId="0" borderId="58" xfId="19" applyFont="1" applyBorder="1" applyAlignment="1" applyProtection="1">
      <alignment horizontal="right" readingOrder="2"/>
    </xf>
    <xf numFmtId="187" fontId="103" fillId="0" borderId="0" xfId="20" applyNumberFormat="1" applyFont="1" applyBorder="1" applyAlignment="1" applyProtection="1">
      <alignment horizontal="right"/>
    </xf>
    <xf numFmtId="182" fontId="102" fillId="4" borderId="0" xfId="19" quotePrefix="1" applyFont="1" applyFill="1" applyBorder="1" applyAlignment="1" applyProtection="1">
      <alignment horizontal="right" readingOrder="2"/>
    </xf>
    <xf numFmtId="182" fontId="102" fillId="4" borderId="0" xfId="19" applyFont="1" applyFill="1" applyBorder="1" applyAlignment="1" applyProtection="1">
      <alignment horizontal="right" readingOrder="2"/>
    </xf>
    <xf numFmtId="182" fontId="102" fillId="5" borderId="0" xfId="19" applyFont="1" applyFill="1" applyBorder="1" applyAlignment="1" applyProtection="1">
      <alignment horizontal="right" readingOrder="2"/>
    </xf>
    <xf numFmtId="182" fontId="102" fillId="23" borderId="0" xfId="19" applyFont="1" applyFill="1" applyBorder="1" applyAlignment="1" applyProtection="1">
      <alignment horizontal="right" readingOrder="2"/>
    </xf>
    <xf numFmtId="182" fontId="102" fillId="22" borderId="0" xfId="19" applyFont="1" applyFill="1" applyBorder="1" applyAlignment="1" applyProtection="1">
      <alignment horizontal="right" readingOrder="2"/>
    </xf>
    <xf numFmtId="182" fontId="102" fillId="6" borderId="0" xfId="19" applyFont="1" applyFill="1" applyBorder="1" applyAlignment="1" applyProtection="1">
      <alignment horizontal="right" readingOrder="2"/>
    </xf>
    <xf numFmtId="182" fontId="102" fillId="24" borderId="0" xfId="19" applyFont="1" applyFill="1" applyBorder="1" applyAlignment="1" applyProtection="1">
      <alignment horizontal="right" readingOrder="2"/>
    </xf>
    <xf numFmtId="170" fontId="49" fillId="4" borderId="33" xfId="0" applyNumberFormat="1" applyFont="1" applyFill="1" applyBorder="1"/>
    <xf numFmtId="9" fontId="27" fillId="4" borderId="1" xfId="5" applyFont="1" applyFill="1" applyBorder="1" applyAlignment="1">
      <alignment horizontal="center" vertical="center"/>
    </xf>
    <xf numFmtId="0" fontId="57" fillId="0" borderId="33" xfId="0" applyFont="1" applyBorder="1"/>
    <xf numFmtId="0" fontId="0" fillId="0" borderId="74" xfId="0" applyBorder="1"/>
    <xf numFmtId="9" fontId="0" fillId="0" borderId="44" xfId="5" applyFont="1" applyBorder="1"/>
    <xf numFmtId="0" fontId="0" fillId="0" borderId="77" xfId="0" applyBorder="1"/>
    <xf numFmtId="0" fontId="108" fillId="4" borderId="1" xfId="0" applyFont="1" applyFill="1" applyBorder="1"/>
    <xf numFmtId="0" fontId="109" fillId="6" borderId="1" xfId="0" applyFont="1" applyFill="1" applyBorder="1"/>
    <xf numFmtId="9" fontId="57" fillId="0" borderId="0" xfId="5" applyFont="1"/>
    <xf numFmtId="9" fontId="57" fillId="0" borderId="0" xfId="0" applyNumberFormat="1" applyFont="1"/>
    <xf numFmtId="0" fontId="0" fillId="0" borderId="1" xfId="0" applyBorder="1" applyAlignment="1">
      <alignment horizontal="right"/>
    </xf>
    <xf numFmtId="0" fontId="0" fillId="0" borderId="33" xfId="0" applyBorder="1" applyAlignment="1">
      <alignment horizontal="right"/>
    </xf>
    <xf numFmtId="0" fontId="0" fillId="0" borderId="33" xfId="0" applyBorder="1"/>
    <xf numFmtId="0" fontId="0" fillId="0" borderId="0" xfId="0" applyAlignment="1" applyProtection="1">
      <alignment horizontal="center"/>
      <protection hidden="1"/>
    </xf>
    <xf numFmtId="10" fontId="74" fillId="0" borderId="0" xfId="5" applyNumberFormat="1" applyFont="1" applyAlignment="1" applyProtection="1">
      <alignment horizontal="right"/>
      <protection hidden="1"/>
    </xf>
    <xf numFmtId="181" fontId="74" fillId="0" borderId="0" xfId="8" applyNumberFormat="1" applyFont="1" applyAlignment="1" applyProtection="1">
      <alignment horizontal="right"/>
      <protection hidden="1"/>
    </xf>
    <xf numFmtId="9" fontId="76" fillId="0" borderId="0" xfId="5" applyFont="1" applyAlignment="1" applyProtection="1">
      <alignment horizontal="right"/>
      <protection hidden="1"/>
    </xf>
    <xf numFmtId="172" fontId="74" fillId="0" borderId="0" xfId="8" applyNumberFormat="1" applyFont="1" applyAlignment="1" applyProtection="1">
      <alignment horizontal="right"/>
      <protection hidden="1"/>
    </xf>
    <xf numFmtId="44" fontId="57" fillId="0" borderId="0" xfId="3" applyFont="1" applyProtection="1">
      <protection hidden="1"/>
    </xf>
    <xf numFmtId="168" fontId="0" fillId="0" borderId="0" xfId="3" applyNumberFormat="1" applyFont="1" applyProtection="1">
      <protection hidden="1"/>
    </xf>
    <xf numFmtId="0" fontId="27" fillId="0" borderId="0" xfId="0" applyFont="1" applyProtection="1">
      <protection hidden="1"/>
    </xf>
    <xf numFmtId="10" fontId="0" fillId="0" borderId="0" xfId="5" applyNumberFormat="1" applyFont="1" applyProtection="1">
      <protection hidden="1"/>
    </xf>
    <xf numFmtId="10" fontId="0" fillId="0" borderId="0" xfId="5" applyNumberFormat="1" applyFont="1" applyFill="1" applyProtection="1">
      <protection hidden="1"/>
    </xf>
    <xf numFmtId="0" fontId="27" fillId="0" borderId="70" xfId="0" applyFont="1" applyBorder="1" applyProtection="1">
      <protection hidden="1"/>
    </xf>
    <xf numFmtId="10" fontId="0" fillId="0" borderId="70" xfId="5" applyNumberFormat="1" applyFont="1" applyBorder="1" applyProtection="1">
      <protection hidden="1"/>
    </xf>
    <xf numFmtId="0" fontId="27" fillId="0" borderId="51" xfId="0" applyFont="1" applyBorder="1" applyProtection="1">
      <protection hidden="1"/>
    </xf>
    <xf numFmtId="0" fontId="27" fillId="0" borderId="53" xfId="0" applyFont="1" applyBorder="1" applyAlignment="1" applyProtection="1">
      <alignment horizontal="center"/>
      <protection hidden="1"/>
    </xf>
    <xf numFmtId="0" fontId="27" fillId="0" borderId="52" xfId="0" applyFont="1" applyBorder="1" applyAlignment="1" applyProtection="1">
      <alignment horizontal="center"/>
      <protection hidden="1"/>
    </xf>
    <xf numFmtId="0" fontId="37" fillId="11" borderId="37" xfId="0" applyFont="1" applyFill="1" applyBorder="1" applyAlignment="1" applyProtection="1">
      <alignment horizontal="right" vertical="top" wrapText="1" readingOrder="2"/>
      <protection hidden="1"/>
    </xf>
    <xf numFmtId="0" fontId="37" fillId="11" borderId="35" xfId="0" applyFont="1" applyFill="1" applyBorder="1" applyAlignment="1" applyProtection="1">
      <alignment horizontal="right" wrapText="1" readingOrder="2"/>
      <protection hidden="1"/>
    </xf>
    <xf numFmtId="0" fontId="38" fillId="11" borderId="31" xfId="0" applyFont="1" applyFill="1" applyBorder="1" applyAlignment="1" applyProtection="1">
      <alignment horizontal="right" readingOrder="2"/>
      <protection hidden="1"/>
    </xf>
    <xf numFmtId="0" fontId="30" fillId="11" borderId="31" xfId="0" applyFont="1" applyFill="1" applyBorder="1" applyAlignment="1" applyProtection="1">
      <alignment horizontal="right" readingOrder="2"/>
      <protection hidden="1"/>
    </xf>
    <xf numFmtId="0" fontId="30" fillId="11" borderId="30" xfId="0" applyFont="1" applyFill="1" applyBorder="1" applyAlignment="1" applyProtection="1">
      <alignment horizontal="right" readingOrder="2"/>
      <protection hidden="1"/>
    </xf>
    <xf numFmtId="0" fontId="38" fillId="0" borderId="30" xfId="0" applyFont="1" applyBorder="1" applyAlignment="1" applyProtection="1">
      <alignment vertical="top" wrapText="1" readingOrder="2"/>
      <protection hidden="1"/>
    </xf>
    <xf numFmtId="0" fontId="38" fillId="0" borderId="31" xfId="0" applyFont="1" applyBorder="1" applyAlignment="1" applyProtection="1">
      <alignment horizontal="right" wrapText="1" readingOrder="2"/>
      <protection hidden="1"/>
    </xf>
    <xf numFmtId="0" fontId="38" fillId="0" borderId="31" xfId="0" applyFont="1" applyBorder="1" applyAlignment="1" applyProtection="1">
      <alignment horizontal="right" readingOrder="2"/>
      <protection hidden="1"/>
    </xf>
    <xf numFmtId="10" fontId="38" fillId="6" borderId="31" xfId="5" applyNumberFormat="1" applyFont="1" applyFill="1" applyBorder="1" applyAlignment="1" applyProtection="1">
      <alignment horizontal="right" readingOrder="1"/>
      <protection hidden="1"/>
    </xf>
    <xf numFmtId="10" fontId="38" fillId="6" borderId="30" xfId="5" applyNumberFormat="1" applyFont="1" applyFill="1" applyBorder="1" applyAlignment="1" applyProtection="1">
      <alignment horizontal="right" readingOrder="1"/>
      <protection hidden="1"/>
    </xf>
    <xf numFmtId="0" fontId="37" fillId="0" borderId="30" xfId="0" applyFont="1" applyBorder="1" applyAlignment="1" applyProtection="1">
      <alignment vertical="top" wrapText="1" readingOrder="2"/>
      <protection hidden="1"/>
    </xf>
    <xf numFmtId="0" fontId="37" fillId="0" borderId="31" xfId="0" applyFont="1" applyBorder="1" applyAlignment="1" applyProtection="1">
      <alignment horizontal="right" wrapText="1" readingOrder="2"/>
      <protection hidden="1"/>
    </xf>
    <xf numFmtId="0" fontId="37" fillId="0" borderId="31" xfId="0" applyFont="1" applyBorder="1" applyAlignment="1" applyProtection="1">
      <alignment horizontal="right" readingOrder="1"/>
      <protection hidden="1"/>
    </xf>
    <xf numFmtId="10" fontId="37" fillId="0" borderId="31" xfId="5" applyNumberFormat="1" applyFont="1" applyBorder="1" applyAlignment="1" applyProtection="1">
      <alignment horizontal="left" readingOrder="1"/>
      <protection hidden="1"/>
    </xf>
    <xf numFmtId="10" fontId="37" fillId="0" borderId="30" xfId="5" applyNumberFormat="1" applyFont="1" applyBorder="1" applyAlignment="1" applyProtection="1">
      <alignment horizontal="left" readingOrder="1"/>
      <protection hidden="1"/>
    </xf>
    <xf numFmtId="0" fontId="39" fillId="0" borderId="31" xfId="0" applyFont="1" applyBorder="1" applyAlignment="1" applyProtection="1">
      <alignment horizontal="right" readingOrder="2"/>
      <protection hidden="1"/>
    </xf>
    <xf numFmtId="0" fontId="30" fillId="0" borderId="35" xfId="0" applyFont="1" applyBorder="1" applyAlignment="1" applyProtection="1">
      <alignment readingOrder="1"/>
      <protection hidden="1"/>
    </xf>
    <xf numFmtId="10" fontId="0" fillId="0" borderId="6" xfId="5" applyNumberFormat="1" applyFont="1" applyFill="1" applyBorder="1" applyAlignment="1" applyProtection="1">
      <protection hidden="1"/>
    </xf>
    <xf numFmtId="10" fontId="0" fillId="0" borderId="0" xfId="5" applyNumberFormat="1" applyFont="1" applyFill="1" applyBorder="1" applyProtection="1">
      <protection hidden="1"/>
    </xf>
    <xf numFmtId="10" fontId="0" fillId="0" borderId="61" xfId="5" applyNumberFormat="1" applyFont="1" applyFill="1" applyBorder="1" applyProtection="1">
      <protection hidden="1"/>
    </xf>
    <xf numFmtId="10" fontId="30" fillId="6" borderId="35" xfId="5" applyNumberFormat="1" applyFont="1" applyFill="1" applyBorder="1" applyAlignment="1" applyProtection="1">
      <alignment readingOrder="1"/>
      <protection hidden="1"/>
    </xf>
    <xf numFmtId="10" fontId="30" fillId="6" borderId="37" xfId="5" applyNumberFormat="1" applyFont="1" applyFill="1" applyBorder="1" applyAlignment="1" applyProtection="1">
      <alignment readingOrder="1"/>
      <protection hidden="1"/>
    </xf>
    <xf numFmtId="10" fontId="30" fillId="6" borderId="31" xfId="5" applyNumberFormat="1" applyFont="1" applyFill="1" applyBorder="1" applyAlignment="1" applyProtection="1">
      <alignment readingOrder="1"/>
      <protection hidden="1"/>
    </xf>
    <xf numFmtId="10" fontId="30" fillId="6" borderId="30" xfId="5" applyNumberFormat="1" applyFont="1" applyFill="1" applyBorder="1" applyAlignment="1" applyProtection="1">
      <alignment readingOrder="1"/>
      <protection hidden="1"/>
    </xf>
    <xf numFmtId="0" fontId="37" fillId="0" borderId="30" xfId="0" applyFont="1" applyBorder="1" applyAlignment="1" applyProtection="1">
      <alignment horizontal="right" vertical="top" wrapText="1" readingOrder="2"/>
      <protection hidden="1"/>
    </xf>
    <xf numFmtId="10" fontId="30" fillId="4" borderId="31" xfId="5" applyNumberFormat="1" applyFont="1" applyFill="1" applyBorder="1" applyAlignment="1" applyProtection="1">
      <alignment readingOrder="1"/>
      <protection hidden="1"/>
    </xf>
    <xf numFmtId="10" fontId="30" fillId="4" borderId="30" xfId="5" applyNumberFormat="1" applyFont="1" applyFill="1" applyBorder="1" applyAlignment="1" applyProtection="1">
      <alignment readingOrder="1"/>
      <protection hidden="1"/>
    </xf>
    <xf numFmtId="3" fontId="80" fillId="0" borderId="107" xfId="9" applyNumberFormat="1" applyFont="1" applyBorder="1" applyAlignment="1">
      <alignment horizontal="right"/>
    </xf>
    <xf numFmtId="184" fontId="80" fillId="0" borderId="0" xfId="9" applyNumberFormat="1" applyFont="1" applyBorder="1" applyAlignment="1">
      <alignment horizontal="right"/>
    </xf>
    <xf numFmtId="184" fontId="80" fillId="0" borderId="107" xfId="9" applyNumberFormat="1" applyFont="1" applyBorder="1" applyAlignment="1">
      <alignment horizontal="right"/>
    </xf>
    <xf numFmtId="184" fontId="80" fillId="0" borderId="0" xfId="9" applyNumberFormat="1" applyFont="1" applyBorder="1" applyAlignment="1">
      <alignment horizontal="right" readingOrder="2"/>
    </xf>
    <xf numFmtId="185" fontId="80" fillId="0" borderId="103" xfId="9" applyNumberFormat="1" applyFont="1" applyBorder="1" applyAlignment="1">
      <alignment horizontal="right" readingOrder="2"/>
    </xf>
    <xf numFmtId="185" fontId="80" fillId="0" borderId="0" xfId="9" applyNumberFormat="1" applyFont="1" applyBorder="1" applyAlignment="1">
      <alignment horizontal="right" readingOrder="2"/>
    </xf>
    <xf numFmtId="185" fontId="80" fillId="0" borderId="107" xfId="9" applyNumberFormat="1" applyFont="1" applyBorder="1" applyAlignment="1">
      <alignment horizontal="right"/>
    </xf>
    <xf numFmtId="186" fontId="94" fillId="4" borderId="107" xfId="8" applyNumberFormat="1" applyFont="1" applyFill="1" applyBorder="1" applyAlignment="1">
      <alignment horizontal="right"/>
    </xf>
    <xf numFmtId="184" fontId="94" fillId="4" borderId="0" xfId="8" applyNumberFormat="1" applyFont="1" applyFill="1" applyBorder="1" applyAlignment="1">
      <alignment horizontal="right"/>
    </xf>
    <xf numFmtId="184" fontId="94" fillId="4" borderId="107" xfId="8" applyNumberFormat="1" applyFont="1" applyFill="1" applyBorder="1" applyAlignment="1">
      <alignment horizontal="right"/>
    </xf>
    <xf numFmtId="184" fontId="94" fillId="4" borderId="0" xfId="8" applyNumberFormat="1" applyFont="1" applyFill="1" applyBorder="1" applyAlignment="1">
      <alignment horizontal="right" readingOrder="2"/>
    </xf>
    <xf numFmtId="185" fontId="94" fillId="4" borderId="103" xfId="8" applyNumberFormat="1" applyFont="1" applyFill="1" applyBorder="1" applyAlignment="1">
      <alignment horizontal="right" readingOrder="2"/>
    </xf>
    <xf numFmtId="185" fontId="94" fillId="4" borderId="0" xfId="8" applyNumberFormat="1" applyFont="1" applyFill="1" applyBorder="1" applyAlignment="1">
      <alignment horizontal="right" readingOrder="2"/>
    </xf>
    <xf numFmtId="185" fontId="94" fillId="4" borderId="107" xfId="8" applyNumberFormat="1" applyFont="1" applyFill="1" applyBorder="1" applyAlignment="1">
      <alignment horizontal="right"/>
    </xf>
    <xf numFmtId="185" fontId="94" fillId="4" borderId="0" xfId="8" applyNumberFormat="1" applyFont="1" applyFill="1" applyAlignment="1">
      <alignment horizontal="right"/>
    </xf>
    <xf numFmtId="186" fontId="94" fillId="4" borderId="107" xfId="8" applyNumberFormat="1" applyFont="1" applyFill="1" applyBorder="1" applyAlignment="1"/>
    <xf numFmtId="184" fontId="94" fillId="4" borderId="0" xfId="8" applyNumberFormat="1" applyFont="1" applyFill="1" applyAlignment="1"/>
    <xf numFmtId="182" fontId="94" fillId="4" borderId="107" xfId="8" applyNumberFormat="1" applyFont="1" applyFill="1" applyBorder="1" applyAlignment="1"/>
    <xf numFmtId="182" fontId="94" fillId="4" borderId="0" xfId="8" applyNumberFormat="1" applyFont="1" applyFill="1" applyAlignment="1"/>
    <xf numFmtId="182" fontId="94" fillId="4" borderId="103" xfId="8" applyNumberFormat="1" applyFont="1" applyFill="1" applyBorder="1" applyAlignment="1"/>
    <xf numFmtId="186" fontId="94" fillId="5" borderId="107" xfId="8" applyNumberFormat="1" applyFont="1" applyFill="1" applyBorder="1" applyAlignment="1">
      <alignment horizontal="right"/>
    </xf>
    <xf numFmtId="184" fontId="94" fillId="5" borderId="0" xfId="8" applyNumberFormat="1" applyFont="1" applyFill="1" applyBorder="1" applyAlignment="1">
      <alignment horizontal="right"/>
    </xf>
    <xf numFmtId="184" fontId="94" fillId="5" borderId="107" xfId="8" applyNumberFormat="1" applyFont="1" applyFill="1" applyBorder="1" applyAlignment="1">
      <alignment horizontal="right"/>
    </xf>
    <xf numFmtId="184" fontId="94" fillId="5" borderId="0" xfId="8" applyNumberFormat="1" applyFont="1" applyFill="1" applyBorder="1" applyAlignment="1">
      <alignment horizontal="right" readingOrder="2"/>
    </xf>
    <xf numFmtId="185" fontId="94" fillId="5" borderId="103" xfId="8" applyNumberFormat="1" applyFont="1" applyFill="1" applyBorder="1" applyAlignment="1">
      <alignment horizontal="right" readingOrder="2"/>
    </xf>
    <xf numFmtId="185" fontId="94" fillId="5" borderId="0" xfId="8" applyNumberFormat="1" applyFont="1" applyFill="1" applyBorder="1" applyAlignment="1">
      <alignment horizontal="right" readingOrder="2"/>
    </xf>
    <xf numFmtId="185" fontId="94" fillId="5" borderId="107" xfId="8" applyNumberFormat="1" applyFont="1" applyFill="1" applyBorder="1" applyAlignment="1">
      <alignment horizontal="right"/>
    </xf>
    <xf numFmtId="186" fontId="94" fillId="5" borderId="107" xfId="8" applyNumberFormat="1" applyFont="1" applyFill="1" applyBorder="1" applyAlignment="1"/>
    <xf numFmtId="184" fontId="94" fillId="5" borderId="0" xfId="8" applyNumberFormat="1" applyFont="1" applyFill="1" applyAlignment="1"/>
    <xf numFmtId="182" fontId="94" fillId="5" borderId="107" xfId="8" applyNumberFormat="1" applyFont="1" applyFill="1" applyBorder="1" applyAlignment="1"/>
    <xf numFmtId="182" fontId="94" fillId="5" borderId="0" xfId="8" applyNumberFormat="1" applyFont="1" applyFill="1" applyAlignment="1"/>
    <xf numFmtId="182" fontId="94" fillId="5" borderId="103" xfId="8" applyNumberFormat="1" applyFont="1" applyFill="1" applyBorder="1" applyAlignment="1"/>
    <xf numFmtId="186" fontId="94" fillId="6" borderId="107" xfId="8" applyNumberFormat="1" applyFont="1" applyFill="1" applyBorder="1" applyAlignment="1">
      <alignment horizontal="right"/>
    </xf>
    <xf numFmtId="184" fontId="94" fillId="6" borderId="0" xfId="8" applyNumberFormat="1" applyFont="1" applyFill="1" applyBorder="1" applyAlignment="1">
      <alignment horizontal="right"/>
    </xf>
    <xf numFmtId="184" fontId="94" fillId="6" borderId="107" xfId="8" applyNumberFormat="1" applyFont="1" applyFill="1" applyBorder="1" applyAlignment="1">
      <alignment horizontal="right"/>
    </xf>
    <xf numFmtId="184" fontId="94" fillId="6" borderId="0" xfId="8" applyNumberFormat="1" applyFont="1" applyFill="1" applyBorder="1" applyAlignment="1">
      <alignment horizontal="right" readingOrder="2"/>
    </xf>
    <xf numFmtId="185" fontId="94" fillId="6" borderId="103" xfId="8" applyNumberFormat="1" applyFont="1" applyFill="1" applyBorder="1" applyAlignment="1">
      <alignment horizontal="right" readingOrder="2"/>
    </xf>
    <xf numFmtId="185" fontId="94" fillId="6" borderId="0" xfId="8" applyNumberFormat="1" applyFont="1" applyFill="1" applyBorder="1" applyAlignment="1">
      <alignment horizontal="right" readingOrder="2"/>
    </xf>
    <xf numFmtId="185" fontId="94" fillId="6" borderId="107" xfId="8" applyNumberFormat="1" applyFont="1" applyFill="1" applyBorder="1" applyAlignment="1">
      <alignment horizontal="right"/>
    </xf>
    <xf numFmtId="186" fontId="94" fillId="23" borderId="107" xfId="8" applyNumberFormat="1" applyFont="1" applyFill="1" applyBorder="1" applyAlignment="1">
      <alignment horizontal="right"/>
    </xf>
    <xf numFmtId="184" fontId="94" fillId="23" borderId="0" xfId="8" applyNumberFormat="1" applyFont="1" applyFill="1" applyBorder="1" applyAlignment="1">
      <alignment horizontal="right"/>
    </xf>
    <xf numFmtId="184" fontId="94" fillId="23" borderId="107" xfId="8" applyNumberFormat="1" applyFont="1" applyFill="1" applyBorder="1" applyAlignment="1">
      <alignment horizontal="right"/>
    </xf>
    <xf numFmtId="184" fontId="94" fillId="23" borderId="0" xfId="8" applyNumberFormat="1" applyFont="1" applyFill="1" applyBorder="1" applyAlignment="1">
      <alignment horizontal="right" readingOrder="2"/>
    </xf>
    <xf numFmtId="185" fontId="94" fillId="23" borderId="103" xfId="8" applyNumberFormat="1" applyFont="1" applyFill="1" applyBorder="1" applyAlignment="1">
      <alignment horizontal="right" readingOrder="2"/>
    </xf>
    <xf numFmtId="185" fontId="94" fillId="23" borderId="0" xfId="8" applyNumberFormat="1" applyFont="1" applyFill="1" applyBorder="1" applyAlignment="1">
      <alignment horizontal="right" readingOrder="2"/>
    </xf>
    <xf numFmtId="185" fontId="94" fillId="23" borderId="107" xfId="8" applyNumberFormat="1" applyFont="1" applyFill="1" applyBorder="1" applyAlignment="1">
      <alignment horizontal="right"/>
    </xf>
    <xf numFmtId="186" fontId="80" fillId="0" borderId="103" xfId="8" applyNumberFormat="1" applyFont="1" applyBorder="1" applyAlignment="1">
      <alignment horizontal="right"/>
    </xf>
    <xf numFmtId="186" fontId="80" fillId="0" borderId="106" xfId="8" applyNumberFormat="1" applyFont="1" applyBorder="1" applyAlignment="1">
      <alignment horizontal="right"/>
    </xf>
    <xf numFmtId="184" fontId="94" fillId="0" borderId="107" xfId="8" applyNumberFormat="1" applyFont="1" applyBorder="1" applyAlignment="1">
      <alignment horizontal="right"/>
    </xf>
    <xf numFmtId="184" fontId="94" fillId="0" borderId="0" xfId="8" applyNumberFormat="1" applyFont="1" applyBorder="1" applyAlignment="1">
      <alignment horizontal="right" readingOrder="2"/>
    </xf>
    <xf numFmtId="185" fontId="94" fillId="0" borderId="103" xfId="8" applyNumberFormat="1" applyFont="1" applyBorder="1" applyAlignment="1">
      <alignment horizontal="right" readingOrder="2"/>
    </xf>
    <xf numFmtId="185" fontId="94" fillId="0" borderId="0" xfId="8" applyNumberFormat="1" applyFont="1" applyBorder="1" applyAlignment="1">
      <alignment horizontal="right" readingOrder="2"/>
    </xf>
    <xf numFmtId="185" fontId="94" fillId="0" borderId="107" xfId="8" applyNumberFormat="1" applyFont="1" applyBorder="1" applyAlignment="1">
      <alignment horizontal="right"/>
    </xf>
    <xf numFmtId="186" fontId="80" fillId="6" borderId="103" xfId="8" applyNumberFormat="1" applyFont="1" applyFill="1" applyBorder="1" applyAlignment="1">
      <alignment horizontal="right"/>
    </xf>
    <xf numFmtId="186" fontId="80" fillId="6" borderId="106" xfId="8" applyNumberFormat="1" applyFont="1" applyFill="1" applyBorder="1" applyAlignment="1">
      <alignment horizontal="right"/>
    </xf>
    <xf numFmtId="186" fontId="94" fillId="6" borderId="103" xfId="8" applyNumberFormat="1" applyFont="1" applyFill="1" applyBorder="1" applyAlignment="1">
      <alignment horizontal="right"/>
    </xf>
    <xf numFmtId="184" fontId="94" fillId="6" borderId="103" xfId="8" applyNumberFormat="1" applyFont="1" applyFill="1" applyBorder="1" applyAlignment="1">
      <alignment horizontal="right"/>
    </xf>
    <xf numFmtId="184" fontId="94" fillId="6" borderId="106" xfId="8" applyNumberFormat="1" applyFont="1" applyFill="1" applyBorder="1" applyAlignment="1">
      <alignment horizontal="right"/>
    </xf>
    <xf numFmtId="186" fontId="94" fillId="0" borderId="103" xfId="8" applyNumberFormat="1" applyFont="1" applyBorder="1" applyAlignment="1"/>
    <xf numFmtId="184" fontId="94" fillId="0" borderId="103" xfId="8" applyNumberFormat="1" applyFont="1" applyBorder="1" applyAlignment="1"/>
    <xf numFmtId="184" fontId="94" fillId="0" borderId="106" xfId="8" applyNumberFormat="1" applyFont="1" applyBorder="1" applyAlignment="1"/>
    <xf numFmtId="182" fontId="94" fillId="0" borderId="107" xfId="8" applyNumberFormat="1" applyFont="1" applyBorder="1" applyAlignment="1"/>
    <xf numFmtId="182" fontId="94" fillId="0" borderId="0" xfId="8" applyNumberFormat="1" applyFont="1" applyAlignment="1"/>
    <xf numFmtId="182" fontId="94" fillId="0" borderId="103" xfId="8" applyNumberFormat="1" applyFont="1" applyBorder="1" applyAlignment="1"/>
    <xf numFmtId="186" fontId="94" fillId="24" borderId="103" xfId="8" applyNumberFormat="1" applyFont="1" applyFill="1" applyBorder="1" applyAlignment="1">
      <alignment horizontal="right"/>
    </xf>
    <xf numFmtId="184" fontId="94" fillId="24" borderId="103" xfId="8" applyNumberFormat="1" applyFont="1" applyFill="1" applyBorder="1" applyAlignment="1">
      <alignment horizontal="right"/>
    </xf>
    <xf numFmtId="184" fontId="94" fillId="24" borderId="106" xfId="8" applyNumberFormat="1" applyFont="1" applyFill="1" applyBorder="1" applyAlignment="1">
      <alignment horizontal="right"/>
    </xf>
    <xf numFmtId="184" fontId="94" fillId="24" borderId="107" xfId="8" applyNumberFormat="1" applyFont="1" applyFill="1" applyBorder="1" applyAlignment="1">
      <alignment horizontal="right"/>
    </xf>
    <xf numFmtId="184" fontId="94" fillId="24" borderId="0" xfId="8" applyNumberFormat="1" applyFont="1" applyFill="1" applyBorder="1" applyAlignment="1">
      <alignment horizontal="right" readingOrder="2"/>
    </xf>
    <xf numFmtId="185" fontId="94" fillId="24" borderId="103" xfId="8" applyNumberFormat="1" applyFont="1" applyFill="1" applyBorder="1" applyAlignment="1">
      <alignment horizontal="right" readingOrder="2"/>
    </xf>
    <xf numFmtId="185" fontId="94" fillId="24" borderId="0" xfId="8" applyNumberFormat="1" applyFont="1" applyFill="1" applyBorder="1" applyAlignment="1">
      <alignment horizontal="right" readingOrder="2"/>
    </xf>
    <xf numFmtId="185" fontId="94" fillId="24" borderId="107" xfId="8" applyNumberFormat="1" applyFont="1" applyFill="1" applyBorder="1" applyAlignment="1">
      <alignment horizontal="right"/>
    </xf>
    <xf numFmtId="186" fontId="94" fillId="22" borderId="103" xfId="8" applyNumberFormat="1" applyFont="1" applyFill="1" applyBorder="1" applyAlignment="1">
      <alignment horizontal="right"/>
    </xf>
    <xf numFmtId="184" fontId="94" fillId="22" borderId="103" xfId="8" applyNumberFormat="1" applyFont="1" applyFill="1" applyBorder="1" applyAlignment="1">
      <alignment horizontal="right"/>
    </xf>
    <xf numFmtId="184" fontId="94" fillId="22" borderId="106" xfId="8" applyNumberFormat="1" applyFont="1" applyFill="1" applyBorder="1" applyAlignment="1">
      <alignment horizontal="right"/>
    </xf>
    <xf numFmtId="184" fontId="94" fillId="22" borderId="107" xfId="8" applyNumberFormat="1" applyFont="1" applyFill="1" applyBorder="1" applyAlignment="1">
      <alignment horizontal="right"/>
    </xf>
    <xf numFmtId="184" fontId="94" fillId="22" borderId="0" xfId="8" applyNumberFormat="1" applyFont="1" applyFill="1" applyBorder="1" applyAlignment="1">
      <alignment horizontal="right" readingOrder="2"/>
    </xf>
    <xf numFmtId="185" fontId="94" fillId="22" borderId="103" xfId="8" applyNumberFormat="1" applyFont="1" applyFill="1" applyBorder="1" applyAlignment="1">
      <alignment horizontal="right" readingOrder="2"/>
    </xf>
    <xf numFmtId="185" fontId="94" fillId="22" borderId="0" xfId="8" applyNumberFormat="1" applyFont="1" applyFill="1" applyBorder="1" applyAlignment="1">
      <alignment horizontal="right" readingOrder="2"/>
    </xf>
    <xf numFmtId="185" fontId="94" fillId="22" borderId="107" xfId="8" applyNumberFormat="1" applyFont="1" applyFill="1" applyBorder="1" applyAlignment="1">
      <alignment horizontal="right"/>
    </xf>
    <xf numFmtId="186" fontId="94" fillId="22" borderId="103" xfId="8" applyNumberFormat="1" applyFont="1" applyFill="1" applyBorder="1" applyAlignment="1"/>
    <xf numFmtId="184" fontId="94" fillId="22" borderId="103" xfId="8" applyNumberFormat="1" applyFont="1" applyFill="1" applyBorder="1" applyAlignment="1"/>
    <xf numFmtId="184" fontId="94" fillId="22" borderId="106" xfId="8" applyNumberFormat="1" applyFont="1" applyFill="1" applyBorder="1" applyAlignment="1"/>
    <xf numFmtId="182" fontId="94" fillId="22" borderId="107" xfId="8" applyNumberFormat="1" applyFont="1" applyFill="1" applyBorder="1" applyAlignment="1"/>
    <xf numFmtId="182" fontId="94" fillId="22" borderId="0" xfId="8" applyNumberFormat="1" applyFont="1" applyFill="1" applyAlignment="1"/>
    <xf numFmtId="182" fontId="94" fillId="22" borderId="103" xfId="8" applyNumberFormat="1" applyFont="1" applyFill="1" applyBorder="1" applyAlignment="1"/>
    <xf numFmtId="186" fontId="94" fillId="0" borderId="103" xfId="8" applyNumberFormat="1" applyFont="1" applyBorder="1" applyAlignment="1">
      <alignment horizontal="right" readingOrder="2"/>
    </xf>
    <xf numFmtId="184" fontId="94" fillId="0" borderId="103" xfId="8" applyNumberFormat="1" applyFont="1" applyBorder="1" applyAlignment="1">
      <alignment horizontal="right" readingOrder="2"/>
    </xf>
    <xf numFmtId="184" fontId="94" fillId="0" borderId="106" xfId="8" applyNumberFormat="1" applyFont="1" applyBorder="1" applyAlignment="1">
      <alignment horizontal="right" readingOrder="2"/>
    </xf>
    <xf numFmtId="186" fontId="94" fillId="0" borderId="103" xfId="8" applyNumberFormat="1" applyFont="1" applyBorder="1" applyAlignment="1">
      <alignment horizontal="right"/>
    </xf>
    <xf numFmtId="184" fontId="94" fillId="0" borderId="103" xfId="8" applyNumberFormat="1" applyFont="1" applyBorder="1" applyAlignment="1">
      <alignment horizontal="right"/>
    </xf>
    <xf numFmtId="184" fontId="94" fillId="0" borderId="106" xfId="8" applyNumberFormat="1" applyFont="1" applyBorder="1" applyAlignment="1">
      <alignment horizontal="right"/>
    </xf>
    <xf numFmtId="9" fontId="60" fillId="4" borderId="34" xfId="5" applyFont="1" applyFill="1" applyBorder="1" applyProtection="1"/>
    <xf numFmtId="9" fontId="28" fillId="6" borderId="31" xfId="5" applyFont="1" applyFill="1" applyBorder="1" applyAlignment="1" applyProtection="1">
      <alignment horizontal="right" readingOrder="1"/>
      <protection locked="0"/>
    </xf>
    <xf numFmtId="9" fontId="28" fillId="6" borderId="30" xfId="5" applyFont="1" applyFill="1" applyBorder="1" applyAlignment="1" applyProtection="1">
      <alignment horizontal="right" readingOrder="1"/>
      <protection locked="0"/>
    </xf>
    <xf numFmtId="0" fontId="0" fillId="6" borderId="36" xfId="0" applyFill="1" applyBorder="1" applyProtection="1">
      <protection locked="0"/>
    </xf>
    <xf numFmtId="10" fontId="78" fillId="6" borderId="31" xfId="5" applyNumberFormat="1" applyFont="1" applyFill="1" applyBorder="1" applyAlignment="1" applyProtection="1">
      <alignment horizontal="right" readingOrder="1"/>
      <protection locked="0"/>
    </xf>
    <xf numFmtId="10" fontId="77" fillId="20" borderId="31" xfId="5" applyNumberFormat="1" applyFont="1" applyFill="1" applyBorder="1" applyAlignment="1" applyProtection="1">
      <alignment horizontal="right" readingOrder="1"/>
      <protection locked="0"/>
    </xf>
    <xf numFmtId="10" fontId="79" fillId="0" borderId="0" xfId="5" applyNumberFormat="1" applyFont="1" applyFill="1" applyBorder="1" applyProtection="1">
      <protection locked="0"/>
    </xf>
    <xf numFmtId="10" fontId="78" fillId="6" borderId="37" xfId="5" applyNumberFormat="1" applyFont="1" applyFill="1" applyBorder="1" applyAlignment="1" applyProtection="1">
      <alignment horizontal="right" readingOrder="1"/>
      <protection locked="0"/>
    </xf>
    <xf numFmtId="0" fontId="68" fillId="0" borderId="0" xfId="0" applyFont="1"/>
    <xf numFmtId="0" fontId="54" fillId="0" borderId="0" xfId="0" applyFont="1" applyAlignment="1">
      <alignment vertical="center"/>
    </xf>
    <xf numFmtId="0" fontId="66" fillId="0" borderId="0" xfId="0" applyFont="1" applyAlignment="1">
      <alignment horizontal="center" readingOrder="2"/>
    </xf>
    <xf numFmtId="0" fontId="45" fillId="0" borderId="0" xfId="0" applyFont="1" applyAlignment="1">
      <alignment horizontal="right" readingOrder="2"/>
    </xf>
    <xf numFmtId="0" fontId="40" fillId="0" borderId="11" xfId="0" applyFont="1" applyBorder="1" applyAlignment="1">
      <alignment horizontal="center" vertical="center" wrapText="1" readingOrder="2"/>
    </xf>
    <xf numFmtId="0" fontId="40" fillId="0" borderId="97" xfId="0" applyFont="1" applyBorder="1" applyAlignment="1">
      <alignment horizontal="center" vertical="center" wrapText="1" readingOrder="2"/>
    </xf>
    <xf numFmtId="0" fontId="40" fillId="0" borderId="47" xfId="0" applyFont="1" applyBorder="1" applyAlignment="1">
      <alignment horizontal="center" vertical="center" wrapText="1" readingOrder="2"/>
    </xf>
    <xf numFmtId="0" fontId="45" fillId="0" borderId="73" xfId="0" applyFont="1" applyBorder="1" applyAlignment="1">
      <alignment horizontal="right" readingOrder="2"/>
    </xf>
    <xf numFmtId="170" fontId="42" fillId="0" borderId="71" xfId="1" applyNumberFormat="1" applyFont="1" applyFill="1" applyBorder="1" applyAlignment="1" applyProtection="1">
      <alignment vertical="center" wrapText="1"/>
    </xf>
    <xf numFmtId="170" fontId="42" fillId="0" borderId="28" xfId="1" applyNumberFormat="1" applyFont="1" applyFill="1" applyBorder="1" applyAlignment="1" applyProtection="1">
      <alignment vertical="center" wrapText="1"/>
    </xf>
    <xf numFmtId="170" fontId="42" fillId="0" borderId="72" xfId="1" applyNumberFormat="1" applyFont="1" applyFill="1" applyBorder="1" applyAlignment="1" applyProtection="1">
      <alignment vertical="center" wrapText="1"/>
    </xf>
    <xf numFmtId="0" fontId="38" fillId="0" borderId="44" xfId="0" applyFont="1" applyBorder="1" applyAlignment="1">
      <alignment horizontal="right" vertical="center" wrapText="1"/>
    </xf>
    <xf numFmtId="170" fontId="38" fillId="0" borderId="46" xfId="1" applyNumberFormat="1" applyFont="1" applyFill="1" applyBorder="1" applyAlignment="1" applyProtection="1">
      <alignment vertical="center" wrapText="1" readingOrder="1"/>
    </xf>
    <xf numFmtId="0" fontId="38" fillId="0" borderId="44" xfId="0" applyFont="1" applyBorder="1" applyAlignment="1">
      <alignment horizontal="right" wrapText="1" readingOrder="2"/>
    </xf>
    <xf numFmtId="0" fontId="38" fillId="0" borderId="44" xfId="0" applyFont="1" applyBorder="1" applyAlignment="1">
      <alignment horizontal="right" vertical="top" wrapText="1" readingOrder="2"/>
    </xf>
    <xf numFmtId="0" fontId="45" fillId="0" borderId="44" xfId="0" applyFont="1" applyBorder="1" applyAlignment="1">
      <alignment horizontal="right" readingOrder="2"/>
    </xf>
    <xf numFmtId="170" fontId="42" fillId="0" borderId="46" xfId="1" applyNumberFormat="1" applyFont="1" applyFill="1" applyBorder="1" applyAlignment="1" applyProtection="1">
      <alignment vertical="center" wrapText="1"/>
    </xf>
    <xf numFmtId="0" fontId="38" fillId="0" borderId="48" xfId="0" applyFont="1" applyBorder="1" applyAlignment="1">
      <alignment horizontal="right" vertical="top" wrapText="1" readingOrder="2"/>
    </xf>
    <xf numFmtId="170" fontId="38" fillId="0" borderId="99" xfId="1" applyNumberFormat="1" applyFont="1" applyFill="1" applyBorder="1" applyAlignment="1" applyProtection="1">
      <alignment vertical="center" wrapText="1" readingOrder="1"/>
    </xf>
    <xf numFmtId="0" fontId="44" fillId="4" borderId="35" xfId="0" applyFont="1" applyFill="1" applyBorder="1" applyAlignment="1">
      <alignment horizontal="right" vertical="top" wrapText="1" readingOrder="2"/>
    </xf>
    <xf numFmtId="170" fontId="37" fillId="4" borderId="51" xfId="1" applyNumberFormat="1" applyFont="1" applyFill="1" applyBorder="1" applyAlignment="1" applyProtection="1">
      <alignment vertical="center" wrapText="1" readingOrder="1"/>
    </xf>
    <xf numFmtId="170" fontId="37" fillId="4" borderId="53" xfId="1" applyNumberFormat="1" applyFont="1" applyFill="1" applyBorder="1" applyAlignment="1" applyProtection="1">
      <alignment vertical="center" wrapText="1" readingOrder="1"/>
    </xf>
    <xf numFmtId="170" fontId="37" fillId="4" borderId="52" xfId="1" applyNumberFormat="1" applyFont="1" applyFill="1" applyBorder="1" applyAlignment="1" applyProtection="1">
      <alignment vertical="center" wrapText="1" readingOrder="1"/>
    </xf>
    <xf numFmtId="0" fontId="44" fillId="0" borderId="0" xfId="0" applyFont="1" applyAlignment="1">
      <alignment horizontal="right" vertical="top" wrapText="1" readingOrder="2"/>
    </xf>
    <xf numFmtId="170" fontId="37" fillId="0" borderId="0" xfId="1" applyNumberFormat="1" applyFont="1" applyBorder="1" applyAlignment="1" applyProtection="1">
      <alignment vertical="center" wrapText="1" readingOrder="1"/>
    </xf>
    <xf numFmtId="170" fontId="38" fillId="0" borderId="0" xfId="1" applyNumberFormat="1" applyFont="1" applyBorder="1" applyAlignment="1" applyProtection="1">
      <alignment vertical="center" wrapText="1" readingOrder="1"/>
    </xf>
    <xf numFmtId="0" fontId="38" fillId="0" borderId="9" xfId="0" applyFont="1" applyBorder="1" applyAlignment="1">
      <alignment horizontal="right" vertical="top" wrapText="1" readingOrder="2"/>
    </xf>
    <xf numFmtId="170" fontId="38" fillId="0" borderId="100" xfId="1" applyNumberFormat="1" applyFont="1" applyBorder="1" applyAlignment="1" applyProtection="1">
      <alignment vertical="center" wrapText="1" readingOrder="1"/>
    </xf>
    <xf numFmtId="170" fontId="38" fillId="0" borderId="96" xfId="1" applyNumberFormat="1" applyFont="1" applyBorder="1" applyAlignment="1" applyProtection="1">
      <alignment vertical="center" wrapText="1" readingOrder="1"/>
    </xf>
    <xf numFmtId="0" fontId="38" fillId="0" borderId="45" xfId="0" applyFont="1" applyBorder="1" applyAlignment="1">
      <alignment horizontal="right" vertical="top" wrapText="1" readingOrder="2"/>
    </xf>
    <xf numFmtId="170" fontId="38" fillId="0" borderId="1" xfId="1" applyNumberFormat="1" applyFont="1" applyBorder="1" applyAlignment="1" applyProtection="1">
      <alignment vertical="center" wrapText="1" readingOrder="1"/>
    </xf>
    <xf numFmtId="170" fontId="38" fillId="0" borderId="46" xfId="1" applyNumberFormat="1" applyFont="1" applyBorder="1" applyAlignment="1" applyProtection="1">
      <alignment vertical="center" wrapText="1" readingOrder="1"/>
    </xf>
    <xf numFmtId="0" fontId="38" fillId="0" borderId="98" xfId="0" applyFont="1" applyBorder="1" applyAlignment="1">
      <alignment horizontal="right" vertical="top" wrapText="1" readingOrder="2"/>
    </xf>
    <xf numFmtId="170" fontId="38" fillId="0" borderId="33" xfId="1" applyNumberFormat="1" applyFont="1" applyBorder="1" applyAlignment="1" applyProtection="1">
      <alignment vertical="center" wrapText="1" readingOrder="1"/>
    </xf>
    <xf numFmtId="170" fontId="38" fillId="0" borderId="99" xfId="1" applyNumberFormat="1" applyFont="1" applyBorder="1" applyAlignment="1" applyProtection="1">
      <alignment vertical="center" wrapText="1" readingOrder="1"/>
    </xf>
    <xf numFmtId="0" fontId="37" fillId="4" borderId="51" xfId="0" applyFont="1" applyFill="1" applyBorder="1" applyAlignment="1">
      <alignment horizontal="right" vertical="top" wrapText="1" readingOrder="2"/>
    </xf>
    <xf numFmtId="0" fontId="45" fillId="0" borderId="31" xfId="0" applyFont="1" applyBorder="1" applyAlignment="1">
      <alignment horizontal="right" readingOrder="2"/>
    </xf>
    <xf numFmtId="0" fontId="41" fillId="5" borderId="44" xfId="0" applyFont="1" applyFill="1" applyBorder="1" applyAlignment="1">
      <alignment horizontal="right" vertical="top" wrapText="1" readingOrder="2"/>
    </xf>
    <xf numFmtId="170" fontId="37" fillId="0" borderId="46" xfId="1" applyNumberFormat="1" applyFont="1" applyBorder="1" applyAlignment="1" applyProtection="1">
      <alignment vertical="center" wrapText="1" readingOrder="1"/>
    </xf>
    <xf numFmtId="170" fontId="38" fillId="0" borderId="47" xfId="1" applyNumberFormat="1" applyFont="1" applyBorder="1" applyAlignment="1" applyProtection="1">
      <alignment vertical="center" wrapText="1" readingOrder="1"/>
    </xf>
    <xf numFmtId="0" fontId="37" fillId="4" borderId="1" xfId="0" applyFont="1" applyFill="1" applyBorder="1" applyAlignment="1">
      <alignment horizontal="right" vertical="top" wrapText="1" readingOrder="2"/>
    </xf>
    <xf numFmtId="170" fontId="37" fillId="4" borderId="28" xfId="1" applyNumberFormat="1" applyFont="1" applyFill="1" applyBorder="1" applyAlignment="1" applyProtection="1">
      <alignment vertical="center" wrapText="1" readingOrder="1"/>
    </xf>
    <xf numFmtId="0" fontId="37" fillId="5" borderId="1" xfId="0" applyFont="1" applyFill="1" applyBorder="1" applyAlignment="1">
      <alignment horizontal="right" readingOrder="2"/>
    </xf>
    <xf numFmtId="170" fontId="37" fillId="0" borderId="33" xfId="1" applyNumberFormat="1" applyFont="1" applyBorder="1" applyAlignment="1" applyProtection="1">
      <alignment vertical="center" wrapText="1" readingOrder="1"/>
    </xf>
    <xf numFmtId="170" fontId="38" fillId="4" borderId="28" xfId="1" applyNumberFormat="1" applyFont="1" applyFill="1" applyBorder="1" applyAlignment="1" applyProtection="1">
      <alignment vertical="center" wrapText="1" readingOrder="1"/>
    </xf>
    <xf numFmtId="0" fontId="37" fillId="0" borderId="33" xfId="0" applyFont="1" applyBorder="1" applyAlignment="1">
      <alignment horizontal="right" vertical="top" wrapText="1" readingOrder="2"/>
    </xf>
    <xf numFmtId="0" fontId="37" fillId="4" borderId="35" xfId="0" applyFont="1" applyFill="1" applyBorder="1" applyAlignment="1">
      <alignment horizontal="right" vertical="top" wrapText="1" readingOrder="2"/>
    </xf>
    <xf numFmtId="0" fontId="44" fillId="0" borderId="4" xfId="0" applyFont="1" applyBorder="1" applyAlignment="1">
      <alignment horizontal="right" vertical="top" wrapText="1" readingOrder="2"/>
    </xf>
    <xf numFmtId="170" fontId="37" fillId="0" borderId="4" xfId="1" applyNumberFormat="1" applyFont="1" applyBorder="1" applyAlignment="1" applyProtection="1">
      <alignment vertical="center" wrapText="1" readingOrder="1"/>
    </xf>
    <xf numFmtId="0" fontId="45" fillId="0" borderId="66" xfId="0" applyFont="1" applyBorder="1" applyAlignment="1">
      <alignment horizontal="right" readingOrder="2"/>
    </xf>
    <xf numFmtId="0" fontId="38" fillId="0" borderId="1" xfId="0" applyFont="1" applyBorder="1" applyAlignment="1">
      <alignment horizontal="right" vertical="top" wrapText="1" readingOrder="2"/>
    </xf>
    <xf numFmtId="170" fontId="37" fillId="4" borderId="1" xfId="1" applyNumberFormat="1" applyFont="1" applyFill="1" applyBorder="1" applyAlignment="1" applyProtection="1">
      <alignment vertical="center" wrapText="1" readingOrder="1"/>
    </xf>
    <xf numFmtId="0" fontId="37" fillId="0" borderId="1" xfId="0" applyFont="1" applyBorder="1" applyAlignment="1">
      <alignment horizontal="right" vertical="top" wrapText="1" readingOrder="2"/>
    </xf>
    <xf numFmtId="170" fontId="37" fillId="0" borderId="1" xfId="1" applyNumberFormat="1" applyFont="1" applyBorder="1" applyAlignment="1" applyProtection="1">
      <alignment vertical="center" wrapText="1" readingOrder="1"/>
    </xf>
    <xf numFmtId="0" fontId="37" fillId="0" borderId="1" xfId="0" applyFont="1" applyBorder="1" applyAlignment="1">
      <alignment horizontal="right" readingOrder="2"/>
    </xf>
    <xf numFmtId="0" fontId="37" fillId="0" borderId="78" xfId="0" applyFont="1" applyBorder="1" applyAlignment="1">
      <alignment horizontal="right" vertical="top" wrapText="1" readingOrder="2"/>
    </xf>
    <xf numFmtId="170" fontId="37" fillId="0" borderId="78" xfId="1" applyNumberFormat="1" applyFont="1" applyBorder="1" applyAlignment="1" applyProtection="1">
      <alignment vertical="center" wrapText="1" readingOrder="1"/>
    </xf>
    <xf numFmtId="0" fontId="37" fillId="0" borderId="0" xfId="0" applyFont="1" applyAlignment="1">
      <alignment horizontal="right" vertical="top" wrapText="1" readingOrder="2"/>
    </xf>
    <xf numFmtId="0" fontId="47" fillId="4" borderId="28" xfId="0" applyFont="1" applyFill="1" applyBorder="1" applyAlignment="1">
      <alignment horizontal="right" vertical="top" wrapText="1" readingOrder="2"/>
    </xf>
    <xf numFmtId="0" fontId="47" fillId="0" borderId="1" xfId="0" applyFont="1" applyBorder="1" applyAlignment="1">
      <alignment horizontal="right" vertical="top" wrapText="1" readingOrder="2"/>
    </xf>
    <xf numFmtId="170" fontId="37" fillId="0" borderId="1" xfId="1" applyNumberFormat="1" applyFont="1" applyFill="1" applyBorder="1" applyAlignment="1" applyProtection="1">
      <alignment vertical="center" wrapText="1" readingOrder="1"/>
    </xf>
    <xf numFmtId="0" fontId="47" fillId="4" borderId="1" xfId="0" applyFont="1" applyFill="1" applyBorder="1" applyAlignment="1">
      <alignment horizontal="right" vertical="top" wrapText="1" readingOrder="2"/>
    </xf>
    <xf numFmtId="43" fontId="37" fillId="4" borderId="1" xfId="1" applyFont="1" applyFill="1" applyBorder="1" applyAlignment="1" applyProtection="1">
      <alignment vertical="center" wrapText="1" readingOrder="1"/>
    </xf>
    <xf numFmtId="0" fontId="42" fillId="0" borderId="1" xfId="0" applyFont="1" applyBorder="1"/>
    <xf numFmtId="170" fontId="42" fillId="0" borderId="1" xfId="1" applyNumberFormat="1" applyFont="1" applyBorder="1" applyAlignment="1" applyProtection="1">
      <alignment vertical="center"/>
    </xf>
    <xf numFmtId="0" fontId="43" fillId="13" borderId="1" xfId="0" applyFont="1" applyFill="1" applyBorder="1" applyAlignment="1">
      <alignment horizontal="right" vertical="top" wrapText="1" readingOrder="2"/>
    </xf>
    <xf numFmtId="170" fontId="46" fillId="13" borderId="1" xfId="1" applyNumberFormat="1" applyFont="1" applyFill="1" applyBorder="1" applyAlignment="1" applyProtection="1">
      <alignment vertical="center" readingOrder="1"/>
    </xf>
    <xf numFmtId="9" fontId="46" fillId="13" borderId="1" xfId="5" applyFont="1" applyFill="1" applyBorder="1" applyAlignment="1" applyProtection="1">
      <alignment vertical="center" readingOrder="1"/>
    </xf>
    <xf numFmtId="170" fontId="38" fillId="6" borderId="100" xfId="1" applyNumberFormat="1" applyFont="1" applyFill="1" applyBorder="1" applyAlignment="1" applyProtection="1">
      <alignment vertical="center" wrapText="1" readingOrder="1"/>
      <protection locked="0"/>
    </xf>
    <xf numFmtId="170" fontId="37" fillId="6" borderId="45" xfId="1" applyNumberFormat="1" applyFont="1" applyFill="1" applyBorder="1" applyAlignment="1" applyProtection="1">
      <alignment vertical="center" wrapText="1" readingOrder="1"/>
      <protection locked="0"/>
    </xf>
    <xf numFmtId="170" fontId="37" fillId="6" borderId="1" xfId="1" applyNumberFormat="1" applyFont="1" applyFill="1" applyBorder="1" applyAlignment="1" applyProtection="1">
      <alignment vertical="center" wrapText="1" readingOrder="1"/>
      <protection locked="0"/>
    </xf>
    <xf numFmtId="170" fontId="38" fillId="6" borderId="11" xfId="1" applyNumberFormat="1" applyFont="1" applyFill="1" applyBorder="1" applyAlignment="1" applyProtection="1">
      <alignment vertical="center" wrapText="1" readingOrder="1"/>
      <protection locked="0"/>
    </xf>
    <xf numFmtId="170" fontId="38" fillId="6" borderId="97" xfId="1" applyNumberFormat="1" applyFont="1" applyFill="1" applyBorder="1" applyAlignment="1" applyProtection="1">
      <alignment vertical="center" wrapText="1" readingOrder="1"/>
      <protection locked="0"/>
    </xf>
    <xf numFmtId="170" fontId="38" fillId="6" borderId="9" xfId="1" applyNumberFormat="1" applyFont="1" applyFill="1" applyBorder="1" applyAlignment="1" applyProtection="1">
      <alignment vertical="center" wrapText="1" readingOrder="1"/>
      <protection locked="0"/>
    </xf>
    <xf numFmtId="14" fontId="25" fillId="0" borderId="1" xfId="0" applyNumberFormat="1" applyFont="1" applyBorder="1"/>
    <xf numFmtId="170" fontId="25" fillId="0" borderId="1" xfId="1" applyNumberFormat="1" applyFont="1" applyFill="1" applyBorder="1" applyProtection="1"/>
    <xf numFmtId="0" fontId="26" fillId="22" borderId="1" xfId="0" applyFont="1" applyFill="1" applyBorder="1" applyAlignment="1">
      <alignment horizontal="right" vertical="center"/>
    </xf>
    <xf numFmtId="0" fontId="25" fillId="0" borderId="1" xfId="0" applyFont="1" applyBorder="1" applyAlignment="1">
      <alignment horizontal="right" vertical="center"/>
    </xf>
    <xf numFmtId="0" fontId="49" fillId="0" borderId="1" xfId="0" applyFont="1" applyBorder="1"/>
    <xf numFmtId="0" fontId="8" fillId="22" borderId="41" xfId="0" applyFont="1" applyFill="1" applyBorder="1" applyAlignment="1">
      <alignment vertical="center" wrapText="1"/>
    </xf>
    <xf numFmtId="0" fontId="8" fillId="22" borderId="43" xfId="0" applyFont="1" applyFill="1" applyBorder="1" applyAlignment="1">
      <alignment vertical="center" wrapText="1"/>
    </xf>
    <xf numFmtId="9" fontId="49" fillId="22" borderId="1" xfId="0" applyNumberFormat="1" applyFont="1" applyFill="1" applyBorder="1"/>
    <xf numFmtId="9" fontId="49" fillId="0" borderId="1" xfId="0" applyNumberFormat="1" applyFont="1" applyBorder="1"/>
    <xf numFmtId="170" fontId="49" fillId="22" borderId="1" xfId="1" applyNumberFormat="1" applyFont="1" applyFill="1" applyBorder="1" applyProtection="1"/>
    <xf numFmtId="170" fontId="49" fillId="0" borderId="1" xfId="1" applyNumberFormat="1" applyFont="1" applyBorder="1" applyProtection="1"/>
    <xf numFmtId="0" fontId="49" fillId="4" borderId="1" xfId="0" applyFont="1" applyFill="1" applyBorder="1"/>
    <xf numFmtId="0" fontId="50" fillId="22" borderId="1" xfId="0" applyFont="1" applyFill="1" applyBorder="1" applyAlignment="1">
      <alignment horizontal="right"/>
    </xf>
    <xf numFmtId="10" fontId="49" fillId="0" borderId="1" xfId="0" applyNumberFormat="1" applyFont="1" applyBorder="1"/>
    <xf numFmtId="49" fontId="57" fillId="6" borderId="1" xfId="0" applyNumberFormat="1" applyFont="1" applyFill="1" applyBorder="1" applyProtection="1">
      <protection locked="0"/>
    </xf>
    <xf numFmtId="0" fontId="111" fillId="0" borderId="0" xfId="0" applyFont="1" applyAlignment="1" applyProtection="1">
      <alignment horizontal="center"/>
      <protection hidden="1"/>
    </xf>
    <xf numFmtId="170" fontId="20" fillId="0" borderId="0" xfId="1" applyNumberFormat="1" applyFont="1" applyAlignment="1">
      <alignment vertical="center"/>
    </xf>
    <xf numFmtId="0" fontId="37" fillId="0" borderId="0" xfId="0" applyFont="1" applyAlignment="1">
      <alignment horizontal="right" vertical="center" wrapText="1" readingOrder="2"/>
    </xf>
    <xf numFmtId="0" fontId="110" fillId="0" borderId="0" xfId="0" applyFont="1"/>
    <xf numFmtId="0" fontId="27" fillId="11" borderId="37" xfId="0" applyFont="1" applyFill="1" applyBorder="1" applyAlignment="1">
      <alignment horizontal="right" vertical="top" wrapText="1" readingOrder="2"/>
    </xf>
    <xf numFmtId="0" fontId="27" fillId="11" borderId="35" xfId="0" applyFont="1" applyFill="1" applyBorder="1" applyAlignment="1">
      <alignment horizontal="right" wrapText="1" readingOrder="2"/>
    </xf>
    <xf numFmtId="0" fontId="110" fillId="11" borderId="31" xfId="0" applyFont="1" applyFill="1" applyBorder="1" applyAlignment="1">
      <alignment horizontal="right" readingOrder="2"/>
    </xf>
    <xf numFmtId="0" fontId="110" fillId="0" borderId="30" xfId="0" applyFont="1" applyBorder="1" applyAlignment="1">
      <alignment vertical="top" wrapText="1" readingOrder="2"/>
    </xf>
    <xf numFmtId="0" fontId="110" fillId="0" borderId="31" xfId="0" applyFont="1" applyBorder="1" applyAlignment="1">
      <alignment horizontal="right" wrapText="1" readingOrder="2"/>
    </xf>
    <xf numFmtId="0" fontId="110" fillId="0" borderId="31" xfId="0" applyFont="1" applyBorder="1" applyAlignment="1">
      <alignment horizontal="right" readingOrder="2"/>
    </xf>
    <xf numFmtId="0" fontId="27" fillId="0" borderId="30" xfId="0" applyFont="1" applyBorder="1" applyAlignment="1">
      <alignment vertical="top" wrapText="1" readingOrder="2"/>
    </xf>
    <xf numFmtId="0" fontId="21" fillId="0" borderId="31" xfId="0" applyFont="1" applyBorder="1" applyAlignment="1">
      <alignment horizontal="right" readingOrder="2"/>
    </xf>
    <xf numFmtId="0" fontId="110" fillId="0" borderId="35" xfId="0" applyFont="1" applyBorder="1" applyAlignment="1">
      <alignment readingOrder="1"/>
    </xf>
    <xf numFmtId="0" fontId="27" fillId="0" borderId="30" xfId="0" applyFont="1" applyBorder="1" applyAlignment="1">
      <alignment horizontal="right" vertical="top" wrapText="1" readingOrder="2"/>
    </xf>
    <xf numFmtId="0" fontId="27" fillId="0" borderId="31" xfId="0" applyFont="1" applyBorder="1" applyAlignment="1">
      <alignment horizontal="right" wrapText="1" readingOrder="2"/>
    </xf>
    <xf numFmtId="9" fontId="112" fillId="0" borderId="0" xfId="5" applyFont="1" applyBorder="1"/>
    <xf numFmtId="17" fontId="3" fillId="21" borderId="1" xfId="4" applyNumberFormat="1" applyFont="1" applyFill="1" applyBorder="1"/>
    <xf numFmtId="165" fontId="3" fillId="21" borderId="0" xfId="2" applyNumberFormat="1" applyFont="1" applyFill="1"/>
    <xf numFmtId="190" fontId="3" fillId="21" borderId="1" xfId="4" applyNumberFormat="1" applyFont="1" applyFill="1" applyBorder="1"/>
    <xf numFmtId="0" fontId="0" fillId="6" borderId="61" xfId="0" applyFill="1" applyBorder="1" applyProtection="1">
      <protection locked="0"/>
    </xf>
    <xf numFmtId="0" fontId="54" fillId="0" borderId="77" xfId="0" applyFont="1" applyBorder="1" applyAlignment="1">
      <alignment horizontal="right" readingOrder="2"/>
    </xf>
    <xf numFmtId="0" fontId="110" fillId="0" borderId="73" xfId="0" applyFont="1" applyBorder="1"/>
    <xf numFmtId="0" fontId="48" fillId="0" borderId="74" xfId="0" applyFont="1" applyBorder="1" applyAlignment="1">
      <alignment horizontal="right" wrapText="1" readingOrder="2"/>
    </xf>
    <xf numFmtId="168" fontId="110" fillId="0" borderId="44" xfId="0" applyNumberFormat="1" applyFont="1" applyBorder="1"/>
    <xf numFmtId="0" fontId="49" fillId="4" borderId="75" xfId="0" applyFont="1" applyFill="1" applyBorder="1" applyAlignment="1">
      <alignment horizontal="right" wrapText="1" readingOrder="2"/>
    </xf>
    <xf numFmtId="168" fontId="110" fillId="4" borderId="76" xfId="0" applyNumberFormat="1" applyFont="1" applyFill="1" applyBorder="1"/>
    <xf numFmtId="0" fontId="6" fillId="3" borderId="2" xfId="0" applyFont="1" applyFill="1" applyBorder="1" applyAlignment="1" applyProtection="1">
      <alignment horizontal="right" vertical="center" wrapText="1"/>
      <protection hidden="1"/>
    </xf>
    <xf numFmtId="0" fontId="6" fillId="3" borderId="31" xfId="0" applyFont="1" applyFill="1" applyBorder="1" applyAlignment="1" applyProtection="1">
      <alignment horizontal="right" vertical="center" wrapText="1"/>
      <protection hidden="1"/>
    </xf>
    <xf numFmtId="0" fontId="36" fillId="0" borderId="0" xfId="0" applyFont="1" applyAlignment="1" applyProtection="1">
      <alignment horizontal="center"/>
      <protection hidden="1"/>
    </xf>
    <xf numFmtId="0" fontId="36" fillId="6" borderId="0" xfId="0" applyFont="1" applyFill="1" applyAlignment="1" applyProtection="1">
      <alignment horizontal="center"/>
      <protection hidden="1"/>
    </xf>
    <xf numFmtId="0" fontId="12" fillId="4" borderId="0" xfId="0" applyFont="1" applyFill="1" applyAlignment="1" applyProtection="1">
      <alignment horizontal="center" vertical="center"/>
      <protection hidden="1"/>
    </xf>
    <xf numFmtId="0" fontId="18" fillId="4" borderId="0" xfId="0" applyFont="1" applyFill="1" applyAlignment="1" applyProtection="1">
      <alignment horizontal="center" vertical="center"/>
      <protection hidden="1"/>
    </xf>
    <xf numFmtId="0" fontId="0" fillId="0" borderId="0" xfId="0" applyAlignment="1" applyProtection="1">
      <alignment horizontal="right"/>
      <protection hidden="1"/>
    </xf>
    <xf numFmtId="0" fontId="0" fillId="0" borderId="61" xfId="0" applyBorder="1" applyAlignment="1" applyProtection="1">
      <alignment horizontal="right"/>
      <protection hidden="1"/>
    </xf>
    <xf numFmtId="0" fontId="0" fillId="4" borderId="2" xfId="0" applyFill="1" applyBorder="1" applyAlignment="1" applyProtection="1">
      <alignment horizontal="center"/>
      <protection hidden="1"/>
    </xf>
    <xf numFmtId="0" fontId="0" fillId="4" borderId="4" xfId="0" applyFill="1" applyBorder="1" applyAlignment="1" applyProtection="1">
      <alignment horizontal="center"/>
      <protection hidden="1"/>
    </xf>
    <xf numFmtId="0" fontId="0" fillId="4" borderId="6" xfId="0" applyFill="1" applyBorder="1" applyAlignment="1" applyProtection="1">
      <alignment horizontal="center"/>
      <protection hidden="1"/>
    </xf>
    <xf numFmtId="0" fontId="6" fillId="3" borderId="60" xfId="0" applyFont="1" applyFill="1" applyBorder="1" applyAlignment="1" applyProtection="1">
      <alignment horizontal="right" vertical="center" wrapText="1"/>
      <protection hidden="1"/>
    </xf>
    <xf numFmtId="0" fontId="27" fillId="0" borderId="58" xfId="0" applyFont="1" applyBorder="1" applyAlignment="1" applyProtection="1">
      <alignment horizontal="center"/>
      <protection hidden="1"/>
    </xf>
    <xf numFmtId="0" fontId="36" fillId="0" borderId="0" xfId="0" applyFont="1" applyAlignment="1">
      <alignment horizontal="center"/>
    </xf>
    <xf numFmtId="0" fontId="59" fillId="0" borderId="60" xfId="0" applyFont="1" applyBorder="1" applyAlignment="1">
      <alignment horizontal="center" vertical="center" wrapText="1"/>
    </xf>
    <xf numFmtId="0" fontId="59" fillId="0" borderId="0" xfId="0" applyFont="1" applyAlignment="1">
      <alignment horizontal="center" vertical="center" wrapText="1"/>
    </xf>
    <xf numFmtId="0" fontId="54" fillId="0" borderId="0" xfId="0" applyFont="1" applyAlignment="1">
      <alignment horizontal="center"/>
    </xf>
    <xf numFmtId="0" fontId="71" fillId="0" borderId="103" xfId="0" applyFont="1" applyBorder="1" applyAlignment="1">
      <alignment horizontal="center" wrapText="1"/>
    </xf>
    <xf numFmtId="0" fontId="71" fillId="0" borderId="0" xfId="0" applyFont="1" applyAlignment="1">
      <alignment horizontal="center" wrapText="1"/>
    </xf>
    <xf numFmtId="0" fontId="6" fillId="3" borderId="3" xfId="0" applyFont="1" applyFill="1" applyBorder="1" applyAlignment="1">
      <alignment horizontal="right" vertical="center" wrapText="1"/>
    </xf>
    <xf numFmtId="0" fontId="6" fillId="3" borderId="30" xfId="0" applyFont="1" applyFill="1" applyBorder="1" applyAlignment="1">
      <alignment horizontal="right" vertical="center" wrapText="1"/>
    </xf>
    <xf numFmtId="0" fontId="23" fillId="4" borderId="0" xfId="0" applyFont="1" applyFill="1" applyAlignment="1">
      <alignment horizontal="center"/>
    </xf>
    <xf numFmtId="0" fontId="64" fillId="3" borderId="35" xfId="0" applyFont="1" applyFill="1" applyBorder="1" applyAlignment="1">
      <alignment horizontal="center" vertical="center" wrapText="1"/>
    </xf>
    <xf numFmtId="0" fontId="64" fillId="3" borderId="36" xfId="0" applyFont="1" applyFill="1" applyBorder="1" applyAlignment="1">
      <alignment horizontal="center" vertical="center" wrapText="1"/>
    </xf>
    <xf numFmtId="0" fontId="11" fillId="4" borderId="64" xfId="0" applyFont="1" applyFill="1" applyBorder="1" applyAlignment="1">
      <alignment horizontal="center" vertical="center"/>
    </xf>
    <xf numFmtId="0" fontId="18" fillId="4" borderId="0" xfId="0" applyFont="1" applyFill="1" applyAlignment="1">
      <alignment horizontal="center" vertical="center"/>
    </xf>
    <xf numFmtId="0" fontId="36" fillId="6" borderId="0" xfId="0" applyFont="1" applyFill="1" applyAlignment="1">
      <alignment horizontal="center"/>
    </xf>
    <xf numFmtId="0" fontId="6" fillId="12" borderId="2" xfId="0" applyFont="1" applyFill="1" applyBorder="1" applyAlignment="1">
      <alignment horizontal="right" vertical="center" wrapText="1"/>
    </xf>
    <xf numFmtId="0" fontId="6" fillId="12" borderId="60" xfId="0" applyFont="1" applyFill="1" applyBorder="1" applyAlignment="1">
      <alignment horizontal="right" vertical="center" wrapText="1"/>
    </xf>
    <xf numFmtId="0" fontId="6" fillId="0" borderId="68" xfId="0" applyFont="1" applyBorder="1" applyAlignment="1">
      <alignment horizontal="center" vertical="center"/>
    </xf>
    <xf numFmtId="0" fontId="36" fillId="4" borderId="0" xfId="0" applyFont="1" applyFill="1" applyAlignment="1">
      <alignment horizontal="center"/>
    </xf>
    <xf numFmtId="0" fontId="6" fillId="12" borderId="31" xfId="0" applyFont="1" applyFill="1" applyBorder="1" applyAlignment="1">
      <alignment horizontal="right" vertical="center" wrapText="1"/>
    </xf>
    <xf numFmtId="0" fontId="12" fillId="4" borderId="0" xfId="0" applyFont="1" applyFill="1" applyAlignment="1">
      <alignment horizontal="center" vertical="center"/>
    </xf>
    <xf numFmtId="0" fontId="84" fillId="0" borderId="103" xfId="0" applyFont="1" applyBorder="1" applyAlignment="1">
      <alignment horizontal="center"/>
    </xf>
    <xf numFmtId="0" fontId="84" fillId="0" borderId="0" xfId="0" applyFont="1" applyAlignment="1">
      <alignment horizontal="center"/>
    </xf>
    <xf numFmtId="0" fontId="22" fillId="0" borderId="0" xfId="0" applyFont="1" applyAlignment="1" applyProtection="1">
      <alignment horizontal="center"/>
      <protection hidden="1"/>
    </xf>
    <xf numFmtId="0" fontId="14" fillId="0" borderId="1" xfId="0" applyFont="1" applyBorder="1" applyAlignment="1" applyProtection="1">
      <alignment horizontal="right" vertical="center" wrapText="1"/>
      <protection hidden="1"/>
    </xf>
    <xf numFmtId="0" fontId="22" fillId="0" borderId="1" xfId="0" applyFont="1" applyBorder="1" applyProtection="1">
      <protection hidden="1"/>
    </xf>
    <xf numFmtId="0" fontId="22" fillId="0" borderId="33" xfId="0" applyFont="1" applyBorder="1" applyProtection="1">
      <protection hidden="1"/>
    </xf>
    <xf numFmtId="0" fontId="22" fillId="0" borderId="38" xfId="0" applyFont="1" applyBorder="1" applyAlignment="1" applyProtection="1">
      <alignment horizontal="center"/>
      <protection hidden="1"/>
    </xf>
    <xf numFmtId="0" fontId="22" fillId="0" borderId="69" xfId="0" applyFont="1" applyBorder="1" applyAlignment="1" applyProtection="1">
      <alignment horizontal="center"/>
      <protection hidden="1"/>
    </xf>
    <xf numFmtId="0" fontId="17" fillId="0" borderId="0" xfId="0" applyFont="1" applyAlignment="1">
      <alignment horizontal="center"/>
    </xf>
    <xf numFmtId="0" fontId="2" fillId="0" borderId="35" xfId="0" applyFont="1" applyBorder="1" applyAlignment="1">
      <alignment horizontal="center" vertical="center"/>
    </xf>
    <xf numFmtId="0" fontId="2" fillId="0" borderId="56" xfId="0" applyFont="1" applyBorder="1" applyAlignment="1">
      <alignment horizontal="center" vertical="center"/>
    </xf>
    <xf numFmtId="0" fontId="2" fillId="0" borderId="36" xfId="0" applyFont="1" applyBorder="1" applyAlignment="1">
      <alignment horizontal="center" vertical="center"/>
    </xf>
    <xf numFmtId="0" fontId="3" fillId="0" borderId="35" xfId="0" applyFont="1" applyBorder="1" applyAlignment="1">
      <alignment horizontal="right"/>
    </xf>
    <xf numFmtId="0" fontId="3" fillId="0" borderId="56" xfId="0" applyFont="1" applyBorder="1" applyAlignment="1">
      <alignment horizontal="right"/>
    </xf>
    <xf numFmtId="0" fontId="3" fillId="0" borderId="36" xfId="0" applyFont="1" applyBorder="1" applyAlignment="1">
      <alignment horizontal="right"/>
    </xf>
    <xf numFmtId="0" fontId="21" fillId="0" borderId="0" xfId="0" applyFont="1" applyAlignment="1">
      <alignment horizontal="center"/>
    </xf>
    <xf numFmtId="0" fontId="29" fillId="0" borderId="0" xfId="0" applyFont="1" applyAlignment="1">
      <alignment horizontal="center" readingOrder="2"/>
    </xf>
    <xf numFmtId="0" fontId="0" fillId="0" borderId="1" xfId="0" applyBorder="1" applyAlignment="1">
      <alignment horizontal="center"/>
    </xf>
    <xf numFmtId="0" fontId="65" fillId="0" borderId="2" xfId="0" applyFont="1" applyBorder="1" applyAlignment="1">
      <alignment horizontal="center" readingOrder="2"/>
    </xf>
    <xf numFmtId="0" fontId="65" fillId="0" borderId="6" xfId="0" applyFont="1" applyBorder="1" applyAlignment="1">
      <alignment horizontal="center" readingOrder="2"/>
    </xf>
    <xf numFmtId="0" fontId="34" fillId="9" borderId="44" xfId="0" applyFont="1" applyFill="1" applyBorder="1" applyAlignment="1">
      <alignment horizontal="center" vertical="top" wrapText="1" readingOrder="2"/>
    </xf>
    <xf numFmtId="0" fontId="34" fillId="9" borderId="105" xfId="0" applyFont="1" applyFill="1" applyBorder="1" applyAlignment="1">
      <alignment horizontal="center" vertical="top" wrapText="1" readingOrder="2"/>
    </xf>
    <xf numFmtId="0" fontId="34" fillId="9" borderId="74" xfId="0" applyFont="1" applyFill="1" applyBorder="1" applyAlignment="1">
      <alignment horizontal="center" vertical="top" wrapText="1" readingOrder="2"/>
    </xf>
    <xf numFmtId="170" fontId="30" fillId="6" borderId="1" xfId="1" applyNumberFormat="1" applyFont="1" applyFill="1" applyBorder="1" applyAlignment="1" applyProtection="1">
      <alignment horizontal="center" vertical="center" readingOrder="2"/>
      <protection locked="0"/>
    </xf>
    <xf numFmtId="170" fontId="30" fillId="6" borderId="1" xfId="1" applyNumberFormat="1" applyFont="1" applyFill="1" applyBorder="1" applyAlignment="1" applyProtection="1">
      <alignment horizontal="center" readingOrder="2"/>
      <protection locked="0"/>
    </xf>
    <xf numFmtId="170" fontId="30" fillId="4" borderId="1" xfId="1" applyNumberFormat="1" applyFont="1" applyFill="1" applyBorder="1" applyAlignment="1">
      <alignment horizontal="center" readingOrder="2"/>
    </xf>
    <xf numFmtId="0" fontId="110" fillId="0" borderId="3" xfId="0" applyFont="1" applyBorder="1" applyAlignment="1">
      <alignment horizontal="right" vertical="center" readingOrder="2"/>
    </xf>
    <xf numFmtId="0" fontId="110" fillId="0" borderId="32" xfId="0" applyFont="1" applyBorder="1" applyAlignment="1">
      <alignment horizontal="right" vertical="center" readingOrder="2"/>
    </xf>
    <xf numFmtId="0" fontId="110" fillId="0" borderId="30" xfId="0" applyFont="1" applyBorder="1" applyAlignment="1">
      <alignment horizontal="right" vertical="center" readingOrder="2"/>
    </xf>
    <xf numFmtId="0" fontId="49" fillId="0" borderId="0" xfId="0" applyFont="1"/>
    <xf numFmtId="0" fontId="0" fillId="0" borderId="38" xfId="0" applyBorder="1" applyAlignment="1">
      <alignment horizontal="center" vertical="center"/>
    </xf>
    <xf numFmtId="0" fontId="0" fillId="0" borderId="8" xfId="0" applyBorder="1" applyAlignment="1">
      <alignment horizontal="center" vertical="center"/>
    </xf>
    <xf numFmtId="0" fontId="0" fillId="0" borderId="69" xfId="0" applyBorder="1" applyAlignment="1">
      <alignment horizontal="center" vertical="center"/>
    </xf>
    <xf numFmtId="0" fontId="69" fillId="15" borderId="0" xfId="6" applyFont="1" applyFill="1" applyAlignment="1">
      <alignment horizontal="center"/>
    </xf>
    <xf numFmtId="0" fontId="52" fillId="15" borderId="81" xfId="6" applyFont="1" applyFill="1" applyBorder="1" applyAlignment="1">
      <alignment horizontal="right"/>
    </xf>
    <xf numFmtId="0" fontId="52" fillId="15" borderId="82" xfId="6" applyFont="1" applyFill="1" applyBorder="1" applyAlignment="1">
      <alignment horizontal="right"/>
    </xf>
    <xf numFmtId="0" fontId="52" fillId="15" borderId="83" xfId="6" applyFont="1" applyFill="1" applyBorder="1" applyAlignment="1">
      <alignment horizontal="right"/>
    </xf>
    <xf numFmtId="0" fontId="51" fillId="6" borderId="81" xfId="6" applyFill="1" applyBorder="1" applyAlignment="1" applyProtection="1">
      <alignment horizontal="right"/>
      <protection locked="0"/>
    </xf>
    <xf numFmtId="0" fontId="51" fillId="6" borderId="83" xfId="6" applyFill="1" applyBorder="1" applyAlignment="1" applyProtection="1">
      <alignment horizontal="right"/>
      <protection locked="0"/>
    </xf>
    <xf numFmtId="0" fontId="51" fillId="15" borderId="90" xfId="6" applyFill="1" applyBorder="1" applyAlignment="1">
      <alignment horizontal="right" readingOrder="2"/>
    </xf>
    <xf numFmtId="0" fontId="51" fillId="15" borderId="91" xfId="6" applyFill="1" applyBorder="1" applyAlignment="1">
      <alignment horizontal="right" readingOrder="2"/>
    </xf>
    <xf numFmtId="0" fontId="51" fillId="15" borderId="84" xfId="6" applyFill="1" applyBorder="1" applyAlignment="1">
      <alignment horizontal="right"/>
    </xf>
    <xf numFmtId="0" fontId="51" fillId="15" borderId="92" xfId="6" applyFill="1" applyBorder="1" applyAlignment="1">
      <alignment horizontal="right"/>
    </xf>
    <xf numFmtId="0" fontId="51" fillId="15" borderId="87" xfId="6" applyFill="1" applyBorder="1" applyAlignment="1">
      <alignment horizontal="right"/>
    </xf>
    <xf numFmtId="0" fontId="51" fillId="15" borderId="93" xfId="6" applyFill="1" applyBorder="1" applyAlignment="1">
      <alignment horizontal="right"/>
    </xf>
    <xf numFmtId="0" fontId="25" fillId="0" borderId="0" xfId="0" applyFont="1" applyAlignment="1">
      <alignment horizontal="center" wrapText="1"/>
    </xf>
    <xf numFmtId="0" fontId="25" fillId="0" borderId="0" xfId="0" applyFont="1" applyAlignment="1">
      <alignment horizontal="center"/>
    </xf>
    <xf numFmtId="0" fontId="23" fillId="0" borderId="0" xfId="0" applyFont="1" applyAlignment="1">
      <alignment horizontal="center"/>
    </xf>
    <xf numFmtId="0" fontId="38" fillId="0" borderId="3" xfId="0" applyFont="1" applyBorder="1" applyAlignment="1" applyProtection="1">
      <alignment horizontal="center" vertical="center" readingOrder="2"/>
      <protection hidden="1"/>
    </xf>
    <xf numFmtId="0" fontId="38" fillId="0" borderId="32" xfId="0" applyFont="1" applyBorder="1" applyAlignment="1" applyProtection="1">
      <alignment horizontal="center" vertical="center" readingOrder="2"/>
      <protection hidden="1"/>
    </xf>
    <xf numFmtId="0" fontId="38" fillId="0" borderId="30" xfId="0" applyFont="1" applyBorder="1" applyAlignment="1" applyProtection="1">
      <alignment horizontal="center" vertical="center" readingOrder="2"/>
      <protection hidden="1"/>
    </xf>
    <xf numFmtId="0" fontId="83" fillId="0" borderId="0" xfId="0" applyFont="1" applyAlignment="1">
      <alignment horizontal="center"/>
    </xf>
  </cellXfs>
  <cellStyles count="31">
    <cellStyle name="Base" xfId="22" xr:uid="{00000000-0005-0000-0000-000000000000}"/>
    <cellStyle name="Col_head" xfId="12" xr:uid="{00000000-0005-0000-0000-000001000000}"/>
    <cellStyle name="Col_head_e" xfId="14" xr:uid="{00000000-0005-0000-0000-000002000000}"/>
    <cellStyle name="Col_head_h" xfId="13" xr:uid="{00000000-0005-0000-0000-000003000000}"/>
    <cellStyle name="Comma" xfId="1" builtinId="3"/>
    <cellStyle name="Comma 2" xfId="2" xr:uid="{00000000-0005-0000-0000-000005000000}"/>
    <cellStyle name="Currency" xfId="3" builtinId="4"/>
    <cellStyle name="Currency 2" xfId="7" xr:uid="{00000000-0005-0000-0000-000007000000}"/>
    <cellStyle name="Date" xfId="23" xr:uid="{00000000-0005-0000-0000-000008000000}"/>
    <cellStyle name="Fixed" xfId="24" xr:uid="{00000000-0005-0000-0000-000009000000}"/>
    <cellStyle name="Foot" xfId="25" xr:uid="{00000000-0005-0000-0000-00000A000000}"/>
    <cellStyle name="Head" xfId="26" xr:uid="{00000000-0005-0000-0000-00000B000000}"/>
    <cellStyle name="Heading1" xfId="27" xr:uid="{00000000-0005-0000-0000-00000C000000}"/>
    <cellStyle name="Heading2" xfId="28" xr:uid="{00000000-0005-0000-0000-00000D000000}"/>
    <cellStyle name="Mida" xfId="29" xr:uid="{00000000-0005-0000-0000-00000E000000}"/>
    <cellStyle name="Name" xfId="11" xr:uid="{00000000-0005-0000-0000-00000F000000}"/>
    <cellStyle name="Normal" xfId="0" builtinId="0"/>
    <cellStyle name="Normal 2" xfId="4" xr:uid="{00000000-0005-0000-0000-000011000000}"/>
    <cellStyle name="Normal 3" xfId="6" xr:uid="{00000000-0005-0000-0000-000012000000}"/>
    <cellStyle name="Normal 4" xfId="21" xr:uid="{00000000-0005-0000-0000-000013000000}"/>
    <cellStyle name="Percent" xfId="5" builtinId="5"/>
    <cellStyle name="Sub_head" xfId="16" xr:uid="{00000000-0005-0000-0000-000015000000}"/>
    <cellStyle name="Sub_head_e" xfId="17" xr:uid="{00000000-0005-0000-0000-000016000000}"/>
    <cellStyle name="Sub_head_h" xfId="15" xr:uid="{00000000-0005-0000-0000-000017000000}"/>
    <cellStyle name="Text" xfId="20" xr:uid="{00000000-0005-0000-0000-000018000000}"/>
    <cellStyle name="Text_e" xfId="8" xr:uid="{00000000-0005-0000-0000-000019000000}"/>
    <cellStyle name="Text_h" xfId="19" xr:uid="{00000000-0005-0000-0000-00001A000000}"/>
    <cellStyle name="Total" xfId="30" xr:uid="{00000000-0005-0000-0000-00001B000000}"/>
    <cellStyle name="Total_e" xfId="9" xr:uid="{00000000-0005-0000-0000-00001C000000}"/>
    <cellStyle name="Total_h" xfId="18" xr:uid="{00000000-0005-0000-0000-00001D000000}"/>
    <cellStyle name="היפר-קישור" xfId="10" builtinId="8"/>
  </cellStyles>
  <dxfs count="10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auto="1"/>
      </font>
      <fill>
        <patternFill>
          <bgColor indexed="26"/>
        </patternFill>
      </fill>
    </dxf>
    <dxf>
      <font>
        <condense val="0"/>
        <extend val="0"/>
        <color auto="1"/>
      </font>
      <fill>
        <patternFill patternType="solid">
          <bgColor indexed="26"/>
        </patternFill>
      </fill>
      <border>
        <left/>
        <right/>
        <top/>
        <bottom style="thin">
          <color indexed="22"/>
        </bottom>
      </border>
    </dxf>
    <dxf>
      <font>
        <condense val="0"/>
        <extend val="0"/>
        <color auto="1"/>
      </font>
      <fill>
        <patternFill patternType="solid">
          <bgColor indexed="9"/>
        </patternFill>
      </fill>
      <border>
        <left/>
        <right/>
        <top/>
        <bottom style="thin">
          <color indexed="22"/>
        </bottom>
      </border>
    </dxf>
    <dxf>
      <font>
        <condense val="0"/>
        <extend val="0"/>
        <color indexed="9"/>
      </font>
      <fill>
        <patternFill patternType="solid">
          <bgColor indexed="9"/>
        </patternFill>
      </fill>
    </dxf>
    <dxf>
      <font>
        <condense val="0"/>
        <extend val="0"/>
        <color auto="1"/>
      </font>
      <fill>
        <patternFill>
          <bgColor indexed="26"/>
        </patternFill>
      </fill>
    </dxf>
    <dxf>
      <font>
        <condense val="0"/>
        <extend val="0"/>
        <color auto="1"/>
      </font>
      <fill>
        <patternFill patternType="solid">
          <bgColor indexed="26"/>
        </patternFill>
      </fill>
      <border>
        <left/>
        <right/>
        <top/>
        <bottom style="thin">
          <color indexed="22"/>
        </bottom>
      </border>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ndense val="0"/>
        <extend val="0"/>
        <color rgb="FF006100"/>
      </font>
      <fill>
        <patternFill>
          <bgColor rgb="FFC6EFCE"/>
        </patternFill>
      </fill>
    </dxf>
    <dxf>
      <font>
        <condense val="0"/>
        <extend val="0"/>
        <color rgb="FF9C0006"/>
      </font>
      <fill>
        <patternFill>
          <bgColor rgb="FFFFC7CE"/>
        </patternFill>
      </fill>
    </dxf>
    <dxf>
      <fill>
        <patternFill>
          <bgColor rgb="FF92D050"/>
        </patternFill>
      </fill>
    </dxf>
    <dxf>
      <fill>
        <patternFill>
          <bgColor rgb="FFFF0000"/>
        </patternFill>
      </fill>
    </dxf>
    <dxf>
      <font>
        <b/>
        <i val="0"/>
        <u val="double"/>
        <color auto="1"/>
      </font>
      <numFmt numFmtId="30" formatCode="@"/>
      <fill>
        <patternFill>
          <bgColor rgb="FFFF0000"/>
        </patternFill>
      </fill>
    </dxf>
    <dxf>
      <font>
        <b/>
        <i val="0"/>
        <u val="double"/>
        <color auto="1"/>
      </font>
      <numFmt numFmtId="30" formatCode="@"/>
      <fill>
        <patternFill>
          <bgColor rgb="FFFF0000"/>
        </patternFill>
      </fill>
    </dxf>
    <dxf>
      <font>
        <b/>
        <i val="0"/>
        <u val="double"/>
        <color auto="1"/>
      </font>
      <numFmt numFmtId="30" formatCode="@"/>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b/>
        <i val="0"/>
        <u val="double"/>
        <color auto="1"/>
      </font>
      <numFmt numFmtId="30" formatCode="@"/>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00B050"/>
        </patternFill>
      </fill>
    </dxf>
    <dxf>
      <fill>
        <patternFill>
          <bgColor rgb="FF00B050"/>
        </patternFill>
      </fill>
    </dxf>
    <dxf>
      <fill>
        <patternFill>
          <bgColor rgb="FF92D050"/>
        </patternFill>
      </fill>
    </dxf>
    <dxf>
      <fill>
        <patternFill>
          <bgColor rgb="FF92D050"/>
        </patternFill>
      </fill>
    </dxf>
    <dxf>
      <font>
        <condense val="0"/>
        <extend val="0"/>
        <color rgb="FF006100"/>
      </font>
      <fill>
        <patternFill>
          <bgColor rgb="FFC6EFCE"/>
        </patternFill>
      </fill>
    </dxf>
    <dxf>
      <fill>
        <patternFill patternType="solid">
          <fgColor auto="1"/>
          <bgColor rgb="FF00B050"/>
        </patternFill>
      </fill>
    </dxf>
    <dxf>
      <fill>
        <patternFill>
          <bgColor rgb="FF92D050"/>
        </patternFill>
      </fill>
    </dxf>
    <dxf>
      <font>
        <strike val="0"/>
        <outline val="0"/>
        <shadow val="0"/>
        <vertAlign val="baseline"/>
        <color theme="1"/>
        <name val="Calibri"/>
        <scheme val="minor"/>
      </font>
      <numFmt numFmtId="168" formatCode="_ &quot;₪&quot;\ * #,##0_ ;_ &quot;₪&quot;\ * \-#,##0_ ;_ &quot;₪&quot;\ * &quot;-&quot;??_ ;_ @_ "/>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right" vertical="bottom" textRotation="0" wrapText="1" relativeIndent="0" justifyLastLine="0" shrinkToFit="0" readingOrder="2"/>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theme="1"/>
        <name val="Calibri"/>
        <scheme val="minor"/>
      </font>
    </dxf>
    <dxf>
      <border outline="0">
        <bottom style="thin">
          <color indexed="64"/>
        </bottom>
      </border>
    </dxf>
    <dxf>
      <font>
        <b/>
        <i val="0"/>
        <strike val="0"/>
        <condense val="0"/>
        <extend val="0"/>
        <outline val="0"/>
        <shadow val="0"/>
        <u/>
        <vertAlign val="baseline"/>
        <sz val="12"/>
        <color theme="1"/>
        <name val="Calibri"/>
        <scheme val="minor"/>
      </font>
      <fill>
        <patternFill patternType="solid">
          <fgColor indexed="64"/>
          <bgColor rgb="FF92D050"/>
        </patternFill>
      </fill>
      <alignment horizontal="right" vertical="bottom" textRotation="0" wrapText="0" relativeIndent="0" justifyLastLine="0" shrinkToFit="0" readingOrder="2"/>
      <border diagonalUp="0" diagonalDown="0" outline="0">
        <left style="thin">
          <color indexed="64"/>
        </left>
        <right style="thin">
          <color indexed="64"/>
        </right>
        <top/>
        <bottom/>
      </border>
    </dxf>
    <dxf>
      <numFmt numFmtId="168" formatCode="_ &quot;₪&quot;\ * #,##0_ ;_ &quot;₪&quot;\ * \-#,##0_ ;_ &quot;₪&quot;\ * &quot;-&quot;??_ ;_ @_ "/>
    </dxf>
    <dxf>
      <numFmt numFmtId="168" formatCode="_ &quot;₪&quot;\ * #,##0_ ;_ &quot;₪&quot;\ * \-#,##0_ ;_ &quot;₪&quot;\ * &quot;-&quot;??_ ;_ @_ "/>
    </dxf>
    <dxf>
      <numFmt numFmtId="168" formatCode="_ &quot;₪&quot;\ * #,##0_ ;_ &quot;₪&quot;\ * \-#,##0_ ;_ &quot;₪&quot;\ * &quot;-&quot;??_ ;_ @_ "/>
    </dxf>
    <dxf>
      <numFmt numFmtId="168" formatCode="_ &quot;₪&quot;\ * #,##0_ ;_ &quot;₪&quot;\ * \-#,##0_ ;_ &quot;₪&quot;\ * &quot;-&quot;??_ ;_ @_ "/>
    </dxf>
    <dxf>
      <numFmt numFmtId="191" formatCode="_ &quot;₪&quot;\ * #,##0.000_ ;_ &quot;₪&quot;\ * \-#,##0.000_ ;_ &quot;₪&quot;\ * &quot;-&quot;???_ ;_ @_ "/>
    </dxf>
    <dxf>
      <numFmt numFmtId="168" formatCode="_ &quot;₪&quot;\ * #,##0_ ;_ &quot;₪&quot;\ * \-#,##0_ ;_ &quot;₪&quot;\ * &quot;-&quot;??_ ;_ @_ "/>
    </dxf>
    <dxf>
      <numFmt numFmtId="168" formatCode="_ &quot;₪&quot;\ * #,##0_ ;_ &quot;₪&quot;\ * \-#,##0_ ;_ &quot;₪&quot;\ * &quot;-&quot;??_ ;_ @_ "/>
    </dxf>
    <dxf>
      <numFmt numFmtId="191" formatCode="_ &quot;₪&quot;\ * #,##0.000_ ;_ &quot;₪&quot;\ * \-#,##0.000_ ;_ &quot;₪&quot;\ * &quot;-&quot;???_ ;_ @_ "/>
    </dxf>
    <dxf>
      <numFmt numFmtId="168" formatCode="_ &quot;₪&quot;\ * #,##0_ ;_ &quot;₪&quot;\ * \-#,##0_ ;_ &quot;₪&quot;\ * &quot;-&quot;??_ ;_ @_ "/>
    </dxf>
    <dxf>
      <numFmt numFmtId="168" formatCode="_ &quot;₪&quot;\ * #,##0_ ;_ &quot;₪&quot;\ * \-#,##0_ ;_ &quot;₪&quot;\ * &quot;-&quot;??_ ;_ @_ "/>
    </dxf>
    <dxf>
      <numFmt numFmtId="168" formatCode="_ &quot;₪&quot;\ * #,##0_ ;_ &quot;₪&quot;\ * \-#,##0_ ;_ &quot;₪&quot;\ * &quot;-&quot;??_ ;_ @_ "/>
    </dxf>
    <dxf>
      <numFmt numFmtId="168" formatCode="_ &quot;₪&quot;\ * #,##0_ ;_ &quot;₪&quot;\ * \-#,##0_ ;_ &quot;₪&quot;\ * &quot;-&quot;??_ ;_ @_ "/>
    </dxf>
    <dxf>
      <numFmt numFmtId="168" formatCode="_ &quot;₪&quot;\ * #,##0_ ;_ &quot;₪&quot;\ * \-#,##0_ ;_ &quot;₪&quot;\ * &quot;-&quot;??_ ;_ @_ "/>
    </dxf>
    <dxf>
      <numFmt numFmtId="168" formatCode="_ &quot;₪&quot;\ * #,##0_ ;_ &quot;₪&quot;\ * \-#,##0_ ;_ &quot;₪&quot;\ * &quot;-&quot;??_ ;_ @_ "/>
    </dxf>
    <dxf>
      <numFmt numFmtId="0" formatCode="General"/>
      <border diagonalUp="0" diagonalDown="0" outline="0">
        <left/>
        <right/>
        <top/>
        <bottom/>
      </border>
    </dxf>
    <dxf>
      <numFmt numFmtId="0" formatCode="General"/>
    </dxf>
    <dxf>
      <numFmt numFmtId="0" formatCode="General"/>
      <border diagonalUp="0" diagonalDown="0" outline="0">
        <left/>
        <right/>
        <top/>
        <bottom/>
      </border>
    </dxf>
    <dxf>
      <numFmt numFmtId="0" formatCode="General"/>
      <border outline="0">
        <left style="thin">
          <color indexed="64"/>
        </left>
      </border>
    </dxf>
    <dxf>
      <border diagonalUp="0" diagonalDown="0" outline="0">
        <left style="thin">
          <color indexed="64"/>
        </left>
        <right style="thin">
          <color indexed="64"/>
        </right>
        <top style="thin">
          <color indexed="64"/>
        </top>
        <bottom/>
      </border>
    </dxf>
    <dxf>
      <fill>
        <patternFill patternType="solid">
          <fgColor indexed="64"/>
          <bgColor rgb="FF92D050"/>
        </patternFill>
      </fill>
      <border diagonalUp="0" diagonalDown="0">
        <left style="thin">
          <color indexed="64"/>
        </left>
        <right style="thin">
          <color indexed="64"/>
        </right>
        <top style="thin">
          <color indexed="64"/>
        </top>
        <bottom style="thin">
          <color indexed="64"/>
        </bottom>
      </border>
      <protection locked="0" hidden="0"/>
    </dxf>
    <dxf>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alignment horizontal="right" vertical="bottom" textRotation="0" wrapText="0" relativeIndent="0" justifyLastLine="0" shrinkToFit="0" readingOrder="2"/>
      <border diagonalUp="0" diagonalDown="0">
        <left style="medium">
          <color indexed="64"/>
        </left>
        <right style="medium">
          <color indexed="64"/>
        </right>
        <top/>
        <bottom style="medium">
          <color indexed="64"/>
        </bottom>
      </border>
    </dxf>
    <dxf>
      <border outline="0">
        <top style="medium">
          <color indexed="64"/>
        </top>
      </border>
    </dxf>
    <dxf>
      <border outline="0">
        <bottom style="medium">
          <color indexed="64"/>
        </bottom>
      </border>
    </dxf>
    <dxf>
      <font>
        <b val="0"/>
        <i val="0"/>
        <strike val="0"/>
        <condense val="0"/>
        <extend val="0"/>
        <outline val="0"/>
        <shadow val="0"/>
        <u val="none"/>
        <vertAlign val="baseline"/>
        <sz val="12"/>
        <color theme="1"/>
        <name val="David"/>
        <scheme val="none"/>
      </font>
      <fill>
        <patternFill patternType="none">
          <fgColor indexed="64"/>
          <bgColor indexed="65"/>
        </patternFill>
      </fill>
      <alignment horizontal="center" vertical="bottom" textRotation="0" wrapText="1" relativeIndent="0" justifyLastLine="0" shrinkToFit="0" readingOrder="2"/>
      <border diagonalUp="0" diagonalDown="0" outline="0">
        <left style="medium">
          <color indexed="64"/>
        </left>
        <right style="medium">
          <color indexed="64"/>
        </right>
        <top/>
        <bottom/>
      </border>
    </dxf>
    <dxf>
      <numFmt numFmtId="170" formatCode="_ * #,##0_ ;_ * \-#,##0_ ;_ * &quot;-&quot;??_ ;_ @_ "/>
    </dxf>
    <dxf>
      <numFmt numFmtId="13" formatCode="0%"/>
    </dxf>
    <dxf>
      <numFmt numFmtId="0" formatCode="General"/>
    </dxf>
    <dxf>
      <font>
        <b val="0"/>
        <i val="0"/>
        <strike val="0"/>
        <condense val="0"/>
        <extend val="0"/>
        <outline val="0"/>
        <shadow val="0"/>
        <u val="none"/>
        <vertAlign val="baseline"/>
        <sz val="11"/>
        <color theme="1"/>
        <name val="Arial"/>
        <scheme val="minor"/>
      </font>
      <numFmt numFmtId="168" formatCode="_ &quot;₪&quot;\ * #,##0_ ;_ &quot;₪&quot;\ * \-#,##0_ ;_ &quot;₪&quot;\ * &quot;-&quot;??_ ;_ @_ "/>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minor"/>
      </font>
      <border diagonalUp="0" diagonalDown="0">
        <left style="thin">
          <color indexed="64"/>
        </left>
        <right style="thin">
          <color indexed="64"/>
        </right>
        <top style="thin">
          <color indexed="64"/>
        </top>
        <bottom style="thin">
          <color indexed="64"/>
        </bottom>
      </border>
    </dxf>
    <dxf>
      <numFmt numFmtId="168" formatCode="_ &quot;₪&quot;\ * #,##0_ ;_ &quot;₪&quot;\ * \-#,##0_ ;_ &quot;₪&quot;\ * &quot;-&quot;??_ ;_ @_ "/>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minor"/>
      </font>
      <numFmt numFmtId="168" formatCode="_ &quot;₪&quot;\ * #,##0_ ;_ &quot;₪&quot;\ * \-#,##0_ ;_ &quot;₪&quot;\ * &quot;-&quot;??_ ;_ @_ "/>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minor"/>
      </font>
      <numFmt numFmtId="168" formatCode="_ &quot;₪&quot;\ * #,##0_ ;_ &quot;₪&quot;\ * \-#,##0_ ;_ &quot;₪&quot;\ * &quot;-&quot;??_ ;_ @_ "/>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solid">
          <fgColor indexed="64"/>
          <bgColor theme="3" tint="0.39997558519241921"/>
        </patternFill>
      </fill>
      <alignment horizontal="center" vertical="center" textRotation="0" indent="0" justifyLastLine="0" shrinkToFit="0" readingOrder="0"/>
      <border diagonalUp="0" diagonalDown="0" outline="0">
        <left style="thin">
          <color indexed="64"/>
        </left>
        <right style="thin">
          <color indexed="64"/>
        </right>
        <top/>
        <bottom/>
      </border>
    </dxf>
    <dxf>
      <font>
        <strike val="0"/>
        <outline val="0"/>
        <shadow val="0"/>
        <vertAlign val="baseline"/>
        <sz val="14"/>
        <color theme="1"/>
        <name val="Arial"/>
        <scheme val="minor"/>
      </font>
      <fill>
        <patternFill patternType="solid">
          <fgColor indexed="64"/>
          <bgColor rgb="FF92D050"/>
        </patternFill>
      </fill>
      <border diagonalUp="0" diagonalDown="0">
        <left style="thin">
          <color indexed="64"/>
        </left>
        <right/>
        <top style="thin">
          <color indexed="64"/>
        </top>
        <bottom style="thin">
          <color indexed="64"/>
        </bottom>
      </border>
      <protection locked="0" hidden="0"/>
    </dxf>
    <dxf>
      <font>
        <strike val="0"/>
        <outline val="0"/>
        <shadow val="0"/>
        <vertAlign val="baseline"/>
        <sz val="14"/>
        <color theme="1"/>
        <name val="Arial"/>
        <scheme val="minor"/>
      </font>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theme="1"/>
        <name val="Arial"/>
        <scheme val="minor"/>
      </font>
    </dxf>
    <dxf>
      <border outline="0">
        <bottom style="thin">
          <color indexed="64"/>
        </bottom>
      </border>
    </dxf>
    <dxf>
      <font>
        <strike val="0"/>
        <outline val="0"/>
        <shadow val="0"/>
        <vertAlign val="baseline"/>
        <sz val="14"/>
        <color theme="1"/>
        <name val="Arial"/>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minor"/>
      </font>
    </dxf>
    <dxf>
      <numFmt numFmtId="13" formatCode="0%"/>
    </dxf>
    <dxf>
      <font>
        <b val="0"/>
        <i val="0"/>
        <strike val="0"/>
        <condense val="0"/>
        <extend val="0"/>
        <outline val="0"/>
        <shadow val="0"/>
        <u val="none"/>
        <vertAlign val="baseline"/>
        <sz val="11"/>
        <color theme="1"/>
        <name val="Arial"/>
        <scheme val="minor"/>
      </font>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he-IL"/>
              <a:t>התפלגות עלויות הקמה</a:t>
            </a:r>
          </a:p>
        </c:rich>
      </c:tx>
      <c:layout>
        <c:manualLayout>
          <c:xMode val="edge"/>
          <c:yMode val="edge"/>
          <c:x val="0.72882842025699435"/>
          <c:y val="1.362861766469165E-2"/>
        </c:manualLayout>
      </c:layout>
      <c:overlay val="1"/>
    </c:title>
    <c:autoTitleDeleted val="0"/>
    <c:view3D>
      <c:rotX val="30"/>
      <c:rotY val="36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1"/>
            <c:showCatName val="1"/>
            <c:showSerName val="0"/>
            <c:showPercent val="1"/>
            <c:showBubbleSize val="0"/>
            <c:showLeaderLines val="1"/>
            <c:extLst>
              <c:ext xmlns:c15="http://schemas.microsoft.com/office/drawing/2012/chart" uri="{CE6537A1-D6FC-4f65-9D91-7224C49458BB}"/>
            </c:extLst>
          </c:dLbls>
          <c:cat>
            <c:strRef>
              <c:f>'נתוני הקמה'!$A$17:$A$22</c:f>
              <c:strCache>
                <c:ptCount val="6"/>
                <c:pt idx="0">
                  <c:v>עלות פיתוח</c:v>
                </c:pt>
                <c:pt idx="1">
                  <c:v>עלות תכנון ופיקוח</c:v>
                </c:pt>
                <c:pt idx="2">
                  <c:v>עלות בינוי</c:v>
                </c:pt>
                <c:pt idx="3">
                  <c:v>עלות מערכות</c:v>
                </c:pt>
                <c:pt idx="4">
                  <c:v>עלות ריהוט ודקורציה</c:v>
                </c:pt>
                <c:pt idx="5">
                  <c:v>עלות אחרת</c:v>
                </c:pt>
              </c:strCache>
            </c:strRef>
          </c:cat>
          <c:val>
            <c:numRef>
              <c:f>'נתוני הקמה'!$B$17:$B$22</c:f>
              <c:numCache>
                <c:formatCode>_ * #,##0_ ;_ * \-#,##0_ ;_ * "-"??_ ;_ @_ </c:formatCode>
                <c:ptCount val="6"/>
              </c:numCache>
            </c:numRef>
          </c:val>
          <c:extLst>
            <c:ext xmlns:c16="http://schemas.microsoft.com/office/drawing/2014/chart" uri="{C3380CC4-5D6E-409C-BE32-E72D297353CC}">
              <c16:uniqueId val="{00000000-4D37-4950-9CAA-D0826A4D06D3}"/>
            </c:ext>
          </c:extLst>
        </c:ser>
        <c:dLbls>
          <c:showLegendKey val="0"/>
          <c:showVal val="0"/>
          <c:showCatName val="0"/>
          <c:showSerName val="0"/>
          <c:showPercent val="0"/>
          <c:showBubbleSize val="0"/>
          <c:showLeaderLines val="1"/>
        </c:dLbls>
      </c:pie3DChart>
    </c:plotArea>
    <c:legend>
      <c:legendPos val="b"/>
      <c:overlay val="0"/>
    </c:legend>
    <c:plotVisOnly val="1"/>
    <c:dispBlanksAs val="gap"/>
    <c:showDLblsOverMax val="0"/>
  </c:chart>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rintSettings>
    <c:headerFooter/>
    <c:pageMargins b="0.75000000000000278" l="0.70000000000000062" r="0.70000000000000062" t="0.7500000000000027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1600"/>
            </a:pPr>
            <a:r>
              <a:rPr lang="he-IL" sz="1600"/>
              <a:t>התפלגות</a:t>
            </a:r>
            <a:r>
              <a:rPr lang="he-IL" sz="1600" baseline="0"/>
              <a:t> עלויות תפעול - שנה ראשונה</a:t>
            </a:r>
            <a:endParaRPr lang="he-IL" sz="1600"/>
          </a:p>
        </c:rich>
      </c:tx>
      <c:layout>
        <c:manualLayout>
          <c:xMode val="edge"/>
          <c:yMode val="edge"/>
          <c:x val="0.6192497279303506"/>
          <c:y val="8.7575259989053546E-3"/>
        </c:manualLayout>
      </c:layout>
      <c:overlay val="1"/>
    </c:title>
    <c:autoTitleDeleted val="0"/>
    <c:view3D>
      <c:rotX val="30"/>
      <c:rotY val="36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1"/>
            <c:showCatName val="1"/>
            <c:showSerName val="0"/>
            <c:showPercent val="1"/>
            <c:showBubbleSize val="0"/>
            <c:showLeaderLines val="1"/>
            <c:extLst>
              <c:ext xmlns:c15="http://schemas.microsoft.com/office/drawing/2012/chart" uri="{CE6537A1-D6FC-4f65-9D91-7224C49458BB}"/>
            </c:extLst>
          </c:dLbls>
          <c:cat>
            <c:strRef>
              <c:f>גרפים!$A$38:$A$46</c:f>
              <c:strCache>
                <c:ptCount val="9"/>
                <c:pt idx="0">
                  <c:v>הפעלת חדרים ואחזקה</c:v>
                </c:pt>
                <c:pt idx="1">
                  <c:v>הוצאות בגין  הכנסות שונות</c:v>
                </c:pt>
                <c:pt idx="2">
                  <c:v>מזון ומשקאות</c:v>
                </c:pt>
                <c:pt idx="3">
                  <c:v>חברת ניהול</c:v>
                </c:pt>
                <c:pt idx="4">
                  <c:v>עלות שכר עבודה</c:v>
                </c:pt>
                <c:pt idx="5">
                  <c:v>שיווק ומכירות</c:v>
                </c:pt>
                <c:pt idx="6">
                  <c:v>הנהלה וכלליות ללא שכר</c:v>
                </c:pt>
                <c:pt idx="7">
                  <c:v>פחת</c:v>
                </c:pt>
                <c:pt idx="8">
                  <c:v>אנרגיה</c:v>
                </c:pt>
              </c:strCache>
            </c:strRef>
          </c:cat>
          <c:val>
            <c:numRef>
              <c:f>גרפים!$B$38:$B$46</c:f>
              <c:numCache>
                <c:formatCode>_ * #,##0_ ;_ * \-#,##0_ ;_ * "-"??_ ;_ @_ </c:formatCode>
                <c:ptCount val="9"/>
                <c:pt idx="0">
                  <c:v>#N/A</c:v>
                </c:pt>
                <c:pt idx="1">
                  <c:v>#N/A</c:v>
                </c:pt>
                <c:pt idx="2">
                  <c:v>#N/A</c:v>
                </c:pt>
                <c:pt idx="3">
                  <c:v>#N/A</c:v>
                </c:pt>
                <c:pt idx="4">
                  <c:v>0</c:v>
                </c:pt>
                <c:pt idx="5">
                  <c:v>#N/A</c:v>
                </c:pt>
                <c:pt idx="6">
                  <c:v>#N/A</c:v>
                </c:pt>
                <c:pt idx="7">
                  <c:v>#N/A</c:v>
                </c:pt>
                <c:pt idx="8">
                  <c:v>#N/A</c:v>
                </c:pt>
              </c:numCache>
            </c:numRef>
          </c:val>
          <c:extLst>
            <c:ext xmlns:c16="http://schemas.microsoft.com/office/drawing/2014/chart" uri="{C3380CC4-5D6E-409C-BE32-E72D297353CC}">
              <c16:uniqueId val="{00000000-A669-4C09-9AE8-01F67E40FFD3}"/>
            </c:ext>
          </c:extLst>
        </c:ser>
        <c:dLbls>
          <c:showLegendKey val="0"/>
          <c:showVal val="0"/>
          <c:showCatName val="0"/>
          <c:showSerName val="0"/>
          <c:showPercent val="0"/>
          <c:showBubbleSize val="0"/>
          <c:showLeaderLines val="1"/>
        </c:dLbls>
      </c:pie3DChart>
    </c:plotArea>
    <c:legend>
      <c:legendPos val="b"/>
      <c:overlay val="0"/>
    </c:legend>
    <c:plotVisOnly val="1"/>
    <c:dispBlanksAs val="gap"/>
    <c:showDLblsOverMax val="0"/>
  </c:chart>
  <c:printSettings>
    <c:headerFooter/>
    <c:pageMargins b="0.75000000000000278" l="0.70000000000000062" r="0.70000000000000062" t="0.75000000000000278" header="0.30000000000000032" footer="0.30000000000000032"/>
    <c:pageSetup paperSize="9" orientation="landscape" verticalDpi="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he-IL"/>
              <a:t>התפלגות הכנסות לפי סוגים</a:t>
            </a:r>
          </a:p>
        </c:rich>
      </c:tx>
      <c:overlay val="1"/>
    </c:title>
    <c:autoTitleDeleted val="0"/>
    <c:plotArea>
      <c:layout>
        <c:manualLayout>
          <c:layoutTarget val="inner"/>
          <c:xMode val="edge"/>
          <c:yMode val="edge"/>
          <c:x val="0.20453922426363369"/>
          <c:y val="6.6666655377757095E-2"/>
          <c:w val="0.61869932925051396"/>
          <c:h val="0.86218730637756225"/>
        </c:manualLayout>
      </c:layout>
      <c:pieChart>
        <c:varyColors val="1"/>
        <c:ser>
          <c:idx val="0"/>
          <c:order val="0"/>
          <c:explosion val="25"/>
          <c:cat>
            <c:strRef>
              <c:f>'רווח והפסד'!$A$3:$A$9</c:f>
              <c:strCache>
                <c:ptCount val="7"/>
                <c:pt idx="0">
                  <c:v>לינות</c:v>
                </c:pt>
                <c:pt idx="1">
                  <c:v>מזון ומשקאות</c:v>
                </c:pt>
                <c:pt idx="2">
                  <c:v>לובי וחדרים</c:v>
                </c:pt>
                <c:pt idx="3">
                  <c:v>SPA</c:v>
                </c:pt>
                <c:pt idx="4">
                  <c:v>אירועים</c:v>
                </c:pt>
                <c:pt idx="5">
                  <c:v>השכרת שטחים מסחריים</c:v>
                </c:pt>
                <c:pt idx="6">
                  <c:v>אחרות</c:v>
                </c:pt>
              </c:strCache>
            </c:strRef>
          </c:cat>
          <c:val>
            <c:numRef>
              <c:f>'רווח והפסד'!$B$3:$B$9</c:f>
              <c:numCache>
                <c:formatCode>General</c:formatCode>
                <c:ptCount val="7"/>
              </c:numCache>
            </c:numRef>
          </c:val>
          <c:extLst>
            <c:ext xmlns:c16="http://schemas.microsoft.com/office/drawing/2014/chart" uri="{C3380CC4-5D6E-409C-BE32-E72D297353CC}">
              <c16:uniqueId val="{00000000-8E5E-4CDB-94C4-AEF261F63BD9}"/>
            </c:ext>
          </c:extLst>
        </c:ser>
        <c:ser>
          <c:idx val="1"/>
          <c:order val="1"/>
          <c:explosion val="25"/>
          <c:cat>
            <c:strRef>
              <c:f>'רווח והפסד'!$A$3:$A$9</c:f>
              <c:strCache>
                <c:ptCount val="7"/>
                <c:pt idx="0">
                  <c:v>לינות</c:v>
                </c:pt>
                <c:pt idx="1">
                  <c:v>מזון ומשקאות</c:v>
                </c:pt>
                <c:pt idx="2">
                  <c:v>לובי וחדרים</c:v>
                </c:pt>
                <c:pt idx="3">
                  <c:v>SPA</c:v>
                </c:pt>
                <c:pt idx="4">
                  <c:v>אירועים</c:v>
                </c:pt>
                <c:pt idx="5">
                  <c:v>השכרת שטחים מסחריים</c:v>
                </c:pt>
                <c:pt idx="6">
                  <c:v>אחרות</c:v>
                </c:pt>
              </c:strCache>
            </c:strRef>
          </c:cat>
          <c:val>
            <c:numRef>
              <c:f>'רווח והפסד'!$C$3:$C$9</c:f>
              <c:numCache>
                <c:formatCode>_ * #,##0_ ;_ * \-#,##0_ ;_ * "-"??_ ;_ @_ </c:formatCode>
                <c:ptCount val="7"/>
                <c:pt idx="0">
                  <c:v>#N/A</c:v>
                </c:pt>
                <c:pt idx="1">
                  <c:v>#N/A</c:v>
                </c:pt>
                <c:pt idx="2">
                  <c:v>#N/A</c:v>
                </c:pt>
                <c:pt idx="3">
                  <c:v>0</c:v>
                </c:pt>
                <c:pt idx="4">
                  <c:v>0</c:v>
                </c:pt>
                <c:pt idx="5">
                  <c:v>0</c:v>
                </c:pt>
                <c:pt idx="6">
                  <c:v>0</c:v>
                </c:pt>
              </c:numCache>
            </c:numRef>
          </c:val>
          <c:extLst>
            <c:ext xmlns:c16="http://schemas.microsoft.com/office/drawing/2014/chart" uri="{C3380CC4-5D6E-409C-BE32-E72D297353CC}">
              <c16:uniqueId val="{00000001-8E5E-4CDB-94C4-AEF261F63BD9}"/>
            </c:ext>
          </c:extLst>
        </c:ser>
        <c:dLbls>
          <c:showLegendKey val="0"/>
          <c:showVal val="0"/>
          <c:showCatName val="0"/>
          <c:showSerName val="0"/>
          <c:showPercent val="0"/>
          <c:showBubbleSize val="0"/>
          <c:showLeaderLines val="1"/>
        </c:dLbls>
        <c:firstSliceAng val="360"/>
      </c:pieChart>
    </c:plotArea>
    <c:legend>
      <c:legendPos val="b"/>
      <c:overlay val="0"/>
    </c:legend>
    <c:plotVisOnly val="1"/>
    <c:dispBlanksAs val="gap"/>
    <c:showDLblsOverMax val="0"/>
  </c:chart>
  <c:printSettings>
    <c:headerFooter/>
    <c:pageMargins b="0.75000000000000255" l="0.70000000000000062" r="0.70000000000000062" t="0.75000000000000255" header="0.30000000000000032" footer="0.30000000000000032"/>
    <c:pageSetup paperSize="9" orientation="landscape" verticalDpi="0"/>
  </c:printSettings>
</c:chartSpace>
</file>

<file path=xl/drawings/_rels/drawing1.xml.rels><?xml version="1.0" encoding="UTF-8" standalone="yes"?>
<Relationships xmlns="http://schemas.openxmlformats.org/package/2006/relationships"><Relationship Id="rId8" Type="http://schemas.openxmlformats.org/officeDocument/2006/relationships/hyperlink" Target="#&#1511;&#1489;&#1493;&#1506;&#1493;&#1514;!A1"/><Relationship Id="rId13" Type="http://schemas.openxmlformats.org/officeDocument/2006/relationships/hyperlink" Target="#'&#1504;.&#1489;&#1505;&#1497;&#1505; &#1500;&#1497;&#1504;&#1492;'!A1"/><Relationship Id="rId18" Type="http://schemas.openxmlformats.org/officeDocument/2006/relationships/hyperlink" Target="#'&#1495;&#1497;&#1513;&#1493;&#1489; &#1492;&#1500;&#1493;&#1493;&#1488;&#1492;'!A1"/><Relationship Id="rId3" Type="http://schemas.openxmlformats.org/officeDocument/2006/relationships/hyperlink" Target="#'&#1502;&#1511;&#1493;&#1512;&#1493;&#1514; &#1502;&#1497;&#1502;&#1493;&#1503;'!A1"/><Relationship Id="rId21" Type="http://schemas.openxmlformats.org/officeDocument/2006/relationships/hyperlink" Target="#&#1508;&#1495;&#1514;!A1"/><Relationship Id="rId7" Type="http://schemas.openxmlformats.org/officeDocument/2006/relationships/hyperlink" Target="#'&#1492;&#1499;&#1504;&#1505;&#1493;&#1514; &#1504;&#1493;&#1505;&#1508;&#1493;&#1514;'!A1"/><Relationship Id="rId12" Type="http://schemas.openxmlformats.org/officeDocument/2006/relationships/hyperlink" Target="#'&#1499;&#1491;&#1488;&#1497;&#1493;&#1514; &#1500;&#1497;&#1494;&#1501;'!A1"/><Relationship Id="rId17" Type="http://schemas.openxmlformats.org/officeDocument/2006/relationships/hyperlink" Target="#&#1492;&#1493;&#1510;&#1488;&#1493;&#1514;!A1"/><Relationship Id="rId2" Type="http://schemas.openxmlformats.org/officeDocument/2006/relationships/hyperlink" Target="#'&#1504;&#1514;&#1493;&#1504;&#1497; &#1492;&#1511;&#1502;&#1492;'!A1"/><Relationship Id="rId16" Type="http://schemas.openxmlformats.org/officeDocument/2006/relationships/hyperlink" Target="#'&#1514;&#1511;&#1512;&#1514; &#1492;&#1513;&#1511;&#1506;&#1492;'!A1"/><Relationship Id="rId20" Type="http://schemas.openxmlformats.org/officeDocument/2006/relationships/hyperlink" Target="#&#1502;&#1504;&#1492;&#1500;!A1"/><Relationship Id="rId1" Type="http://schemas.openxmlformats.org/officeDocument/2006/relationships/hyperlink" Target="#'&#1504;&#1514;&#1493;&#1504;&#1497; &#1495;&#1489;&#1512;&#1492;'!A1"/><Relationship Id="rId6" Type="http://schemas.openxmlformats.org/officeDocument/2006/relationships/hyperlink" Target="#'&#1499;&#1495; &#1488;&#1491;&#1501;'!A1"/><Relationship Id="rId11" Type="http://schemas.openxmlformats.org/officeDocument/2006/relationships/hyperlink" Target="#'&#1499;&#1491;&#1488;&#1497;&#1493;&#1514; &#1500;&#1508;&#1497;&#1512;&#1502;&#1492;'!A1"/><Relationship Id="rId5" Type="http://schemas.openxmlformats.org/officeDocument/2006/relationships/hyperlink" Target="#'&#1492;&#1499;&#1504;&#1505;&#1493;&#1514; &#1500;&#1497;&#1504;&#1492;'!A1"/><Relationship Id="rId15" Type="http://schemas.openxmlformats.org/officeDocument/2006/relationships/hyperlink" Target="#&#1512;&#1490;&#1497;&#1513;&#1493;&#1514;!A1"/><Relationship Id="rId10" Type="http://schemas.openxmlformats.org/officeDocument/2006/relationships/hyperlink" Target="#'&#1499;&#1491;&#1488;&#1497;&#1493;&#1514; &#1500;&#1502;&#1513;&#1511;'!A1"/><Relationship Id="rId19" Type="http://schemas.openxmlformats.org/officeDocument/2006/relationships/hyperlink" Target="#'&#1514;&#1494;&#1512;&#1497;&#1501; &#1502;&#1494;&#1493;&#1502;&#1504;&#1497;&#1501;'!A1"/><Relationship Id="rId4" Type="http://schemas.openxmlformats.org/officeDocument/2006/relationships/hyperlink" Target="#'&#1502;&#1494;&#1493;&#1503; &#1493;&#1502;&#1513;&#1511;&#1488;&#1493;&#1514;'!A1"/><Relationship Id="rId9" Type="http://schemas.openxmlformats.org/officeDocument/2006/relationships/hyperlink" Target="#'&#1512;&#1493;&#1493;&#1495; &#1493;&#1492;&#1508;&#1505;&#1491;'!A1"/><Relationship Id="rId14" Type="http://schemas.openxmlformats.org/officeDocument/2006/relationships/hyperlink" Target="#&#1502;&#1497;&#1502;&#1493;&#1503;!A1"/><Relationship Id="rId22" Type="http://schemas.openxmlformats.org/officeDocument/2006/relationships/hyperlink" Target="#&#1491;&#1493;&#1495;&#1493;&#1514;!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1514;&#1508;&#1512;&#1497;&#1496;!A1"/><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4.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5.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6.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7.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8.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9.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0.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1.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2.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3.xml.rels><?xml version="1.0" encoding="UTF-8" standalone="yes"?>
<Relationships xmlns="http://schemas.openxmlformats.org/package/2006/relationships"><Relationship Id="rId8" Type="http://schemas.openxmlformats.org/officeDocument/2006/relationships/hyperlink" Target="#'&#1499;&#1495; &#1488;&#1491;&#1501;'!A5"/><Relationship Id="rId3" Type="http://schemas.openxmlformats.org/officeDocument/2006/relationships/hyperlink" Target="#'&#1499;&#1495; &#1488;&#1491;&#1501;'!A26"/><Relationship Id="rId7" Type="http://schemas.openxmlformats.org/officeDocument/2006/relationships/hyperlink" Target="#&#1514;&#1508;&#1512;&#1497;&#1496;!A1"/><Relationship Id="rId2" Type="http://schemas.openxmlformats.org/officeDocument/2006/relationships/image" Target="../media/image1.png"/><Relationship Id="rId1" Type="http://schemas.openxmlformats.org/officeDocument/2006/relationships/hyperlink" Target="#'&#1499;&#1495; &#1488;&#1491;&#1501;'!A33"/><Relationship Id="rId6" Type="http://schemas.openxmlformats.org/officeDocument/2006/relationships/hyperlink" Target="#'&#1499;&#1495; &#1488;&#1491;&#1501;'!A82"/><Relationship Id="rId5" Type="http://schemas.openxmlformats.org/officeDocument/2006/relationships/hyperlink" Target="#'&#1499;&#1495; &#1488;&#1491;&#1501;'!A62"/><Relationship Id="rId4" Type="http://schemas.openxmlformats.org/officeDocument/2006/relationships/hyperlink" Target="#'&#1499;&#1495; &#1488;&#1491;&#1501;'!A15"/></Relationships>
</file>

<file path=xl/drawings/_rels/drawing14.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5.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1514;&#1508;&#1512;&#1497;&#1496;!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514;&#1508;&#1512;&#1497;&#1496;!A1"/></Relationships>
</file>

<file path=xl/drawings/_rels/drawing18.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19.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20.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21.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22.xml.rels><?xml version="1.0" encoding="UTF-8" standalone="yes"?>
<Relationships xmlns="http://schemas.openxmlformats.org/package/2006/relationships"><Relationship Id="rId1" Type="http://schemas.openxmlformats.org/officeDocument/2006/relationships/hyperlink" Target="#&#1514;&#1508;&#1512;&#1497;&#1496;!A1"/></Relationships>
</file>

<file path=xl/drawings/_rels/drawing2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238125</xdr:rowOff>
    </xdr:from>
    <xdr:to>
      <xdr:col>0</xdr:col>
      <xdr:colOff>1457325</xdr:colOff>
      <xdr:row>0</xdr:row>
      <xdr:rowOff>914400</xdr:rowOff>
    </xdr:to>
    <xdr:sp macro="" textlink="">
      <xdr:nvSpPr>
        <xdr:cNvPr id="3" name="מלבן 2">
          <a:hlinkClick xmlns:r="http://schemas.openxmlformats.org/officeDocument/2006/relationships" r:id="rId1"/>
          <a:extLst>
            <a:ext uri="{FF2B5EF4-FFF2-40B4-BE49-F238E27FC236}">
              <a16:creationId xmlns:a16="http://schemas.microsoft.com/office/drawing/2014/main" id="{00000000-0008-0000-0100-000003000000}"/>
            </a:ext>
          </a:extLst>
        </xdr:cNvPr>
        <xdr:cNvSpPr/>
      </xdr:nvSpPr>
      <xdr:spPr>
        <a:xfrm>
          <a:off x="11240690625" y="238125"/>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נתוני חברה</a:t>
          </a:r>
        </a:p>
      </xdr:txBody>
    </xdr:sp>
    <xdr:clientData/>
  </xdr:twoCellAnchor>
  <xdr:twoCellAnchor>
    <xdr:from>
      <xdr:col>1</xdr:col>
      <xdr:colOff>257175</xdr:colOff>
      <xdr:row>0</xdr:row>
      <xdr:rowOff>219075</xdr:rowOff>
    </xdr:from>
    <xdr:to>
      <xdr:col>1</xdr:col>
      <xdr:colOff>1409700</xdr:colOff>
      <xdr:row>0</xdr:row>
      <xdr:rowOff>895350</xdr:rowOff>
    </xdr:to>
    <xdr:sp macro="" textlink="">
      <xdr:nvSpPr>
        <xdr:cNvPr id="12" name="מלבן 11">
          <a:hlinkClick xmlns:r="http://schemas.openxmlformats.org/officeDocument/2006/relationships" r:id="rId2"/>
          <a:extLst>
            <a:ext uri="{FF2B5EF4-FFF2-40B4-BE49-F238E27FC236}">
              <a16:creationId xmlns:a16="http://schemas.microsoft.com/office/drawing/2014/main" id="{00000000-0008-0000-0100-00000C000000}"/>
            </a:ext>
          </a:extLst>
        </xdr:cNvPr>
        <xdr:cNvSpPr/>
      </xdr:nvSpPr>
      <xdr:spPr>
        <a:xfrm>
          <a:off x="178469925" y="219075"/>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solidFill>
                <a:sysClr val="windowText" lastClr="000000"/>
              </a:solidFill>
            </a:rPr>
            <a:t>נתוני הקמה</a:t>
          </a:r>
        </a:p>
      </xdr:txBody>
    </xdr:sp>
    <xdr:clientData/>
  </xdr:twoCellAnchor>
  <xdr:twoCellAnchor>
    <xdr:from>
      <xdr:col>2</xdr:col>
      <xdr:colOff>200025</xdr:colOff>
      <xdr:row>0</xdr:row>
      <xdr:rowOff>209550</xdr:rowOff>
    </xdr:from>
    <xdr:to>
      <xdr:col>2</xdr:col>
      <xdr:colOff>1352550</xdr:colOff>
      <xdr:row>0</xdr:row>
      <xdr:rowOff>885825</xdr:rowOff>
    </xdr:to>
    <xdr:sp macro="" textlink="">
      <xdr:nvSpPr>
        <xdr:cNvPr id="13" name="מלבן 12">
          <a:hlinkClick xmlns:r="http://schemas.openxmlformats.org/officeDocument/2006/relationships" r:id="rId3"/>
          <a:extLst>
            <a:ext uri="{FF2B5EF4-FFF2-40B4-BE49-F238E27FC236}">
              <a16:creationId xmlns:a16="http://schemas.microsoft.com/office/drawing/2014/main" id="{00000000-0008-0000-0100-00000D000000}"/>
            </a:ext>
          </a:extLst>
        </xdr:cNvPr>
        <xdr:cNvSpPr/>
      </xdr:nvSpPr>
      <xdr:spPr>
        <a:xfrm>
          <a:off x="176841150" y="2095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מקורות</a:t>
          </a:r>
          <a:r>
            <a:rPr lang="he-IL" sz="1100" baseline="0"/>
            <a:t> מימון</a:t>
          </a:r>
          <a:endParaRPr lang="he-IL" sz="1100"/>
        </a:p>
      </xdr:txBody>
    </xdr:sp>
    <xdr:clientData/>
  </xdr:twoCellAnchor>
  <xdr:twoCellAnchor>
    <xdr:from>
      <xdr:col>1</xdr:col>
      <xdr:colOff>266700</xdr:colOff>
      <xdr:row>1</xdr:row>
      <xdr:rowOff>190500</xdr:rowOff>
    </xdr:from>
    <xdr:to>
      <xdr:col>1</xdr:col>
      <xdr:colOff>1419225</xdr:colOff>
      <xdr:row>1</xdr:row>
      <xdr:rowOff>866775</xdr:rowOff>
    </xdr:to>
    <xdr:sp macro="" textlink="">
      <xdr:nvSpPr>
        <xdr:cNvPr id="14" name="מלבן 13">
          <a:hlinkClick xmlns:r="http://schemas.openxmlformats.org/officeDocument/2006/relationships" r:id="rId4"/>
          <a:extLst>
            <a:ext uri="{FF2B5EF4-FFF2-40B4-BE49-F238E27FC236}">
              <a16:creationId xmlns:a16="http://schemas.microsoft.com/office/drawing/2014/main" id="{00000000-0008-0000-0100-00000E000000}"/>
            </a:ext>
          </a:extLst>
        </xdr:cNvPr>
        <xdr:cNvSpPr/>
      </xdr:nvSpPr>
      <xdr:spPr>
        <a:xfrm>
          <a:off x="178460400" y="13525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מזון ומשקאות</a:t>
          </a:r>
        </a:p>
      </xdr:txBody>
    </xdr:sp>
    <xdr:clientData/>
  </xdr:twoCellAnchor>
  <xdr:twoCellAnchor>
    <xdr:from>
      <xdr:col>0</xdr:col>
      <xdr:colOff>304800</xdr:colOff>
      <xdr:row>1</xdr:row>
      <xdr:rowOff>171450</xdr:rowOff>
    </xdr:from>
    <xdr:to>
      <xdr:col>0</xdr:col>
      <xdr:colOff>1457325</xdr:colOff>
      <xdr:row>1</xdr:row>
      <xdr:rowOff>847725</xdr:rowOff>
    </xdr:to>
    <xdr:sp macro="" textlink="">
      <xdr:nvSpPr>
        <xdr:cNvPr id="15" name="מלבן 14">
          <a:hlinkClick xmlns:r="http://schemas.openxmlformats.org/officeDocument/2006/relationships" r:id="rId5"/>
          <a:extLst>
            <a:ext uri="{FF2B5EF4-FFF2-40B4-BE49-F238E27FC236}">
              <a16:creationId xmlns:a16="http://schemas.microsoft.com/office/drawing/2014/main" id="{00000000-0008-0000-0100-00000F000000}"/>
            </a:ext>
          </a:extLst>
        </xdr:cNvPr>
        <xdr:cNvSpPr/>
      </xdr:nvSpPr>
      <xdr:spPr>
        <a:xfrm>
          <a:off x="11240690625" y="133350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הכנסות</a:t>
          </a:r>
          <a:r>
            <a:rPr lang="he-IL" sz="1100" baseline="0">
              <a:solidFill>
                <a:sysClr val="windowText" lastClr="000000"/>
              </a:solidFill>
              <a:latin typeface="+mn-lt"/>
              <a:ea typeface="+mn-ea"/>
              <a:cs typeface="+mn-cs"/>
            </a:rPr>
            <a:t> מלינות דוח מערכת</a:t>
          </a:r>
          <a:endParaRPr lang="he-IL" sz="1100">
            <a:solidFill>
              <a:sysClr val="windowText" lastClr="000000"/>
            </a:solidFill>
            <a:latin typeface="+mn-lt"/>
            <a:ea typeface="+mn-ea"/>
            <a:cs typeface="+mn-cs"/>
          </a:endParaRPr>
        </a:p>
      </xdr:txBody>
    </xdr:sp>
    <xdr:clientData/>
  </xdr:twoCellAnchor>
  <xdr:twoCellAnchor>
    <xdr:from>
      <xdr:col>0</xdr:col>
      <xdr:colOff>285750</xdr:colOff>
      <xdr:row>2</xdr:row>
      <xdr:rowOff>209550</xdr:rowOff>
    </xdr:from>
    <xdr:to>
      <xdr:col>0</xdr:col>
      <xdr:colOff>1438275</xdr:colOff>
      <xdr:row>2</xdr:row>
      <xdr:rowOff>885825</xdr:rowOff>
    </xdr:to>
    <xdr:sp macro="" textlink="">
      <xdr:nvSpPr>
        <xdr:cNvPr id="16" name="מלבן 15">
          <a:hlinkClick xmlns:r="http://schemas.openxmlformats.org/officeDocument/2006/relationships" r:id="rId6"/>
          <a:extLst>
            <a:ext uri="{FF2B5EF4-FFF2-40B4-BE49-F238E27FC236}">
              <a16:creationId xmlns:a16="http://schemas.microsoft.com/office/drawing/2014/main" id="{00000000-0008-0000-0100-000010000000}"/>
            </a:ext>
          </a:extLst>
        </xdr:cNvPr>
        <xdr:cNvSpPr/>
      </xdr:nvSpPr>
      <xdr:spPr>
        <a:xfrm>
          <a:off x="11240709675" y="25336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כח אדם</a:t>
          </a:r>
        </a:p>
      </xdr:txBody>
    </xdr:sp>
    <xdr:clientData/>
  </xdr:twoCellAnchor>
  <xdr:twoCellAnchor>
    <xdr:from>
      <xdr:col>2</xdr:col>
      <xdr:colOff>219075</xdr:colOff>
      <xdr:row>1</xdr:row>
      <xdr:rowOff>190500</xdr:rowOff>
    </xdr:from>
    <xdr:to>
      <xdr:col>2</xdr:col>
      <xdr:colOff>1371600</xdr:colOff>
      <xdr:row>1</xdr:row>
      <xdr:rowOff>866775</xdr:rowOff>
    </xdr:to>
    <xdr:sp macro="" textlink="">
      <xdr:nvSpPr>
        <xdr:cNvPr id="17" name="מלבן 16">
          <a:hlinkClick xmlns:r="http://schemas.openxmlformats.org/officeDocument/2006/relationships" r:id="rId7"/>
          <a:extLst>
            <a:ext uri="{FF2B5EF4-FFF2-40B4-BE49-F238E27FC236}">
              <a16:creationId xmlns:a16="http://schemas.microsoft.com/office/drawing/2014/main" id="{00000000-0008-0000-0100-000011000000}"/>
            </a:ext>
          </a:extLst>
        </xdr:cNvPr>
        <xdr:cNvSpPr/>
      </xdr:nvSpPr>
      <xdr:spPr>
        <a:xfrm>
          <a:off x="176822100" y="135255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הכנסות נוספות</a:t>
          </a:r>
        </a:p>
      </xdr:txBody>
    </xdr:sp>
    <xdr:clientData/>
  </xdr:twoCellAnchor>
  <xdr:twoCellAnchor>
    <xdr:from>
      <xdr:col>1</xdr:col>
      <xdr:colOff>257175</xdr:colOff>
      <xdr:row>2</xdr:row>
      <xdr:rowOff>209550</xdr:rowOff>
    </xdr:from>
    <xdr:to>
      <xdr:col>1</xdr:col>
      <xdr:colOff>1409700</xdr:colOff>
      <xdr:row>2</xdr:row>
      <xdr:rowOff>885825</xdr:rowOff>
    </xdr:to>
    <xdr:sp macro="" textlink="">
      <xdr:nvSpPr>
        <xdr:cNvPr id="18" name="מלבן 17">
          <a:hlinkClick xmlns:r="http://schemas.openxmlformats.org/officeDocument/2006/relationships" r:id="rId8"/>
          <a:extLst>
            <a:ext uri="{FF2B5EF4-FFF2-40B4-BE49-F238E27FC236}">
              <a16:creationId xmlns:a16="http://schemas.microsoft.com/office/drawing/2014/main" id="{00000000-0008-0000-0100-000012000000}"/>
            </a:ext>
          </a:extLst>
        </xdr:cNvPr>
        <xdr:cNvSpPr/>
      </xdr:nvSpPr>
      <xdr:spPr>
        <a:xfrm>
          <a:off x="178469925" y="253365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הוצאות קבועות</a:t>
          </a:r>
        </a:p>
      </xdr:txBody>
    </xdr:sp>
    <xdr:clientData/>
  </xdr:twoCellAnchor>
  <xdr:twoCellAnchor>
    <xdr:from>
      <xdr:col>2</xdr:col>
      <xdr:colOff>247650</xdr:colOff>
      <xdr:row>2</xdr:row>
      <xdr:rowOff>238125</xdr:rowOff>
    </xdr:from>
    <xdr:to>
      <xdr:col>2</xdr:col>
      <xdr:colOff>1400175</xdr:colOff>
      <xdr:row>2</xdr:row>
      <xdr:rowOff>914400</xdr:rowOff>
    </xdr:to>
    <xdr:sp macro="" textlink="">
      <xdr:nvSpPr>
        <xdr:cNvPr id="19" name="מלבן 18">
          <a:hlinkClick xmlns:r="http://schemas.openxmlformats.org/officeDocument/2006/relationships" r:id="rId9"/>
          <a:extLst>
            <a:ext uri="{FF2B5EF4-FFF2-40B4-BE49-F238E27FC236}">
              <a16:creationId xmlns:a16="http://schemas.microsoft.com/office/drawing/2014/main" id="{00000000-0008-0000-0100-000013000000}"/>
            </a:ext>
          </a:extLst>
        </xdr:cNvPr>
        <xdr:cNvSpPr/>
      </xdr:nvSpPr>
      <xdr:spPr>
        <a:xfrm>
          <a:off x="176793525" y="2562225"/>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רווח והפסד</a:t>
          </a:r>
        </a:p>
      </xdr:txBody>
    </xdr:sp>
    <xdr:clientData/>
  </xdr:twoCellAnchor>
  <xdr:twoCellAnchor>
    <xdr:from>
      <xdr:col>0</xdr:col>
      <xdr:colOff>247650</xdr:colOff>
      <xdr:row>3</xdr:row>
      <xdr:rowOff>152400</xdr:rowOff>
    </xdr:from>
    <xdr:to>
      <xdr:col>0</xdr:col>
      <xdr:colOff>1400175</xdr:colOff>
      <xdr:row>3</xdr:row>
      <xdr:rowOff>828675</xdr:rowOff>
    </xdr:to>
    <xdr:sp macro="" textlink="">
      <xdr:nvSpPr>
        <xdr:cNvPr id="11" name="מלבן 10">
          <a:hlinkClick xmlns:r="http://schemas.openxmlformats.org/officeDocument/2006/relationships" r:id="rId10"/>
          <a:extLst>
            <a:ext uri="{FF2B5EF4-FFF2-40B4-BE49-F238E27FC236}">
              <a16:creationId xmlns:a16="http://schemas.microsoft.com/office/drawing/2014/main" id="{00000000-0008-0000-0100-00000B000000}"/>
            </a:ext>
          </a:extLst>
        </xdr:cNvPr>
        <xdr:cNvSpPr/>
      </xdr:nvSpPr>
      <xdr:spPr>
        <a:xfrm>
          <a:off x="11240747775" y="363855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כדאיות למשק</a:t>
          </a:r>
        </a:p>
      </xdr:txBody>
    </xdr:sp>
    <xdr:clientData/>
  </xdr:twoCellAnchor>
  <xdr:twoCellAnchor>
    <xdr:from>
      <xdr:col>1</xdr:col>
      <xdr:colOff>247650</xdr:colOff>
      <xdr:row>3</xdr:row>
      <xdr:rowOff>171450</xdr:rowOff>
    </xdr:from>
    <xdr:to>
      <xdr:col>1</xdr:col>
      <xdr:colOff>1400175</xdr:colOff>
      <xdr:row>3</xdr:row>
      <xdr:rowOff>847725</xdr:rowOff>
    </xdr:to>
    <xdr:sp macro="" textlink="">
      <xdr:nvSpPr>
        <xdr:cNvPr id="20" name="מלבן 19">
          <a:hlinkClick xmlns:r="http://schemas.openxmlformats.org/officeDocument/2006/relationships" r:id="rId11"/>
          <a:extLst>
            <a:ext uri="{FF2B5EF4-FFF2-40B4-BE49-F238E27FC236}">
              <a16:creationId xmlns:a16="http://schemas.microsoft.com/office/drawing/2014/main" id="{00000000-0008-0000-0100-000014000000}"/>
            </a:ext>
          </a:extLst>
        </xdr:cNvPr>
        <xdr:cNvSpPr/>
      </xdr:nvSpPr>
      <xdr:spPr>
        <a:xfrm>
          <a:off x="11240061975" y="365760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כדאיות לפירמה</a:t>
          </a:r>
        </a:p>
      </xdr:txBody>
    </xdr:sp>
    <xdr:clientData/>
  </xdr:twoCellAnchor>
  <xdr:twoCellAnchor>
    <xdr:from>
      <xdr:col>2</xdr:col>
      <xdr:colOff>238125</xdr:colOff>
      <xdr:row>3</xdr:row>
      <xdr:rowOff>171450</xdr:rowOff>
    </xdr:from>
    <xdr:to>
      <xdr:col>2</xdr:col>
      <xdr:colOff>1390650</xdr:colOff>
      <xdr:row>3</xdr:row>
      <xdr:rowOff>847725</xdr:rowOff>
    </xdr:to>
    <xdr:sp macro="" textlink="">
      <xdr:nvSpPr>
        <xdr:cNvPr id="21" name="מלבן 20">
          <a:hlinkClick xmlns:r="http://schemas.openxmlformats.org/officeDocument/2006/relationships" r:id="rId12"/>
          <a:extLst>
            <a:ext uri="{FF2B5EF4-FFF2-40B4-BE49-F238E27FC236}">
              <a16:creationId xmlns:a16="http://schemas.microsoft.com/office/drawing/2014/main" id="{00000000-0008-0000-0100-000015000000}"/>
            </a:ext>
          </a:extLst>
        </xdr:cNvPr>
        <xdr:cNvSpPr/>
      </xdr:nvSpPr>
      <xdr:spPr>
        <a:xfrm>
          <a:off x="11237385450" y="365760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כדאיות ליזם</a:t>
          </a:r>
        </a:p>
      </xdr:txBody>
    </xdr:sp>
    <xdr:clientData/>
  </xdr:twoCellAnchor>
  <xdr:twoCellAnchor>
    <xdr:from>
      <xdr:col>4</xdr:col>
      <xdr:colOff>200025</xdr:colOff>
      <xdr:row>0</xdr:row>
      <xdr:rowOff>209550</xdr:rowOff>
    </xdr:from>
    <xdr:to>
      <xdr:col>4</xdr:col>
      <xdr:colOff>1352550</xdr:colOff>
      <xdr:row>0</xdr:row>
      <xdr:rowOff>885825</xdr:rowOff>
    </xdr:to>
    <xdr:sp macro="" textlink="">
      <xdr:nvSpPr>
        <xdr:cNvPr id="24" name="מלבן 23">
          <a:hlinkClick xmlns:r="http://schemas.openxmlformats.org/officeDocument/2006/relationships" r:id="rId13"/>
          <a:extLst>
            <a:ext uri="{FF2B5EF4-FFF2-40B4-BE49-F238E27FC236}">
              <a16:creationId xmlns:a16="http://schemas.microsoft.com/office/drawing/2014/main" id="{00000000-0008-0000-0100-000018000000}"/>
            </a:ext>
          </a:extLst>
        </xdr:cNvPr>
        <xdr:cNvSpPr/>
      </xdr:nvSpPr>
      <xdr:spPr>
        <a:xfrm>
          <a:off x="11237185425" y="2095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נתוני לינה ותפוסה</a:t>
          </a:r>
        </a:p>
      </xdr:txBody>
    </xdr:sp>
    <xdr:clientData/>
  </xdr:twoCellAnchor>
  <xdr:twoCellAnchor>
    <xdr:from>
      <xdr:col>4</xdr:col>
      <xdr:colOff>247650</xdr:colOff>
      <xdr:row>2</xdr:row>
      <xdr:rowOff>238125</xdr:rowOff>
    </xdr:from>
    <xdr:to>
      <xdr:col>4</xdr:col>
      <xdr:colOff>1400175</xdr:colOff>
      <xdr:row>2</xdr:row>
      <xdr:rowOff>914400</xdr:rowOff>
    </xdr:to>
    <xdr:sp macro="" textlink="">
      <xdr:nvSpPr>
        <xdr:cNvPr id="26" name="מלבן 25">
          <a:hlinkClick xmlns:r="http://schemas.openxmlformats.org/officeDocument/2006/relationships" r:id="rId14"/>
          <a:extLst>
            <a:ext uri="{FF2B5EF4-FFF2-40B4-BE49-F238E27FC236}">
              <a16:creationId xmlns:a16="http://schemas.microsoft.com/office/drawing/2014/main" id="{00000000-0008-0000-0100-00001A000000}"/>
            </a:ext>
          </a:extLst>
        </xdr:cNvPr>
        <xdr:cNvSpPr/>
      </xdr:nvSpPr>
      <xdr:spPr>
        <a:xfrm>
          <a:off x="11237137800" y="2562225"/>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מימון טרום הקמה</a:t>
          </a:r>
        </a:p>
      </xdr:txBody>
    </xdr:sp>
    <xdr:clientData/>
  </xdr:twoCellAnchor>
  <xdr:twoCellAnchor>
    <xdr:from>
      <xdr:col>4</xdr:col>
      <xdr:colOff>238125</xdr:colOff>
      <xdr:row>3</xdr:row>
      <xdr:rowOff>171450</xdr:rowOff>
    </xdr:from>
    <xdr:to>
      <xdr:col>4</xdr:col>
      <xdr:colOff>1390650</xdr:colOff>
      <xdr:row>3</xdr:row>
      <xdr:rowOff>847725</xdr:rowOff>
    </xdr:to>
    <xdr:sp macro="" textlink="">
      <xdr:nvSpPr>
        <xdr:cNvPr id="27" name="מלבן 26">
          <a:hlinkClick xmlns:r="http://schemas.openxmlformats.org/officeDocument/2006/relationships" r:id="rId15"/>
          <a:extLst>
            <a:ext uri="{FF2B5EF4-FFF2-40B4-BE49-F238E27FC236}">
              <a16:creationId xmlns:a16="http://schemas.microsoft.com/office/drawing/2014/main" id="{00000000-0008-0000-0100-00001B000000}"/>
            </a:ext>
          </a:extLst>
        </xdr:cNvPr>
        <xdr:cNvSpPr/>
      </xdr:nvSpPr>
      <xdr:spPr>
        <a:xfrm>
          <a:off x="11237147325" y="365760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רגישות</a:t>
          </a:r>
        </a:p>
      </xdr:txBody>
    </xdr:sp>
    <xdr:clientData/>
  </xdr:twoCellAnchor>
  <xdr:twoCellAnchor>
    <xdr:from>
      <xdr:col>3</xdr:col>
      <xdr:colOff>257175</xdr:colOff>
      <xdr:row>0</xdr:row>
      <xdr:rowOff>219075</xdr:rowOff>
    </xdr:from>
    <xdr:to>
      <xdr:col>3</xdr:col>
      <xdr:colOff>1409700</xdr:colOff>
      <xdr:row>0</xdr:row>
      <xdr:rowOff>895350</xdr:rowOff>
    </xdr:to>
    <xdr:sp macro="" textlink="">
      <xdr:nvSpPr>
        <xdr:cNvPr id="28" name="מלבן 27">
          <a:hlinkClick xmlns:r="http://schemas.openxmlformats.org/officeDocument/2006/relationships" r:id="rId16"/>
          <a:extLst>
            <a:ext uri="{FF2B5EF4-FFF2-40B4-BE49-F238E27FC236}">
              <a16:creationId xmlns:a16="http://schemas.microsoft.com/office/drawing/2014/main" id="{00000000-0008-0000-0100-00001C000000}"/>
            </a:ext>
          </a:extLst>
        </xdr:cNvPr>
        <xdr:cNvSpPr/>
      </xdr:nvSpPr>
      <xdr:spPr>
        <a:xfrm>
          <a:off x="11240052450" y="219075"/>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solidFill>
                <a:sysClr val="windowText" lastClr="000000"/>
              </a:solidFill>
            </a:rPr>
            <a:t>תקרת השקעה</a:t>
          </a:r>
        </a:p>
      </xdr:txBody>
    </xdr:sp>
    <xdr:clientData/>
  </xdr:twoCellAnchor>
  <xdr:twoCellAnchor>
    <xdr:from>
      <xdr:col>3</xdr:col>
      <xdr:colOff>266700</xdr:colOff>
      <xdr:row>1</xdr:row>
      <xdr:rowOff>190500</xdr:rowOff>
    </xdr:from>
    <xdr:to>
      <xdr:col>3</xdr:col>
      <xdr:colOff>1419225</xdr:colOff>
      <xdr:row>1</xdr:row>
      <xdr:rowOff>866775</xdr:rowOff>
    </xdr:to>
    <xdr:sp macro="" textlink="">
      <xdr:nvSpPr>
        <xdr:cNvPr id="29" name="מלבן 28">
          <a:hlinkClick xmlns:r="http://schemas.openxmlformats.org/officeDocument/2006/relationships" r:id="rId17"/>
          <a:extLst>
            <a:ext uri="{FF2B5EF4-FFF2-40B4-BE49-F238E27FC236}">
              <a16:creationId xmlns:a16="http://schemas.microsoft.com/office/drawing/2014/main" id="{00000000-0008-0000-0100-00001D000000}"/>
            </a:ext>
          </a:extLst>
        </xdr:cNvPr>
        <xdr:cNvSpPr/>
      </xdr:nvSpPr>
      <xdr:spPr>
        <a:xfrm>
          <a:off x="11240042925" y="13525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הוצאות לפי</a:t>
          </a:r>
          <a:r>
            <a:rPr lang="he-IL" sz="1100" baseline="0"/>
            <a:t> רמת מלון</a:t>
          </a:r>
          <a:endParaRPr lang="he-IL" sz="1100"/>
        </a:p>
      </xdr:txBody>
    </xdr:sp>
    <xdr:clientData/>
  </xdr:twoCellAnchor>
  <xdr:twoCellAnchor>
    <xdr:from>
      <xdr:col>3</xdr:col>
      <xdr:colOff>257175</xdr:colOff>
      <xdr:row>2</xdr:row>
      <xdr:rowOff>209550</xdr:rowOff>
    </xdr:from>
    <xdr:to>
      <xdr:col>3</xdr:col>
      <xdr:colOff>1409700</xdr:colOff>
      <xdr:row>2</xdr:row>
      <xdr:rowOff>885825</xdr:rowOff>
    </xdr:to>
    <xdr:sp macro="" textlink="">
      <xdr:nvSpPr>
        <xdr:cNvPr id="30" name="מלבן 29">
          <a:hlinkClick xmlns:r="http://schemas.openxmlformats.org/officeDocument/2006/relationships" r:id="rId18"/>
          <a:extLst>
            <a:ext uri="{FF2B5EF4-FFF2-40B4-BE49-F238E27FC236}">
              <a16:creationId xmlns:a16="http://schemas.microsoft.com/office/drawing/2014/main" id="{00000000-0008-0000-0100-00001E000000}"/>
            </a:ext>
          </a:extLst>
        </xdr:cNvPr>
        <xdr:cNvSpPr/>
      </xdr:nvSpPr>
      <xdr:spPr>
        <a:xfrm>
          <a:off x="11240052450" y="253365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חישוב הלוואה בנקאית</a:t>
          </a:r>
        </a:p>
      </xdr:txBody>
    </xdr:sp>
    <xdr:clientData/>
  </xdr:twoCellAnchor>
  <xdr:twoCellAnchor>
    <xdr:from>
      <xdr:col>3</xdr:col>
      <xdr:colOff>247650</xdr:colOff>
      <xdr:row>3</xdr:row>
      <xdr:rowOff>171450</xdr:rowOff>
    </xdr:from>
    <xdr:to>
      <xdr:col>3</xdr:col>
      <xdr:colOff>1400175</xdr:colOff>
      <xdr:row>3</xdr:row>
      <xdr:rowOff>847725</xdr:rowOff>
    </xdr:to>
    <xdr:sp macro="" textlink="">
      <xdr:nvSpPr>
        <xdr:cNvPr id="31" name="מלבן 30">
          <a:hlinkClick xmlns:r="http://schemas.openxmlformats.org/officeDocument/2006/relationships" r:id="rId19"/>
          <a:extLst>
            <a:ext uri="{FF2B5EF4-FFF2-40B4-BE49-F238E27FC236}">
              <a16:creationId xmlns:a16="http://schemas.microsoft.com/office/drawing/2014/main" id="{00000000-0008-0000-0100-00001F000000}"/>
            </a:ext>
          </a:extLst>
        </xdr:cNvPr>
        <xdr:cNvSpPr/>
      </xdr:nvSpPr>
      <xdr:spPr>
        <a:xfrm>
          <a:off x="11240061975" y="365760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תזרים מזומנים</a:t>
          </a:r>
        </a:p>
      </xdr:txBody>
    </xdr:sp>
    <xdr:clientData/>
  </xdr:twoCellAnchor>
  <xdr:twoCellAnchor>
    <xdr:from>
      <xdr:col>5</xdr:col>
      <xdr:colOff>200025</xdr:colOff>
      <xdr:row>0</xdr:row>
      <xdr:rowOff>209550</xdr:rowOff>
    </xdr:from>
    <xdr:to>
      <xdr:col>5</xdr:col>
      <xdr:colOff>1352550</xdr:colOff>
      <xdr:row>0</xdr:row>
      <xdr:rowOff>885825</xdr:rowOff>
    </xdr:to>
    <xdr:sp macro="" textlink="">
      <xdr:nvSpPr>
        <xdr:cNvPr id="22" name="מלבן 21">
          <a:hlinkClick xmlns:r="http://schemas.openxmlformats.org/officeDocument/2006/relationships" r:id="rId20"/>
          <a:extLst>
            <a:ext uri="{FF2B5EF4-FFF2-40B4-BE49-F238E27FC236}">
              <a16:creationId xmlns:a16="http://schemas.microsoft.com/office/drawing/2014/main" id="{00000000-0008-0000-0100-000016000000}"/>
            </a:ext>
          </a:extLst>
        </xdr:cNvPr>
        <xdr:cNvSpPr/>
      </xdr:nvSpPr>
      <xdr:spPr>
        <a:xfrm>
          <a:off x="11235051825" y="2095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מנהל מערכת ודוחות</a:t>
          </a:r>
        </a:p>
      </xdr:txBody>
    </xdr:sp>
    <xdr:clientData fLocksWithSheet="0"/>
  </xdr:twoCellAnchor>
  <xdr:twoCellAnchor>
    <xdr:from>
      <xdr:col>4</xdr:col>
      <xdr:colOff>219075</xdr:colOff>
      <xdr:row>1</xdr:row>
      <xdr:rowOff>190500</xdr:rowOff>
    </xdr:from>
    <xdr:to>
      <xdr:col>4</xdr:col>
      <xdr:colOff>1371600</xdr:colOff>
      <xdr:row>1</xdr:row>
      <xdr:rowOff>866775</xdr:rowOff>
    </xdr:to>
    <xdr:sp macro="" textlink="">
      <xdr:nvSpPr>
        <xdr:cNvPr id="25" name="מלבן 24">
          <a:hlinkClick xmlns:r="http://schemas.openxmlformats.org/officeDocument/2006/relationships" r:id="rId21"/>
          <a:extLst>
            <a:ext uri="{FF2B5EF4-FFF2-40B4-BE49-F238E27FC236}">
              <a16:creationId xmlns:a16="http://schemas.microsoft.com/office/drawing/2014/main" id="{00000000-0008-0000-0100-000019000000}"/>
            </a:ext>
          </a:extLst>
        </xdr:cNvPr>
        <xdr:cNvSpPr/>
      </xdr:nvSpPr>
      <xdr:spPr>
        <a:xfrm>
          <a:off x="11237166375" y="1352550"/>
          <a:ext cx="1152525" cy="67627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marL="0" indent="0" algn="ctr" rtl="1"/>
          <a:r>
            <a:rPr lang="he-IL" sz="1100">
              <a:solidFill>
                <a:sysClr val="windowText" lastClr="000000"/>
              </a:solidFill>
              <a:latin typeface="+mn-lt"/>
              <a:ea typeface="+mn-ea"/>
              <a:cs typeface="+mn-cs"/>
            </a:rPr>
            <a:t>פחת</a:t>
          </a:r>
        </a:p>
      </xdr:txBody>
    </xdr:sp>
    <xdr:clientData/>
  </xdr:twoCellAnchor>
  <xdr:twoCellAnchor>
    <xdr:from>
      <xdr:col>5</xdr:col>
      <xdr:colOff>200025</xdr:colOff>
      <xdr:row>1</xdr:row>
      <xdr:rowOff>209550</xdr:rowOff>
    </xdr:from>
    <xdr:to>
      <xdr:col>5</xdr:col>
      <xdr:colOff>1352550</xdr:colOff>
      <xdr:row>1</xdr:row>
      <xdr:rowOff>885825</xdr:rowOff>
    </xdr:to>
    <xdr:sp macro="" textlink="">
      <xdr:nvSpPr>
        <xdr:cNvPr id="23" name="מלבן 22">
          <a:hlinkClick xmlns:r="http://schemas.openxmlformats.org/officeDocument/2006/relationships" r:id="rId22"/>
          <a:extLst>
            <a:ext uri="{FF2B5EF4-FFF2-40B4-BE49-F238E27FC236}">
              <a16:creationId xmlns:a16="http://schemas.microsoft.com/office/drawing/2014/main" id="{00000000-0008-0000-0100-000017000000}"/>
            </a:ext>
          </a:extLst>
        </xdr:cNvPr>
        <xdr:cNvSpPr/>
      </xdr:nvSpPr>
      <xdr:spPr>
        <a:xfrm>
          <a:off x="334735" y="209550"/>
          <a:ext cx="11525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100"/>
            <a:t>דוחות להדפסה</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114300</xdr:colOff>
      <xdr:row>3</xdr:row>
      <xdr:rowOff>123825</xdr:rowOff>
    </xdr:from>
    <xdr:to>
      <xdr:col>7</xdr:col>
      <xdr:colOff>0</xdr:colOff>
      <xdr:row>5</xdr:row>
      <xdr:rowOff>123825</xdr:rowOff>
    </xdr:to>
    <xdr:pic>
      <xdr:nvPicPr>
        <xdr:cNvPr id="10" name="תמונה 9" descr="folder-icon.png">
          <a:hlinkClick xmlns:r="http://schemas.openxmlformats.org/officeDocument/2006/relationships" r:id="rId1"/>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cstate="print"/>
        <a:stretch>
          <a:fillRect/>
        </a:stretch>
      </xdr:blipFill>
      <xdr:spPr>
        <a:xfrm>
          <a:off x="11231403750" y="666750"/>
          <a:ext cx="457200" cy="457200"/>
        </a:xfrm>
        <a:prstGeom prst="rect">
          <a:avLst/>
        </a:prstGeom>
      </xdr:spPr>
    </xdr:pic>
    <xdr:clientData/>
  </xdr:twoCellAnchor>
  <xdr:twoCellAnchor editAs="oneCell">
    <xdr:from>
      <xdr:col>2</xdr:col>
      <xdr:colOff>1266826</xdr:colOff>
      <xdr:row>2</xdr:row>
      <xdr:rowOff>28575</xdr:rowOff>
    </xdr:from>
    <xdr:to>
      <xdr:col>3</xdr:col>
      <xdr:colOff>1</xdr:colOff>
      <xdr:row>2</xdr:row>
      <xdr:rowOff>209550</xdr:rowOff>
    </xdr:to>
    <xdr:pic macro="[0]!הדפסהפתיחה">
      <xdr:nvPicPr>
        <xdr:cNvPr id="13" name="תמונה 12" descr="Button-Add-icon.png">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3" cstate="print"/>
        <a:stretch>
          <a:fillRect/>
        </a:stretch>
      </xdr:blipFill>
      <xdr:spPr>
        <a:xfrm>
          <a:off x="3790949" y="390525"/>
          <a:ext cx="180975" cy="180975"/>
        </a:xfrm>
        <a:prstGeom prst="rect">
          <a:avLst/>
        </a:prstGeom>
      </xdr:spPr>
    </xdr:pic>
    <xdr:clientData/>
  </xdr:twoCellAnchor>
  <xdr:twoCellAnchor editAs="oneCell">
    <xdr:from>
      <xdr:col>2</xdr:col>
      <xdr:colOff>1266825</xdr:colOff>
      <xdr:row>8</xdr:row>
      <xdr:rowOff>28575</xdr:rowOff>
    </xdr:from>
    <xdr:to>
      <xdr:col>3</xdr:col>
      <xdr:colOff>0</xdr:colOff>
      <xdr:row>8</xdr:row>
      <xdr:rowOff>209550</xdr:rowOff>
    </xdr:to>
    <xdr:pic macro="[0]!הדפסהפתיחה">
      <xdr:nvPicPr>
        <xdr:cNvPr id="14" name="תמונה 13" descr="Button-Add-icon.png">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3" cstate="print"/>
        <a:stretch>
          <a:fillRect/>
        </a:stretch>
      </xdr:blipFill>
      <xdr:spPr>
        <a:xfrm>
          <a:off x="3790950" y="1762125"/>
          <a:ext cx="180975" cy="180975"/>
        </a:xfrm>
        <a:prstGeom prst="rect">
          <a:avLst/>
        </a:prstGeom>
      </xdr:spPr>
    </xdr:pic>
    <xdr:clientData/>
  </xdr:twoCellAnchor>
  <xdr:twoCellAnchor editAs="oneCell">
    <xdr:from>
      <xdr:col>2</xdr:col>
      <xdr:colOff>1266825</xdr:colOff>
      <xdr:row>4</xdr:row>
      <xdr:rowOff>38100</xdr:rowOff>
    </xdr:from>
    <xdr:to>
      <xdr:col>3</xdr:col>
      <xdr:colOff>0</xdr:colOff>
      <xdr:row>4</xdr:row>
      <xdr:rowOff>219075</xdr:rowOff>
    </xdr:to>
    <xdr:pic macro="[0]!הדפסהפתיחה">
      <xdr:nvPicPr>
        <xdr:cNvPr id="15" name="תמונה 14" descr="Button-Add-icon.png">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3" cstate="print"/>
        <a:stretch>
          <a:fillRect/>
        </a:stretch>
      </xdr:blipFill>
      <xdr:spPr>
        <a:xfrm>
          <a:off x="3790950" y="857250"/>
          <a:ext cx="180975" cy="180975"/>
        </a:xfrm>
        <a:prstGeom prst="rect">
          <a:avLst/>
        </a:prstGeom>
      </xdr:spPr>
    </xdr:pic>
    <xdr:clientData/>
  </xdr:twoCellAnchor>
  <xdr:twoCellAnchor editAs="oneCell">
    <xdr:from>
      <xdr:col>2</xdr:col>
      <xdr:colOff>1247775</xdr:colOff>
      <xdr:row>6</xdr:row>
      <xdr:rowOff>28575</xdr:rowOff>
    </xdr:from>
    <xdr:to>
      <xdr:col>3</xdr:col>
      <xdr:colOff>0</xdr:colOff>
      <xdr:row>6</xdr:row>
      <xdr:rowOff>209550</xdr:rowOff>
    </xdr:to>
    <xdr:pic macro="[0]!הדפסהפתיחה">
      <xdr:nvPicPr>
        <xdr:cNvPr id="16" name="תמונה 15" descr="Button-Add-icon.png">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cstate="print"/>
        <a:stretch>
          <a:fillRect/>
        </a:stretch>
      </xdr:blipFill>
      <xdr:spPr>
        <a:xfrm>
          <a:off x="3810000" y="1304925"/>
          <a:ext cx="180975" cy="180975"/>
        </a:xfrm>
        <a:prstGeom prst="rect">
          <a:avLst/>
        </a:prstGeom>
      </xdr:spPr>
    </xdr:pic>
    <xdr:clientData/>
  </xdr:twoCellAnchor>
  <xdr:twoCellAnchor editAs="oneCell">
    <xdr:from>
      <xdr:col>2</xdr:col>
      <xdr:colOff>1257300</xdr:colOff>
      <xdr:row>3</xdr:row>
      <xdr:rowOff>19050</xdr:rowOff>
    </xdr:from>
    <xdr:to>
      <xdr:col>3</xdr:col>
      <xdr:colOff>0</xdr:colOff>
      <xdr:row>3</xdr:row>
      <xdr:rowOff>209550</xdr:rowOff>
    </xdr:to>
    <xdr:pic>
      <xdr:nvPicPr>
        <xdr:cNvPr id="17" name="תמונה 16" descr="Button-Close-icon.png">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4" cstate="print"/>
        <a:stretch>
          <a:fillRect/>
        </a:stretch>
      </xdr:blipFill>
      <xdr:spPr>
        <a:xfrm>
          <a:off x="3790950" y="609600"/>
          <a:ext cx="190500" cy="190500"/>
        </a:xfrm>
        <a:prstGeom prst="rect">
          <a:avLst/>
        </a:prstGeom>
      </xdr:spPr>
    </xdr:pic>
    <xdr:clientData/>
  </xdr:twoCellAnchor>
  <xdr:twoCellAnchor editAs="oneCell">
    <xdr:from>
      <xdr:col>2</xdr:col>
      <xdr:colOff>1247775</xdr:colOff>
      <xdr:row>5</xdr:row>
      <xdr:rowOff>28575</xdr:rowOff>
    </xdr:from>
    <xdr:to>
      <xdr:col>3</xdr:col>
      <xdr:colOff>0</xdr:colOff>
      <xdr:row>5</xdr:row>
      <xdr:rowOff>219075</xdr:rowOff>
    </xdr:to>
    <xdr:pic>
      <xdr:nvPicPr>
        <xdr:cNvPr id="18" name="תמונה 17" descr="Button-Close-icon.png">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4" cstate="print"/>
        <a:stretch>
          <a:fillRect/>
        </a:stretch>
      </xdr:blipFill>
      <xdr:spPr>
        <a:xfrm>
          <a:off x="3800475" y="1076325"/>
          <a:ext cx="190500" cy="190500"/>
        </a:xfrm>
        <a:prstGeom prst="rect">
          <a:avLst/>
        </a:prstGeom>
      </xdr:spPr>
    </xdr:pic>
    <xdr:clientData/>
  </xdr:twoCellAnchor>
  <xdr:twoCellAnchor editAs="oneCell">
    <xdr:from>
      <xdr:col>2</xdr:col>
      <xdr:colOff>1266825</xdr:colOff>
      <xdr:row>9</xdr:row>
      <xdr:rowOff>38100</xdr:rowOff>
    </xdr:from>
    <xdr:to>
      <xdr:col>3</xdr:col>
      <xdr:colOff>0</xdr:colOff>
      <xdr:row>10</xdr:row>
      <xdr:rowOff>0</xdr:rowOff>
    </xdr:to>
    <xdr:pic>
      <xdr:nvPicPr>
        <xdr:cNvPr id="19" name="תמונה 18" descr="Button-Close-icon.png">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4" cstate="print"/>
        <a:stretch>
          <a:fillRect/>
        </a:stretch>
      </xdr:blipFill>
      <xdr:spPr>
        <a:xfrm>
          <a:off x="3781425" y="2000250"/>
          <a:ext cx="190500" cy="190500"/>
        </a:xfrm>
        <a:prstGeom prst="rect">
          <a:avLst/>
        </a:prstGeom>
      </xdr:spPr>
    </xdr:pic>
    <xdr:clientData/>
  </xdr:twoCellAnchor>
  <xdr:twoCellAnchor editAs="oneCell">
    <xdr:from>
      <xdr:col>2</xdr:col>
      <xdr:colOff>1257300</xdr:colOff>
      <xdr:row>7</xdr:row>
      <xdr:rowOff>28575</xdr:rowOff>
    </xdr:from>
    <xdr:to>
      <xdr:col>3</xdr:col>
      <xdr:colOff>0</xdr:colOff>
      <xdr:row>7</xdr:row>
      <xdr:rowOff>219075</xdr:rowOff>
    </xdr:to>
    <xdr:pic>
      <xdr:nvPicPr>
        <xdr:cNvPr id="20" name="תמונה 19" descr="Button-Close-icon.png">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4" cstate="print"/>
        <a:stretch>
          <a:fillRect/>
        </a:stretch>
      </xdr:blipFill>
      <xdr:spPr>
        <a:xfrm>
          <a:off x="3790950" y="1533525"/>
          <a:ext cx="190500" cy="190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106892</xdr:colOff>
      <xdr:row>0</xdr:row>
      <xdr:rowOff>152399</xdr:rowOff>
    </xdr:from>
    <xdr:to>
      <xdr:col>6</xdr:col>
      <xdr:colOff>0</xdr:colOff>
      <xdr:row>3</xdr:row>
      <xdr:rowOff>232832</xdr:rowOff>
    </xdr:to>
    <xdr:sp macro="[0]!חזורלתפריטראשי" textlink="">
      <xdr:nvSpPr>
        <xdr:cNvPr id="5" name="מלבן 4">
          <a:hlinkClick xmlns:r="http://schemas.openxmlformats.org/officeDocument/2006/relationships" r:id="rId1"/>
          <a:extLst>
            <a:ext uri="{FF2B5EF4-FFF2-40B4-BE49-F238E27FC236}">
              <a16:creationId xmlns:a16="http://schemas.microsoft.com/office/drawing/2014/main" id="{00000000-0008-0000-0300-000005000000}"/>
            </a:ext>
          </a:extLst>
        </xdr:cNvPr>
        <xdr:cNvSpPr/>
      </xdr:nvSpPr>
      <xdr:spPr>
        <a:xfrm>
          <a:off x="0" y="152399"/>
          <a:ext cx="1216024" cy="8106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a:t>חזרה</a:t>
          </a:r>
          <a:r>
            <a:rPr lang="he-IL" sz="1400" baseline="0"/>
            <a:t> לתפריט ראשי</a:t>
          </a:r>
          <a:endParaRPr lang="he-IL"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133349</xdr:rowOff>
    </xdr:from>
    <xdr:to>
      <xdr:col>2</xdr:col>
      <xdr:colOff>1019175</xdr:colOff>
      <xdr:row>5</xdr:row>
      <xdr:rowOff>114300</xdr:rowOff>
    </xdr:to>
    <xdr:sp macro="[0]!חזורלתפריטראשי" textlink="">
      <xdr:nvSpPr>
        <xdr:cNvPr id="2" name="מלבן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47625" y="133349"/>
          <a:ext cx="838200" cy="9429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b="1"/>
            <a:t>חזרה</a:t>
          </a:r>
          <a:r>
            <a:rPr lang="he-IL" sz="1400" b="1" baseline="0"/>
            <a:t> לתפריט ראשי</a:t>
          </a:r>
          <a:endParaRPr lang="he-IL"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200025</xdr:colOff>
      <xdr:row>1</xdr:row>
      <xdr:rowOff>152400</xdr:rowOff>
    </xdr:from>
    <xdr:to>
      <xdr:col>5</xdr:col>
      <xdr:colOff>0</xdr:colOff>
      <xdr:row>5</xdr:row>
      <xdr:rowOff>76199</xdr:rowOff>
    </xdr:to>
    <xdr:sp macro="[0]!חזורלתפריטראשי" textlink="">
      <xdr:nvSpPr>
        <xdr:cNvPr id="2" name="מלבן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0" y="152400"/>
          <a:ext cx="847725" cy="8762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a:t>חזרה</a:t>
          </a:r>
          <a:r>
            <a:rPr lang="he-IL" sz="1600" baseline="0"/>
            <a:t> לתפריט ראשי</a:t>
          </a:r>
          <a:endParaRPr lang="he-IL" sz="16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809625</xdr:colOff>
      <xdr:row>11</xdr:row>
      <xdr:rowOff>95250</xdr:rowOff>
    </xdr:from>
    <xdr:to>
      <xdr:col>5</xdr:col>
      <xdr:colOff>733424</xdr:colOff>
      <xdr:row>15</xdr:row>
      <xdr:rowOff>66675</xdr:rowOff>
    </xdr:to>
    <xdr:sp macro="[0]!חזורלתפריטראשי" textlink="">
      <xdr:nvSpPr>
        <xdr:cNvPr id="3" name="מלבן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 y="2667000"/>
          <a:ext cx="1028699"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a:t>חזרה</a:t>
          </a:r>
          <a:r>
            <a:rPr lang="he-IL" sz="1600" baseline="0"/>
            <a:t> לתפריט ראשי</a:t>
          </a:r>
          <a:endParaRPr lang="he-IL"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254000</xdr:colOff>
      <xdr:row>0</xdr:row>
      <xdr:rowOff>111126</xdr:rowOff>
    </xdr:from>
    <xdr:to>
      <xdr:col>12</xdr:col>
      <xdr:colOff>473075</xdr:colOff>
      <xdr:row>3</xdr:row>
      <xdr:rowOff>330200</xdr:rowOff>
    </xdr:to>
    <xdr:sp macro="[0]!חזורלתפריטראשי" textlink="">
      <xdr:nvSpPr>
        <xdr:cNvPr id="2" name="מלבן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3987800" y="111126"/>
          <a:ext cx="901700" cy="8699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a:t>חזרה</a:t>
          </a:r>
          <a:r>
            <a:rPr lang="he-IL" sz="1600" baseline="0"/>
            <a:t> לתפריט ראשי</a:t>
          </a:r>
          <a:endParaRPr lang="he-IL" sz="1600"/>
        </a:p>
      </xdr:txBody>
    </xdr:sp>
    <xdr:clientData fPrintsWithSheet="0"/>
  </xdr:twoCellAnchor>
  <xdr:twoCellAnchor>
    <xdr:from>
      <xdr:col>6</xdr:col>
      <xdr:colOff>0</xdr:colOff>
      <xdr:row>54</xdr:row>
      <xdr:rowOff>57150</xdr:rowOff>
    </xdr:from>
    <xdr:to>
      <xdr:col>12</xdr:col>
      <xdr:colOff>1</xdr:colOff>
      <xdr:row>57</xdr:row>
      <xdr:rowOff>0</xdr:rowOff>
    </xdr:to>
    <xdr:sp macro="[0]!סגירתעדכוןלינות2" textlink="">
      <xdr:nvSpPr>
        <xdr:cNvPr id="3" name="מלבן 2">
          <a:extLst>
            <a:ext uri="{FF2B5EF4-FFF2-40B4-BE49-F238E27FC236}">
              <a16:creationId xmlns:a16="http://schemas.microsoft.com/office/drawing/2014/main" id="{00000000-0008-0000-0700-000003000000}"/>
            </a:ext>
          </a:extLst>
        </xdr:cNvPr>
        <xdr:cNvSpPr/>
      </xdr:nvSpPr>
      <xdr:spPr>
        <a:xfrm>
          <a:off x="4467224" y="466725"/>
          <a:ext cx="1323976"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a:t>סגירת עדכון</a:t>
          </a:r>
          <a:r>
            <a:rPr lang="he-IL" sz="1400" baseline="0"/>
            <a:t> לינות</a:t>
          </a:r>
          <a:endParaRPr lang="he-IL"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1076851</xdr:colOff>
      <xdr:row>0</xdr:row>
      <xdr:rowOff>62121</xdr:rowOff>
    </xdr:from>
    <xdr:to>
      <xdr:col>2</xdr:col>
      <xdr:colOff>424484</xdr:colOff>
      <xdr:row>2</xdr:row>
      <xdr:rowOff>93180</xdr:rowOff>
    </xdr:to>
    <xdr:sp macro="" textlink="">
      <xdr:nvSpPr>
        <xdr:cNvPr id="2" name="מלבן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6822799" y="62121"/>
          <a:ext cx="1687470" cy="4969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a:t>חזרה לתפריט ראשי</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4</xdr:col>
      <xdr:colOff>1</xdr:colOff>
      <xdr:row>2</xdr:row>
      <xdr:rowOff>409574</xdr:rowOff>
    </xdr:from>
    <xdr:to>
      <xdr:col>6</xdr:col>
      <xdr:colOff>1</xdr:colOff>
      <xdr:row>5</xdr:row>
      <xdr:rowOff>200024</xdr:rowOff>
    </xdr:to>
    <xdr:sp macro="" textlink="">
      <xdr:nvSpPr>
        <xdr:cNvPr id="3" name="מלבן מעוגל 2">
          <a:hlinkClick xmlns:r="http://schemas.openxmlformats.org/officeDocument/2006/relationships" r:id="rId1"/>
          <a:extLst>
            <a:ext uri="{FF2B5EF4-FFF2-40B4-BE49-F238E27FC236}">
              <a16:creationId xmlns:a16="http://schemas.microsoft.com/office/drawing/2014/main" id="{00000000-0008-0000-0900-000003000000}"/>
            </a:ext>
          </a:extLst>
        </xdr:cNvPr>
        <xdr:cNvSpPr/>
      </xdr:nvSpPr>
      <xdr:spPr>
        <a:xfrm>
          <a:off x="685799" y="819149"/>
          <a:ext cx="1533525" cy="600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r" rtl="1"/>
          <a:r>
            <a:rPr lang="he-IL" sz="1200"/>
            <a:t>חזרה לתפריט ראשי</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514350</xdr:colOff>
      <xdr:row>0</xdr:row>
      <xdr:rowOff>171450</xdr:rowOff>
    </xdr:from>
    <xdr:to>
      <xdr:col>6</xdr:col>
      <xdr:colOff>514350</xdr:colOff>
      <xdr:row>6</xdr:row>
      <xdr:rowOff>9525</xdr:rowOff>
    </xdr:to>
    <xdr:sp macro="" textlink="">
      <xdr:nvSpPr>
        <xdr:cNvPr id="2" name="מלבן מעוגל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57150" y="171450"/>
          <a:ext cx="895350" cy="942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a:t>חזרה לתפריט ראשי</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0</xdr:colOff>
      <xdr:row>12</xdr:row>
      <xdr:rowOff>161925</xdr:rowOff>
    </xdr:from>
    <xdr:to>
      <xdr:col>6</xdr:col>
      <xdr:colOff>628650</xdr:colOff>
      <xdr:row>15</xdr:row>
      <xdr:rowOff>152400</xdr:rowOff>
    </xdr:to>
    <xdr:sp macro="" textlink="">
      <xdr:nvSpPr>
        <xdr:cNvPr id="2" name="מלבן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152400" y="329565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a:t>חזרה לתפריט ראשי</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619125</xdr:colOff>
      <xdr:row>1</xdr:row>
      <xdr:rowOff>114300</xdr:rowOff>
    </xdr:from>
    <xdr:to>
      <xdr:col>10</xdr:col>
      <xdr:colOff>447675</xdr:colOff>
      <xdr:row>5</xdr:row>
      <xdr:rowOff>114300</xdr:rowOff>
    </xdr:to>
    <xdr:sp macro="" textlink="">
      <xdr:nvSpPr>
        <xdr:cNvPr id="2" name="מלבן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400050" y="314325"/>
          <a:ext cx="152400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b="1"/>
            <a:t>חזרה</a:t>
          </a:r>
          <a:r>
            <a:rPr lang="he-IL" sz="1400" b="1" baseline="0"/>
            <a:t> לתפריט ראשי</a:t>
          </a:r>
          <a:endParaRPr lang="he-IL" sz="1400" b="1"/>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142875</xdr:colOff>
      <xdr:row>5</xdr:row>
      <xdr:rowOff>19050</xdr:rowOff>
    </xdr:from>
    <xdr:to>
      <xdr:col>3</xdr:col>
      <xdr:colOff>819150</xdr:colOff>
      <xdr:row>9</xdr:row>
      <xdr:rowOff>114300</xdr:rowOff>
    </xdr:to>
    <xdr:sp macro="" textlink="">
      <xdr:nvSpPr>
        <xdr:cNvPr id="16" name="TextBox 15">
          <a:extLst>
            <a:ext uri="{FF2B5EF4-FFF2-40B4-BE49-F238E27FC236}">
              <a16:creationId xmlns:a16="http://schemas.microsoft.com/office/drawing/2014/main" id="{00000000-0008-0000-0D00-000010000000}"/>
            </a:ext>
          </a:extLst>
        </xdr:cNvPr>
        <xdr:cNvSpPr txBox="1"/>
      </xdr:nvSpPr>
      <xdr:spPr>
        <a:xfrm>
          <a:off x="4600575" y="1200150"/>
          <a:ext cx="123825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200" b="1"/>
            <a:t>אגף חדרים</a:t>
          </a:r>
        </a:p>
      </xdr:txBody>
    </xdr:sp>
    <xdr:clientData/>
  </xdr:twoCellAnchor>
  <xdr:twoCellAnchor editAs="oneCell">
    <xdr:from>
      <xdr:col>2</xdr:col>
      <xdr:colOff>323850</xdr:colOff>
      <xdr:row>6</xdr:row>
      <xdr:rowOff>9525</xdr:rowOff>
    </xdr:from>
    <xdr:to>
      <xdr:col>3</xdr:col>
      <xdr:colOff>396401</xdr:colOff>
      <xdr:row>9</xdr:row>
      <xdr:rowOff>9525</xdr:rowOff>
    </xdr:to>
    <xdr:pic>
      <xdr:nvPicPr>
        <xdr:cNvPr id="17" name="תמונה 16" descr="folder-icon.png">
          <a:hlinkClick xmlns:r="http://schemas.openxmlformats.org/officeDocument/2006/relationships" r:id="rId1"/>
          <a:extLst>
            <a:ext uri="{FF2B5EF4-FFF2-40B4-BE49-F238E27FC236}">
              <a16:creationId xmlns:a16="http://schemas.microsoft.com/office/drawing/2014/main" id="{00000000-0008-0000-0D00-000011000000}"/>
            </a:ext>
          </a:extLst>
        </xdr:cNvPr>
        <xdr:cNvPicPr>
          <a:picLocks noChangeAspect="1"/>
        </xdr:cNvPicPr>
      </xdr:nvPicPr>
      <xdr:blipFill>
        <a:blip xmlns:r="http://schemas.openxmlformats.org/officeDocument/2006/relationships" r:embed="rId2" cstate="print"/>
        <a:stretch>
          <a:fillRect/>
        </a:stretch>
      </xdr:blipFill>
      <xdr:spPr>
        <a:xfrm>
          <a:off x="4904261" y="1419225"/>
          <a:ext cx="753589" cy="638175"/>
        </a:xfrm>
        <a:prstGeom prst="rect">
          <a:avLst/>
        </a:prstGeom>
      </xdr:spPr>
    </xdr:pic>
    <xdr:clientData fLocksWithSheet="0"/>
  </xdr:twoCellAnchor>
  <xdr:twoCellAnchor>
    <xdr:from>
      <xdr:col>3</xdr:col>
      <xdr:colOff>962025</xdr:colOff>
      <xdr:row>5</xdr:row>
      <xdr:rowOff>9525</xdr:rowOff>
    </xdr:from>
    <xdr:to>
      <xdr:col>6</xdr:col>
      <xdr:colOff>19050</xdr:colOff>
      <xdr:row>9</xdr:row>
      <xdr:rowOff>104775</xdr:rowOff>
    </xdr:to>
    <xdr:sp macro="" textlink="">
      <xdr:nvSpPr>
        <xdr:cNvPr id="18" name="TextBox 17">
          <a:extLst>
            <a:ext uri="{FF2B5EF4-FFF2-40B4-BE49-F238E27FC236}">
              <a16:creationId xmlns:a16="http://schemas.microsoft.com/office/drawing/2014/main" id="{00000000-0008-0000-0D00-000012000000}"/>
            </a:ext>
          </a:extLst>
        </xdr:cNvPr>
        <xdr:cNvSpPr txBox="1"/>
      </xdr:nvSpPr>
      <xdr:spPr>
        <a:xfrm>
          <a:off x="3219450" y="1190625"/>
          <a:ext cx="123825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200" b="1"/>
            <a:t>מזון ומשקאות</a:t>
          </a:r>
        </a:p>
      </xdr:txBody>
    </xdr:sp>
    <xdr:clientData/>
  </xdr:twoCellAnchor>
  <xdr:twoCellAnchor>
    <xdr:from>
      <xdr:col>6</xdr:col>
      <xdr:colOff>114300</xdr:colOff>
      <xdr:row>5</xdr:row>
      <xdr:rowOff>9525</xdr:rowOff>
    </xdr:from>
    <xdr:to>
      <xdr:col>7</xdr:col>
      <xdr:colOff>295275</xdr:colOff>
      <xdr:row>9</xdr:row>
      <xdr:rowOff>104775</xdr:rowOff>
    </xdr:to>
    <xdr:sp macro="" textlink="">
      <xdr:nvSpPr>
        <xdr:cNvPr id="19" name="TextBox 18">
          <a:extLst>
            <a:ext uri="{FF2B5EF4-FFF2-40B4-BE49-F238E27FC236}">
              <a16:creationId xmlns:a16="http://schemas.microsoft.com/office/drawing/2014/main" id="{00000000-0008-0000-0D00-000013000000}"/>
            </a:ext>
          </a:extLst>
        </xdr:cNvPr>
        <xdr:cNvSpPr txBox="1"/>
      </xdr:nvSpPr>
      <xdr:spPr>
        <a:xfrm>
          <a:off x="1885950" y="1190625"/>
          <a:ext cx="123825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200" b="1"/>
            <a:t>סכום נתוני דוח</a:t>
          </a:r>
        </a:p>
      </xdr:txBody>
    </xdr:sp>
    <xdr:clientData/>
  </xdr:twoCellAnchor>
  <xdr:twoCellAnchor>
    <xdr:from>
      <xdr:col>0</xdr:col>
      <xdr:colOff>1438275</xdr:colOff>
      <xdr:row>5</xdr:row>
      <xdr:rowOff>9525</xdr:rowOff>
    </xdr:from>
    <xdr:to>
      <xdr:col>2</xdr:col>
      <xdr:colOff>47625</xdr:colOff>
      <xdr:row>9</xdr:row>
      <xdr:rowOff>104775</xdr:rowOff>
    </xdr:to>
    <xdr:sp macro="" textlink="">
      <xdr:nvSpPr>
        <xdr:cNvPr id="20" name="TextBox 19">
          <a:extLst>
            <a:ext uri="{FF2B5EF4-FFF2-40B4-BE49-F238E27FC236}">
              <a16:creationId xmlns:a16="http://schemas.microsoft.com/office/drawing/2014/main" id="{00000000-0008-0000-0D00-000014000000}"/>
            </a:ext>
          </a:extLst>
        </xdr:cNvPr>
        <xdr:cNvSpPr txBox="1"/>
      </xdr:nvSpPr>
      <xdr:spPr>
        <a:xfrm>
          <a:off x="5934075" y="1190625"/>
          <a:ext cx="123825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200" b="1"/>
            <a:t>שיווק ומכירות</a:t>
          </a:r>
        </a:p>
      </xdr:txBody>
    </xdr:sp>
    <xdr:clientData/>
  </xdr:twoCellAnchor>
  <xdr:twoCellAnchor>
    <xdr:from>
      <xdr:col>0</xdr:col>
      <xdr:colOff>66675</xdr:colOff>
      <xdr:row>5</xdr:row>
      <xdr:rowOff>9525</xdr:rowOff>
    </xdr:from>
    <xdr:to>
      <xdr:col>0</xdr:col>
      <xdr:colOff>1304925</xdr:colOff>
      <xdr:row>9</xdr:row>
      <xdr:rowOff>104775</xdr:rowOff>
    </xdr:to>
    <xdr:sp macro="" textlink="">
      <xdr:nvSpPr>
        <xdr:cNvPr id="21" name="TextBox 20">
          <a:extLst>
            <a:ext uri="{FF2B5EF4-FFF2-40B4-BE49-F238E27FC236}">
              <a16:creationId xmlns:a16="http://schemas.microsoft.com/office/drawing/2014/main" id="{00000000-0008-0000-0D00-000015000000}"/>
            </a:ext>
          </a:extLst>
        </xdr:cNvPr>
        <xdr:cNvSpPr txBox="1"/>
      </xdr:nvSpPr>
      <xdr:spPr>
        <a:xfrm>
          <a:off x="7305675" y="1190625"/>
          <a:ext cx="123825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200" b="1"/>
            <a:t>הנהלה</a:t>
          </a:r>
        </a:p>
      </xdr:txBody>
    </xdr:sp>
    <xdr:clientData/>
  </xdr:twoCellAnchor>
  <xdr:twoCellAnchor editAs="oneCell">
    <xdr:from>
      <xdr:col>0</xdr:col>
      <xdr:colOff>1609725</xdr:colOff>
      <xdr:row>5</xdr:row>
      <xdr:rowOff>219075</xdr:rowOff>
    </xdr:from>
    <xdr:to>
      <xdr:col>1</xdr:col>
      <xdr:colOff>296389</xdr:colOff>
      <xdr:row>8</xdr:row>
      <xdr:rowOff>190500</xdr:rowOff>
    </xdr:to>
    <xdr:pic>
      <xdr:nvPicPr>
        <xdr:cNvPr id="22" name="תמונה 21" descr="folder-icon.png">
          <a:hlinkClick xmlns:r="http://schemas.openxmlformats.org/officeDocument/2006/relationships" r:id="rId3"/>
          <a:extLst>
            <a:ext uri="{FF2B5EF4-FFF2-40B4-BE49-F238E27FC236}">
              <a16:creationId xmlns:a16="http://schemas.microsoft.com/office/drawing/2014/main" id="{00000000-0008-0000-0D00-000016000000}"/>
            </a:ext>
          </a:extLst>
        </xdr:cNvPr>
        <xdr:cNvPicPr>
          <a:picLocks noChangeAspect="1"/>
        </xdr:cNvPicPr>
      </xdr:nvPicPr>
      <xdr:blipFill>
        <a:blip xmlns:r="http://schemas.openxmlformats.org/officeDocument/2006/relationships" r:embed="rId2" cstate="print"/>
        <a:stretch>
          <a:fillRect/>
        </a:stretch>
      </xdr:blipFill>
      <xdr:spPr>
        <a:xfrm>
          <a:off x="6247286" y="1400175"/>
          <a:ext cx="753589" cy="638175"/>
        </a:xfrm>
        <a:prstGeom prst="rect">
          <a:avLst/>
        </a:prstGeom>
      </xdr:spPr>
    </xdr:pic>
    <xdr:clientData fLocksWithSheet="0"/>
  </xdr:twoCellAnchor>
  <xdr:twoCellAnchor editAs="oneCell">
    <xdr:from>
      <xdr:col>0</xdr:col>
      <xdr:colOff>238125</xdr:colOff>
      <xdr:row>6</xdr:row>
      <xdr:rowOff>19050</xdr:rowOff>
    </xdr:from>
    <xdr:to>
      <xdr:col>0</xdr:col>
      <xdr:colOff>991714</xdr:colOff>
      <xdr:row>9</xdr:row>
      <xdr:rowOff>19050</xdr:rowOff>
    </xdr:to>
    <xdr:pic>
      <xdr:nvPicPr>
        <xdr:cNvPr id="23" name="תמונה 22" descr="folder-icon.png">
          <a:hlinkClick xmlns:r="http://schemas.openxmlformats.org/officeDocument/2006/relationships" r:id="rId4"/>
          <a:extLst>
            <a:ext uri="{FF2B5EF4-FFF2-40B4-BE49-F238E27FC236}">
              <a16:creationId xmlns:a16="http://schemas.microsoft.com/office/drawing/2014/main" id="{00000000-0008-0000-0D00-000017000000}"/>
            </a:ext>
          </a:extLst>
        </xdr:cNvPr>
        <xdr:cNvPicPr>
          <a:picLocks noChangeAspect="1"/>
        </xdr:cNvPicPr>
      </xdr:nvPicPr>
      <xdr:blipFill>
        <a:blip xmlns:r="http://schemas.openxmlformats.org/officeDocument/2006/relationships" r:embed="rId2" cstate="print"/>
        <a:stretch>
          <a:fillRect/>
        </a:stretch>
      </xdr:blipFill>
      <xdr:spPr>
        <a:xfrm>
          <a:off x="7618886" y="1428750"/>
          <a:ext cx="753589" cy="638175"/>
        </a:xfrm>
        <a:prstGeom prst="rect">
          <a:avLst/>
        </a:prstGeom>
      </xdr:spPr>
    </xdr:pic>
    <xdr:clientData fLocksWithSheet="0"/>
  </xdr:twoCellAnchor>
  <xdr:twoCellAnchor editAs="oneCell">
    <xdr:from>
      <xdr:col>4</xdr:col>
      <xdr:colOff>104775</xdr:colOff>
      <xdr:row>5</xdr:row>
      <xdr:rowOff>219075</xdr:rowOff>
    </xdr:from>
    <xdr:to>
      <xdr:col>5</xdr:col>
      <xdr:colOff>185263</xdr:colOff>
      <xdr:row>8</xdr:row>
      <xdr:rowOff>190500</xdr:rowOff>
    </xdr:to>
    <xdr:pic>
      <xdr:nvPicPr>
        <xdr:cNvPr id="24" name="תמונה 23" descr="folder-icon.png">
          <a:hlinkClick xmlns:r="http://schemas.openxmlformats.org/officeDocument/2006/relationships" r:id="rId5"/>
          <a:extLst>
            <a:ext uri="{FF2B5EF4-FFF2-40B4-BE49-F238E27FC236}">
              <a16:creationId xmlns:a16="http://schemas.microsoft.com/office/drawing/2014/main" id="{00000000-0008-0000-0D00-000018000000}"/>
            </a:ext>
          </a:extLst>
        </xdr:cNvPr>
        <xdr:cNvPicPr>
          <a:picLocks noChangeAspect="1"/>
        </xdr:cNvPicPr>
      </xdr:nvPicPr>
      <xdr:blipFill>
        <a:blip xmlns:r="http://schemas.openxmlformats.org/officeDocument/2006/relationships" r:embed="rId2" cstate="print"/>
        <a:stretch>
          <a:fillRect/>
        </a:stretch>
      </xdr:blipFill>
      <xdr:spPr>
        <a:xfrm>
          <a:off x="3504086" y="1400175"/>
          <a:ext cx="753589" cy="638175"/>
        </a:xfrm>
        <a:prstGeom prst="rect">
          <a:avLst/>
        </a:prstGeom>
      </xdr:spPr>
    </xdr:pic>
    <xdr:clientData fLocksWithSheet="0"/>
  </xdr:twoCellAnchor>
  <xdr:twoCellAnchor editAs="oneCell">
    <xdr:from>
      <xdr:col>6</xdr:col>
      <xdr:colOff>314325</xdr:colOff>
      <xdr:row>6</xdr:row>
      <xdr:rowOff>47625</xdr:rowOff>
    </xdr:from>
    <xdr:to>
      <xdr:col>7</xdr:col>
      <xdr:colOff>10639</xdr:colOff>
      <xdr:row>9</xdr:row>
      <xdr:rowOff>47625</xdr:rowOff>
    </xdr:to>
    <xdr:pic>
      <xdr:nvPicPr>
        <xdr:cNvPr id="25" name="תמונה 24" descr="folder-icon.png">
          <a:hlinkClick xmlns:r="http://schemas.openxmlformats.org/officeDocument/2006/relationships" r:id="rId6"/>
          <a:extLst>
            <a:ext uri="{FF2B5EF4-FFF2-40B4-BE49-F238E27FC236}">
              <a16:creationId xmlns:a16="http://schemas.microsoft.com/office/drawing/2014/main" id="{00000000-0008-0000-0D00-000019000000}"/>
            </a:ext>
          </a:extLst>
        </xdr:cNvPr>
        <xdr:cNvPicPr>
          <a:picLocks noChangeAspect="1"/>
        </xdr:cNvPicPr>
      </xdr:nvPicPr>
      <xdr:blipFill>
        <a:blip xmlns:r="http://schemas.openxmlformats.org/officeDocument/2006/relationships" r:embed="rId2" cstate="print"/>
        <a:stretch>
          <a:fillRect/>
        </a:stretch>
      </xdr:blipFill>
      <xdr:spPr>
        <a:xfrm>
          <a:off x="2170586" y="1457325"/>
          <a:ext cx="753589" cy="638175"/>
        </a:xfrm>
        <a:prstGeom prst="rect">
          <a:avLst/>
        </a:prstGeom>
      </xdr:spPr>
    </xdr:pic>
    <xdr:clientData fLocksWithSheet="0"/>
  </xdr:twoCellAnchor>
  <xdr:twoCellAnchor>
    <xdr:from>
      <xdr:col>7</xdr:col>
      <xdr:colOff>485775</xdr:colOff>
      <xdr:row>5</xdr:row>
      <xdr:rowOff>0</xdr:rowOff>
    </xdr:from>
    <xdr:to>
      <xdr:col>9</xdr:col>
      <xdr:colOff>600075</xdr:colOff>
      <xdr:row>9</xdr:row>
      <xdr:rowOff>95250</xdr:rowOff>
    </xdr:to>
    <xdr:sp macro="" textlink="">
      <xdr:nvSpPr>
        <xdr:cNvPr id="26" name="TextBox 25">
          <a:extLst>
            <a:ext uri="{FF2B5EF4-FFF2-40B4-BE49-F238E27FC236}">
              <a16:creationId xmlns:a16="http://schemas.microsoft.com/office/drawing/2014/main" id="{00000000-0008-0000-0D00-00001A000000}"/>
            </a:ext>
          </a:extLst>
        </xdr:cNvPr>
        <xdr:cNvSpPr txBox="1"/>
      </xdr:nvSpPr>
      <xdr:spPr>
        <a:xfrm>
          <a:off x="457200" y="1181100"/>
          <a:ext cx="123825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200" b="1"/>
            <a:t>חזרה לתפריט ראשי</a:t>
          </a:r>
        </a:p>
      </xdr:txBody>
    </xdr:sp>
    <xdr:clientData/>
  </xdr:twoCellAnchor>
  <xdr:twoCellAnchor editAs="oneCell">
    <xdr:from>
      <xdr:col>8</xdr:col>
      <xdr:colOff>114300</xdr:colOff>
      <xdr:row>6</xdr:row>
      <xdr:rowOff>76200</xdr:rowOff>
    </xdr:from>
    <xdr:to>
      <xdr:col>9</xdr:col>
      <xdr:colOff>186852</xdr:colOff>
      <xdr:row>9</xdr:row>
      <xdr:rowOff>76200</xdr:rowOff>
    </xdr:to>
    <xdr:pic>
      <xdr:nvPicPr>
        <xdr:cNvPr id="27" name="תמונה 26" descr="folder-icon.png">
          <a:hlinkClick xmlns:r="http://schemas.openxmlformats.org/officeDocument/2006/relationships" r:id="rId7"/>
          <a:extLst>
            <a:ext uri="{FF2B5EF4-FFF2-40B4-BE49-F238E27FC236}">
              <a16:creationId xmlns:a16="http://schemas.microsoft.com/office/drawing/2014/main" id="{00000000-0008-0000-0D00-00001B000000}"/>
            </a:ext>
          </a:extLst>
        </xdr:cNvPr>
        <xdr:cNvPicPr>
          <a:picLocks noChangeAspect="1"/>
        </xdr:cNvPicPr>
      </xdr:nvPicPr>
      <xdr:blipFill>
        <a:blip xmlns:r="http://schemas.openxmlformats.org/officeDocument/2006/relationships" r:embed="rId2" cstate="print"/>
        <a:stretch>
          <a:fillRect/>
        </a:stretch>
      </xdr:blipFill>
      <xdr:spPr>
        <a:xfrm>
          <a:off x="751361" y="1562100"/>
          <a:ext cx="753589" cy="638175"/>
        </a:xfrm>
        <a:prstGeom prst="rect">
          <a:avLst/>
        </a:prstGeom>
      </xdr:spPr>
    </xdr:pic>
    <xdr:clientData fLocksWithSheet="0"/>
  </xdr:twoCellAnchor>
  <xdr:twoCellAnchor>
    <xdr:from>
      <xdr:col>8</xdr:col>
      <xdr:colOff>561975</xdr:colOff>
      <xdr:row>64</xdr:row>
      <xdr:rowOff>95250</xdr:rowOff>
    </xdr:from>
    <xdr:to>
      <xdr:col>9</xdr:col>
      <xdr:colOff>895350</xdr:colOff>
      <xdr:row>66</xdr:row>
      <xdr:rowOff>133350</xdr:rowOff>
    </xdr:to>
    <xdr:sp macro="" textlink="">
      <xdr:nvSpPr>
        <xdr:cNvPr id="28" name="מלבן 27">
          <a:hlinkClick xmlns:r="http://schemas.openxmlformats.org/officeDocument/2006/relationships" r:id="rId8"/>
          <a:extLst>
            <a:ext uri="{FF2B5EF4-FFF2-40B4-BE49-F238E27FC236}">
              <a16:creationId xmlns:a16="http://schemas.microsoft.com/office/drawing/2014/main" id="{00000000-0008-0000-0D00-00001C000000}"/>
            </a:ext>
          </a:extLst>
        </xdr:cNvPr>
        <xdr:cNvSpPr/>
      </xdr:nvSpPr>
      <xdr:spPr>
        <a:xfrm>
          <a:off x="171450" y="12401550"/>
          <a:ext cx="981075"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000"/>
            <a:t>חזרה</a:t>
          </a:r>
          <a:r>
            <a:rPr lang="he-IL" sz="1100" baseline="0"/>
            <a:t> לראש העמוד</a:t>
          </a:r>
          <a:endParaRPr lang="he-IL"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790575</xdr:colOff>
      <xdr:row>1</xdr:row>
      <xdr:rowOff>19050</xdr:rowOff>
    </xdr:from>
    <xdr:to>
      <xdr:col>7</xdr:col>
      <xdr:colOff>69850</xdr:colOff>
      <xdr:row>4</xdr:row>
      <xdr:rowOff>155575</xdr:rowOff>
    </xdr:to>
    <xdr:sp macro="" textlink="">
      <xdr:nvSpPr>
        <xdr:cNvPr id="4" name="מלבן מעוגל 3">
          <a:hlinkClick xmlns:r="http://schemas.openxmlformats.org/officeDocument/2006/relationships" r:id="rId1"/>
          <a:extLst>
            <a:ext uri="{FF2B5EF4-FFF2-40B4-BE49-F238E27FC236}">
              <a16:creationId xmlns:a16="http://schemas.microsoft.com/office/drawing/2014/main" id="{00000000-0008-0000-0E00-000004000000}"/>
            </a:ext>
          </a:extLst>
        </xdr:cNvPr>
        <xdr:cNvSpPr/>
      </xdr:nvSpPr>
      <xdr:spPr>
        <a:xfrm>
          <a:off x="720725" y="219075"/>
          <a:ext cx="1955800" cy="736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a:t>חזרה לתפריט</a:t>
          </a:r>
          <a:r>
            <a:rPr lang="he-IL" sz="1600" baseline="0"/>
            <a:t> ראשי</a:t>
          </a:r>
          <a:endParaRPr lang="he-IL" sz="16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292100</xdr:colOff>
      <xdr:row>50</xdr:row>
      <xdr:rowOff>25400</xdr:rowOff>
    </xdr:from>
    <xdr:to>
      <xdr:col>10</xdr:col>
      <xdr:colOff>127000</xdr:colOff>
      <xdr:row>52</xdr:row>
      <xdr:rowOff>139700</xdr:rowOff>
    </xdr:to>
    <xdr:sp macro="" textlink="">
      <xdr:nvSpPr>
        <xdr:cNvPr id="2" name="מלבן מעוגל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5832398800" y="9575800"/>
          <a:ext cx="4533900" cy="469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800" b="1" i="1"/>
            <a:t>סיום וחזרה לתפריט ראשי</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895351</xdr:colOff>
      <xdr:row>10</xdr:row>
      <xdr:rowOff>38100</xdr:rowOff>
    </xdr:from>
    <xdr:to>
      <xdr:col>4</xdr:col>
      <xdr:colOff>847726</xdr:colOff>
      <xdr:row>15</xdr:row>
      <xdr:rowOff>133350</xdr:rowOff>
    </xdr:to>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142874" y="1971675"/>
          <a:ext cx="904875"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ctr" rtl="1"/>
          <a:r>
            <a:rPr lang="he-IL" sz="1400" b="1"/>
            <a:t>תפריט</a:t>
          </a:r>
          <a:r>
            <a:rPr lang="he-IL" sz="1400" b="1" baseline="0"/>
            <a:t> ראשי</a:t>
          </a:r>
          <a:endParaRPr lang="he-IL" sz="1400" b="1"/>
        </a:p>
      </xdr:txBody>
    </xdr:sp>
    <xdr:clientData/>
  </xdr:twoCellAnchor>
  <xdr:twoCellAnchor editAs="oneCell">
    <xdr:from>
      <xdr:col>4</xdr:col>
      <xdr:colOff>190501</xdr:colOff>
      <xdr:row>13</xdr:row>
      <xdr:rowOff>0</xdr:rowOff>
    </xdr:from>
    <xdr:to>
      <xdr:col>4</xdr:col>
      <xdr:colOff>647701</xdr:colOff>
      <xdr:row>15</xdr:row>
      <xdr:rowOff>95250</xdr:rowOff>
    </xdr:to>
    <xdr:pic>
      <xdr:nvPicPr>
        <xdr:cNvPr id="2" name="תמונה 1" descr="Button-Close-icon.png">
          <a:hlinkClick xmlns:r="http://schemas.openxmlformats.org/officeDocument/2006/relationships" r:id="rId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2" cstate="print"/>
        <a:stretch>
          <a:fillRect/>
        </a:stretch>
      </xdr:blipFill>
      <xdr:spPr>
        <a:xfrm>
          <a:off x="342899" y="2476500"/>
          <a:ext cx="457200" cy="4572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9</xdr:col>
      <xdr:colOff>342900</xdr:colOff>
      <xdr:row>0</xdr:row>
      <xdr:rowOff>161924</xdr:rowOff>
    </xdr:from>
    <xdr:to>
      <xdr:col>10</xdr:col>
      <xdr:colOff>704850</xdr:colOff>
      <xdr:row>13</xdr:row>
      <xdr:rowOff>9524</xdr:rowOff>
    </xdr:to>
    <xdr:sp macro="" textlink="">
      <xdr:nvSpPr>
        <xdr:cNvPr id="3" name="TextBox 2">
          <a:extLst>
            <a:ext uri="{FF2B5EF4-FFF2-40B4-BE49-F238E27FC236}">
              <a16:creationId xmlns:a16="http://schemas.microsoft.com/office/drawing/2014/main" id="{00000000-0008-0000-1100-000003000000}"/>
            </a:ext>
          </a:extLst>
        </xdr:cNvPr>
        <xdr:cNvSpPr txBox="1"/>
      </xdr:nvSpPr>
      <xdr:spPr>
        <a:xfrm>
          <a:off x="104775" y="161924"/>
          <a:ext cx="1171575" cy="2009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1" anchor="t"/>
        <a:lstStyle/>
        <a:p>
          <a:pPr algn="r" rtl="1"/>
          <a:endParaRPr lang="he-IL" sz="1100"/>
        </a:p>
        <a:p>
          <a:pPr algn="r" rtl="1"/>
          <a:endParaRPr lang="he-IL" sz="1100"/>
        </a:p>
        <a:p>
          <a:pPr algn="r" rtl="1"/>
          <a:endParaRPr lang="he-IL" sz="1100"/>
        </a:p>
        <a:p>
          <a:pPr algn="r" rtl="1"/>
          <a:endParaRPr lang="he-IL" sz="1100"/>
        </a:p>
        <a:p>
          <a:pPr algn="r" rtl="1"/>
          <a:endParaRPr lang="he-IL" sz="1100"/>
        </a:p>
        <a:p>
          <a:pPr algn="r" rtl="1"/>
          <a:endParaRPr lang="he-IL" sz="1100"/>
        </a:p>
        <a:p>
          <a:pPr algn="r" rtl="1"/>
          <a:endParaRPr lang="he-IL" sz="1100"/>
        </a:p>
        <a:p>
          <a:pPr algn="ctr" rtl="1"/>
          <a:r>
            <a:rPr lang="he-IL" sz="1600" b="1"/>
            <a:t>חזרה</a:t>
          </a:r>
          <a:r>
            <a:rPr lang="he-IL" sz="1600" b="1" baseline="0"/>
            <a:t> לתפריט ראשי</a:t>
          </a:r>
          <a:endParaRPr lang="he-IL" sz="1600" b="1"/>
        </a:p>
      </xdr:txBody>
    </xdr:sp>
    <xdr:clientData/>
  </xdr:twoCellAnchor>
  <xdr:twoCellAnchor editAs="oneCell">
    <xdr:from>
      <xdr:col>9</xdr:col>
      <xdr:colOff>600075</xdr:colOff>
      <xdr:row>1</xdr:row>
      <xdr:rowOff>104775</xdr:rowOff>
    </xdr:from>
    <xdr:to>
      <xdr:col>10</xdr:col>
      <xdr:colOff>482600</xdr:colOff>
      <xdr:row>7</xdr:row>
      <xdr:rowOff>0</xdr:rowOff>
    </xdr:to>
    <xdr:pic>
      <xdr:nvPicPr>
        <xdr:cNvPr id="2" name="תמונה 1" descr="folder-icon.png">
          <a:hlinkClick xmlns:r="http://schemas.openxmlformats.org/officeDocument/2006/relationships" r:id="rId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2" cstate="print"/>
        <a:stretch>
          <a:fillRect/>
        </a:stretch>
      </xdr:blipFill>
      <xdr:spPr>
        <a:xfrm>
          <a:off x="295275" y="409575"/>
          <a:ext cx="723900" cy="7239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533400</xdr:colOff>
      <xdr:row>6</xdr:row>
      <xdr:rowOff>139700</xdr:rowOff>
    </xdr:from>
    <xdr:to>
      <xdr:col>4</xdr:col>
      <xdr:colOff>1206500</xdr:colOff>
      <xdr:row>10</xdr:row>
      <xdr:rowOff>114300</xdr:rowOff>
    </xdr:to>
    <xdr:sp macro="" textlink="">
      <xdr:nvSpPr>
        <xdr:cNvPr id="2" name="מלבן מעוגל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4660900" y="139700"/>
          <a:ext cx="1955800" cy="736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a:t>חזרה לתפריט</a:t>
          </a:r>
          <a:r>
            <a:rPr lang="he-IL" sz="1600" baseline="0"/>
            <a:t> ראשי</a:t>
          </a:r>
          <a:endParaRPr lang="he-IL" sz="1600"/>
        </a:p>
      </xdr:txBody>
    </xdr:sp>
    <xdr:clientData/>
  </xdr:twoCellAnchor>
  <xdr:twoCellAnchor>
    <xdr:from>
      <xdr:col>6</xdr:col>
      <xdr:colOff>1047750</xdr:colOff>
      <xdr:row>0</xdr:row>
      <xdr:rowOff>127000</xdr:rowOff>
    </xdr:from>
    <xdr:to>
      <xdr:col>8</xdr:col>
      <xdr:colOff>666750</xdr:colOff>
      <xdr:row>2</xdr:row>
      <xdr:rowOff>111125</xdr:rowOff>
    </xdr:to>
    <xdr:sp macro="" textlink="">
      <xdr:nvSpPr>
        <xdr:cNvPr id="3" name="מלבן 2">
          <a:hlinkClick xmlns:r="http://schemas.openxmlformats.org/officeDocument/2006/relationships" r:id="rId1"/>
          <a:extLst>
            <a:ext uri="{FF2B5EF4-FFF2-40B4-BE49-F238E27FC236}">
              <a16:creationId xmlns:a16="http://schemas.microsoft.com/office/drawing/2014/main" id="{00000000-0008-0000-1200-000003000000}"/>
            </a:ext>
          </a:extLst>
        </xdr:cNvPr>
        <xdr:cNvSpPr/>
      </xdr:nvSpPr>
      <xdr:spPr>
        <a:xfrm>
          <a:off x="555625" y="127000"/>
          <a:ext cx="184150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800" b="1"/>
            <a:t>חזרה</a:t>
          </a:r>
          <a:r>
            <a:rPr lang="he-IL" sz="1800" b="1" baseline="0"/>
            <a:t> לתפריט ראשי</a:t>
          </a:r>
          <a:endParaRPr lang="he-IL" sz="1800" b="1"/>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5</xdr:col>
      <xdr:colOff>698500</xdr:colOff>
      <xdr:row>4</xdr:row>
      <xdr:rowOff>12700</xdr:rowOff>
    </xdr:from>
    <xdr:to>
      <xdr:col>7</xdr:col>
      <xdr:colOff>304800</xdr:colOff>
      <xdr:row>8</xdr:row>
      <xdr:rowOff>114300</xdr:rowOff>
    </xdr:to>
    <xdr:sp macro="" textlink="">
      <xdr:nvSpPr>
        <xdr:cNvPr id="2" name="מלבן מעוגל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14558175100" y="774700"/>
          <a:ext cx="181610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b="1"/>
            <a:t>חזרה לתפריט ראשי</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5</xdr:col>
      <xdr:colOff>11206</xdr:colOff>
      <xdr:row>3</xdr:row>
      <xdr:rowOff>44824</xdr:rowOff>
    </xdr:from>
    <xdr:to>
      <xdr:col>6</xdr:col>
      <xdr:colOff>672353</xdr:colOff>
      <xdr:row>7</xdr:row>
      <xdr:rowOff>67235</xdr:rowOff>
    </xdr:to>
    <xdr:sp macro="" textlink="">
      <xdr:nvSpPr>
        <xdr:cNvPr id="2" name="מלבן מעוגל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437029" y="616324"/>
          <a:ext cx="1770530" cy="7844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600" b="1" i="0"/>
            <a:t>חזרה לתפריט</a:t>
          </a:r>
          <a:r>
            <a:rPr lang="he-IL" sz="1600" b="1" i="0" baseline="0"/>
            <a:t> ראשי</a:t>
          </a:r>
          <a:endParaRPr lang="he-IL" sz="1600" b="1" i="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6</xdr:col>
      <xdr:colOff>571501</xdr:colOff>
      <xdr:row>26</xdr:row>
      <xdr:rowOff>174625</xdr:rowOff>
    </xdr:from>
    <xdr:to>
      <xdr:col>8</xdr:col>
      <xdr:colOff>114300</xdr:colOff>
      <xdr:row>30</xdr:row>
      <xdr:rowOff>0</xdr:rowOff>
    </xdr:to>
    <xdr:sp macro="" textlink="">
      <xdr:nvSpPr>
        <xdr:cNvPr id="2" name="מלבן 1">
          <a:hlinkClick xmlns:r="http://schemas.openxmlformats.org/officeDocument/2006/relationships" r:id="rId1"/>
          <a:extLst>
            <a:ext uri="{FF2B5EF4-FFF2-40B4-BE49-F238E27FC236}">
              <a16:creationId xmlns:a16="http://schemas.microsoft.com/office/drawing/2014/main" id="{00000000-0008-0000-1500-000002000000}"/>
            </a:ext>
          </a:extLst>
        </xdr:cNvPr>
        <xdr:cNvSpPr/>
      </xdr:nvSpPr>
      <xdr:spPr>
        <a:xfrm>
          <a:off x="2686050" y="5003800"/>
          <a:ext cx="1409699" cy="568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a:t>חזרה לתפריט ראשי</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16</xdr:col>
      <xdr:colOff>460375</xdr:colOff>
      <xdr:row>12</xdr:row>
      <xdr:rowOff>174625</xdr:rowOff>
    </xdr:from>
    <xdr:to>
      <xdr:col>18</xdr:col>
      <xdr:colOff>0</xdr:colOff>
      <xdr:row>18</xdr:row>
      <xdr:rowOff>79375</xdr:rowOff>
    </xdr:to>
    <xdr:sp macro="" textlink="">
      <xdr:nvSpPr>
        <xdr:cNvPr id="2" name="מלבן מעוגל 1">
          <a:hlinkClick xmlns:r="http://schemas.openxmlformats.org/officeDocument/2006/relationships" r:id="rId1"/>
          <a:extLst>
            <a:ext uri="{FF2B5EF4-FFF2-40B4-BE49-F238E27FC236}">
              <a16:creationId xmlns:a16="http://schemas.microsoft.com/office/drawing/2014/main" id="{00000000-0008-0000-1600-000002000000}"/>
            </a:ext>
          </a:extLst>
        </xdr:cNvPr>
        <xdr:cNvSpPr/>
      </xdr:nvSpPr>
      <xdr:spPr>
        <a:xfrm>
          <a:off x="16887666250" y="365125"/>
          <a:ext cx="1603375" cy="1047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1" anchor="ctr"/>
        <a:lstStyle/>
        <a:p>
          <a:pPr algn="ctr" rtl="1"/>
          <a:r>
            <a:rPr lang="he-IL" sz="1400" b="1"/>
            <a:t>חזרה לתפריט ראשי</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104775</xdr:colOff>
      <xdr:row>0</xdr:row>
      <xdr:rowOff>104775</xdr:rowOff>
    </xdr:from>
    <xdr:to>
      <xdr:col>10</xdr:col>
      <xdr:colOff>476250</xdr:colOff>
      <xdr:row>31</xdr:row>
      <xdr:rowOff>85726</xdr:rowOff>
    </xdr:to>
    <xdr:graphicFrame macro="">
      <xdr:nvGraphicFramePr>
        <xdr:cNvPr id="2" name="תרשים 1">
          <a:extLst>
            <a:ext uri="{FF2B5EF4-FFF2-40B4-BE49-F238E27FC236}">
              <a16:creationId xmlns:a16="http://schemas.microsoft.com/office/drawing/2014/main" id="{00000000-0008-0000-1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35</xdr:row>
      <xdr:rowOff>85724</xdr:rowOff>
    </xdr:from>
    <xdr:to>
      <xdr:col>10</xdr:col>
      <xdr:colOff>590550</xdr:colOff>
      <xdr:row>67</xdr:row>
      <xdr:rowOff>95249</xdr:rowOff>
    </xdr:to>
    <xdr:graphicFrame macro="">
      <xdr:nvGraphicFramePr>
        <xdr:cNvPr id="4" name="תרשים 3">
          <a:extLst>
            <a:ext uri="{FF2B5EF4-FFF2-40B4-BE49-F238E27FC236}">
              <a16:creationId xmlns:a16="http://schemas.microsoft.com/office/drawing/2014/main" id="{00000000-0008-0000-1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70</xdr:row>
      <xdr:rowOff>38099</xdr:rowOff>
    </xdr:from>
    <xdr:to>
      <xdr:col>10</xdr:col>
      <xdr:colOff>390525</xdr:colOff>
      <xdr:row>102</xdr:row>
      <xdr:rowOff>152400</xdr:rowOff>
    </xdr:to>
    <xdr:graphicFrame macro="">
      <xdr:nvGraphicFramePr>
        <xdr:cNvPr id="5" name="תרשים 4">
          <a:extLst>
            <a:ext uri="{FF2B5EF4-FFF2-40B4-BE49-F238E27FC236}">
              <a16:creationId xmlns:a16="http://schemas.microsoft.com/office/drawing/2014/main" id="{00000000-0008-0000-1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tourism.gov.il/DOCUME~1/User/LOCALS~1/Temp/Rar$DI00.750/&#1502;&#1513;&#1493;&#1488;&#1492;%20&#1502;&#1500;&#1493;&#1504;&#1493;&#1514;%20&#1493;&#1504;&#1508;&#1513;%20&#1489;&#1506;&#1502;/&#1502;&#1513;&#1493;&#1488;&#1492;%20&#1502;&#1500;&#1493;&#1504;&#1493;&#1514;%20&#1493;&#1504;&#1493;&#1508;&#1513;%20&#1489;&#1506;&#15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תפריט"/>
      <sheetName val="נתוני חברה"/>
      <sheetName val="נתוני הקמה"/>
      <sheetName val="תקרת השקעה"/>
      <sheetName val="נ.בסיס לינה"/>
      <sheetName val="הכנסות לינה"/>
      <sheetName val="מזון ומשקאות"/>
      <sheetName val="הכנסות נוספות"/>
      <sheetName val="רגישות"/>
      <sheetName val="הוצאות"/>
      <sheetName val="כח אדם"/>
      <sheetName val="פחת"/>
      <sheetName val="קבועות"/>
      <sheetName val="רווח והפסד"/>
      <sheetName val="תיאור פרוייקט"/>
      <sheetName val="חישוב הלוואה"/>
      <sheetName val="מימון"/>
      <sheetName val="כדאיות למשק"/>
      <sheetName val="כדאיות לפירמה"/>
      <sheetName val="כדאיות ליזם"/>
      <sheetName val="תזרים מזומנים"/>
      <sheetName val="נתוני השוואה"/>
      <sheetName val="גיליון1"/>
    </sheetNames>
    <sheetDataSet>
      <sheetData sheetId="0"/>
      <sheetData sheetId="1"/>
      <sheetData sheetId="2"/>
      <sheetData sheetId="3"/>
      <sheetData sheetId="4">
        <row r="86">
          <cell r="E86">
            <v>0.7</v>
          </cell>
        </row>
      </sheetData>
      <sheetData sheetId="5"/>
      <sheetData sheetId="6"/>
      <sheetData sheetId="7"/>
      <sheetData sheetId="8"/>
      <sheetData sheetId="9"/>
      <sheetData sheetId="10"/>
      <sheetData sheetId="11"/>
      <sheetData sheetId="12"/>
      <sheetData sheetId="13"/>
      <sheetData sheetId="14"/>
      <sheetData sheetId="15">
        <row r="5">
          <cell r="B5" t="str">
            <v>הקלד נתונים</v>
          </cell>
          <cell r="F5" t="str">
            <v>תקציר הלוואה</v>
          </cell>
        </row>
        <row r="6">
          <cell r="C6" t="str">
            <v>סכום הלוואה</v>
          </cell>
          <cell r="D6">
            <v>30950668.934460383</v>
          </cell>
          <cell r="F6" t="str">
            <v>חישוב תשלום שפיצר</v>
          </cell>
          <cell r="H6">
            <v>999524.58607696265</v>
          </cell>
        </row>
        <row r="7">
          <cell r="C7" t="str">
            <v>רבית שנתית</v>
          </cell>
          <cell r="D7">
            <v>5.2499999999999998E-2</v>
          </cell>
          <cell r="F7" t="str">
            <v>מספר תשלומים מחושבים</v>
          </cell>
          <cell r="H7">
            <v>40</v>
          </cell>
        </row>
        <row r="8">
          <cell r="C8" t="str">
            <v>תקופה במשך שנים</v>
          </cell>
          <cell r="D8">
            <v>10</v>
          </cell>
          <cell r="F8" t="str">
            <v>תשלומים בפועל</v>
          </cell>
          <cell r="H8">
            <v>40</v>
          </cell>
        </row>
        <row r="9">
          <cell r="C9" t="str">
            <v>מספר תשלומים בשנה</v>
          </cell>
          <cell r="D9">
            <v>4</v>
          </cell>
          <cell r="H9">
            <v>0</v>
          </cell>
        </row>
        <row r="10">
          <cell r="C10" t="str">
            <v>תחילת מועד ההלוואה</v>
          </cell>
          <cell r="D10">
            <v>40179</v>
          </cell>
          <cell r="F10" t="str">
            <v>סה"כ רבית</v>
          </cell>
          <cell r="H10">
            <v>9030314.5086184014</v>
          </cell>
        </row>
        <row r="13">
          <cell r="B13" t="str">
            <v>שם המלווה</v>
          </cell>
          <cell r="C13" t="str">
            <v>בנק</v>
          </cell>
        </row>
        <row r="16">
          <cell r="A16" t="str">
            <v>PmtNo.</v>
          </cell>
          <cell r="B16" t="str">
            <v>תאריך</v>
          </cell>
          <cell r="C16" t="str">
            <v>יתרת פתיחה</v>
          </cell>
          <cell r="D16" t="str">
            <v>תשלום</v>
          </cell>
          <cell r="F16" t="str">
            <v>סה"כ תשלום</v>
          </cell>
          <cell r="G16" t="str">
            <v>קרן</v>
          </cell>
          <cell r="H16" t="str">
            <v>רבית</v>
          </cell>
          <cell r="I16" t="str">
            <v>יתרה</v>
          </cell>
        </row>
        <row r="18">
          <cell r="A18">
            <v>1</v>
          </cell>
          <cell r="B18">
            <v>40269</v>
          </cell>
          <cell r="C18">
            <v>30950668.934460383</v>
          </cell>
          <cell r="D18">
            <v>999524.58607696265</v>
          </cell>
          <cell r="E18">
            <v>0</v>
          </cell>
          <cell r="F18">
            <v>999524.58607696265</v>
          </cell>
          <cell r="G18">
            <v>593297.05631217011</v>
          </cell>
          <cell r="H18">
            <v>406227.52976479253</v>
          </cell>
          <cell r="I18">
            <v>30357371.878148213</v>
          </cell>
        </row>
        <row r="19">
          <cell r="A19">
            <v>2</v>
          </cell>
          <cell r="B19">
            <v>40360</v>
          </cell>
          <cell r="C19">
            <v>30357371.878148213</v>
          </cell>
          <cell r="D19">
            <v>999524.58607696265</v>
          </cell>
          <cell r="E19">
            <v>0</v>
          </cell>
          <cell r="F19">
            <v>999524.58607696265</v>
          </cell>
          <cell r="G19">
            <v>601084.08017626731</v>
          </cell>
          <cell r="H19">
            <v>398440.50590069528</v>
          </cell>
          <cell r="I19">
            <v>29756287.797971945</v>
          </cell>
        </row>
        <row r="20">
          <cell r="A20">
            <v>3</v>
          </cell>
          <cell r="B20">
            <v>40452</v>
          </cell>
          <cell r="C20">
            <v>29756287.797971945</v>
          </cell>
          <cell r="D20">
            <v>999524.58607696265</v>
          </cell>
          <cell r="E20">
            <v>0</v>
          </cell>
          <cell r="F20">
            <v>999524.58607696265</v>
          </cell>
          <cell r="G20">
            <v>608973.30872858083</v>
          </cell>
          <cell r="H20">
            <v>390551.27734838176</v>
          </cell>
          <cell r="I20">
            <v>29147314.489243366</v>
          </cell>
        </row>
        <row r="21">
          <cell r="A21">
            <v>4</v>
          </cell>
          <cell r="B21">
            <v>40544</v>
          </cell>
          <cell r="C21">
            <v>29147314.489243366</v>
          </cell>
          <cell r="D21">
            <v>999524.58607696265</v>
          </cell>
          <cell r="E21">
            <v>0</v>
          </cell>
          <cell r="F21">
            <v>999524.58607696265</v>
          </cell>
          <cell r="G21">
            <v>616966.08340564347</v>
          </cell>
          <cell r="H21">
            <v>382558.50267131918</v>
          </cell>
          <cell r="I21">
            <v>28530348.405837722</v>
          </cell>
        </row>
        <row r="22">
          <cell r="A22">
            <v>5</v>
          </cell>
          <cell r="B22">
            <v>40634</v>
          </cell>
          <cell r="C22">
            <v>28530348.405837722</v>
          </cell>
          <cell r="D22">
            <v>999524.58607696265</v>
          </cell>
          <cell r="E22">
            <v>0</v>
          </cell>
          <cell r="F22">
            <v>999524.58607696265</v>
          </cell>
          <cell r="G22">
            <v>625063.76325034257</v>
          </cell>
          <cell r="H22">
            <v>374460.82282662007</v>
          </cell>
          <cell r="I22">
            <v>27905284.642587379</v>
          </cell>
        </row>
        <row r="23">
          <cell r="A23">
            <v>6</v>
          </cell>
          <cell r="B23">
            <v>40725</v>
          </cell>
          <cell r="C23">
            <v>27905284.642587379</v>
          </cell>
          <cell r="D23">
            <v>999524.58607696265</v>
          </cell>
          <cell r="E23">
            <v>0</v>
          </cell>
          <cell r="F23">
            <v>999524.58607696265</v>
          </cell>
          <cell r="G23">
            <v>633267.72514300328</v>
          </cell>
          <cell r="H23">
            <v>366256.86093395931</v>
          </cell>
          <cell r="I23">
            <v>27272016.917444374</v>
          </cell>
        </row>
        <row r="24">
          <cell r="A24">
            <v>7</v>
          </cell>
          <cell r="B24">
            <v>40817</v>
          </cell>
          <cell r="C24">
            <v>27272016.917444374</v>
          </cell>
          <cell r="D24">
            <v>999524.58607696265</v>
          </cell>
          <cell r="E24">
            <v>0</v>
          </cell>
          <cell r="F24">
            <v>999524.58607696265</v>
          </cell>
          <cell r="G24">
            <v>641579.36403550522</v>
          </cell>
          <cell r="H24">
            <v>357945.22204145743</v>
          </cell>
          <cell r="I24">
            <v>26630437.553408869</v>
          </cell>
        </row>
        <row r="25">
          <cell r="A25">
            <v>8</v>
          </cell>
          <cell r="B25">
            <v>40909</v>
          </cell>
          <cell r="C25">
            <v>26630437.553408869</v>
          </cell>
          <cell r="D25">
            <v>999524.58607696265</v>
          </cell>
          <cell r="E25">
            <v>0</v>
          </cell>
          <cell r="F25">
            <v>999524.58607696265</v>
          </cell>
          <cell r="G25">
            <v>650000.09318847128</v>
          </cell>
          <cell r="H25">
            <v>349524.49288849137</v>
          </cell>
          <cell r="I25">
            <v>25980437.460220397</v>
          </cell>
        </row>
        <row r="26">
          <cell r="A26">
            <v>9</v>
          </cell>
          <cell r="B26">
            <v>41000</v>
          </cell>
          <cell r="C26">
            <v>25980437.460220397</v>
          </cell>
          <cell r="D26">
            <v>999524.58607696265</v>
          </cell>
          <cell r="E26">
            <v>0</v>
          </cell>
          <cell r="F26">
            <v>999524.58607696265</v>
          </cell>
          <cell r="G26">
            <v>658531.34441156988</v>
          </cell>
          <cell r="H26">
            <v>340993.24166539271</v>
          </cell>
          <cell r="I26">
            <v>25321906.115808826</v>
          </cell>
        </row>
        <row r="27">
          <cell r="A27">
            <v>10</v>
          </cell>
          <cell r="B27">
            <v>41091</v>
          </cell>
          <cell r="C27">
            <v>25321906.115808826</v>
          </cell>
          <cell r="D27">
            <v>999524.58607696265</v>
          </cell>
          <cell r="E27">
            <v>0</v>
          </cell>
          <cell r="F27">
            <v>999524.58607696265</v>
          </cell>
          <cell r="G27">
            <v>667174.56830697181</v>
          </cell>
          <cell r="H27">
            <v>332350.01776999084</v>
          </cell>
          <cell r="I27">
            <v>24654731.547501855</v>
          </cell>
        </row>
        <row r="28">
          <cell r="A28">
            <v>11</v>
          </cell>
          <cell r="B28">
            <v>41183</v>
          </cell>
          <cell r="C28">
            <v>24654731.547501855</v>
          </cell>
          <cell r="D28">
            <v>999524.58607696265</v>
          </cell>
          <cell r="E28">
            <v>0</v>
          </cell>
          <cell r="F28">
            <v>999524.58607696265</v>
          </cell>
          <cell r="G28">
            <v>675931.23451600084</v>
          </cell>
          <cell r="H28">
            <v>323593.3515609618</v>
          </cell>
          <cell r="I28">
            <v>23978800.312985852</v>
          </cell>
        </row>
        <row r="29">
          <cell r="A29">
            <v>12</v>
          </cell>
          <cell r="B29">
            <v>41275</v>
          </cell>
          <cell r="C29">
            <v>23978800.312985852</v>
          </cell>
          <cell r="D29">
            <v>999524.58607696265</v>
          </cell>
          <cell r="E29">
            <v>0</v>
          </cell>
          <cell r="F29">
            <v>999524.58607696265</v>
          </cell>
          <cell r="G29">
            <v>684802.83196902333</v>
          </cell>
          <cell r="H29">
            <v>314721.75410793931</v>
          </cell>
          <cell r="I29">
            <v>23293997.48101683</v>
          </cell>
        </row>
        <row r="30">
          <cell r="A30">
            <v>13</v>
          </cell>
          <cell r="B30">
            <v>41365</v>
          </cell>
          <cell r="C30">
            <v>23293997.48101683</v>
          </cell>
          <cell r="D30">
            <v>999524.58607696265</v>
          </cell>
          <cell r="E30">
            <v>0</v>
          </cell>
          <cell r="F30">
            <v>999524.58607696265</v>
          </cell>
          <cell r="G30">
            <v>693790.86913861684</v>
          </cell>
          <cell r="H30">
            <v>305733.71693834587</v>
          </cell>
          <cell r="I30">
            <v>22600206.611878213</v>
          </cell>
        </row>
        <row r="31">
          <cell r="A31">
            <v>14</v>
          </cell>
          <cell r="B31">
            <v>41456</v>
          </cell>
          <cell r="C31">
            <v>22600206.611878213</v>
          </cell>
          <cell r="D31">
            <v>999524.58607696265</v>
          </cell>
          <cell r="E31">
            <v>0</v>
          </cell>
          <cell r="F31">
            <v>999524.58607696265</v>
          </cell>
          <cell r="G31">
            <v>702896.87429606111</v>
          </cell>
          <cell r="H31">
            <v>296627.71178090153</v>
          </cell>
          <cell r="I31">
            <v>21897309.737582151</v>
          </cell>
        </row>
        <row r="32">
          <cell r="A32">
            <v>15</v>
          </cell>
          <cell r="B32">
            <v>41548</v>
          </cell>
          <cell r="C32">
            <v>21897309.737582151</v>
          </cell>
          <cell r="D32">
            <v>999524.58607696265</v>
          </cell>
          <cell r="E32">
            <v>0</v>
          </cell>
          <cell r="F32">
            <v>999524.58607696265</v>
          </cell>
          <cell r="G32">
            <v>712122.39577119693</v>
          </cell>
          <cell r="H32">
            <v>287402.19030576572</v>
          </cell>
          <cell r="I32">
            <v>21185187.341810953</v>
          </cell>
        </row>
        <row r="33">
          <cell r="A33">
            <v>16</v>
          </cell>
          <cell r="B33">
            <v>41640</v>
          </cell>
          <cell r="C33">
            <v>21185187.341810953</v>
          </cell>
          <cell r="D33">
            <v>999524.58607696265</v>
          </cell>
          <cell r="E33">
            <v>0</v>
          </cell>
          <cell r="F33">
            <v>999524.58607696265</v>
          </cell>
          <cell r="G33">
            <v>721469.00221569394</v>
          </cell>
          <cell r="H33">
            <v>278055.58386126877</v>
          </cell>
          <cell r="I33">
            <v>20463718.339595258</v>
          </cell>
        </row>
        <row r="34">
          <cell r="A34">
            <v>17</v>
          </cell>
          <cell r="B34">
            <v>41730</v>
          </cell>
          <cell r="C34">
            <v>20463718.339595258</v>
          </cell>
          <cell r="D34">
            <v>999524.58607696265</v>
          </cell>
          <cell r="E34">
            <v>0</v>
          </cell>
          <cell r="F34">
            <v>999524.58607696265</v>
          </cell>
          <cell r="G34">
            <v>730938.28286977485</v>
          </cell>
          <cell r="H34">
            <v>268586.30320718774</v>
          </cell>
          <cell r="I34">
            <v>19732780.056725483</v>
          </cell>
        </row>
        <row r="35">
          <cell r="A35">
            <v>18</v>
          </cell>
          <cell r="B35">
            <v>41821</v>
          </cell>
          <cell r="C35">
            <v>19732780.056725483</v>
          </cell>
          <cell r="D35">
            <v>999524.58607696265</v>
          </cell>
          <cell r="E35">
            <v>0</v>
          </cell>
          <cell r="F35">
            <v>999524.58607696265</v>
          </cell>
          <cell r="G35">
            <v>740531.84783244063</v>
          </cell>
          <cell r="H35">
            <v>258992.73824452196</v>
          </cell>
          <cell r="I35">
            <v>18992248.208893042</v>
          </cell>
        </row>
        <row r="36">
          <cell r="A36">
            <v>19</v>
          </cell>
          <cell r="B36">
            <v>41913</v>
          </cell>
          <cell r="C36">
            <v>18992248.208893042</v>
          </cell>
          <cell r="D36">
            <v>999524.58607696265</v>
          </cell>
          <cell r="E36">
            <v>0</v>
          </cell>
          <cell r="F36">
            <v>999524.58607696265</v>
          </cell>
          <cell r="G36">
            <v>750251.32833524141</v>
          </cell>
          <cell r="H36">
            <v>249273.25774172117</v>
          </cell>
          <cell r="I36">
            <v>18241996.880557802</v>
          </cell>
        </row>
        <row r="37">
          <cell r="A37">
            <v>20</v>
          </cell>
          <cell r="B37">
            <v>42005</v>
          </cell>
          <cell r="C37">
            <v>18241996.880557802</v>
          </cell>
          <cell r="D37">
            <v>999524.58607696265</v>
          </cell>
          <cell r="E37">
            <v>0</v>
          </cell>
          <cell r="F37">
            <v>999524.58607696265</v>
          </cell>
          <cell r="G37">
            <v>760098.37701964146</v>
          </cell>
          <cell r="H37">
            <v>239426.20905732113</v>
          </cell>
          <cell r="I37">
            <v>17481898.503538162</v>
          </cell>
        </row>
        <row r="38">
          <cell r="A38">
            <v>21</v>
          </cell>
          <cell r="B38">
            <v>42095</v>
          </cell>
          <cell r="C38">
            <v>17481898.503538162</v>
          </cell>
          <cell r="D38">
            <v>999524.58607696265</v>
          </cell>
          <cell r="E38">
            <v>0</v>
          </cell>
          <cell r="F38">
            <v>999524.58607696265</v>
          </cell>
          <cell r="G38">
            <v>770074.66821802431</v>
          </cell>
          <cell r="H38">
            <v>229449.91785893837</v>
          </cell>
          <cell r="I38">
            <v>16711823.835320137</v>
          </cell>
        </row>
        <row r="39">
          <cell r="A39">
            <v>22</v>
          </cell>
          <cell r="B39">
            <v>42186</v>
          </cell>
          <cell r="C39">
            <v>16711823.835320137</v>
          </cell>
          <cell r="D39">
            <v>999524.58607696265</v>
          </cell>
          <cell r="E39">
            <v>0</v>
          </cell>
          <cell r="F39">
            <v>999524.58607696265</v>
          </cell>
          <cell r="G39">
            <v>780181.89823838579</v>
          </cell>
          <cell r="H39">
            <v>219342.68783857679</v>
          </cell>
          <cell r="I39">
            <v>15931641.937081752</v>
          </cell>
        </row>
        <row r="40">
          <cell r="A40">
            <v>23</v>
          </cell>
          <cell r="B40">
            <v>42278</v>
          </cell>
          <cell r="C40">
            <v>15931641.937081752</v>
          </cell>
          <cell r="D40">
            <v>999524.58607696265</v>
          </cell>
          <cell r="E40">
            <v>0</v>
          </cell>
          <cell r="F40">
            <v>999524.58607696265</v>
          </cell>
          <cell r="G40">
            <v>790421.78565276461</v>
          </cell>
          <cell r="H40">
            <v>209102.80042419798</v>
          </cell>
          <cell r="I40">
            <v>15141220.151428988</v>
          </cell>
        </row>
        <row r="41">
          <cell r="A41">
            <v>24</v>
          </cell>
          <cell r="B41">
            <v>42370</v>
          </cell>
          <cell r="C41">
            <v>15141220.151428988</v>
          </cell>
          <cell r="D41">
            <v>999524.58607696265</v>
          </cell>
          <cell r="E41">
            <v>0</v>
          </cell>
          <cell r="F41">
            <v>999524.58607696265</v>
          </cell>
          <cell r="G41">
            <v>800796.07158945722</v>
          </cell>
          <cell r="H41">
            <v>198728.51448750545</v>
          </cell>
          <cell r="I41">
            <v>14340424.079839531</v>
          </cell>
        </row>
        <row r="42">
          <cell r="A42">
            <v>25</v>
          </cell>
          <cell r="B42">
            <v>42461</v>
          </cell>
          <cell r="C42">
            <v>14340424.079839531</v>
          </cell>
          <cell r="D42">
            <v>999524.58607696265</v>
          </cell>
          <cell r="E42">
            <v>0</v>
          </cell>
          <cell r="F42">
            <v>999524.58607696265</v>
          </cell>
          <cell r="G42">
            <v>811306.52002906881</v>
          </cell>
          <cell r="H42">
            <v>188218.06604789384</v>
          </cell>
          <cell r="I42">
            <v>13529117.559810463</v>
          </cell>
        </row>
        <row r="43">
          <cell r="A43">
            <v>26</v>
          </cell>
          <cell r="B43">
            <v>42552</v>
          </cell>
          <cell r="C43">
            <v>13529117.559810463</v>
          </cell>
          <cell r="D43">
            <v>999524.58607696265</v>
          </cell>
          <cell r="E43">
            <v>0</v>
          </cell>
          <cell r="F43">
            <v>999524.58607696265</v>
          </cell>
          <cell r="G43">
            <v>821954.91810445033</v>
          </cell>
          <cell r="H43">
            <v>177569.66797251231</v>
          </cell>
          <cell r="I43">
            <v>12707162.641706012</v>
          </cell>
        </row>
        <row r="44">
          <cell r="A44">
            <v>27</v>
          </cell>
          <cell r="B44">
            <v>42644</v>
          </cell>
          <cell r="C44">
            <v>12707162.641706012</v>
          </cell>
          <cell r="D44">
            <v>999524.58607696265</v>
          </cell>
          <cell r="E44">
            <v>0</v>
          </cell>
          <cell r="F44">
            <v>999524.58607696265</v>
          </cell>
          <cell r="G44">
            <v>832743.0764045713</v>
          </cell>
          <cell r="H44">
            <v>166781.5096723914</v>
          </cell>
          <cell r="I44">
            <v>11874419.565301441</v>
          </cell>
        </row>
        <row r="45">
          <cell r="A45">
            <v>28</v>
          </cell>
          <cell r="B45">
            <v>42736</v>
          </cell>
          <cell r="C45">
            <v>11874419.565301441</v>
          </cell>
          <cell r="D45">
            <v>999524.58607696265</v>
          </cell>
          <cell r="E45">
            <v>0</v>
          </cell>
          <cell r="F45">
            <v>999524.58607696265</v>
          </cell>
          <cell r="G45">
            <v>843672.82928238122</v>
          </cell>
          <cell r="H45">
            <v>155851.75679458139</v>
          </cell>
          <cell r="I45">
            <v>11030746.73601906</v>
          </cell>
        </row>
        <row r="46">
          <cell r="A46">
            <v>29</v>
          </cell>
          <cell r="B46">
            <v>42826</v>
          </cell>
          <cell r="C46">
            <v>11030746.73601906</v>
          </cell>
          <cell r="D46">
            <v>999524.58607696265</v>
          </cell>
          <cell r="E46">
            <v>0</v>
          </cell>
          <cell r="F46">
            <v>999524.58607696265</v>
          </cell>
          <cell r="G46">
            <v>854746.03516671248</v>
          </cell>
          <cell r="H46">
            <v>144778.55091025017</v>
          </cell>
          <cell r="I46">
            <v>10176000.700852348</v>
          </cell>
        </row>
        <row r="47">
          <cell r="A47">
            <v>30</v>
          </cell>
          <cell r="B47">
            <v>42917</v>
          </cell>
          <cell r="C47">
            <v>10176000.700852348</v>
          </cell>
          <cell r="D47">
            <v>999524.58607696265</v>
          </cell>
          <cell r="E47">
            <v>0</v>
          </cell>
          <cell r="F47">
            <v>999524.58607696265</v>
          </cell>
          <cell r="G47">
            <v>865964.57687827561</v>
          </cell>
          <cell r="H47">
            <v>133560.00919868707</v>
          </cell>
          <cell r="I47">
            <v>9310036.1239740718</v>
          </cell>
        </row>
        <row r="48">
          <cell r="A48">
            <v>31</v>
          </cell>
          <cell r="B48">
            <v>43009</v>
          </cell>
          <cell r="C48">
            <v>9310036.1239740718</v>
          </cell>
          <cell r="D48">
            <v>999524.58607696265</v>
          </cell>
          <cell r="E48">
            <v>0</v>
          </cell>
          <cell r="F48">
            <v>999524.58607696265</v>
          </cell>
          <cell r="G48">
            <v>877330.36194980296</v>
          </cell>
          <cell r="H48">
            <v>122194.22412715969</v>
          </cell>
          <cell r="I48">
            <v>8432705.7620242685</v>
          </cell>
        </row>
        <row r="49">
          <cell r="A49">
            <v>32</v>
          </cell>
          <cell r="B49">
            <v>43101</v>
          </cell>
          <cell r="C49">
            <v>8432705.7620242685</v>
          </cell>
          <cell r="D49">
            <v>999524.58607696265</v>
          </cell>
          <cell r="E49">
            <v>0</v>
          </cell>
          <cell r="F49">
            <v>999524.58607696265</v>
          </cell>
          <cell r="G49">
            <v>888845.32295039413</v>
          </cell>
          <cell r="H49">
            <v>110679.26312656852</v>
          </cell>
          <cell r="I49">
            <v>7543860.4390738746</v>
          </cell>
        </row>
        <row r="50">
          <cell r="A50">
            <v>33</v>
          </cell>
          <cell r="B50">
            <v>43191</v>
          </cell>
          <cell r="C50">
            <v>7543860.4390738746</v>
          </cell>
          <cell r="D50">
            <v>999524.58607696265</v>
          </cell>
          <cell r="E50">
            <v>0</v>
          </cell>
          <cell r="F50">
            <v>999524.58607696265</v>
          </cell>
          <cell r="G50">
            <v>900511.41781411809</v>
          </cell>
          <cell r="H50">
            <v>99013.1682628446</v>
          </cell>
          <cell r="I50">
            <v>6643349.0212597568</v>
          </cell>
        </row>
        <row r="51">
          <cell r="A51">
            <v>34</v>
          </cell>
          <cell r="B51">
            <v>43282</v>
          </cell>
          <cell r="C51">
            <v>6643349.0212597568</v>
          </cell>
          <cell r="D51">
            <v>999524.58607696265</v>
          </cell>
          <cell r="E51">
            <v>0</v>
          </cell>
          <cell r="F51">
            <v>999524.58607696265</v>
          </cell>
          <cell r="G51">
            <v>912330.63017292833</v>
          </cell>
          <cell r="H51">
            <v>87193.955904034301</v>
          </cell>
          <cell r="I51">
            <v>5731018.391086828</v>
          </cell>
        </row>
        <row r="52">
          <cell r="A52">
            <v>35</v>
          </cell>
          <cell r="B52">
            <v>43374</v>
          </cell>
          <cell r="C52">
            <v>5731018.391086828</v>
          </cell>
          <cell r="D52">
            <v>999524.58607696265</v>
          </cell>
          <cell r="E52">
            <v>0</v>
          </cell>
          <cell r="F52">
            <v>999524.58607696265</v>
          </cell>
          <cell r="G52">
            <v>924304.96969394805</v>
          </cell>
          <cell r="H52">
            <v>75219.616383014611</v>
          </cell>
          <cell r="I52">
            <v>4806713.4213928804</v>
          </cell>
        </row>
        <row r="53">
          <cell r="A53">
            <v>36</v>
          </cell>
          <cell r="B53">
            <v>43466</v>
          </cell>
          <cell r="C53">
            <v>4806713.4213928804</v>
          </cell>
          <cell r="D53">
            <v>999524.58607696265</v>
          </cell>
          <cell r="E53">
            <v>0</v>
          </cell>
          <cell r="F53">
            <v>999524.58607696265</v>
          </cell>
          <cell r="G53">
            <v>936436.47242118104</v>
          </cell>
          <cell r="H53">
            <v>63088.113655781555</v>
          </cell>
          <cell r="I53">
            <v>3870276.9489716995</v>
          </cell>
        </row>
        <row r="54">
          <cell r="A54">
            <v>37</v>
          </cell>
          <cell r="B54">
            <v>43556</v>
          </cell>
          <cell r="C54">
            <v>3870276.9489716995</v>
          </cell>
          <cell r="D54">
            <v>999524.58607696265</v>
          </cell>
          <cell r="E54">
            <v>0</v>
          </cell>
          <cell r="F54">
            <v>999524.58607696265</v>
          </cell>
          <cell r="G54">
            <v>948727.20112170908</v>
          </cell>
          <cell r="H54">
            <v>50797.384955253554</v>
          </cell>
          <cell r="I54">
            <v>2921549.7478499906</v>
          </cell>
        </row>
        <row r="55">
          <cell r="A55">
            <v>38</v>
          </cell>
          <cell r="B55">
            <v>43647</v>
          </cell>
          <cell r="C55">
            <v>2921549.7478499906</v>
          </cell>
          <cell r="D55">
            <v>999524.58607696265</v>
          </cell>
          <cell r="E55">
            <v>0</v>
          </cell>
          <cell r="F55">
            <v>999524.58607696265</v>
          </cell>
          <cell r="G55">
            <v>961179.2456364315</v>
          </cell>
          <cell r="H55">
            <v>38345.340440531123</v>
          </cell>
          <cell r="I55">
            <v>1960370.5022135591</v>
          </cell>
        </row>
        <row r="56">
          <cell r="A56">
            <v>39</v>
          </cell>
          <cell r="B56">
            <v>43739</v>
          </cell>
          <cell r="C56">
            <v>1960370.5022135591</v>
          </cell>
          <cell r="D56">
            <v>999524.58607696265</v>
          </cell>
          <cell r="E56">
            <v>0</v>
          </cell>
          <cell r="F56">
            <v>999524.58607696265</v>
          </cell>
          <cell r="G56">
            <v>973794.72323540971</v>
          </cell>
          <cell r="H56">
            <v>25729.862841552964</v>
          </cell>
          <cell r="I56">
            <v>986575.77897814941</v>
          </cell>
        </row>
        <row r="57">
          <cell r="A57">
            <v>40</v>
          </cell>
          <cell r="B57">
            <v>43831</v>
          </cell>
          <cell r="C57">
            <v>986575.77897814941</v>
          </cell>
          <cell r="D57">
            <v>999524.58607696265</v>
          </cell>
          <cell r="E57">
            <v>0</v>
          </cell>
          <cell r="F57">
            <v>986575.77897814941</v>
          </cell>
          <cell r="G57">
            <v>973626.9718790612</v>
          </cell>
          <cell r="H57">
            <v>12948.80709908821</v>
          </cell>
          <cell r="I57">
            <v>0</v>
          </cell>
        </row>
        <row r="58">
          <cell r="A58">
            <v>41</v>
          </cell>
          <cell r="B58">
            <v>43922</v>
          </cell>
          <cell r="C58">
            <v>0</v>
          </cell>
          <cell r="D58">
            <v>999524.58607696265</v>
          </cell>
          <cell r="E58">
            <v>0</v>
          </cell>
          <cell r="F58">
            <v>0</v>
          </cell>
          <cell r="G58">
            <v>0</v>
          </cell>
          <cell r="H58">
            <v>0</v>
          </cell>
          <cell r="I58">
            <v>0</v>
          </cell>
        </row>
        <row r="59">
          <cell r="A59">
            <v>42</v>
          </cell>
          <cell r="B59">
            <v>44013</v>
          </cell>
          <cell r="C59">
            <v>0</v>
          </cell>
          <cell r="D59">
            <v>999524.58607696265</v>
          </cell>
          <cell r="E59">
            <v>0</v>
          </cell>
          <cell r="F59">
            <v>0</v>
          </cell>
          <cell r="G59">
            <v>0</v>
          </cell>
          <cell r="H59">
            <v>0</v>
          </cell>
          <cell r="I59">
            <v>0</v>
          </cell>
        </row>
        <row r="60">
          <cell r="A60">
            <v>43</v>
          </cell>
          <cell r="B60">
            <v>44105</v>
          </cell>
          <cell r="C60">
            <v>0</v>
          </cell>
          <cell r="D60">
            <v>999524.58607696265</v>
          </cell>
          <cell r="E60">
            <v>0</v>
          </cell>
          <cell r="F60">
            <v>0</v>
          </cell>
          <cell r="G60">
            <v>0</v>
          </cell>
          <cell r="H60">
            <v>0</v>
          </cell>
          <cell r="I60">
            <v>0</v>
          </cell>
        </row>
        <row r="61">
          <cell r="A61">
            <v>44</v>
          </cell>
          <cell r="B61">
            <v>44197</v>
          </cell>
          <cell r="C61">
            <v>0</v>
          </cell>
          <cell r="D61">
            <v>999524.58607696265</v>
          </cell>
          <cell r="E61">
            <v>0</v>
          </cell>
          <cell r="F61">
            <v>0</v>
          </cell>
          <cell r="G61">
            <v>0</v>
          </cell>
          <cell r="H61">
            <v>0</v>
          </cell>
          <cell r="I61">
            <v>0</v>
          </cell>
        </row>
        <row r="62">
          <cell r="A62">
            <v>45</v>
          </cell>
          <cell r="B62">
            <v>44287</v>
          </cell>
          <cell r="C62">
            <v>0</v>
          </cell>
          <cell r="D62">
            <v>999524.58607696265</v>
          </cell>
          <cell r="E62">
            <v>0</v>
          </cell>
          <cell r="F62">
            <v>0</v>
          </cell>
          <cell r="G62">
            <v>0</v>
          </cell>
          <cell r="H62">
            <v>0</v>
          </cell>
          <cell r="I62">
            <v>0</v>
          </cell>
        </row>
        <row r="63">
          <cell r="A63">
            <v>46</v>
          </cell>
          <cell r="B63">
            <v>44378</v>
          </cell>
          <cell r="C63">
            <v>0</v>
          </cell>
          <cell r="D63">
            <v>999524.58607696265</v>
          </cell>
          <cell r="E63">
            <v>0</v>
          </cell>
          <cell r="F63">
            <v>0</v>
          </cell>
          <cell r="G63">
            <v>0</v>
          </cell>
          <cell r="H63">
            <v>0</v>
          </cell>
          <cell r="I63">
            <v>0</v>
          </cell>
        </row>
        <row r="64">
          <cell r="A64">
            <v>47</v>
          </cell>
          <cell r="B64">
            <v>44470</v>
          </cell>
          <cell r="C64">
            <v>0</v>
          </cell>
          <cell r="D64">
            <v>999524.58607696265</v>
          </cell>
          <cell r="E64">
            <v>0</v>
          </cell>
          <cell r="F64">
            <v>0</v>
          </cell>
          <cell r="G64">
            <v>0</v>
          </cell>
          <cell r="H64">
            <v>0</v>
          </cell>
          <cell r="I64">
            <v>0</v>
          </cell>
        </row>
        <row r="65">
          <cell r="A65">
            <v>48</v>
          </cell>
          <cell r="B65">
            <v>44562</v>
          </cell>
          <cell r="C65">
            <v>0</v>
          </cell>
          <cell r="D65">
            <v>999524.58607696265</v>
          </cell>
          <cell r="E65">
            <v>0</v>
          </cell>
          <cell r="F65">
            <v>0</v>
          </cell>
          <cell r="G65">
            <v>0</v>
          </cell>
          <cell r="H65">
            <v>0</v>
          </cell>
          <cell r="I65">
            <v>0</v>
          </cell>
        </row>
        <row r="66">
          <cell r="A66">
            <v>49</v>
          </cell>
          <cell r="B66">
            <v>44652</v>
          </cell>
          <cell r="C66">
            <v>0</v>
          </cell>
          <cell r="D66">
            <v>999524.58607696265</v>
          </cell>
          <cell r="E66">
            <v>0</v>
          </cell>
          <cell r="F66">
            <v>0</v>
          </cell>
          <cell r="G66">
            <v>0</v>
          </cell>
          <cell r="H66">
            <v>0</v>
          </cell>
          <cell r="I66">
            <v>0</v>
          </cell>
        </row>
        <row r="67">
          <cell r="A67">
            <v>50</v>
          </cell>
          <cell r="B67">
            <v>44743</v>
          </cell>
          <cell r="C67">
            <v>0</v>
          </cell>
          <cell r="D67">
            <v>999524.58607696265</v>
          </cell>
          <cell r="E67">
            <v>0</v>
          </cell>
          <cell r="F67">
            <v>0</v>
          </cell>
          <cell r="G67">
            <v>0</v>
          </cell>
          <cell r="H67">
            <v>0</v>
          </cell>
          <cell r="I67">
            <v>0</v>
          </cell>
        </row>
        <row r="68">
          <cell r="A68">
            <v>51</v>
          </cell>
          <cell r="B68">
            <v>44835</v>
          </cell>
          <cell r="C68">
            <v>0</v>
          </cell>
          <cell r="D68">
            <v>999524.58607696265</v>
          </cell>
          <cell r="E68">
            <v>0</v>
          </cell>
          <cell r="F68">
            <v>0</v>
          </cell>
          <cell r="G68">
            <v>0</v>
          </cell>
          <cell r="H68">
            <v>0</v>
          </cell>
          <cell r="I68">
            <v>0</v>
          </cell>
        </row>
        <row r="69">
          <cell r="A69">
            <v>52</v>
          </cell>
          <cell r="B69">
            <v>44927</v>
          </cell>
          <cell r="C69">
            <v>0</v>
          </cell>
          <cell r="D69">
            <v>999524.58607696265</v>
          </cell>
          <cell r="E69">
            <v>0</v>
          </cell>
          <cell r="F69">
            <v>0</v>
          </cell>
          <cell r="G69">
            <v>0</v>
          </cell>
          <cell r="H69">
            <v>0</v>
          </cell>
          <cell r="I69">
            <v>0</v>
          </cell>
        </row>
        <row r="70">
          <cell r="A70">
            <v>53</v>
          </cell>
          <cell r="B70">
            <v>45017</v>
          </cell>
          <cell r="C70">
            <v>0</v>
          </cell>
          <cell r="D70">
            <v>999524.58607696265</v>
          </cell>
          <cell r="E70">
            <v>0</v>
          </cell>
          <cell r="F70">
            <v>0</v>
          </cell>
          <cell r="G70">
            <v>0</v>
          </cell>
          <cell r="H70">
            <v>0</v>
          </cell>
          <cell r="I70">
            <v>0</v>
          </cell>
        </row>
        <row r="71">
          <cell r="A71">
            <v>54</v>
          </cell>
          <cell r="B71">
            <v>45108</v>
          </cell>
          <cell r="C71">
            <v>0</v>
          </cell>
          <cell r="D71">
            <v>999524.58607696265</v>
          </cell>
          <cell r="E71">
            <v>0</v>
          </cell>
          <cell r="F71">
            <v>0</v>
          </cell>
          <cell r="G71">
            <v>0</v>
          </cell>
          <cell r="H71">
            <v>0</v>
          </cell>
          <cell r="I71">
            <v>0</v>
          </cell>
        </row>
        <row r="72">
          <cell r="A72">
            <v>55</v>
          </cell>
          <cell r="B72">
            <v>45200</v>
          </cell>
          <cell r="C72">
            <v>0</v>
          </cell>
          <cell r="D72">
            <v>999524.58607696265</v>
          </cell>
          <cell r="E72">
            <v>0</v>
          </cell>
          <cell r="F72">
            <v>0</v>
          </cell>
          <cell r="G72">
            <v>0</v>
          </cell>
          <cell r="H72">
            <v>0</v>
          </cell>
          <cell r="I72">
            <v>0</v>
          </cell>
        </row>
        <row r="73">
          <cell r="A73">
            <v>56</v>
          </cell>
          <cell r="B73">
            <v>45292</v>
          </cell>
          <cell r="C73">
            <v>0</v>
          </cell>
          <cell r="D73">
            <v>999524.58607696265</v>
          </cell>
          <cell r="E73">
            <v>0</v>
          </cell>
          <cell r="F73">
            <v>0</v>
          </cell>
          <cell r="G73">
            <v>0</v>
          </cell>
          <cell r="H73">
            <v>0</v>
          </cell>
          <cell r="I73">
            <v>0</v>
          </cell>
        </row>
        <row r="74">
          <cell r="A74">
            <v>57</v>
          </cell>
          <cell r="B74">
            <v>45383</v>
          </cell>
          <cell r="C74">
            <v>0</v>
          </cell>
          <cell r="D74">
            <v>999524.58607696265</v>
          </cell>
          <cell r="E74">
            <v>0</v>
          </cell>
          <cell r="F74">
            <v>0</v>
          </cell>
          <cell r="G74">
            <v>0</v>
          </cell>
          <cell r="H74">
            <v>0</v>
          </cell>
          <cell r="I74">
            <v>0</v>
          </cell>
        </row>
        <row r="75">
          <cell r="A75">
            <v>58</v>
          </cell>
          <cell r="B75">
            <v>45474</v>
          </cell>
          <cell r="C75">
            <v>0</v>
          </cell>
          <cell r="D75">
            <v>999524.58607696265</v>
          </cell>
          <cell r="E75">
            <v>0</v>
          </cell>
          <cell r="F75">
            <v>0</v>
          </cell>
          <cell r="G75">
            <v>0</v>
          </cell>
          <cell r="H75">
            <v>0</v>
          </cell>
          <cell r="I75">
            <v>0</v>
          </cell>
        </row>
        <row r="76">
          <cell r="A76">
            <v>59</v>
          </cell>
          <cell r="B76">
            <v>45566</v>
          </cell>
          <cell r="C76">
            <v>0</v>
          </cell>
          <cell r="D76">
            <v>999524.58607696265</v>
          </cell>
          <cell r="E76">
            <v>0</v>
          </cell>
          <cell r="F76">
            <v>0</v>
          </cell>
          <cell r="G76">
            <v>0</v>
          </cell>
          <cell r="H76">
            <v>0</v>
          </cell>
          <cell r="I76">
            <v>0</v>
          </cell>
        </row>
        <row r="77">
          <cell r="A77">
            <v>60</v>
          </cell>
          <cell r="B77">
            <v>45658</v>
          </cell>
          <cell r="C77">
            <v>0</v>
          </cell>
          <cell r="D77">
            <v>999524.58607696265</v>
          </cell>
          <cell r="E77">
            <v>0</v>
          </cell>
          <cell r="F77">
            <v>0</v>
          </cell>
          <cell r="G77">
            <v>0</v>
          </cell>
          <cell r="H77">
            <v>0</v>
          </cell>
          <cell r="I77">
            <v>0</v>
          </cell>
        </row>
        <row r="78">
          <cell r="A78">
            <v>61</v>
          </cell>
          <cell r="B78">
            <v>45748</v>
          </cell>
          <cell r="C78">
            <v>0</v>
          </cell>
          <cell r="D78">
            <v>999524.58607696265</v>
          </cell>
          <cell r="E78">
            <v>0</v>
          </cell>
          <cell r="F78">
            <v>0</v>
          </cell>
          <cell r="G78">
            <v>0</v>
          </cell>
          <cell r="H78">
            <v>0</v>
          </cell>
          <cell r="I78">
            <v>0</v>
          </cell>
        </row>
        <row r="79">
          <cell r="A79">
            <v>62</v>
          </cell>
          <cell r="B79">
            <v>45839</v>
          </cell>
          <cell r="C79">
            <v>0</v>
          </cell>
          <cell r="D79">
            <v>999524.58607696265</v>
          </cell>
          <cell r="E79">
            <v>0</v>
          </cell>
          <cell r="F79">
            <v>0</v>
          </cell>
          <cell r="G79">
            <v>0</v>
          </cell>
          <cell r="H79">
            <v>0</v>
          </cell>
          <cell r="I79">
            <v>0</v>
          </cell>
        </row>
        <row r="80">
          <cell r="A80">
            <v>63</v>
          </cell>
          <cell r="B80">
            <v>45931</v>
          </cell>
          <cell r="C80">
            <v>0</v>
          </cell>
          <cell r="D80">
            <v>999524.58607696265</v>
          </cell>
          <cell r="E80">
            <v>0</v>
          </cell>
          <cell r="F80">
            <v>0</v>
          </cell>
          <cell r="G80">
            <v>0</v>
          </cell>
          <cell r="H80">
            <v>0</v>
          </cell>
          <cell r="I80">
            <v>0</v>
          </cell>
        </row>
        <row r="81">
          <cell r="A81">
            <v>64</v>
          </cell>
          <cell r="B81">
            <v>46023</v>
          </cell>
          <cell r="C81">
            <v>0</v>
          </cell>
          <cell r="D81">
            <v>999524.58607696265</v>
          </cell>
          <cell r="E81">
            <v>0</v>
          </cell>
          <cell r="F81">
            <v>0</v>
          </cell>
          <cell r="G81">
            <v>0</v>
          </cell>
          <cell r="H81">
            <v>0</v>
          </cell>
          <cell r="I81">
            <v>0</v>
          </cell>
        </row>
        <row r="82">
          <cell r="A82">
            <v>65</v>
          </cell>
          <cell r="B82">
            <v>46113</v>
          </cell>
          <cell r="C82">
            <v>0</v>
          </cell>
          <cell r="D82">
            <v>999524.58607696265</v>
          </cell>
          <cell r="E82">
            <v>0</v>
          </cell>
          <cell r="F82">
            <v>0</v>
          </cell>
          <cell r="G82">
            <v>0</v>
          </cell>
          <cell r="H82">
            <v>0</v>
          </cell>
          <cell r="I82">
            <v>0</v>
          </cell>
        </row>
        <row r="83">
          <cell r="A83">
            <v>66</v>
          </cell>
          <cell r="B83">
            <v>46204</v>
          </cell>
          <cell r="C83">
            <v>0</v>
          </cell>
          <cell r="D83">
            <v>999524.58607696265</v>
          </cell>
          <cell r="E83">
            <v>0</v>
          </cell>
          <cell r="F83">
            <v>0</v>
          </cell>
          <cell r="G83">
            <v>0</v>
          </cell>
          <cell r="H83">
            <v>0</v>
          </cell>
          <cell r="I83">
            <v>0</v>
          </cell>
        </row>
        <row r="84">
          <cell r="A84">
            <v>67</v>
          </cell>
          <cell r="B84">
            <v>46296</v>
          </cell>
          <cell r="C84">
            <v>0</v>
          </cell>
          <cell r="D84">
            <v>999524.58607696265</v>
          </cell>
          <cell r="E84">
            <v>0</v>
          </cell>
          <cell r="F84">
            <v>0</v>
          </cell>
          <cell r="G84">
            <v>0</v>
          </cell>
          <cell r="H84">
            <v>0</v>
          </cell>
          <cell r="I84">
            <v>0</v>
          </cell>
        </row>
        <row r="85">
          <cell r="A85">
            <v>68</v>
          </cell>
          <cell r="B85">
            <v>46388</v>
          </cell>
          <cell r="C85">
            <v>0</v>
          </cell>
          <cell r="D85">
            <v>999524.58607696265</v>
          </cell>
          <cell r="E85">
            <v>0</v>
          </cell>
          <cell r="F85">
            <v>0</v>
          </cell>
          <cell r="G85">
            <v>0</v>
          </cell>
          <cell r="H85">
            <v>0</v>
          </cell>
          <cell r="I85">
            <v>0</v>
          </cell>
        </row>
        <row r="86">
          <cell r="A86">
            <v>69</v>
          </cell>
          <cell r="B86">
            <v>46478</v>
          </cell>
          <cell r="C86">
            <v>0</v>
          </cell>
          <cell r="D86">
            <v>999524.58607696265</v>
          </cell>
          <cell r="E86">
            <v>0</v>
          </cell>
          <cell r="F86">
            <v>0</v>
          </cell>
          <cell r="G86">
            <v>0</v>
          </cell>
          <cell r="H86">
            <v>0</v>
          </cell>
          <cell r="I86">
            <v>0</v>
          </cell>
        </row>
        <row r="87">
          <cell r="A87">
            <v>70</v>
          </cell>
          <cell r="B87">
            <v>46569</v>
          </cell>
          <cell r="C87">
            <v>0</v>
          </cell>
          <cell r="D87">
            <v>999524.58607696265</v>
          </cell>
          <cell r="E87">
            <v>0</v>
          </cell>
          <cell r="F87">
            <v>0</v>
          </cell>
          <cell r="G87">
            <v>0</v>
          </cell>
          <cell r="H87">
            <v>0</v>
          </cell>
          <cell r="I87">
            <v>0</v>
          </cell>
        </row>
        <row r="88">
          <cell r="A88">
            <v>71</v>
          </cell>
          <cell r="B88">
            <v>46661</v>
          </cell>
          <cell r="C88">
            <v>0</v>
          </cell>
          <cell r="D88">
            <v>999524.58607696265</v>
          </cell>
          <cell r="E88">
            <v>0</v>
          </cell>
          <cell r="F88">
            <v>0</v>
          </cell>
          <cell r="G88">
            <v>0</v>
          </cell>
          <cell r="H88">
            <v>0</v>
          </cell>
          <cell r="I88">
            <v>0</v>
          </cell>
        </row>
        <row r="89">
          <cell r="A89">
            <v>72</v>
          </cell>
          <cell r="B89">
            <v>46753</v>
          </cell>
          <cell r="C89">
            <v>0</v>
          </cell>
          <cell r="D89">
            <v>999524.58607696265</v>
          </cell>
          <cell r="E89">
            <v>0</v>
          </cell>
          <cell r="F89">
            <v>0</v>
          </cell>
          <cell r="G89">
            <v>0</v>
          </cell>
          <cell r="H89">
            <v>0</v>
          </cell>
          <cell r="I89">
            <v>0</v>
          </cell>
        </row>
        <row r="90">
          <cell r="A90">
            <v>73</v>
          </cell>
          <cell r="B90">
            <v>46844</v>
          </cell>
          <cell r="C90">
            <v>0</v>
          </cell>
          <cell r="D90">
            <v>999524.58607696265</v>
          </cell>
          <cell r="E90">
            <v>0</v>
          </cell>
          <cell r="F90">
            <v>0</v>
          </cell>
          <cell r="G90">
            <v>0</v>
          </cell>
          <cell r="H90">
            <v>0</v>
          </cell>
          <cell r="I90">
            <v>0</v>
          </cell>
        </row>
        <row r="91">
          <cell r="A91">
            <v>74</v>
          </cell>
          <cell r="B91">
            <v>46935</v>
          </cell>
          <cell r="C91">
            <v>0</v>
          </cell>
          <cell r="D91">
            <v>999524.58607696265</v>
          </cell>
          <cell r="E91">
            <v>0</v>
          </cell>
          <cell r="F91">
            <v>0</v>
          </cell>
          <cell r="G91">
            <v>0</v>
          </cell>
          <cell r="H91">
            <v>0</v>
          </cell>
          <cell r="I91">
            <v>0</v>
          </cell>
        </row>
        <row r="92">
          <cell r="A92">
            <v>75</v>
          </cell>
          <cell r="B92">
            <v>47027</v>
          </cell>
          <cell r="C92">
            <v>0</v>
          </cell>
          <cell r="D92">
            <v>999524.58607696265</v>
          </cell>
          <cell r="E92">
            <v>0</v>
          </cell>
          <cell r="F92">
            <v>0</v>
          </cell>
          <cell r="G92">
            <v>0</v>
          </cell>
          <cell r="H92">
            <v>0</v>
          </cell>
          <cell r="I92">
            <v>0</v>
          </cell>
        </row>
        <row r="93">
          <cell r="A93">
            <v>76</v>
          </cell>
          <cell r="B93">
            <v>47119</v>
          </cell>
          <cell r="C93">
            <v>0</v>
          </cell>
          <cell r="D93">
            <v>999524.58607696265</v>
          </cell>
          <cell r="E93">
            <v>0</v>
          </cell>
          <cell r="F93">
            <v>0</v>
          </cell>
          <cell r="G93">
            <v>0</v>
          </cell>
          <cell r="H93">
            <v>0</v>
          </cell>
          <cell r="I93">
            <v>0</v>
          </cell>
        </row>
        <row r="94">
          <cell r="A94">
            <v>77</v>
          </cell>
          <cell r="B94">
            <v>47209</v>
          </cell>
          <cell r="C94">
            <v>0</v>
          </cell>
          <cell r="D94">
            <v>999524.58607696265</v>
          </cell>
          <cell r="E94">
            <v>0</v>
          </cell>
          <cell r="F94">
            <v>0</v>
          </cell>
          <cell r="G94">
            <v>0</v>
          </cell>
          <cell r="H94">
            <v>0</v>
          </cell>
          <cell r="I94">
            <v>0</v>
          </cell>
        </row>
        <row r="95">
          <cell r="A95">
            <v>78</v>
          </cell>
          <cell r="B95">
            <v>47300</v>
          </cell>
          <cell r="C95">
            <v>0</v>
          </cell>
          <cell r="D95">
            <v>999524.58607696265</v>
          </cell>
          <cell r="E95">
            <v>0</v>
          </cell>
          <cell r="F95">
            <v>0</v>
          </cell>
          <cell r="G95">
            <v>0</v>
          </cell>
          <cell r="H95">
            <v>0</v>
          </cell>
          <cell r="I95">
            <v>0</v>
          </cell>
        </row>
        <row r="96">
          <cell r="A96">
            <v>79</v>
          </cell>
          <cell r="B96">
            <v>47392</v>
          </cell>
          <cell r="C96">
            <v>0</v>
          </cell>
          <cell r="D96">
            <v>999524.58607696265</v>
          </cell>
          <cell r="E96">
            <v>0</v>
          </cell>
          <cell r="F96">
            <v>0</v>
          </cell>
          <cell r="G96">
            <v>0</v>
          </cell>
          <cell r="H96">
            <v>0</v>
          </cell>
          <cell r="I96">
            <v>0</v>
          </cell>
        </row>
        <row r="97">
          <cell r="A97">
            <v>80</v>
          </cell>
          <cell r="B97">
            <v>47484</v>
          </cell>
          <cell r="C97">
            <v>0</v>
          </cell>
          <cell r="D97">
            <v>999524.58607696265</v>
          </cell>
          <cell r="E97">
            <v>0</v>
          </cell>
          <cell r="F97">
            <v>0</v>
          </cell>
          <cell r="G97">
            <v>0</v>
          </cell>
          <cell r="H97">
            <v>0</v>
          </cell>
          <cell r="I97">
            <v>0</v>
          </cell>
        </row>
        <row r="98">
          <cell r="A98">
            <v>81</v>
          </cell>
          <cell r="B98">
            <v>47574</v>
          </cell>
          <cell r="C98">
            <v>0</v>
          </cell>
          <cell r="D98">
            <v>999524.58607696265</v>
          </cell>
          <cell r="E98">
            <v>0</v>
          </cell>
          <cell r="F98">
            <v>0</v>
          </cell>
          <cell r="G98">
            <v>0</v>
          </cell>
          <cell r="H98">
            <v>0</v>
          </cell>
          <cell r="I98">
            <v>0</v>
          </cell>
        </row>
        <row r="99">
          <cell r="A99">
            <v>82</v>
          </cell>
          <cell r="B99">
            <v>47665</v>
          </cell>
          <cell r="C99">
            <v>0</v>
          </cell>
          <cell r="D99">
            <v>999524.58607696265</v>
          </cell>
          <cell r="E99">
            <v>0</v>
          </cell>
          <cell r="F99">
            <v>0</v>
          </cell>
          <cell r="G99">
            <v>0</v>
          </cell>
          <cell r="H99">
            <v>0</v>
          </cell>
          <cell r="I99">
            <v>0</v>
          </cell>
        </row>
        <row r="100">
          <cell r="A100">
            <v>83</v>
          </cell>
          <cell r="B100">
            <v>47757</v>
          </cell>
          <cell r="C100">
            <v>0</v>
          </cell>
          <cell r="D100">
            <v>999524.58607696265</v>
          </cell>
          <cell r="E100">
            <v>0</v>
          </cell>
          <cell r="F100">
            <v>0</v>
          </cell>
          <cell r="G100">
            <v>0</v>
          </cell>
          <cell r="H100">
            <v>0</v>
          </cell>
          <cell r="I100">
            <v>0</v>
          </cell>
        </row>
        <row r="101">
          <cell r="A101">
            <v>84</v>
          </cell>
          <cell r="B101">
            <v>47849</v>
          </cell>
          <cell r="C101">
            <v>0</v>
          </cell>
          <cell r="D101">
            <v>999524.58607696265</v>
          </cell>
          <cell r="E101">
            <v>0</v>
          </cell>
          <cell r="F101">
            <v>0</v>
          </cell>
          <cell r="G101">
            <v>0</v>
          </cell>
          <cell r="H101">
            <v>0</v>
          </cell>
          <cell r="I101">
            <v>0</v>
          </cell>
        </row>
        <row r="102">
          <cell r="A102">
            <v>85</v>
          </cell>
          <cell r="B102">
            <v>47939</v>
          </cell>
          <cell r="C102">
            <v>0</v>
          </cell>
          <cell r="D102">
            <v>999524.58607696265</v>
          </cell>
          <cell r="E102">
            <v>0</v>
          </cell>
          <cell r="F102">
            <v>0</v>
          </cell>
          <cell r="G102">
            <v>0</v>
          </cell>
          <cell r="H102">
            <v>0</v>
          </cell>
          <cell r="I102">
            <v>0</v>
          </cell>
        </row>
        <row r="103">
          <cell r="A103">
            <v>86</v>
          </cell>
          <cell r="B103">
            <v>48030</v>
          </cell>
          <cell r="C103">
            <v>0</v>
          </cell>
          <cell r="D103">
            <v>999524.58607696265</v>
          </cell>
          <cell r="E103">
            <v>0</v>
          </cell>
          <cell r="F103">
            <v>0</v>
          </cell>
          <cell r="G103">
            <v>0</v>
          </cell>
          <cell r="H103">
            <v>0</v>
          </cell>
          <cell r="I103">
            <v>0</v>
          </cell>
        </row>
        <row r="104">
          <cell r="A104">
            <v>87</v>
          </cell>
          <cell r="B104">
            <v>48122</v>
          </cell>
          <cell r="C104">
            <v>0</v>
          </cell>
          <cell r="D104">
            <v>999524.58607696265</v>
          </cell>
          <cell r="E104">
            <v>0</v>
          </cell>
          <cell r="F104">
            <v>0</v>
          </cell>
          <cell r="G104">
            <v>0</v>
          </cell>
          <cell r="H104">
            <v>0</v>
          </cell>
          <cell r="I104">
            <v>0</v>
          </cell>
        </row>
        <row r="105">
          <cell r="A105">
            <v>88</v>
          </cell>
          <cell r="B105">
            <v>48214</v>
          </cell>
          <cell r="C105">
            <v>0</v>
          </cell>
          <cell r="D105">
            <v>999524.58607696265</v>
          </cell>
          <cell r="E105">
            <v>0</v>
          </cell>
          <cell r="F105">
            <v>0</v>
          </cell>
          <cell r="G105">
            <v>0</v>
          </cell>
          <cell r="H105">
            <v>0</v>
          </cell>
          <cell r="I105">
            <v>0</v>
          </cell>
        </row>
        <row r="106">
          <cell r="A106">
            <v>89</v>
          </cell>
          <cell r="B106">
            <v>48305</v>
          </cell>
          <cell r="C106">
            <v>0</v>
          </cell>
          <cell r="D106">
            <v>999524.58607696265</v>
          </cell>
          <cell r="E106">
            <v>0</v>
          </cell>
          <cell r="F106">
            <v>0</v>
          </cell>
          <cell r="G106">
            <v>0</v>
          </cell>
          <cell r="H106">
            <v>0</v>
          </cell>
          <cell r="I106">
            <v>0</v>
          </cell>
        </row>
        <row r="107">
          <cell r="A107">
            <v>90</v>
          </cell>
          <cell r="B107">
            <v>48396</v>
          </cell>
          <cell r="C107">
            <v>0</v>
          </cell>
          <cell r="D107">
            <v>999524.58607696265</v>
          </cell>
          <cell r="E107">
            <v>0</v>
          </cell>
          <cell r="F107">
            <v>0</v>
          </cell>
          <cell r="G107">
            <v>0</v>
          </cell>
          <cell r="H107">
            <v>0</v>
          </cell>
          <cell r="I107">
            <v>0</v>
          </cell>
        </row>
        <row r="108">
          <cell r="A108">
            <v>91</v>
          </cell>
          <cell r="B108">
            <v>48488</v>
          </cell>
          <cell r="C108">
            <v>0</v>
          </cell>
          <cell r="D108">
            <v>999524.58607696265</v>
          </cell>
          <cell r="E108">
            <v>0</v>
          </cell>
          <cell r="F108">
            <v>0</v>
          </cell>
          <cell r="G108">
            <v>0</v>
          </cell>
          <cell r="H108">
            <v>0</v>
          </cell>
          <cell r="I108">
            <v>0</v>
          </cell>
        </row>
        <row r="109">
          <cell r="A109">
            <v>92</v>
          </cell>
          <cell r="B109">
            <v>48580</v>
          </cell>
          <cell r="C109">
            <v>0</v>
          </cell>
          <cell r="D109">
            <v>999524.58607696265</v>
          </cell>
          <cell r="E109">
            <v>0</v>
          </cell>
          <cell r="F109">
            <v>0</v>
          </cell>
          <cell r="G109">
            <v>0</v>
          </cell>
          <cell r="H109">
            <v>0</v>
          </cell>
          <cell r="I109">
            <v>0</v>
          </cell>
        </row>
        <row r="110">
          <cell r="A110">
            <v>93</v>
          </cell>
          <cell r="B110">
            <v>48670</v>
          </cell>
          <cell r="C110">
            <v>0</v>
          </cell>
          <cell r="D110">
            <v>999524.58607696265</v>
          </cell>
          <cell r="E110">
            <v>0</v>
          </cell>
          <cell r="F110">
            <v>0</v>
          </cell>
          <cell r="G110">
            <v>0</v>
          </cell>
          <cell r="H110">
            <v>0</v>
          </cell>
          <cell r="I110">
            <v>0</v>
          </cell>
        </row>
        <row r="111">
          <cell r="A111">
            <v>94</v>
          </cell>
          <cell r="B111">
            <v>48761</v>
          </cell>
          <cell r="C111">
            <v>0</v>
          </cell>
          <cell r="D111">
            <v>999524.58607696265</v>
          </cell>
          <cell r="E111">
            <v>0</v>
          </cell>
          <cell r="F111">
            <v>0</v>
          </cell>
          <cell r="G111">
            <v>0</v>
          </cell>
          <cell r="H111">
            <v>0</v>
          </cell>
          <cell r="I111">
            <v>0</v>
          </cell>
        </row>
        <row r="112">
          <cell r="A112">
            <v>95</v>
          </cell>
          <cell r="B112">
            <v>48853</v>
          </cell>
          <cell r="C112">
            <v>0</v>
          </cell>
          <cell r="D112">
            <v>999524.58607696265</v>
          </cell>
          <cell r="E112">
            <v>0</v>
          </cell>
          <cell r="F112">
            <v>0</v>
          </cell>
          <cell r="G112">
            <v>0</v>
          </cell>
          <cell r="H112">
            <v>0</v>
          </cell>
          <cell r="I112">
            <v>0</v>
          </cell>
        </row>
        <row r="113">
          <cell r="A113">
            <v>96</v>
          </cell>
          <cell r="B113">
            <v>48945</v>
          </cell>
          <cell r="C113">
            <v>0</v>
          </cell>
          <cell r="D113">
            <v>999524.58607696265</v>
          </cell>
          <cell r="E113">
            <v>0</v>
          </cell>
          <cell r="F113">
            <v>0</v>
          </cell>
          <cell r="G113">
            <v>0</v>
          </cell>
          <cell r="H113">
            <v>0</v>
          </cell>
          <cell r="I113">
            <v>0</v>
          </cell>
        </row>
        <row r="114">
          <cell r="A114">
            <v>97</v>
          </cell>
          <cell r="B114">
            <v>49035</v>
          </cell>
          <cell r="C114">
            <v>0</v>
          </cell>
          <cell r="D114">
            <v>999524.58607696265</v>
          </cell>
          <cell r="E114">
            <v>0</v>
          </cell>
          <cell r="F114">
            <v>0</v>
          </cell>
          <cell r="G114">
            <v>0</v>
          </cell>
          <cell r="H114">
            <v>0</v>
          </cell>
          <cell r="I114">
            <v>0</v>
          </cell>
        </row>
        <row r="115">
          <cell r="A115">
            <v>98</v>
          </cell>
          <cell r="B115">
            <v>49126</v>
          </cell>
          <cell r="C115">
            <v>0</v>
          </cell>
          <cell r="D115">
            <v>999524.58607696265</v>
          </cell>
          <cell r="E115">
            <v>0</v>
          </cell>
          <cell r="F115">
            <v>0</v>
          </cell>
          <cell r="G115">
            <v>0</v>
          </cell>
          <cell r="H115">
            <v>0</v>
          </cell>
          <cell r="I115">
            <v>0</v>
          </cell>
        </row>
        <row r="116">
          <cell r="A116">
            <v>99</v>
          </cell>
          <cell r="B116">
            <v>49218</v>
          </cell>
          <cell r="C116">
            <v>0</v>
          </cell>
          <cell r="D116">
            <v>999524.58607696265</v>
          </cell>
          <cell r="E116">
            <v>0</v>
          </cell>
          <cell r="F116">
            <v>0</v>
          </cell>
          <cell r="G116">
            <v>0</v>
          </cell>
          <cell r="H116">
            <v>0</v>
          </cell>
          <cell r="I116">
            <v>0</v>
          </cell>
        </row>
        <row r="117">
          <cell r="A117">
            <v>100</v>
          </cell>
          <cell r="B117">
            <v>49310</v>
          </cell>
          <cell r="C117">
            <v>0</v>
          </cell>
          <cell r="D117">
            <v>999524.58607696265</v>
          </cell>
          <cell r="E117">
            <v>0</v>
          </cell>
          <cell r="F117">
            <v>0</v>
          </cell>
          <cell r="G117">
            <v>0</v>
          </cell>
          <cell r="H117">
            <v>0</v>
          </cell>
          <cell r="I117">
            <v>0</v>
          </cell>
        </row>
        <row r="118">
          <cell r="A118">
            <v>101</v>
          </cell>
          <cell r="B118">
            <v>49400</v>
          </cell>
          <cell r="C118">
            <v>0</v>
          </cell>
          <cell r="D118">
            <v>999524.58607696265</v>
          </cell>
          <cell r="E118">
            <v>0</v>
          </cell>
          <cell r="F118">
            <v>0</v>
          </cell>
          <cell r="G118">
            <v>0</v>
          </cell>
          <cell r="H118">
            <v>0</v>
          </cell>
          <cell r="I118">
            <v>0</v>
          </cell>
        </row>
        <row r="119">
          <cell r="A119">
            <v>102</v>
          </cell>
          <cell r="B119">
            <v>49491</v>
          </cell>
          <cell r="C119">
            <v>0</v>
          </cell>
          <cell r="D119">
            <v>999524.58607696265</v>
          </cell>
          <cell r="E119">
            <v>0</v>
          </cell>
          <cell r="F119">
            <v>0</v>
          </cell>
          <cell r="G119">
            <v>0</v>
          </cell>
          <cell r="H119">
            <v>0</v>
          </cell>
          <cell r="I119">
            <v>0</v>
          </cell>
        </row>
        <row r="120">
          <cell r="A120">
            <v>103</v>
          </cell>
          <cell r="B120">
            <v>49583</v>
          </cell>
          <cell r="C120">
            <v>0</v>
          </cell>
          <cell r="D120">
            <v>999524.58607696265</v>
          </cell>
          <cell r="E120">
            <v>0</v>
          </cell>
          <cell r="F120">
            <v>0</v>
          </cell>
          <cell r="G120">
            <v>0</v>
          </cell>
          <cell r="H120">
            <v>0</v>
          </cell>
          <cell r="I120">
            <v>0</v>
          </cell>
        </row>
        <row r="121">
          <cell r="A121">
            <v>104</v>
          </cell>
          <cell r="B121">
            <v>49675</v>
          </cell>
          <cell r="C121">
            <v>0</v>
          </cell>
          <cell r="D121">
            <v>999524.58607696265</v>
          </cell>
          <cell r="E121">
            <v>0</v>
          </cell>
          <cell r="F121">
            <v>0</v>
          </cell>
          <cell r="G121">
            <v>0</v>
          </cell>
          <cell r="H121">
            <v>0</v>
          </cell>
          <cell r="I121">
            <v>0</v>
          </cell>
        </row>
        <row r="122">
          <cell r="A122">
            <v>105</v>
          </cell>
          <cell r="B122">
            <v>49766</v>
          </cell>
          <cell r="C122">
            <v>0</v>
          </cell>
          <cell r="D122">
            <v>999524.58607696265</v>
          </cell>
          <cell r="E122">
            <v>0</v>
          </cell>
          <cell r="F122">
            <v>0</v>
          </cell>
          <cell r="G122">
            <v>0</v>
          </cell>
          <cell r="H122">
            <v>0</v>
          </cell>
          <cell r="I122">
            <v>0</v>
          </cell>
        </row>
        <row r="123">
          <cell r="A123">
            <v>106</v>
          </cell>
          <cell r="B123">
            <v>49857</v>
          </cell>
          <cell r="C123">
            <v>0</v>
          </cell>
          <cell r="D123">
            <v>999524.58607696265</v>
          </cell>
          <cell r="E123">
            <v>0</v>
          </cell>
          <cell r="F123">
            <v>0</v>
          </cell>
          <cell r="G123">
            <v>0</v>
          </cell>
          <cell r="H123">
            <v>0</v>
          </cell>
          <cell r="I123">
            <v>0</v>
          </cell>
        </row>
        <row r="124">
          <cell r="A124">
            <v>107</v>
          </cell>
          <cell r="B124">
            <v>49949</v>
          </cell>
          <cell r="C124">
            <v>0</v>
          </cell>
          <cell r="D124">
            <v>999524.58607696265</v>
          </cell>
          <cell r="E124">
            <v>0</v>
          </cell>
          <cell r="F124">
            <v>0</v>
          </cell>
          <cell r="G124">
            <v>0</v>
          </cell>
          <cell r="H124">
            <v>0</v>
          </cell>
          <cell r="I124">
            <v>0</v>
          </cell>
        </row>
        <row r="125">
          <cell r="A125">
            <v>108</v>
          </cell>
          <cell r="B125">
            <v>50041</v>
          </cell>
          <cell r="C125">
            <v>0</v>
          </cell>
          <cell r="D125">
            <v>999524.58607696265</v>
          </cell>
          <cell r="E125">
            <v>0</v>
          </cell>
          <cell r="F125">
            <v>0</v>
          </cell>
          <cell r="G125">
            <v>0</v>
          </cell>
          <cell r="H125">
            <v>0</v>
          </cell>
          <cell r="I125">
            <v>0</v>
          </cell>
        </row>
        <row r="126">
          <cell r="A126">
            <v>109</v>
          </cell>
          <cell r="B126">
            <v>50131</v>
          </cell>
          <cell r="C126">
            <v>0</v>
          </cell>
          <cell r="D126">
            <v>999524.58607696265</v>
          </cell>
          <cell r="E126">
            <v>0</v>
          </cell>
          <cell r="F126">
            <v>0</v>
          </cell>
          <cell r="G126">
            <v>0</v>
          </cell>
          <cell r="H126">
            <v>0</v>
          </cell>
          <cell r="I126">
            <v>0</v>
          </cell>
        </row>
        <row r="127">
          <cell r="A127">
            <v>110</v>
          </cell>
          <cell r="B127">
            <v>50222</v>
          </cell>
          <cell r="C127">
            <v>0</v>
          </cell>
          <cell r="D127">
            <v>999524.58607696265</v>
          </cell>
          <cell r="E127">
            <v>0</v>
          </cell>
          <cell r="F127">
            <v>0</v>
          </cell>
          <cell r="G127">
            <v>0</v>
          </cell>
          <cell r="H127">
            <v>0</v>
          </cell>
          <cell r="I127">
            <v>0</v>
          </cell>
        </row>
        <row r="128">
          <cell r="A128">
            <v>111</v>
          </cell>
          <cell r="B128">
            <v>50314</v>
          </cell>
          <cell r="C128">
            <v>0</v>
          </cell>
          <cell r="D128">
            <v>999524.58607696265</v>
          </cell>
          <cell r="E128">
            <v>0</v>
          </cell>
          <cell r="F128">
            <v>0</v>
          </cell>
          <cell r="G128">
            <v>0</v>
          </cell>
          <cell r="H128">
            <v>0</v>
          </cell>
          <cell r="I128">
            <v>0</v>
          </cell>
        </row>
        <row r="129">
          <cell r="A129">
            <v>112</v>
          </cell>
          <cell r="B129">
            <v>50406</v>
          </cell>
          <cell r="C129">
            <v>0</v>
          </cell>
          <cell r="D129">
            <v>999524.58607696265</v>
          </cell>
          <cell r="E129">
            <v>0</v>
          </cell>
          <cell r="F129">
            <v>0</v>
          </cell>
          <cell r="G129">
            <v>0</v>
          </cell>
          <cell r="H129">
            <v>0</v>
          </cell>
          <cell r="I129">
            <v>0</v>
          </cell>
        </row>
        <row r="130">
          <cell r="A130">
            <v>113</v>
          </cell>
          <cell r="B130">
            <v>50496</v>
          </cell>
          <cell r="C130">
            <v>0</v>
          </cell>
          <cell r="D130">
            <v>999524.58607696265</v>
          </cell>
          <cell r="E130">
            <v>0</v>
          </cell>
          <cell r="F130">
            <v>0</v>
          </cell>
          <cell r="G130">
            <v>0</v>
          </cell>
          <cell r="H130">
            <v>0</v>
          </cell>
          <cell r="I130">
            <v>0</v>
          </cell>
        </row>
        <row r="131">
          <cell r="A131">
            <v>114</v>
          </cell>
          <cell r="B131">
            <v>50587</v>
          </cell>
          <cell r="C131">
            <v>0</v>
          </cell>
          <cell r="D131">
            <v>999524.58607696265</v>
          </cell>
          <cell r="E131">
            <v>0</v>
          </cell>
          <cell r="F131">
            <v>0</v>
          </cell>
          <cell r="G131">
            <v>0</v>
          </cell>
          <cell r="H131">
            <v>0</v>
          </cell>
          <cell r="I131">
            <v>0</v>
          </cell>
        </row>
        <row r="132">
          <cell r="A132">
            <v>115</v>
          </cell>
          <cell r="B132">
            <v>50679</v>
          </cell>
          <cell r="C132">
            <v>0</v>
          </cell>
          <cell r="D132">
            <v>999524.58607696265</v>
          </cell>
          <cell r="E132">
            <v>0</v>
          </cell>
          <cell r="F132">
            <v>0</v>
          </cell>
          <cell r="G132">
            <v>0</v>
          </cell>
          <cell r="H132">
            <v>0</v>
          </cell>
          <cell r="I132">
            <v>0</v>
          </cell>
        </row>
        <row r="133">
          <cell r="A133">
            <v>116</v>
          </cell>
          <cell r="B133">
            <v>50771</v>
          </cell>
          <cell r="C133">
            <v>0</v>
          </cell>
          <cell r="D133">
            <v>999524.58607696265</v>
          </cell>
          <cell r="E133">
            <v>0</v>
          </cell>
          <cell r="F133">
            <v>0</v>
          </cell>
          <cell r="G133">
            <v>0</v>
          </cell>
          <cell r="H133">
            <v>0</v>
          </cell>
          <cell r="I133">
            <v>0</v>
          </cell>
        </row>
        <row r="134">
          <cell r="A134">
            <v>117</v>
          </cell>
          <cell r="B134">
            <v>50861</v>
          </cell>
          <cell r="C134">
            <v>0</v>
          </cell>
          <cell r="D134">
            <v>999524.58607696265</v>
          </cell>
          <cell r="E134">
            <v>0</v>
          </cell>
          <cell r="F134">
            <v>0</v>
          </cell>
          <cell r="G134">
            <v>0</v>
          </cell>
          <cell r="H134">
            <v>0</v>
          </cell>
          <cell r="I134">
            <v>0</v>
          </cell>
        </row>
        <row r="135">
          <cell r="A135">
            <v>118</v>
          </cell>
          <cell r="B135">
            <v>50952</v>
          </cell>
          <cell r="C135">
            <v>0</v>
          </cell>
          <cell r="D135">
            <v>999524.58607696265</v>
          </cell>
          <cell r="E135">
            <v>0</v>
          </cell>
          <cell r="F135">
            <v>0</v>
          </cell>
          <cell r="G135">
            <v>0</v>
          </cell>
          <cell r="H135">
            <v>0</v>
          </cell>
          <cell r="I135">
            <v>0</v>
          </cell>
        </row>
        <row r="136">
          <cell r="A136">
            <v>119</v>
          </cell>
          <cell r="B136">
            <v>51044</v>
          </cell>
          <cell r="C136">
            <v>0</v>
          </cell>
          <cell r="D136">
            <v>999524.58607696265</v>
          </cell>
          <cell r="E136">
            <v>0</v>
          </cell>
          <cell r="F136">
            <v>0</v>
          </cell>
          <cell r="G136">
            <v>0</v>
          </cell>
          <cell r="H136">
            <v>0</v>
          </cell>
          <cell r="I136">
            <v>0</v>
          </cell>
        </row>
        <row r="137">
          <cell r="A137">
            <v>120</v>
          </cell>
          <cell r="B137">
            <v>51136</v>
          </cell>
          <cell r="C137">
            <v>0</v>
          </cell>
          <cell r="D137">
            <v>999524.58607696265</v>
          </cell>
          <cell r="E137">
            <v>0</v>
          </cell>
          <cell r="F137">
            <v>0</v>
          </cell>
          <cell r="G137">
            <v>0</v>
          </cell>
          <cell r="H137">
            <v>0</v>
          </cell>
          <cell r="I137">
            <v>0</v>
          </cell>
        </row>
        <row r="138">
          <cell r="A138">
            <v>121</v>
          </cell>
          <cell r="B138">
            <v>51227</v>
          </cell>
          <cell r="C138">
            <v>0</v>
          </cell>
          <cell r="D138">
            <v>999524.58607696265</v>
          </cell>
          <cell r="E138">
            <v>0</v>
          </cell>
          <cell r="F138">
            <v>0</v>
          </cell>
          <cell r="G138">
            <v>0</v>
          </cell>
          <cell r="H138">
            <v>0</v>
          </cell>
          <cell r="I138">
            <v>0</v>
          </cell>
        </row>
        <row r="139">
          <cell r="A139">
            <v>122</v>
          </cell>
          <cell r="B139">
            <v>51318</v>
          </cell>
          <cell r="C139">
            <v>0</v>
          </cell>
          <cell r="D139">
            <v>999524.58607696265</v>
          </cell>
          <cell r="E139">
            <v>0</v>
          </cell>
          <cell r="F139">
            <v>0</v>
          </cell>
          <cell r="G139">
            <v>0</v>
          </cell>
          <cell r="H139">
            <v>0</v>
          </cell>
          <cell r="I139">
            <v>0</v>
          </cell>
        </row>
        <row r="140">
          <cell r="A140">
            <v>123</v>
          </cell>
          <cell r="B140">
            <v>51410</v>
          </cell>
          <cell r="C140">
            <v>0</v>
          </cell>
          <cell r="D140">
            <v>999524.58607696265</v>
          </cell>
          <cell r="E140">
            <v>0</v>
          </cell>
          <cell r="F140">
            <v>0</v>
          </cell>
          <cell r="G140">
            <v>0</v>
          </cell>
          <cell r="H140">
            <v>0</v>
          </cell>
          <cell r="I140">
            <v>0</v>
          </cell>
        </row>
        <row r="141">
          <cell r="A141">
            <v>124</v>
          </cell>
          <cell r="B141">
            <v>51502</v>
          </cell>
          <cell r="C141">
            <v>0</v>
          </cell>
          <cell r="D141">
            <v>999524.58607696265</v>
          </cell>
          <cell r="E141">
            <v>0</v>
          </cell>
          <cell r="F141">
            <v>0</v>
          </cell>
          <cell r="G141">
            <v>0</v>
          </cell>
          <cell r="H141">
            <v>0</v>
          </cell>
          <cell r="I141">
            <v>0</v>
          </cell>
        </row>
        <row r="142">
          <cell r="A142">
            <v>125</v>
          </cell>
          <cell r="B142">
            <v>51592</v>
          </cell>
          <cell r="C142">
            <v>0</v>
          </cell>
          <cell r="D142">
            <v>999524.58607696265</v>
          </cell>
          <cell r="E142">
            <v>0</v>
          </cell>
          <cell r="F142">
            <v>0</v>
          </cell>
          <cell r="G142">
            <v>0</v>
          </cell>
          <cell r="H142">
            <v>0</v>
          </cell>
          <cell r="I142">
            <v>0</v>
          </cell>
        </row>
        <row r="143">
          <cell r="A143">
            <v>126</v>
          </cell>
          <cell r="B143">
            <v>51683</v>
          </cell>
          <cell r="C143">
            <v>0</v>
          </cell>
          <cell r="D143">
            <v>999524.58607696265</v>
          </cell>
          <cell r="E143">
            <v>0</v>
          </cell>
          <cell r="F143">
            <v>0</v>
          </cell>
          <cell r="G143">
            <v>0</v>
          </cell>
          <cell r="H143">
            <v>0</v>
          </cell>
          <cell r="I143">
            <v>0</v>
          </cell>
        </row>
        <row r="144">
          <cell r="A144">
            <v>127</v>
          </cell>
          <cell r="B144">
            <v>51775</v>
          </cell>
          <cell r="C144">
            <v>0</v>
          </cell>
          <cell r="D144">
            <v>999524.58607696265</v>
          </cell>
          <cell r="E144">
            <v>0</v>
          </cell>
          <cell r="F144">
            <v>0</v>
          </cell>
          <cell r="G144">
            <v>0</v>
          </cell>
          <cell r="H144">
            <v>0</v>
          </cell>
          <cell r="I144">
            <v>0</v>
          </cell>
        </row>
        <row r="145">
          <cell r="A145">
            <v>128</v>
          </cell>
          <cell r="B145">
            <v>51867</v>
          </cell>
          <cell r="C145">
            <v>0</v>
          </cell>
          <cell r="D145">
            <v>999524.58607696265</v>
          </cell>
          <cell r="E145">
            <v>0</v>
          </cell>
          <cell r="F145">
            <v>0</v>
          </cell>
          <cell r="G145">
            <v>0</v>
          </cell>
          <cell r="H145">
            <v>0</v>
          </cell>
          <cell r="I145">
            <v>0</v>
          </cell>
        </row>
        <row r="146">
          <cell r="A146">
            <v>129</v>
          </cell>
          <cell r="B146">
            <v>51957</v>
          </cell>
          <cell r="C146">
            <v>0</v>
          </cell>
          <cell r="D146">
            <v>999524.58607696265</v>
          </cell>
          <cell r="E146">
            <v>0</v>
          </cell>
          <cell r="F146">
            <v>0</v>
          </cell>
          <cell r="G146">
            <v>0</v>
          </cell>
          <cell r="H146">
            <v>0</v>
          </cell>
          <cell r="I146">
            <v>0</v>
          </cell>
        </row>
        <row r="147">
          <cell r="A147">
            <v>130</v>
          </cell>
          <cell r="B147">
            <v>52048</v>
          </cell>
          <cell r="C147">
            <v>0</v>
          </cell>
          <cell r="D147">
            <v>999524.58607696265</v>
          </cell>
          <cell r="E147">
            <v>0</v>
          </cell>
          <cell r="F147">
            <v>0</v>
          </cell>
          <cell r="G147">
            <v>0</v>
          </cell>
          <cell r="H147">
            <v>0</v>
          </cell>
          <cell r="I147">
            <v>0</v>
          </cell>
        </row>
        <row r="148">
          <cell r="A148">
            <v>131</v>
          </cell>
          <cell r="B148">
            <v>52140</v>
          </cell>
          <cell r="C148">
            <v>0</v>
          </cell>
          <cell r="D148">
            <v>999524.58607696265</v>
          </cell>
          <cell r="E148">
            <v>0</v>
          </cell>
          <cell r="F148">
            <v>0</v>
          </cell>
          <cell r="G148">
            <v>0</v>
          </cell>
          <cell r="H148">
            <v>0</v>
          </cell>
          <cell r="I148">
            <v>0</v>
          </cell>
        </row>
        <row r="149">
          <cell r="A149">
            <v>132</v>
          </cell>
          <cell r="B149">
            <v>52232</v>
          </cell>
          <cell r="C149">
            <v>0</v>
          </cell>
          <cell r="D149">
            <v>999524.58607696265</v>
          </cell>
          <cell r="E149">
            <v>0</v>
          </cell>
          <cell r="F149">
            <v>0</v>
          </cell>
          <cell r="G149">
            <v>0</v>
          </cell>
          <cell r="H149">
            <v>0</v>
          </cell>
          <cell r="I149">
            <v>0</v>
          </cell>
        </row>
        <row r="150">
          <cell r="A150">
            <v>133</v>
          </cell>
          <cell r="B150">
            <v>52322</v>
          </cell>
          <cell r="C150">
            <v>0</v>
          </cell>
          <cell r="D150">
            <v>999524.58607696265</v>
          </cell>
          <cell r="E150">
            <v>0</v>
          </cell>
          <cell r="F150">
            <v>0</v>
          </cell>
          <cell r="G150">
            <v>0</v>
          </cell>
          <cell r="H150">
            <v>0</v>
          </cell>
          <cell r="I150">
            <v>0</v>
          </cell>
        </row>
        <row r="151">
          <cell r="A151">
            <v>134</v>
          </cell>
          <cell r="B151">
            <v>52413</v>
          </cell>
          <cell r="C151">
            <v>0</v>
          </cell>
          <cell r="D151">
            <v>999524.58607696265</v>
          </cell>
          <cell r="E151">
            <v>0</v>
          </cell>
          <cell r="F151">
            <v>0</v>
          </cell>
          <cell r="G151">
            <v>0</v>
          </cell>
          <cell r="H151">
            <v>0</v>
          </cell>
          <cell r="I151">
            <v>0</v>
          </cell>
        </row>
        <row r="152">
          <cell r="A152">
            <v>135</v>
          </cell>
          <cell r="B152">
            <v>52505</v>
          </cell>
          <cell r="C152">
            <v>0</v>
          </cell>
          <cell r="D152">
            <v>999524.58607696265</v>
          </cell>
          <cell r="E152">
            <v>0</v>
          </cell>
          <cell r="F152">
            <v>0</v>
          </cell>
          <cell r="G152">
            <v>0</v>
          </cell>
          <cell r="H152">
            <v>0</v>
          </cell>
          <cell r="I152">
            <v>0</v>
          </cell>
        </row>
        <row r="153">
          <cell r="A153">
            <v>136</v>
          </cell>
          <cell r="B153">
            <v>52597</v>
          </cell>
          <cell r="C153">
            <v>0</v>
          </cell>
          <cell r="D153">
            <v>999524.58607696265</v>
          </cell>
          <cell r="E153">
            <v>0</v>
          </cell>
          <cell r="F153">
            <v>0</v>
          </cell>
          <cell r="G153">
            <v>0</v>
          </cell>
          <cell r="H153">
            <v>0</v>
          </cell>
          <cell r="I153">
            <v>0</v>
          </cell>
        </row>
        <row r="154">
          <cell r="A154">
            <v>137</v>
          </cell>
          <cell r="B154">
            <v>52688</v>
          </cell>
          <cell r="C154">
            <v>0</v>
          </cell>
          <cell r="D154">
            <v>999524.58607696265</v>
          </cell>
          <cell r="E154">
            <v>0</v>
          </cell>
          <cell r="F154">
            <v>0</v>
          </cell>
          <cell r="G154">
            <v>0</v>
          </cell>
          <cell r="H154">
            <v>0</v>
          </cell>
          <cell r="I154">
            <v>0</v>
          </cell>
        </row>
        <row r="155">
          <cell r="A155">
            <v>138</v>
          </cell>
          <cell r="B155">
            <v>52779</v>
          </cell>
          <cell r="C155">
            <v>0</v>
          </cell>
          <cell r="D155">
            <v>999524.58607696265</v>
          </cell>
          <cell r="E155">
            <v>0</v>
          </cell>
          <cell r="F155">
            <v>0</v>
          </cell>
          <cell r="G155">
            <v>0</v>
          </cell>
          <cell r="H155">
            <v>0</v>
          </cell>
          <cell r="I155">
            <v>0</v>
          </cell>
        </row>
        <row r="156">
          <cell r="A156">
            <v>139</v>
          </cell>
          <cell r="B156">
            <v>52871</v>
          </cell>
          <cell r="C156">
            <v>0</v>
          </cell>
          <cell r="D156">
            <v>999524.58607696265</v>
          </cell>
          <cell r="E156">
            <v>0</v>
          </cell>
          <cell r="F156">
            <v>0</v>
          </cell>
          <cell r="G156">
            <v>0</v>
          </cell>
          <cell r="H156">
            <v>0</v>
          </cell>
          <cell r="I156">
            <v>0</v>
          </cell>
        </row>
        <row r="157">
          <cell r="A157">
            <v>140</v>
          </cell>
          <cell r="B157">
            <v>52963</v>
          </cell>
          <cell r="C157">
            <v>0</v>
          </cell>
          <cell r="D157">
            <v>999524.58607696265</v>
          </cell>
          <cell r="E157">
            <v>0</v>
          </cell>
          <cell r="F157">
            <v>0</v>
          </cell>
          <cell r="G157">
            <v>0</v>
          </cell>
          <cell r="H157">
            <v>0</v>
          </cell>
          <cell r="I157">
            <v>0</v>
          </cell>
        </row>
        <row r="158">
          <cell r="A158">
            <v>141</v>
          </cell>
          <cell r="B158">
            <v>53053</v>
          </cell>
          <cell r="C158">
            <v>0</v>
          </cell>
          <cell r="D158">
            <v>999524.58607696265</v>
          </cell>
          <cell r="E158">
            <v>0</v>
          </cell>
          <cell r="F158">
            <v>0</v>
          </cell>
          <cell r="G158">
            <v>0</v>
          </cell>
          <cell r="H158">
            <v>0</v>
          </cell>
          <cell r="I158">
            <v>0</v>
          </cell>
        </row>
        <row r="159">
          <cell r="A159">
            <v>142</v>
          </cell>
          <cell r="B159">
            <v>53144</v>
          </cell>
          <cell r="C159">
            <v>0</v>
          </cell>
          <cell r="D159">
            <v>999524.58607696265</v>
          </cell>
          <cell r="E159">
            <v>0</v>
          </cell>
          <cell r="F159">
            <v>0</v>
          </cell>
          <cell r="G159">
            <v>0</v>
          </cell>
          <cell r="H159">
            <v>0</v>
          </cell>
          <cell r="I159">
            <v>0</v>
          </cell>
        </row>
        <row r="160">
          <cell r="A160">
            <v>143</v>
          </cell>
          <cell r="B160">
            <v>53236</v>
          </cell>
          <cell r="C160">
            <v>0</v>
          </cell>
          <cell r="D160">
            <v>999524.58607696265</v>
          </cell>
          <cell r="E160">
            <v>0</v>
          </cell>
          <cell r="F160">
            <v>0</v>
          </cell>
          <cell r="G160">
            <v>0</v>
          </cell>
          <cell r="H160">
            <v>0</v>
          </cell>
          <cell r="I160">
            <v>0</v>
          </cell>
        </row>
        <row r="161">
          <cell r="A161">
            <v>144</v>
          </cell>
          <cell r="B161">
            <v>53328</v>
          </cell>
          <cell r="C161">
            <v>0</v>
          </cell>
          <cell r="D161">
            <v>999524.58607696265</v>
          </cell>
          <cell r="E161">
            <v>0</v>
          </cell>
          <cell r="F161">
            <v>0</v>
          </cell>
          <cell r="G161">
            <v>0</v>
          </cell>
          <cell r="H161">
            <v>0</v>
          </cell>
          <cell r="I161">
            <v>0</v>
          </cell>
        </row>
        <row r="162">
          <cell r="A162">
            <v>145</v>
          </cell>
          <cell r="B162">
            <v>53418</v>
          </cell>
          <cell r="C162">
            <v>0</v>
          </cell>
          <cell r="D162">
            <v>999524.58607696265</v>
          </cell>
          <cell r="E162">
            <v>0</v>
          </cell>
          <cell r="F162">
            <v>0</v>
          </cell>
          <cell r="G162">
            <v>0</v>
          </cell>
          <cell r="H162">
            <v>0</v>
          </cell>
          <cell r="I162">
            <v>0</v>
          </cell>
        </row>
        <row r="163">
          <cell r="A163">
            <v>146</v>
          </cell>
          <cell r="B163">
            <v>53509</v>
          </cell>
          <cell r="C163">
            <v>0</v>
          </cell>
          <cell r="D163">
            <v>999524.58607696265</v>
          </cell>
          <cell r="E163">
            <v>0</v>
          </cell>
          <cell r="F163">
            <v>0</v>
          </cell>
          <cell r="G163">
            <v>0</v>
          </cell>
          <cell r="H163">
            <v>0</v>
          </cell>
          <cell r="I163">
            <v>0</v>
          </cell>
        </row>
        <row r="164">
          <cell r="A164">
            <v>147</v>
          </cell>
          <cell r="B164">
            <v>53601</v>
          </cell>
          <cell r="C164">
            <v>0</v>
          </cell>
          <cell r="D164">
            <v>999524.58607696265</v>
          </cell>
          <cell r="E164">
            <v>0</v>
          </cell>
          <cell r="F164">
            <v>0</v>
          </cell>
          <cell r="G164">
            <v>0</v>
          </cell>
          <cell r="H164">
            <v>0</v>
          </cell>
          <cell r="I164">
            <v>0</v>
          </cell>
        </row>
        <row r="165">
          <cell r="A165">
            <v>148</v>
          </cell>
          <cell r="B165">
            <v>53693</v>
          </cell>
          <cell r="C165">
            <v>0</v>
          </cell>
          <cell r="D165">
            <v>999524.58607696265</v>
          </cell>
          <cell r="E165">
            <v>0</v>
          </cell>
          <cell r="F165">
            <v>0</v>
          </cell>
          <cell r="G165">
            <v>0</v>
          </cell>
          <cell r="H165">
            <v>0</v>
          </cell>
          <cell r="I165">
            <v>0</v>
          </cell>
        </row>
        <row r="166">
          <cell r="A166">
            <v>149</v>
          </cell>
          <cell r="B166">
            <v>53783</v>
          </cell>
          <cell r="C166">
            <v>0</v>
          </cell>
          <cell r="D166">
            <v>999524.58607696265</v>
          </cell>
          <cell r="E166">
            <v>0</v>
          </cell>
          <cell r="F166">
            <v>0</v>
          </cell>
          <cell r="G166">
            <v>0</v>
          </cell>
          <cell r="H166">
            <v>0</v>
          </cell>
          <cell r="I166">
            <v>0</v>
          </cell>
        </row>
        <row r="167">
          <cell r="A167">
            <v>150</v>
          </cell>
          <cell r="B167">
            <v>53874</v>
          </cell>
          <cell r="C167">
            <v>0</v>
          </cell>
          <cell r="D167">
            <v>999524.58607696265</v>
          </cell>
          <cell r="E167">
            <v>0</v>
          </cell>
          <cell r="F167">
            <v>0</v>
          </cell>
          <cell r="G167">
            <v>0</v>
          </cell>
          <cell r="H167">
            <v>0</v>
          </cell>
          <cell r="I167">
            <v>0</v>
          </cell>
        </row>
        <row r="168">
          <cell r="A168">
            <v>151</v>
          </cell>
          <cell r="B168">
            <v>53966</v>
          </cell>
          <cell r="C168">
            <v>0</v>
          </cell>
          <cell r="D168">
            <v>999524.58607696265</v>
          </cell>
          <cell r="E168">
            <v>0</v>
          </cell>
          <cell r="F168">
            <v>0</v>
          </cell>
          <cell r="G168">
            <v>0</v>
          </cell>
          <cell r="H168">
            <v>0</v>
          </cell>
          <cell r="I168">
            <v>0</v>
          </cell>
        </row>
        <row r="169">
          <cell r="A169">
            <v>152</v>
          </cell>
          <cell r="B169">
            <v>54058</v>
          </cell>
          <cell r="C169">
            <v>0</v>
          </cell>
          <cell r="D169">
            <v>999524.58607696265</v>
          </cell>
          <cell r="E169">
            <v>0</v>
          </cell>
          <cell r="F169">
            <v>0</v>
          </cell>
          <cell r="G169">
            <v>0</v>
          </cell>
          <cell r="H169">
            <v>0</v>
          </cell>
          <cell r="I169">
            <v>0</v>
          </cell>
        </row>
        <row r="170">
          <cell r="A170">
            <v>153</v>
          </cell>
          <cell r="B170">
            <v>54149</v>
          </cell>
          <cell r="C170">
            <v>0</v>
          </cell>
          <cell r="D170">
            <v>999524.58607696265</v>
          </cell>
          <cell r="E170">
            <v>0</v>
          </cell>
          <cell r="F170">
            <v>0</v>
          </cell>
          <cell r="G170">
            <v>0</v>
          </cell>
          <cell r="H170">
            <v>0</v>
          </cell>
          <cell r="I170">
            <v>0</v>
          </cell>
        </row>
        <row r="171">
          <cell r="A171">
            <v>154</v>
          </cell>
          <cell r="B171">
            <v>54240</v>
          </cell>
          <cell r="C171">
            <v>0</v>
          </cell>
          <cell r="D171">
            <v>999524.58607696265</v>
          </cell>
          <cell r="E171">
            <v>0</v>
          </cell>
          <cell r="F171">
            <v>0</v>
          </cell>
          <cell r="G171">
            <v>0</v>
          </cell>
          <cell r="H171">
            <v>0</v>
          </cell>
          <cell r="I171">
            <v>0</v>
          </cell>
        </row>
        <row r="172">
          <cell r="A172">
            <v>155</v>
          </cell>
          <cell r="B172">
            <v>54332</v>
          </cell>
          <cell r="C172">
            <v>0</v>
          </cell>
          <cell r="D172">
            <v>999524.58607696265</v>
          </cell>
          <cell r="E172">
            <v>0</v>
          </cell>
          <cell r="F172">
            <v>0</v>
          </cell>
          <cell r="G172">
            <v>0</v>
          </cell>
          <cell r="H172">
            <v>0</v>
          </cell>
          <cell r="I172">
            <v>0</v>
          </cell>
        </row>
        <row r="173">
          <cell r="A173">
            <v>156</v>
          </cell>
          <cell r="B173">
            <v>54424</v>
          </cell>
          <cell r="C173">
            <v>0</v>
          </cell>
          <cell r="D173">
            <v>999524.58607696265</v>
          </cell>
          <cell r="E173">
            <v>0</v>
          </cell>
          <cell r="F173">
            <v>0</v>
          </cell>
          <cell r="G173">
            <v>0</v>
          </cell>
          <cell r="H173">
            <v>0</v>
          </cell>
          <cell r="I173">
            <v>0</v>
          </cell>
        </row>
        <row r="174">
          <cell r="A174">
            <v>157</v>
          </cell>
          <cell r="B174">
            <v>54514</v>
          </cell>
          <cell r="C174">
            <v>0</v>
          </cell>
          <cell r="D174">
            <v>999524.58607696265</v>
          </cell>
          <cell r="E174">
            <v>0</v>
          </cell>
          <cell r="F174">
            <v>0</v>
          </cell>
          <cell r="G174">
            <v>0</v>
          </cell>
          <cell r="H174">
            <v>0</v>
          </cell>
          <cell r="I174">
            <v>0</v>
          </cell>
        </row>
        <row r="175">
          <cell r="A175">
            <v>158</v>
          </cell>
          <cell r="B175">
            <v>54605</v>
          </cell>
          <cell r="C175">
            <v>0</v>
          </cell>
          <cell r="D175">
            <v>999524.58607696265</v>
          </cell>
          <cell r="E175">
            <v>0</v>
          </cell>
          <cell r="F175">
            <v>0</v>
          </cell>
          <cell r="G175">
            <v>0</v>
          </cell>
          <cell r="H175">
            <v>0</v>
          </cell>
          <cell r="I175">
            <v>0</v>
          </cell>
        </row>
        <row r="176">
          <cell r="A176">
            <v>159</v>
          </cell>
          <cell r="B176">
            <v>54697</v>
          </cell>
          <cell r="C176">
            <v>0</v>
          </cell>
          <cell r="D176">
            <v>999524.58607696265</v>
          </cell>
          <cell r="E176">
            <v>0</v>
          </cell>
          <cell r="F176">
            <v>0</v>
          </cell>
          <cell r="G176">
            <v>0</v>
          </cell>
          <cell r="H176">
            <v>0</v>
          </cell>
          <cell r="I176">
            <v>0</v>
          </cell>
        </row>
        <row r="177">
          <cell r="A177">
            <v>160</v>
          </cell>
          <cell r="B177">
            <v>54789</v>
          </cell>
          <cell r="C177">
            <v>0</v>
          </cell>
          <cell r="D177">
            <v>999524.58607696265</v>
          </cell>
          <cell r="E177">
            <v>0</v>
          </cell>
          <cell r="F177">
            <v>0</v>
          </cell>
          <cell r="G177">
            <v>0</v>
          </cell>
          <cell r="H177">
            <v>0</v>
          </cell>
          <cell r="I177">
            <v>0</v>
          </cell>
        </row>
        <row r="178">
          <cell r="A178">
            <v>161</v>
          </cell>
          <cell r="B178">
            <v>54879</v>
          </cell>
          <cell r="C178">
            <v>0</v>
          </cell>
          <cell r="D178">
            <v>999524.58607696265</v>
          </cell>
          <cell r="E178">
            <v>0</v>
          </cell>
          <cell r="F178">
            <v>0</v>
          </cell>
          <cell r="G178">
            <v>0</v>
          </cell>
          <cell r="H178">
            <v>0</v>
          </cell>
          <cell r="I178">
            <v>0</v>
          </cell>
        </row>
        <row r="179">
          <cell r="A179">
            <v>162</v>
          </cell>
          <cell r="B179">
            <v>54970</v>
          </cell>
          <cell r="C179">
            <v>0</v>
          </cell>
          <cell r="D179">
            <v>999524.58607696265</v>
          </cell>
          <cell r="E179">
            <v>0</v>
          </cell>
          <cell r="F179">
            <v>0</v>
          </cell>
          <cell r="G179">
            <v>0</v>
          </cell>
          <cell r="H179">
            <v>0</v>
          </cell>
          <cell r="I179">
            <v>0</v>
          </cell>
        </row>
        <row r="180">
          <cell r="A180">
            <v>163</v>
          </cell>
          <cell r="B180">
            <v>55062</v>
          </cell>
          <cell r="C180">
            <v>0</v>
          </cell>
          <cell r="D180">
            <v>999524.58607696265</v>
          </cell>
          <cell r="E180">
            <v>0</v>
          </cell>
          <cell r="F180">
            <v>0</v>
          </cell>
          <cell r="G180">
            <v>0</v>
          </cell>
          <cell r="H180">
            <v>0</v>
          </cell>
          <cell r="I180">
            <v>0</v>
          </cell>
        </row>
        <row r="181">
          <cell r="A181">
            <v>164</v>
          </cell>
          <cell r="B181">
            <v>55154</v>
          </cell>
          <cell r="C181">
            <v>0</v>
          </cell>
          <cell r="D181">
            <v>999524.58607696265</v>
          </cell>
          <cell r="E181">
            <v>0</v>
          </cell>
          <cell r="F181">
            <v>0</v>
          </cell>
          <cell r="G181">
            <v>0</v>
          </cell>
          <cell r="H181">
            <v>0</v>
          </cell>
          <cell r="I181">
            <v>0</v>
          </cell>
        </row>
        <row r="182">
          <cell r="A182">
            <v>165</v>
          </cell>
          <cell r="B182">
            <v>55244</v>
          </cell>
          <cell r="C182">
            <v>0</v>
          </cell>
          <cell r="D182">
            <v>999524.58607696265</v>
          </cell>
          <cell r="E182">
            <v>0</v>
          </cell>
          <cell r="F182">
            <v>0</v>
          </cell>
          <cell r="G182">
            <v>0</v>
          </cell>
          <cell r="H182">
            <v>0</v>
          </cell>
          <cell r="I182">
            <v>0</v>
          </cell>
        </row>
        <row r="183">
          <cell r="A183">
            <v>166</v>
          </cell>
          <cell r="B183">
            <v>55335</v>
          </cell>
          <cell r="C183">
            <v>0</v>
          </cell>
          <cell r="D183">
            <v>999524.58607696265</v>
          </cell>
          <cell r="E183">
            <v>0</v>
          </cell>
          <cell r="F183">
            <v>0</v>
          </cell>
          <cell r="G183">
            <v>0</v>
          </cell>
          <cell r="H183">
            <v>0</v>
          </cell>
          <cell r="I183">
            <v>0</v>
          </cell>
        </row>
        <row r="184">
          <cell r="A184">
            <v>167</v>
          </cell>
          <cell r="B184">
            <v>55427</v>
          </cell>
          <cell r="C184">
            <v>0</v>
          </cell>
          <cell r="D184">
            <v>999524.58607696265</v>
          </cell>
          <cell r="E184">
            <v>0</v>
          </cell>
          <cell r="F184">
            <v>0</v>
          </cell>
          <cell r="G184">
            <v>0</v>
          </cell>
          <cell r="H184">
            <v>0</v>
          </cell>
          <cell r="I184">
            <v>0</v>
          </cell>
        </row>
        <row r="185">
          <cell r="A185">
            <v>168</v>
          </cell>
          <cell r="B185">
            <v>55519</v>
          </cell>
          <cell r="C185">
            <v>0</v>
          </cell>
          <cell r="D185">
            <v>999524.58607696265</v>
          </cell>
          <cell r="E185">
            <v>0</v>
          </cell>
          <cell r="F185">
            <v>0</v>
          </cell>
          <cell r="G185">
            <v>0</v>
          </cell>
          <cell r="H185">
            <v>0</v>
          </cell>
          <cell r="I185">
            <v>0</v>
          </cell>
        </row>
        <row r="186">
          <cell r="A186">
            <v>169</v>
          </cell>
          <cell r="B186">
            <v>55610</v>
          </cell>
          <cell r="C186">
            <v>0</v>
          </cell>
          <cell r="D186">
            <v>999524.58607696265</v>
          </cell>
          <cell r="E186">
            <v>0</v>
          </cell>
          <cell r="F186">
            <v>0</v>
          </cell>
          <cell r="G186">
            <v>0</v>
          </cell>
          <cell r="H186">
            <v>0</v>
          </cell>
          <cell r="I186">
            <v>0</v>
          </cell>
        </row>
        <row r="187">
          <cell r="A187">
            <v>170</v>
          </cell>
          <cell r="B187">
            <v>55701</v>
          </cell>
          <cell r="C187">
            <v>0</v>
          </cell>
          <cell r="D187">
            <v>999524.58607696265</v>
          </cell>
          <cell r="E187">
            <v>0</v>
          </cell>
          <cell r="F187">
            <v>0</v>
          </cell>
          <cell r="G187">
            <v>0</v>
          </cell>
          <cell r="H187">
            <v>0</v>
          </cell>
          <cell r="I187">
            <v>0</v>
          </cell>
        </row>
        <row r="188">
          <cell r="A188">
            <v>171</v>
          </cell>
          <cell r="B188">
            <v>55793</v>
          </cell>
          <cell r="C188">
            <v>0</v>
          </cell>
          <cell r="D188">
            <v>999524.58607696265</v>
          </cell>
          <cell r="E188">
            <v>0</v>
          </cell>
          <cell r="F188">
            <v>0</v>
          </cell>
          <cell r="G188">
            <v>0</v>
          </cell>
          <cell r="H188">
            <v>0</v>
          </cell>
          <cell r="I188">
            <v>0</v>
          </cell>
        </row>
        <row r="189">
          <cell r="A189">
            <v>172</v>
          </cell>
          <cell r="B189">
            <v>55885</v>
          </cell>
          <cell r="C189">
            <v>0</v>
          </cell>
          <cell r="D189">
            <v>999524.58607696265</v>
          </cell>
          <cell r="E189">
            <v>0</v>
          </cell>
          <cell r="F189">
            <v>0</v>
          </cell>
          <cell r="G189">
            <v>0</v>
          </cell>
          <cell r="H189">
            <v>0</v>
          </cell>
          <cell r="I189">
            <v>0</v>
          </cell>
        </row>
        <row r="190">
          <cell r="A190">
            <v>173</v>
          </cell>
          <cell r="B190">
            <v>55975</v>
          </cell>
          <cell r="C190">
            <v>0</v>
          </cell>
          <cell r="D190">
            <v>999524.58607696265</v>
          </cell>
          <cell r="E190">
            <v>0</v>
          </cell>
          <cell r="F190">
            <v>0</v>
          </cell>
          <cell r="G190">
            <v>0</v>
          </cell>
          <cell r="H190">
            <v>0</v>
          </cell>
          <cell r="I190">
            <v>0</v>
          </cell>
        </row>
        <row r="191">
          <cell r="A191">
            <v>174</v>
          </cell>
          <cell r="B191">
            <v>56066</v>
          </cell>
          <cell r="C191">
            <v>0</v>
          </cell>
          <cell r="D191">
            <v>999524.58607696265</v>
          </cell>
          <cell r="E191">
            <v>0</v>
          </cell>
          <cell r="F191">
            <v>0</v>
          </cell>
          <cell r="G191">
            <v>0</v>
          </cell>
          <cell r="H191">
            <v>0</v>
          </cell>
          <cell r="I191">
            <v>0</v>
          </cell>
        </row>
        <row r="192">
          <cell r="A192">
            <v>175</v>
          </cell>
          <cell r="B192">
            <v>56158</v>
          </cell>
          <cell r="C192">
            <v>0</v>
          </cell>
          <cell r="D192">
            <v>999524.58607696265</v>
          </cell>
          <cell r="E192">
            <v>0</v>
          </cell>
          <cell r="F192">
            <v>0</v>
          </cell>
          <cell r="G192">
            <v>0</v>
          </cell>
          <cell r="H192">
            <v>0</v>
          </cell>
          <cell r="I192">
            <v>0</v>
          </cell>
        </row>
        <row r="193">
          <cell r="A193">
            <v>176</v>
          </cell>
          <cell r="B193">
            <v>56250</v>
          </cell>
          <cell r="C193">
            <v>0</v>
          </cell>
          <cell r="D193">
            <v>999524.58607696265</v>
          </cell>
          <cell r="E193">
            <v>0</v>
          </cell>
          <cell r="F193">
            <v>0</v>
          </cell>
          <cell r="G193">
            <v>0</v>
          </cell>
          <cell r="H193">
            <v>0</v>
          </cell>
          <cell r="I193">
            <v>0</v>
          </cell>
        </row>
        <row r="194">
          <cell r="A194">
            <v>177</v>
          </cell>
          <cell r="B194">
            <v>56340</v>
          </cell>
          <cell r="C194">
            <v>0</v>
          </cell>
          <cell r="D194">
            <v>999524.58607696265</v>
          </cell>
          <cell r="E194">
            <v>0</v>
          </cell>
          <cell r="F194">
            <v>0</v>
          </cell>
          <cell r="G194">
            <v>0</v>
          </cell>
          <cell r="H194">
            <v>0</v>
          </cell>
          <cell r="I194">
            <v>0</v>
          </cell>
        </row>
        <row r="195">
          <cell r="A195">
            <v>178</v>
          </cell>
          <cell r="B195">
            <v>56431</v>
          </cell>
          <cell r="C195">
            <v>0</v>
          </cell>
          <cell r="D195">
            <v>999524.58607696265</v>
          </cell>
          <cell r="E195">
            <v>0</v>
          </cell>
          <cell r="F195">
            <v>0</v>
          </cell>
          <cell r="G195">
            <v>0</v>
          </cell>
          <cell r="H195">
            <v>0</v>
          </cell>
          <cell r="I195">
            <v>0</v>
          </cell>
        </row>
        <row r="196">
          <cell r="A196">
            <v>179</v>
          </cell>
          <cell r="B196">
            <v>56523</v>
          </cell>
          <cell r="C196">
            <v>0</v>
          </cell>
          <cell r="D196">
            <v>999524.58607696265</v>
          </cell>
          <cell r="E196">
            <v>0</v>
          </cell>
          <cell r="F196">
            <v>0</v>
          </cell>
          <cell r="G196">
            <v>0</v>
          </cell>
          <cell r="H196">
            <v>0</v>
          </cell>
          <cell r="I196">
            <v>0</v>
          </cell>
        </row>
        <row r="197">
          <cell r="A197">
            <v>180</v>
          </cell>
          <cell r="B197">
            <v>56615</v>
          </cell>
          <cell r="C197">
            <v>0</v>
          </cell>
          <cell r="D197">
            <v>999524.58607696265</v>
          </cell>
          <cell r="E197">
            <v>0</v>
          </cell>
          <cell r="F197">
            <v>0</v>
          </cell>
          <cell r="G197">
            <v>0</v>
          </cell>
          <cell r="H197">
            <v>0</v>
          </cell>
          <cell r="I197">
            <v>0</v>
          </cell>
        </row>
        <row r="198">
          <cell r="A198">
            <v>181</v>
          </cell>
          <cell r="B198">
            <v>56705</v>
          </cell>
          <cell r="C198">
            <v>0</v>
          </cell>
          <cell r="D198">
            <v>999524.58607696265</v>
          </cell>
          <cell r="E198">
            <v>0</v>
          </cell>
          <cell r="F198">
            <v>0</v>
          </cell>
          <cell r="G198">
            <v>0</v>
          </cell>
          <cell r="H198">
            <v>0</v>
          </cell>
          <cell r="I198">
            <v>0</v>
          </cell>
        </row>
        <row r="199">
          <cell r="A199">
            <v>182</v>
          </cell>
          <cell r="B199">
            <v>56796</v>
          </cell>
          <cell r="C199">
            <v>0</v>
          </cell>
          <cell r="D199">
            <v>999524.58607696265</v>
          </cell>
          <cell r="E199">
            <v>0</v>
          </cell>
          <cell r="F199">
            <v>0</v>
          </cell>
          <cell r="G199">
            <v>0</v>
          </cell>
          <cell r="H199">
            <v>0</v>
          </cell>
          <cell r="I199">
            <v>0</v>
          </cell>
        </row>
        <row r="200">
          <cell r="A200">
            <v>183</v>
          </cell>
          <cell r="B200">
            <v>56888</v>
          </cell>
          <cell r="C200">
            <v>0</v>
          </cell>
          <cell r="D200">
            <v>999524.58607696265</v>
          </cell>
          <cell r="E200">
            <v>0</v>
          </cell>
          <cell r="F200">
            <v>0</v>
          </cell>
          <cell r="G200">
            <v>0</v>
          </cell>
          <cell r="H200">
            <v>0</v>
          </cell>
          <cell r="I200">
            <v>0</v>
          </cell>
        </row>
        <row r="201">
          <cell r="A201">
            <v>184</v>
          </cell>
          <cell r="B201">
            <v>56980</v>
          </cell>
          <cell r="C201">
            <v>0</v>
          </cell>
          <cell r="D201">
            <v>999524.58607696265</v>
          </cell>
          <cell r="E201">
            <v>0</v>
          </cell>
          <cell r="F201">
            <v>0</v>
          </cell>
          <cell r="G201">
            <v>0</v>
          </cell>
          <cell r="H201">
            <v>0</v>
          </cell>
          <cell r="I201">
            <v>0</v>
          </cell>
        </row>
        <row r="202">
          <cell r="A202">
            <v>185</v>
          </cell>
          <cell r="B202">
            <v>57071</v>
          </cell>
          <cell r="C202">
            <v>0</v>
          </cell>
          <cell r="D202">
            <v>999524.58607696265</v>
          </cell>
          <cell r="E202">
            <v>0</v>
          </cell>
          <cell r="F202">
            <v>0</v>
          </cell>
          <cell r="G202">
            <v>0</v>
          </cell>
          <cell r="H202">
            <v>0</v>
          </cell>
          <cell r="I202">
            <v>0</v>
          </cell>
        </row>
        <row r="203">
          <cell r="A203">
            <v>186</v>
          </cell>
          <cell r="B203">
            <v>57162</v>
          </cell>
          <cell r="C203">
            <v>0</v>
          </cell>
          <cell r="D203">
            <v>999524.58607696265</v>
          </cell>
          <cell r="E203">
            <v>0</v>
          </cell>
          <cell r="F203">
            <v>0</v>
          </cell>
          <cell r="G203">
            <v>0</v>
          </cell>
          <cell r="H203">
            <v>0</v>
          </cell>
          <cell r="I203">
            <v>0</v>
          </cell>
        </row>
        <row r="204">
          <cell r="A204">
            <v>187</v>
          </cell>
          <cell r="B204">
            <v>57254</v>
          </cell>
          <cell r="C204">
            <v>0</v>
          </cell>
          <cell r="D204">
            <v>999524.58607696265</v>
          </cell>
          <cell r="E204">
            <v>0</v>
          </cell>
          <cell r="F204">
            <v>0</v>
          </cell>
          <cell r="G204">
            <v>0</v>
          </cell>
          <cell r="H204">
            <v>0</v>
          </cell>
          <cell r="I204">
            <v>0</v>
          </cell>
        </row>
        <row r="205">
          <cell r="A205">
            <v>188</v>
          </cell>
          <cell r="B205">
            <v>57346</v>
          </cell>
          <cell r="C205">
            <v>0</v>
          </cell>
          <cell r="D205">
            <v>999524.58607696265</v>
          </cell>
          <cell r="E205">
            <v>0</v>
          </cell>
          <cell r="F205">
            <v>0</v>
          </cell>
          <cell r="G205">
            <v>0</v>
          </cell>
          <cell r="H205">
            <v>0</v>
          </cell>
          <cell r="I205">
            <v>0</v>
          </cell>
        </row>
        <row r="206">
          <cell r="A206">
            <v>189</v>
          </cell>
          <cell r="B206">
            <v>57436</v>
          </cell>
          <cell r="C206">
            <v>0</v>
          </cell>
          <cell r="D206">
            <v>999524.58607696265</v>
          </cell>
          <cell r="E206">
            <v>0</v>
          </cell>
          <cell r="F206">
            <v>0</v>
          </cell>
          <cell r="G206">
            <v>0</v>
          </cell>
          <cell r="H206">
            <v>0</v>
          </cell>
          <cell r="I206">
            <v>0</v>
          </cell>
        </row>
        <row r="207">
          <cell r="A207">
            <v>190</v>
          </cell>
          <cell r="B207">
            <v>57527</v>
          </cell>
          <cell r="C207">
            <v>0</v>
          </cell>
          <cell r="D207">
            <v>999524.58607696265</v>
          </cell>
          <cell r="E207">
            <v>0</v>
          </cell>
          <cell r="F207">
            <v>0</v>
          </cell>
          <cell r="G207">
            <v>0</v>
          </cell>
          <cell r="H207">
            <v>0</v>
          </cell>
          <cell r="I207">
            <v>0</v>
          </cell>
        </row>
        <row r="208">
          <cell r="A208">
            <v>191</v>
          </cell>
          <cell r="B208">
            <v>57619</v>
          </cell>
          <cell r="C208">
            <v>0</v>
          </cell>
          <cell r="D208">
            <v>999524.58607696265</v>
          </cell>
          <cell r="E208">
            <v>0</v>
          </cell>
          <cell r="F208">
            <v>0</v>
          </cell>
          <cell r="G208">
            <v>0</v>
          </cell>
          <cell r="H208">
            <v>0</v>
          </cell>
          <cell r="I208">
            <v>0</v>
          </cell>
        </row>
        <row r="209">
          <cell r="A209">
            <v>192</v>
          </cell>
          <cell r="B209">
            <v>57711</v>
          </cell>
          <cell r="C209">
            <v>0</v>
          </cell>
          <cell r="D209">
            <v>999524.58607696265</v>
          </cell>
          <cell r="E209">
            <v>0</v>
          </cell>
          <cell r="F209">
            <v>0</v>
          </cell>
          <cell r="G209">
            <v>0</v>
          </cell>
          <cell r="H209">
            <v>0</v>
          </cell>
          <cell r="I209">
            <v>0</v>
          </cell>
        </row>
        <row r="210">
          <cell r="A210">
            <v>193</v>
          </cell>
          <cell r="B210">
            <v>57801</v>
          </cell>
          <cell r="C210">
            <v>0</v>
          </cell>
          <cell r="D210">
            <v>999524.58607696265</v>
          </cell>
          <cell r="E210">
            <v>0</v>
          </cell>
          <cell r="F210">
            <v>0</v>
          </cell>
          <cell r="G210">
            <v>0</v>
          </cell>
          <cell r="H210">
            <v>0</v>
          </cell>
          <cell r="I210">
            <v>0</v>
          </cell>
        </row>
        <row r="211">
          <cell r="A211">
            <v>194</v>
          </cell>
          <cell r="B211">
            <v>57892</v>
          </cell>
          <cell r="C211">
            <v>0</v>
          </cell>
          <cell r="D211">
            <v>999524.58607696265</v>
          </cell>
          <cell r="E211">
            <v>0</v>
          </cell>
          <cell r="F211">
            <v>0</v>
          </cell>
          <cell r="G211">
            <v>0</v>
          </cell>
          <cell r="H211">
            <v>0</v>
          </cell>
          <cell r="I211">
            <v>0</v>
          </cell>
        </row>
        <row r="212">
          <cell r="A212">
            <v>195</v>
          </cell>
          <cell r="B212">
            <v>57984</v>
          </cell>
          <cell r="C212">
            <v>0</v>
          </cell>
          <cell r="D212">
            <v>999524.58607696265</v>
          </cell>
          <cell r="E212">
            <v>0</v>
          </cell>
          <cell r="F212">
            <v>0</v>
          </cell>
          <cell r="G212">
            <v>0</v>
          </cell>
          <cell r="H212">
            <v>0</v>
          </cell>
          <cell r="I212">
            <v>0</v>
          </cell>
        </row>
        <row r="213">
          <cell r="A213">
            <v>196</v>
          </cell>
          <cell r="B213">
            <v>58076</v>
          </cell>
          <cell r="C213">
            <v>0</v>
          </cell>
          <cell r="D213">
            <v>999524.58607696265</v>
          </cell>
          <cell r="E213">
            <v>0</v>
          </cell>
          <cell r="F213">
            <v>0</v>
          </cell>
          <cell r="G213">
            <v>0</v>
          </cell>
          <cell r="H213">
            <v>0</v>
          </cell>
          <cell r="I213">
            <v>0</v>
          </cell>
        </row>
        <row r="214">
          <cell r="A214">
            <v>197</v>
          </cell>
          <cell r="B214">
            <v>58166</v>
          </cell>
          <cell r="C214">
            <v>0</v>
          </cell>
          <cell r="D214">
            <v>999524.58607696265</v>
          </cell>
          <cell r="E214">
            <v>0</v>
          </cell>
          <cell r="F214">
            <v>0</v>
          </cell>
          <cell r="G214">
            <v>0</v>
          </cell>
          <cell r="H214">
            <v>0</v>
          </cell>
          <cell r="I214">
            <v>0</v>
          </cell>
        </row>
        <row r="215">
          <cell r="A215">
            <v>198</v>
          </cell>
          <cell r="B215">
            <v>58257</v>
          </cell>
          <cell r="C215">
            <v>0</v>
          </cell>
          <cell r="D215">
            <v>999524.58607696265</v>
          </cell>
          <cell r="E215">
            <v>0</v>
          </cell>
          <cell r="F215">
            <v>0</v>
          </cell>
          <cell r="G215">
            <v>0</v>
          </cell>
          <cell r="H215">
            <v>0</v>
          </cell>
          <cell r="I215">
            <v>0</v>
          </cell>
        </row>
        <row r="216">
          <cell r="A216">
            <v>199</v>
          </cell>
          <cell r="B216">
            <v>58349</v>
          </cell>
          <cell r="C216">
            <v>0</v>
          </cell>
          <cell r="D216">
            <v>999524.58607696265</v>
          </cell>
          <cell r="E216">
            <v>0</v>
          </cell>
          <cell r="F216">
            <v>0</v>
          </cell>
          <cell r="G216">
            <v>0</v>
          </cell>
          <cell r="H216">
            <v>0</v>
          </cell>
          <cell r="I216">
            <v>0</v>
          </cell>
        </row>
        <row r="217">
          <cell r="A217">
            <v>200</v>
          </cell>
          <cell r="B217">
            <v>58441</v>
          </cell>
          <cell r="C217">
            <v>0</v>
          </cell>
          <cell r="D217">
            <v>999524.58607696265</v>
          </cell>
          <cell r="E217">
            <v>0</v>
          </cell>
          <cell r="F217">
            <v>0</v>
          </cell>
          <cell r="G217">
            <v>0</v>
          </cell>
          <cell r="H217">
            <v>0</v>
          </cell>
          <cell r="I217">
            <v>0</v>
          </cell>
        </row>
        <row r="218">
          <cell r="A218">
            <v>201</v>
          </cell>
          <cell r="B218">
            <v>58532</v>
          </cell>
          <cell r="C218">
            <v>0</v>
          </cell>
          <cell r="D218">
            <v>999524.58607696265</v>
          </cell>
          <cell r="E218">
            <v>0</v>
          </cell>
          <cell r="F218">
            <v>0</v>
          </cell>
          <cell r="G218">
            <v>0</v>
          </cell>
          <cell r="H218">
            <v>0</v>
          </cell>
          <cell r="I218">
            <v>0</v>
          </cell>
        </row>
        <row r="219">
          <cell r="A219">
            <v>202</v>
          </cell>
          <cell r="B219">
            <v>58623</v>
          </cell>
          <cell r="C219">
            <v>0</v>
          </cell>
          <cell r="D219">
            <v>999524.58607696265</v>
          </cell>
          <cell r="E219">
            <v>0</v>
          </cell>
          <cell r="F219">
            <v>0</v>
          </cell>
          <cell r="G219">
            <v>0</v>
          </cell>
          <cell r="H219">
            <v>0</v>
          </cell>
          <cell r="I219">
            <v>0</v>
          </cell>
        </row>
        <row r="220">
          <cell r="A220">
            <v>203</v>
          </cell>
          <cell r="B220">
            <v>58715</v>
          </cell>
          <cell r="C220">
            <v>0</v>
          </cell>
          <cell r="D220">
            <v>999524.58607696265</v>
          </cell>
          <cell r="E220">
            <v>0</v>
          </cell>
          <cell r="F220">
            <v>0</v>
          </cell>
          <cell r="G220">
            <v>0</v>
          </cell>
          <cell r="H220">
            <v>0</v>
          </cell>
          <cell r="I220">
            <v>0</v>
          </cell>
        </row>
        <row r="221">
          <cell r="A221">
            <v>204</v>
          </cell>
          <cell r="B221">
            <v>58807</v>
          </cell>
          <cell r="C221">
            <v>0</v>
          </cell>
          <cell r="D221">
            <v>999524.58607696265</v>
          </cell>
          <cell r="E221">
            <v>0</v>
          </cell>
          <cell r="F221">
            <v>0</v>
          </cell>
          <cell r="G221">
            <v>0</v>
          </cell>
          <cell r="H221">
            <v>0</v>
          </cell>
          <cell r="I221">
            <v>0</v>
          </cell>
        </row>
        <row r="222">
          <cell r="A222">
            <v>205</v>
          </cell>
          <cell r="B222">
            <v>58897</v>
          </cell>
          <cell r="C222">
            <v>0</v>
          </cell>
          <cell r="D222">
            <v>999524.58607696265</v>
          </cell>
          <cell r="E222">
            <v>0</v>
          </cell>
          <cell r="F222">
            <v>0</v>
          </cell>
          <cell r="G222">
            <v>0</v>
          </cell>
          <cell r="H222">
            <v>0</v>
          </cell>
          <cell r="I222">
            <v>0</v>
          </cell>
        </row>
        <row r="223">
          <cell r="A223">
            <v>206</v>
          </cell>
          <cell r="B223">
            <v>58988</v>
          </cell>
          <cell r="C223">
            <v>0</v>
          </cell>
          <cell r="D223">
            <v>999524.58607696265</v>
          </cell>
          <cell r="E223">
            <v>0</v>
          </cell>
          <cell r="F223">
            <v>0</v>
          </cell>
          <cell r="G223">
            <v>0</v>
          </cell>
          <cell r="H223">
            <v>0</v>
          </cell>
          <cell r="I223">
            <v>0</v>
          </cell>
        </row>
        <row r="224">
          <cell r="A224">
            <v>207</v>
          </cell>
          <cell r="B224">
            <v>59080</v>
          </cell>
          <cell r="C224">
            <v>0</v>
          </cell>
          <cell r="D224">
            <v>999524.58607696265</v>
          </cell>
          <cell r="E224">
            <v>0</v>
          </cell>
          <cell r="F224">
            <v>0</v>
          </cell>
          <cell r="G224">
            <v>0</v>
          </cell>
          <cell r="H224">
            <v>0</v>
          </cell>
          <cell r="I224">
            <v>0</v>
          </cell>
        </row>
        <row r="225">
          <cell r="A225">
            <v>208</v>
          </cell>
          <cell r="B225">
            <v>59172</v>
          </cell>
          <cell r="C225">
            <v>0</v>
          </cell>
          <cell r="D225">
            <v>999524.58607696265</v>
          </cell>
          <cell r="E225">
            <v>0</v>
          </cell>
          <cell r="F225">
            <v>0</v>
          </cell>
          <cell r="G225">
            <v>0</v>
          </cell>
          <cell r="H225">
            <v>0</v>
          </cell>
          <cell r="I225">
            <v>0</v>
          </cell>
        </row>
        <row r="226">
          <cell r="A226">
            <v>209</v>
          </cell>
          <cell r="B226">
            <v>59262</v>
          </cell>
          <cell r="C226">
            <v>0</v>
          </cell>
          <cell r="D226">
            <v>999524.58607696265</v>
          </cell>
          <cell r="E226">
            <v>0</v>
          </cell>
          <cell r="F226">
            <v>0</v>
          </cell>
          <cell r="G226">
            <v>0</v>
          </cell>
          <cell r="H226">
            <v>0</v>
          </cell>
          <cell r="I226">
            <v>0</v>
          </cell>
        </row>
        <row r="227">
          <cell r="A227">
            <v>210</v>
          </cell>
          <cell r="B227">
            <v>59353</v>
          </cell>
          <cell r="C227">
            <v>0</v>
          </cell>
          <cell r="D227">
            <v>999524.58607696265</v>
          </cell>
          <cell r="E227">
            <v>0</v>
          </cell>
          <cell r="F227">
            <v>0</v>
          </cell>
          <cell r="G227">
            <v>0</v>
          </cell>
          <cell r="H227">
            <v>0</v>
          </cell>
          <cell r="I227">
            <v>0</v>
          </cell>
        </row>
        <row r="228">
          <cell r="A228">
            <v>211</v>
          </cell>
          <cell r="B228">
            <v>59445</v>
          </cell>
          <cell r="C228">
            <v>0</v>
          </cell>
          <cell r="D228">
            <v>999524.58607696265</v>
          </cell>
          <cell r="E228">
            <v>0</v>
          </cell>
          <cell r="F228">
            <v>0</v>
          </cell>
          <cell r="G228">
            <v>0</v>
          </cell>
          <cell r="H228">
            <v>0</v>
          </cell>
          <cell r="I228">
            <v>0</v>
          </cell>
        </row>
        <row r="229">
          <cell r="A229">
            <v>212</v>
          </cell>
          <cell r="B229">
            <v>59537</v>
          </cell>
          <cell r="C229">
            <v>0</v>
          </cell>
          <cell r="D229">
            <v>999524.58607696265</v>
          </cell>
          <cell r="E229">
            <v>0</v>
          </cell>
          <cell r="F229">
            <v>0</v>
          </cell>
          <cell r="G229">
            <v>0</v>
          </cell>
          <cell r="H229">
            <v>0</v>
          </cell>
          <cell r="I229">
            <v>0</v>
          </cell>
        </row>
        <row r="230">
          <cell r="A230">
            <v>213</v>
          </cell>
          <cell r="B230">
            <v>59627</v>
          </cell>
          <cell r="C230">
            <v>0</v>
          </cell>
          <cell r="D230">
            <v>999524.58607696265</v>
          </cell>
          <cell r="E230">
            <v>0</v>
          </cell>
          <cell r="F230">
            <v>0</v>
          </cell>
          <cell r="G230">
            <v>0</v>
          </cell>
          <cell r="H230">
            <v>0</v>
          </cell>
          <cell r="I230">
            <v>0</v>
          </cell>
        </row>
        <row r="231">
          <cell r="A231">
            <v>214</v>
          </cell>
          <cell r="B231">
            <v>59718</v>
          </cell>
          <cell r="C231">
            <v>0</v>
          </cell>
          <cell r="D231">
            <v>999524.58607696265</v>
          </cell>
          <cell r="E231">
            <v>0</v>
          </cell>
          <cell r="F231">
            <v>0</v>
          </cell>
          <cell r="G231">
            <v>0</v>
          </cell>
          <cell r="H231">
            <v>0</v>
          </cell>
          <cell r="I231">
            <v>0</v>
          </cell>
        </row>
        <row r="232">
          <cell r="A232">
            <v>215</v>
          </cell>
          <cell r="B232">
            <v>59810</v>
          </cell>
          <cell r="C232">
            <v>0</v>
          </cell>
          <cell r="D232">
            <v>999524.58607696265</v>
          </cell>
          <cell r="E232">
            <v>0</v>
          </cell>
          <cell r="F232">
            <v>0</v>
          </cell>
          <cell r="G232">
            <v>0</v>
          </cell>
          <cell r="H232">
            <v>0</v>
          </cell>
          <cell r="I232">
            <v>0</v>
          </cell>
        </row>
        <row r="233">
          <cell r="A233">
            <v>216</v>
          </cell>
          <cell r="B233">
            <v>59902</v>
          </cell>
          <cell r="C233">
            <v>0</v>
          </cell>
          <cell r="D233">
            <v>999524.58607696265</v>
          </cell>
          <cell r="E233">
            <v>0</v>
          </cell>
          <cell r="F233">
            <v>0</v>
          </cell>
          <cell r="G233">
            <v>0</v>
          </cell>
          <cell r="H233">
            <v>0</v>
          </cell>
          <cell r="I233">
            <v>0</v>
          </cell>
        </row>
        <row r="234">
          <cell r="A234">
            <v>217</v>
          </cell>
          <cell r="B234">
            <v>59993</v>
          </cell>
          <cell r="C234">
            <v>0</v>
          </cell>
          <cell r="D234">
            <v>999524.58607696265</v>
          </cell>
          <cell r="E234">
            <v>0</v>
          </cell>
          <cell r="F234">
            <v>0</v>
          </cell>
          <cell r="G234">
            <v>0</v>
          </cell>
          <cell r="H234">
            <v>0</v>
          </cell>
          <cell r="I234">
            <v>0</v>
          </cell>
        </row>
        <row r="235">
          <cell r="A235">
            <v>218</v>
          </cell>
          <cell r="B235">
            <v>60084</v>
          </cell>
          <cell r="C235">
            <v>0</v>
          </cell>
          <cell r="D235">
            <v>999524.58607696265</v>
          </cell>
          <cell r="E235">
            <v>0</v>
          </cell>
          <cell r="F235">
            <v>0</v>
          </cell>
          <cell r="G235">
            <v>0</v>
          </cell>
          <cell r="H235">
            <v>0</v>
          </cell>
          <cell r="I235">
            <v>0</v>
          </cell>
        </row>
        <row r="236">
          <cell r="A236">
            <v>219</v>
          </cell>
          <cell r="B236">
            <v>60176</v>
          </cell>
          <cell r="C236">
            <v>0</v>
          </cell>
          <cell r="D236">
            <v>999524.58607696265</v>
          </cell>
          <cell r="E236">
            <v>0</v>
          </cell>
          <cell r="F236">
            <v>0</v>
          </cell>
          <cell r="G236">
            <v>0</v>
          </cell>
          <cell r="H236">
            <v>0</v>
          </cell>
          <cell r="I236">
            <v>0</v>
          </cell>
        </row>
        <row r="237">
          <cell r="A237">
            <v>220</v>
          </cell>
          <cell r="B237">
            <v>60268</v>
          </cell>
          <cell r="C237">
            <v>0</v>
          </cell>
          <cell r="D237">
            <v>999524.58607696265</v>
          </cell>
          <cell r="E237">
            <v>0</v>
          </cell>
          <cell r="F237">
            <v>0</v>
          </cell>
          <cell r="G237">
            <v>0</v>
          </cell>
          <cell r="H237">
            <v>0</v>
          </cell>
          <cell r="I237">
            <v>0</v>
          </cell>
        </row>
        <row r="238">
          <cell r="A238">
            <v>221</v>
          </cell>
          <cell r="B238">
            <v>60358</v>
          </cell>
          <cell r="C238">
            <v>0</v>
          </cell>
          <cell r="D238">
            <v>999524.58607696265</v>
          </cell>
          <cell r="E238">
            <v>0</v>
          </cell>
          <cell r="F238">
            <v>0</v>
          </cell>
          <cell r="G238">
            <v>0</v>
          </cell>
          <cell r="H238">
            <v>0</v>
          </cell>
          <cell r="I238">
            <v>0</v>
          </cell>
        </row>
        <row r="239">
          <cell r="A239">
            <v>222</v>
          </cell>
          <cell r="B239">
            <v>60449</v>
          </cell>
          <cell r="C239">
            <v>0</v>
          </cell>
          <cell r="D239">
            <v>999524.58607696265</v>
          </cell>
          <cell r="E239">
            <v>0</v>
          </cell>
          <cell r="F239">
            <v>0</v>
          </cell>
          <cell r="G239">
            <v>0</v>
          </cell>
          <cell r="H239">
            <v>0</v>
          </cell>
          <cell r="I239">
            <v>0</v>
          </cell>
        </row>
        <row r="240">
          <cell r="A240">
            <v>223</v>
          </cell>
          <cell r="B240">
            <v>60541</v>
          </cell>
          <cell r="C240">
            <v>0</v>
          </cell>
          <cell r="D240">
            <v>999524.58607696265</v>
          </cell>
          <cell r="E240">
            <v>0</v>
          </cell>
          <cell r="F240">
            <v>0</v>
          </cell>
          <cell r="G240">
            <v>0</v>
          </cell>
          <cell r="H240">
            <v>0</v>
          </cell>
          <cell r="I240">
            <v>0</v>
          </cell>
        </row>
        <row r="241">
          <cell r="A241">
            <v>224</v>
          </cell>
          <cell r="B241">
            <v>60633</v>
          </cell>
          <cell r="C241">
            <v>0</v>
          </cell>
          <cell r="D241">
            <v>999524.58607696265</v>
          </cell>
          <cell r="E241">
            <v>0</v>
          </cell>
          <cell r="F241">
            <v>0</v>
          </cell>
          <cell r="G241">
            <v>0</v>
          </cell>
          <cell r="H241">
            <v>0</v>
          </cell>
          <cell r="I241">
            <v>0</v>
          </cell>
        </row>
        <row r="242">
          <cell r="A242">
            <v>225</v>
          </cell>
          <cell r="B242">
            <v>60723</v>
          </cell>
          <cell r="C242">
            <v>0</v>
          </cell>
          <cell r="D242">
            <v>999524.58607696265</v>
          </cell>
          <cell r="E242">
            <v>0</v>
          </cell>
          <cell r="F242">
            <v>0</v>
          </cell>
          <cell r="G242">
            <v>0</v>
          </cell>
          <cell r="H242">
            <v>0</v>
          </cell>
          <cell r="I242">
            <v>0</v>
          </cell>
        </row>
        <row r="243">
          <cell r="A243">
            <v>226</v>
          </cell>
          <cell r="B243">
            <v>60814</v>
          </cell>
          <cell r="C243">
            <v>0</v>
          </cell>
          <cell r="D243">
            <v>999524.58607696265</v>
          </cell>
          <cell r="E243">
            <v>0</v>
          </cell>
          <cell r="F243">
            <v>0</v>
          </cell>
          <cell r="G243">
            <v>0</v>
          </cell>
          <cell r="H243">
            <v>0</v>
          </cell>
          <cell r="I243">
            <v>0</v>
          </cell>
        </row>
        <row r="244">
          <cell r="A244">
            <v>227</v>
          </cell>
          <cell r="B244">
            <v>60906</v>
          </cell>
          <cell r="C244">
            <v>0</v>
          </cell>
          <cell r="D244">
            <v>999524.58607696265</v>
          </cell>
          <cell r="E244">
            <v>0</v>
          </cell>
          <cell r="F244">
            <v>0</v>
          </cell>
          <cell r="G244">
            <v>0</v>
          </cell>
          <cell r="H244">
            <v>0</v>
          </cell>
          <cell r="I244">
            <v>0</v>
          </cell>
        </row>
        <row r="245">
          <cell r="A245">
            <v>228</v>
          </cell>
          <cell r="B245">
            <v>60998</v>
          </cell>
          <cell r="C245">
            <v>0</v>
          </cell>
          <cell r="D245">
            <v>999524.58607696265</v>
          </cell>
          <cell r="E245">
            <v>0</v>
          </cell>
          <cell r="F245">
            <v>0</v>
          </cell>
          <cell r="G245">
            <v>0</v>
          </cell>
          <cell r="H245">
            <v>0</v>
          </cell>
          <cell r="I245">
            <v>0</v>
          </cell>
        </row>
        <row r="246">
          <cell r="A246">
            <v>229</v>
          </cell>
          <cell r="B246">
            <v>61088</v>
          </cell>
          <cell r="C246">
            <v>0</v>
          </cell>
          <cell r="D246">
            <v>999524.58607696265</v>
          </cell>
          <cell r="E246">
            <v>0</v>
          </cell>
          <cell r="F246">
            <v>0</v>
          </cell>
          <cell r="G246">
            <v>0</v>
          </cell>
          <cell r="H246">
            <v>0</v>
          </cell>
          <cell r="I246">
            <v>0</v>
          </cell>
        </row>
        <row r="247">
          <cell r="A247">
            <v>230</v>
          </cell>
          <cell r="B247">
            <v>61179</v>
          </cell>
          <cell r="C247">
            <v>0</v>
          </cell>
          <cell r="D247">
            <v>999524.58607696265</v>
          </cell>
          <cell r="E247">
            <v>0</v>
          </cell>
          <cell r="F247">
            <v>0</v>
          </cell>
          <cell r="G247">
            <v>0</v>
          </cell>
          <cell r="H247">
            <v>0</v>
          </cell>
          <cell r="I247">
            <v>0</v>
          </cell>
        </row>
        <row r="248">
          <cell r="A248">
            <v>231</v>
          </cell>
          <cell r="B248">
            <v>61271</v>
          </cell>
          <cell r="C248">
            <v>0</v>
          </cell>
          <cell r="D248">
            <v>999524.58607696265</v>
          </cell>
          <cell r="E248">
            <v>0</v>
          </cell>
          <cell r="F248">
            <v>0</v>
          </cell>
          <cell r="G248">
            <v>0</v>
          </cell>
          <cell r="H248">
            <v>0</v>
          </cell>
          <cell r="I248">
            <v>0</v>
          </cell>
        </row>
        <row r="249">
          <cell r="A249">
            <v>232</v>
          </cell>
          <cell r="B249">
            <v>61363</v>
          </cell>
          <cell r="C249">
            <v>0</v>
          </cell>
          <cell r="D249">
            <v>999524.58607696265</v>
          </cell>
          <cell r="E249">
            <v>0</v>
          </cell>
          <cell r="F249">
            <v>0</v>
          </cell>
          <cell r="G249">
            <v>0</v>
          </cell>
          <cell r="H249">
            <v>0</v>
          </cell>
          <cell r="I249">
            <v>0</v>
          </cell>
        </row>
        <row r="250">
          <cell r="A250">
            <v>233</v>
          </cell>
          <cell r="B250">
            <v>61454</v>
          </cell>
          <cell r="C250">
            <v>0</v>
          </cell>
          <cell r="D250">
            <v>999524.58607696265</v>
          </cell>
          <cell r="E250">
            <v>0</v>
          </cell>
          <cell r="F250">
            <v>0</v>
          </cell>
          <cell r="G250">
            <v>0</v>
          </cell>
          <cell r="H250">
            <v>0</v>
          </cell>
          <cell r="I250">
            <v>0</v>
          </cell>
        </row>
        <row r="251">
          <cell r="A251">
            <v>234</v>
          </cell>
          <cell r="B251">
            <v>61545</v>
          </cell>
          <cell r="C251">
            <v>0</v>
          </cell>
          <cell r="D251">
            <v>999524.58607696265</v>
          </cell>
          <cell r="E251">
            <v>0</v>
          </cell>
          <cell r="F251">
            <v>0</v>
          </cell>
          <cell r="G251">
            <v>0</v>
          </cell>
          <cell r="H251">
            <v>0</v>
          </cell>
          <cell r="I251">
            <v>0</v>
          </cell>
        </row>
        <row r="252">
          <cell r="A252">
            <v>235</v>
          </cell>
          <cell r="B252">
            <v>61637</v>
          </cell>
          <cell r="C252">
            <v>0</v>
          </cell>
          <cell r="D252">
            <v>999524.58607696265</v>
          </cell>
          <cell r="E252">
            <v>0</v>
          </cell>
          <cell r="F252">
            <v>0</v>
          </cell>
          <cell r="G252">
            <v>0</v>
          </cell>
          <cell r="H252">
            <v>0</v>
          </cell>
          <cell r="I252">
            <v>0</v>
          </cell>
        </row>
        <row r="253">
          <cell r="A253">
            <v>236</v>
          </cell>
          <cell r="B253">
            <v>61729</v>
          </cell>
          <cell r="C253">
            <v>0</v>
          </cell>
          <cell r="D253">
            <v>999524.58607696265</v>
          </cell>
          <cell r="E253">
            <v>0</v>
          </cell>
          <cell r="F253">
            <v>0</v>
          </cell>
          <cell r="G253">
            <v>0</v>
          </cell>
          <cell r="H253">
            <v>0</v>
          </cell>
          <cell r="I253">
            <v>0</v>
          </cell>
        </row>
        <row r="254">
          <cell r="A254">
            <v>237</v>
          </cell>
          <cell r="B254">
            <v>61819</v>
          </cell>
          <cell r="C254">
            <v>0</v>
          </cell>
          <cell r="D254">
            <v>999524.58607696265</v>
          </cell>
          <cell r="E254">
            <v>0</v>
          </cell>
          <cell r="F254">
            <v>0</v>
          </cell>
          <cell r="G254">
            <v>0</v>
          </cell>
          <cell r="H254">
            <v>0</v>
          </cell>
          <cell r="I254">
            <v>0</v>
          </cell>
        </row>
        <row r="255">
          <cell r="A255">
            <v>238</v>
          </cell>
          <cell r="B255">
            <v>61910</v>
          </cell>
          <cell r="C255">
            <v>0</v>
          </cell>
          <cell r="D255">
            <v>999524.58607696265</v>
          </cell>
          <cell r="E255">
            <v>0</v>
          </cell>
          <cell r="F255">
            <v>0</v>
          </cell>
          <cell r="G255">
            <v>0</v>
          </cell>
          <cell r="H255">
            <v>0</v>
          </cell>
          <cell r="I255">
            <v>0</v>
          </cell>
        </row>
        <row r="256">
          <cell r="A256">
            <v>239</v>
          </cell>
          <cell r="B256">
            <v>62002</v>
          </cell>
          <cell r="C256">
            <v>0</v>
          </cell>
          <cell r="D256">
            <v>999524.58607696265</v>
          </cell>
          <cell r="E256">
            <v>0</v>
          </cell>
          <cell r="F256">
            <v>0</v>
          </cell>
          <cell r="G256">
            <v>0</v>
          </cell>
          <cell r="H256">
            <v>0</v>
          </cell>
          <cell r="I256">
            <v>0</v>
          </cell>
        </row>
        <row r="257">
          <cell r="A257">
            <v>240</v>
          </cell>
          <cell r="B257">
            <v>62094</v>
          </cell>
          <cell r="C257">
            <v>0</v>
          </cell>
          <cell r="D257">
            <v>999524.58607696265</v>
          </cell>
          <cell r="E257">
            <v>0</v>
          </cell>
          <cell r="F257">
            <v>0</v>
          </cell>
          <cell r="G257">
            <v>0</v>
          </cell>
          <cell r="H257">
            <v>0</v>
          </cell>
          <cell r="I257">
            <v>0</v>
          </cell>
        </row>
        <row r="258">
          <cell r="A258">
            <v>241</v>
          </cell>
          <cell r="B258">
            <v>62184</v>
          </cell>
          <cell r="C258">
            <v>0</v>
          </cell>
          <cell r="D258">
            <v>999524.58607696265</v>
          </cell>
          <cell r="E258">
            <v>0</v>
          </cell>
          <cell r="F258">
            <v>0</v>
          </cell>
          <cell r="G258">
            <v>0</v>
          </cell>
          <cell r="H258">
            <v>0</v>
          </cell>
          <cell r="I258">
            <v>0</v>
          </cell>
        </row>
        <row r="259">
          <cell r="A259">
            <v>242</v>
          </cell>
          <cell r="B259">
            <v>62275</v>
          </cell>
          <cell r="C259">
            <v>0</v>
          </cell>
          <cell r="D259">
            <v>999524.58607696265</v>
          </cell>
          <cell r="E259">
            <v>0</v>
          </cell>
          <cell r="F259">
            <v>0</v>
          </cell>
          <cell r="G259">
            <v>0</v>
          </cell>
          <cell r="H259">
            <v>0</v>
          </cell>
          <cell r="I259">
            <v>0</v>
          </cell>
        </row>
        <row r="260">
          <cell r="A260">
            <v>243</v>
          </cell>
          <cell r="B260">
            <v>62367</v>
          </cell>
          <cell r="C260">
            <v>0</v>
          </cell>
          <cell r="D260">
            <v>999524.58607696265</v>
          </cell>
          <cell r="E260">
            <v>0</v>
          </cell>
          <cell r="F260">
            <v>0</v>
          </cell>
          <cell r="G260">
            <v>0</v>
          </cell>
          <cell r="H260">
            <v>0</v>
          </cell>
          <cell r="I260">
            <v>0</v>
          </cell>
        </row>
        <row r="261">
          <cell r="A261">
            <v>244</v>
          </cell>
          <cell r="B261">
            <v>62459</v>
          </cell>
          <cell r="C261">
            <v>0</v>
          </cell>
          <cell r="D261">
            <v>999524.58607696265</v>
          </cell>
          <cell r="E261">
            <v>0</v>
          </cell>
          <cell r="F261">
            <v>0</v>
          </cell>
          <cell r="G261">
            <v>0</v>
          </cell>
          <cell r="H261">
            <v>0</v>
          </cell>
          <cell r="I261">
            <v>0</v>
          </cell>
        </row>
        <row r="262">
          <cell r="A262">
            <v>245</v>
          </cell>
          <cell r="B262">
            <v>62549</v>
          </cell>
          <cell r="C262">
            <v>0</v>
          </cell>
          <cell r="D262">
            <v>999524.58607696265</v>
          </cell>
          <cell r="E262">
            <v>0</v>
          </cell>
          <cell r="F262">
            <v>0</v>
          </cell>
          <cell r="G262">
            <v>0</v>
          </cell>
          <cell r="H262">
            <v>0</v>
          </cell>
          <cell r="I262">
            <v>0</v>
          </cell>
        </row>
        <row r="263">
          <cell r="A263">
            <v>246</v>
          </cell>
          <cell r="B263">
            <v>62640</v>
          </cell>
          <cell r="C263">
            <v>0</v>
          </cell>
          <cell r="D263">
            <v>999524.58607696265</v>
          </cell>
          <cell r="E263">
            <v>0</v>
          </cell>
          <cell r="F263">
            <v>0</v>
          </cell>
          <cell r="G263">
            <v>0</v>
          </cell>
          <cell r="H263">
            <v>0</v>
          </cell>
          <cell r="I263">
            <v>0</v>
          </cell>
        </row>
        <row r="264">
          <cell r="A264">
            <v>247</v>
          </cell>
          <cell r="B264">
            <v>62732</v>
          </cell>
          <cell r="C264">
            <v>0</v>
          </cell>
          <cell r="D264">
            <v>999524.58607696265</v>
          </cell>
          <cell r="E264">
            <v>0</v>
          </cell>
          <cell r="F264">
            <v>0</v>
          </cell>
          <cell r="G264">
            <v>0</v>
          </cell>
          <cell r="H264">
            <v>0</v>
          </cell>
          <cell r="I264">
            <v>0</v>
          </cell>
        </row>
        <row r="265">
          <cell r="A265">
            <v>248</v>
          </cell>
          <cell r="B265">
            <v>62824</v>
          </cell>
          <cell r="C265">
            <v>0</v>
          </cell>
          <cell r="D265">
            <v>999524.58607696265</v>
          </cell>
          <cell r="E265">
            <v>0</v>
          </cell>
          <cell r="F265">
            <v>0</v>
          </cell>
          <cell r="G265">
            <v>0</v>
          </cell>
          <cell r="H265">
            <v>0</v>
          </cell>
          <cell r="I265">
            <v>0</v>
          </cell>
        </row>
        <row r="266">
          <cell r="A266">
            <v>249</v>
          </cell>
          <cell r="B266">
            <v>62915</v>
          </cell>
          <cell r="C266">
            <v>0</v>
          </cell>
          <cell r="D266">
            <v>999524.58607696265</v>
          </cell>
          <cell r="E266">
            <v>0</v>
          </cell>
          <cell r="F266">
            <v>0</v>
          </cell>
          <cell r="G266">
            <v>0</v>
          </cell>
          <cell r="H266">
            <v>0</v>
          </cell>
          <cell r="I266">
            <v>0</v>
          </cell>
        </row>
        <row r="267">
          <cell r="A267">
            <v>250</v>
          </cell>
          <cell r="B267">
            <v>63006</v>
          </cell>
          <cell r="C267">
            <v>0</v>
          </cell>
          <cell r="D267">
            <v>999524.58607696265</v>
          </cell>
          <cell r="E267">
            <v>0</v>
          </cell>
          <cell r="F267">
            <v>0</v>
          </cell>
          <cell r="G267">
            <v>0</v>
          </cell>
          <cell r="H267">
            <v>0</v>
          </cell>
          <cell r="I267">
            <v>0</v>
          </cell>
        </row>
        <row r="268">
          <cell r="A268">
            <v>251</v>
          </cell>
          <cell r="B268">
            <v>63098</v>
          </cell>
          <cell r="C268">
            <v>0</v>
          </cell>
          <cell r="D268">
            <v>999524.58607696265</v>
          </cell>
          <cell r="E268">
            <v>0</v>
          </cell>
          <cell r="F268">
            <v>0</v>
          </cell>
          <cell r="G268">
            <v>0</v>
          </cell>
          <cell r="H268">
            <v>0</v>
          </cell>
          <cell r="I268">
            <v>0</v>
          </cell>
        </row>
        <row r="269">
          <cell r="A269">
            <v>252</v>
          </cell>
          <cell r="B269">
            <v>63190</v>
          </cell>
          <cell r="C269">
            <v>0</v>
          </cell>
          <cell r="D269">
            <v>999524.58607696265</v>
          </cell>
          <cell r="E269">
            <v>0</v>
          </cell>
          <cell r="F269">
            <v>0</v>
          </cell>
          <cell r="G269">
            <v>0</v>
          </cell>
          <cell r="H269">
            <v>0</v>
          </cell>
          <cell r="I269">
            <v>0</v>
          </cell>
        </row>
        <row r="270">
          <cell r="A270">
            <v>253</v>
          </cell>
          <cell r="B270">
            <v>63280</v>
          </cell>
          <cell r="C270">
            <v>0</v>
          </cell>
          <cell r="D270">
            <v>999524.58607696265</v>
          </cell>
          <cell r="E270">
            <v>0</v>
          </cell>
          <cell r="F270">
            <v>0</v>
          </cell>
          <cell r="G270">
            <v>0</v>
          </cell>
          <cell r="H270">
            <v>0</v>
          </cell>
          <cell r="I270">
            <v>0</v>
          </cell>
        </row>
        <row r="271">
          <cell r="A271">
            <v>254</v>
          </cell>
          <cell r="B271">
            <v>63371</v>
          </cell>
          <cell r="C271">
            <v>0</v>
          </cell>
          <cell r="D271">
            <v>999524.58607696265</v>
          </cell>
          <cell r="E271">
            <v>0</v>
          </cell>
          <cell r="F271">
            <v>0</v>
          </cell>
          <cell r="G271">
            <v>0</v>
          </cell>
          <cell r="H271">
            <v>0</v>
          </cell>
          <cell r="I271">
            <v>0</v>
          </cell>
        </row>
        <row r="272">
          <cell r="A272">
            <v>255</v>
          </cell>
          <cell r="B272">
            <v>63463</v>
          </cell>
          <cell r="C272">
            <v>0</v>
          </cell>
          <cell r="D272">
            <v>999524.58607696265</v>
          </cell>
          <cell r="E272">
            <v>0</v>
          </cell>
          <cell r="F272">
            <v>0</v>
          </cell>
          <cell r="G272">
            <v>0</v>
          </cell>
          <cell r="H272">
            <v>0</v>
          </cell>
          <cell r="I272">
            <v>0</v>
          </cell>
        </row>
        <row r="273">
          <cell r="A273">
            <v>256</v>
          </cell>
          <cell r="B273">
            <v>63555</v>
          </cell>
          <cell r="C273">
            <v>0</v>
          </cell>
          <cell r="D273">
            <v>999524.58607696265</v>
          </cell>
          <cell r="E273">
            <v>0</v>
          </cell>
          <cell r="F273">
            <v>0</v>
          </cell>
          <cell r="G273">
            <v>0</v>
          </cell>
          <cell r="H273">
            <v>0</v>
          </cell>
          <cell r="I273">
            <v>0</v>
          </cell>
        </row>
        <row r="274">
          <cell r="A274">
            <v>257</v>
          </cell>
          <cell r="B274">
            <v>63645</v>
          </cell>
          <cell r="C274">
            <v>0</v>
          </cell>
          <cell r="D274">
            <v>999524.58607696265</v>
          </cell>
          <cell r="E274">
            <v>0</v>
          </cell>
          <cell r="F274">
            <v>0</v>
          </cell>
          <cell r="G274">
            <v>0</v>
          </cell>
          <cell r="H274">
            <v>0</v>
          </cell>
          <cell r="I274">
            <v>0</v>
          </cell>
        </row>
        <row r="275">
          <cell r="A275">
            <v>258</v>
          </cell>
          <cell r="B275">
            <v>63736</v>
          </cell>
          <cell r="C275">
            <v>0</v>
          </cell>
          <cell r="D275">
            <v>999524.58607696265</v>
          </cell>
          <cell r="E275">
            <v>0</v>
          </cell>
          <cell r="F275">
            <v>0</v>
          </cell>
          <cell r="G275">
            <v>0</v>
          </cell>
          <cell r="H275">
            <v>0</v>
          </cell>
          <cell r="I275">
            <v>0</v>
          </cell>
        </row>
        <row r="276">
          <cell r="A276">
            <v>259</v>
          </cell>
          <cell r="B276">
            <v>63828</v>
          </cell>
          <cell r="C276">
            <v>0</v>
          </cell>
          <cell r="D276">
            <v>999524.58607696265</v>
          </cell>
          <cell r="E276">
            <v>0</v>
          </cell>
          <cell r="F276">
            <v>0</v>
          </cell>
          <cell r="G276">
            <v>0</v>
          </cell>
          <cell r="H276">
            <v>0</v>
          </cell>
          <cell r="I276">
            <v>0</v>
          </cell>
        </row>
        <row r="277">
          <cell r="A277">
            <v>260</v>
          </cell>
          <cell r="B277">
            <v>63920</v>
          </cell>
          <cell r="C277">
            <v>0</v>
          </cell>
          <cell r="D277">
            <v>999524.58607696265</v>
          </cell>
          <cell r="E277">
            <v>0</v>
          </cell>
          <cell r="F277">
            <v>0</v>
          </cell>
          <cell r="G277">
            <v>0</v>
          </cell>
          <cell r="H277">
            <v>0</v>
          </cell>
          <cell r="I277">
            <v>0</v>
          </cell>
        </row>
        <row r="278">
          <cell r="A278">
            <v>261</v>
          </cell>
          <cell r="B278">
            <v>64010</v>
          </cell>
          <cell r="C278">
            <v>0</v>
          </cell>
          <cell r="D278">
            <v>999524.58607696265</v>
          </cell>
          <cell r="E278">
            <v>0</v>
          </cell>
          <cell r="F278">
            <v>0</v>
          </cell>
          <cell r="G278">
            <v>0</v>
          </cell>
          <cell r="H278">
            <v>0</v>
          </cell>
          <cell r="I278">
            <v>0</v>
          </cell>
        </row>
        <row r="279">
          <cell r="A279">
            <v>262</v>
          </cell>
          <cell r="B279">
            <v>64101</v>
          </cell>
          <cell r="C279">
            <v>0</v>
          </cell>
          <cell r="D279">
            <v>999524.58607696265</v>
          </cell>
          <cell r="E279">
            <v>0</v>
          </cell>
          <cell r="F279">
            <v>0</v>
          </cell>
          <cell r="G279">
            <v>0</v>
          </cell>
          <cell r="H279">
            <v>0</v>
          </cell>
          <cell r="I279">
            <v>0</v>
          </cell>
        </row>
        <row r="280">
          <cell r="A280">
            <v>263</v>
          </cell>
          <cell r="B280">
            <v>64193</v>
          </cell>
          <cell r="C280">
            <v>0</v>
          </cell>
          <cell r="D280">
            <v>999524.58607696265</v>
          </cell>
          <cell r="E280">
            <v>0</v>
          </cell>
          <cell r="F280">
            <v>0</v>
          </cell>
          <cell r="G280">
            <v>0</v>
          </cell>
          <cell r="H280">
            <v>0</v>
          </cell>
          <cell r="I280">
            <v>0</v>
          </cell>
        </row>
        <row r="281">
          <cell r="A281">
            <v>264</v>
          </cell>
          <cell r="B281">
            <v>64285</v>
          </cell>
          <cell r="C281">
            <v>0</v>
          </cell>
          <cell r="D281">
            <v>999524.58607696265</v>
          </cell>
          <cell r="E281">
            <v>0</v>
          </cell>
          <cell r="F281">
            <v>0</v>
          </cell>
          <cell r="G281">
            <v>0</v>
          </cell>
          <cell r="H281">
            <v>0</v>
          </cell>
          <cell r="I281">
            <v>0</v>
          </cell>
        </row>
        <row r="282">
          <cell r="A282">
            <v>265</v>
          </cell>
          <cell r="B282">
            <v>64376</v>
          </cell>
          <cell r="C282">
            <v>0</v>
          </cell>
          <cell r="D282">
            <v>999524.58607696265</v>
          </cell>
          <cell r="E282">
            <v>0</v>
          </cell>
          <cell r="F282">
            <v>0</v>
          </cell>
          <cell r="G282">
            <v>0</v>
          </cell>
          <cell r="H282">
            <v>0</v>
          </cell>
          <cell r="I282">
            <v>0</v>
          </cell>
        </row>
        <row r="283">
          <cell r="A283">
            <v>266</v>
          </cell>
          <cell r="B283">
            <v>64467</v>
          </cell>
          <cell r="C283">
            <v>0</v>
          </cell>
          <cell r="D283">
            <v>999524.58607696265</v>
          </cell>
          <cell r="E283">
            <v>0</v>
          </cell>
          <cell r="F283">
            <v>0</v>
          </cell>
          <cell r="G283">
            <v>0</v>
          </cell>
          <cell r="H283">
            <v>0</v>
          </cell>
          <cell r="I283">
            <v>0</v>
          </cell>
        </row>
        <row r="284">
          <cell r="A284">
            <v>267</v>
          </cell>
          <cell r="B284">
            <v>64559</v>
          </cell>
          <cell r="C284">
            <v>0</v>
          </cell>
          <cell r="D284">
            <v>999524.58607696265</v>
          </cell>
          <cell r="E284">
            <v>0</v>
          </cell>
          <cell r="F284">
            <v>0</v>
          </cell>
          <cell r="G284">
            <v>0</v>
          </cell>
          <cell r="H284">
            <v>0</v>
          </cell>
          <cell r="I284">
            <v>0</v>
          </cell>
        </row>
        <row r="285">
          <cell r="A285">
            <v>268</v>
          </cell>
          <cell r="B285">
            <v>64651</v>
          </cell>
          <cell r="C285">
            <v>0</v>
          </cell>
          <cell r="D285">
            <v>999524.58607696265</v>
          </cell>
          <cell r="E285">
            <v>0</v>
          </cell>
          <cell r="F285">
            <v>0</v>
          </cell>
          <cell r="G285">
            <v>0</v>
          </cell>
          <cell r="H285">
            <v>0</v>
          </cell>
          <cell r="I285">
            <v>0</v>
          </cell>
        </row>
        <row r="286">
          <cell r="A286">
            <v>269</v>
          </cell>
          <cell r="B286">
            <v>64741</v>
          </cell>
          <cell r="C286">
            <v>0</v>
          </cell>
          <cell r="D286">
            <v>999524.58607696265</v>
          </cell>
          <cell r="E286">
            <v>0</v>
          </cell>
          <cell r="F286">
            <v>0</v>
          </cell>
          <cell r="G286">
            <v>0</v>
          </cell>
          <cell r="H286">
            <v>0</v>
          </cell>
          <cell r="I286">
            <v>0</v>
          </cell>
        </row>
        <row r="287">
          <cell r="A287">
            <v>270</v>
          </cell>
          <cell r="B287">
            <v>64832</v>
          </cell>
          <cell r="C287">
            <v>0</v>
          </cell>
          <cell r="D287">
            <v>999524.58607696265</v>
          </cell>
          <cell r="E287">
            <v>0</v>
          </cell>
          <cell r="F287">
            <v>0</v>
          </cell>
          <cell r="G287">
            <v>0</v>
          </cell>
          <cell r="H287">
            <v>0</v>
          </cell>
          <cell r="I287">
            <v>0</v>
          </cell>
        </row>
        <row r="288">
          <cell r="A288">
            <v>271</v>
          </cell>
          <cell r="B288">
            <v>64924</v>
          </cell>
          <cell r="C288">
            <v>0</v>
          </cell>
          <cell r="D288">
            <v>999524.58607696265</v>
          </cell>
          <cell r="E288">
            <v>0</v>
          </cell>
          <cell r="F288">
            <v>0</v>
          </cell>
          <cell r="G288">
            <v>0</v>
          </cell>
          <cell r="H288">
            <v>0</v>
          </cell>
          <cell r="I288">
            <v>0</v>
          </cell>
        </row>
        <row r="289">
          <cell r="A289">
            <v>272</v>
          </cell>
          <cell r="B289">
            <v>65016</v>
          </cell>
          <cell r="C289">
            <v>0</v>
          </cell>
          <cell r="D289">
            <v>999524.58607696265</v>
          </cell>
          <cell r="E289">
            <v>0</v>
          </cell>
          <cell r="F289">
            <v>0</v>
          </cell>
          <cell r="G289">
            <v>0</v>
          </cell>
          <cell r="H289">
            <v>0</v>
          </cell>
          <cell r="I289">
            <v>0</v>
          </cell>
        </row>
        <row r="290">
          <cell r="A290">
            <v>273</v>
          </cell>
          <cell r="B290">
            <v>65106</v>
          </cell>
          <cell r="C290">
            <v>0</v>
          </cell>
          <cell r="D290">
            <v>999524.58607696265</v>
          </cell>
          <cell r="E290">
            <v>0</v>
          </cell>
          <cell r="F290">
            <v>0</v>
          </cell>
          <cell r="G290">
            <v>0</v>
          </cell>
          <cell r="H290">
            <v>0</v>
          </cell>
          <cell r="I290">
            <v>0</v>
          </cell>
        </row>
        <row r="291">
          <cell r="A291">
            <v>274</v>
          </cell>
          <cell r="B291">
            <v>65197</v>
          </cell>
          <cell r="C291">
            <v>0</v>
          </cell>
          <cell r="D291">
            <v>999524.58607696265</v>
          </cell>
          <cell r="E291">
            <v>0</v>
          </cell>
          <cell r="F291">
            <v>0</v>
          </cell>
          <cell r="G291">
            <v>0</v>
          </cell>
          <cell r="H291">
            <v>0</v>
          </cell>
          <cell r="I291">
            <v>0</v>
          </cell>
        </row>
        <row r="292">
          <cell r="A292">
            <v>275</v>
          </cell>
          <cell r="B292">
            <v>65289</v>
          </cell>
          <cell r="C292">
            <v>0</v>
          </cell>
          <cell r="D292">
            <v>999524.58607696265</v>
          </cell>
          <cell r="E292">
            <v>0</v>
          </cell>
          <cell r="F292">
            <v>0</v>
          </cell>
          <cell r="G292">
            <v>0</v>
          </cell>
          <cell r="H292">
            <v>0</v>
          </cell>
          <cell r="I292">
            <v>0</v>
          </cell>
        </row>
        <row r="293">
          <cell r="A293">
            <v>276</v>
          </cell>
          <cell r="B293">
            <v>65381</v>
          </cell>
          <cell r="C293">
            <v>0</v>
          </cell>
          <cell r="D293">
            <v>999524.58607696265</v>
          </cell>
          <cell r="E293">
            <v>0</v>
          </cell>
          <cell r="F293">
            <v>0</v>
          </cell>
          <cell r="G293">
            <v>0</v>
          </cell>
          <cell r="H293">
            <v>0</v>
          </cell>
          <cell r="I293">
            <v>0</v>
          </cell>
        </row>
        <row r="294">
          <cell r="A294">
            <v>277</v>
          </cell>
          <cell r="B294">
            <v>65471</v>
          </cell>
          <cell r="C294">
            <v>0</v>
          </cell>
          <cell r="D294">
            <v>999524.58607696265</v>
          </cell>
          <cell r="E294">
            <v>0</v>
          </cell>
          <cell r="F294">
            <v>0</v>
          </cell>
          <cell r="G294">
            <v>0</v>
          </cell>
          <cell r="H294">
            <v>0</v>
          </cell>
          <cell r="I294">
            <v>0</v>
          </cell>
        </row>
        <row r="295">
          <cell r="A295">
            <v>278</v>
          </cell>
          <cell r="B295">
            <v>65562</v>
          </cell>
          <cell r="C295">
            <v>0</v>
          </cell>
          <cell r="D295">
            <v>999524.58607696265</v>
          </cell>
          <cell r="E295">
            <v>0</v>
          </cell>
          <cell r="F295">
            <v>0</v>
          </cell>
          <cell r="G295">
            <v>0</v>
          </cell>
          <cell r="H295">
            <v>0</v>
          </cell>
          <cell r="I295">
            <v>0</v>
          </cell>
        </row>
        <row r="296">
          <cell r="A296">
            <v>279</v>
          </cell>
          <cell r="B296">
            <v>65654</v>
          </cell>
          <cell r="C296">
            <v>0</v>
          </cell>
          <cell r="D296">
            <v>999524.58607696265</v>
          </cell>
          <cell r="E296">
            <v>0</v>
          </cell>
          <cell r="F296">
            <v>0</v>
          </cell>
          <cell r="G296">
            <v>0</v>
          </cell>
          <cell r="H296">
            <v>0</v>
          </cell>
          <cell r="I296">
            <v>0</v>
          </cell>
        </row>
        <row r="297">
          <cell r="A297">
            <v>280</v>
          </cell>
          <cell r="B297">
            <v>65746</v>
          </cell>
          <cell r="C297">
            <v>0</v>
          </cell>
          <cell r="D297">
            <v>999524.58607696265</v>
          </cell>
          <cell r="E297">
            <v>0</v>
          </cell>
          <cell r="F297">
            <v>0</v>
          </cell>
          <cell r="G297">
            <v>0</v>
          </cell>
          <cell r="H297">
            <v>0</v>
          </cell>
          <cell r="I297">
            <v>0</v>
          </cell>
        </row>
        <row r="298">
          <cell r="A298">
            <v>281</v>
          </cell>
          <cell r="B298">
            <v>65837</v>
          </cell>
          <cell r="C298">
            <v>0</v>
          </cell>
          <cell r="D298">
            <v>999524.58607696265</v>
          </cell>
          <cell r="E298">
            <v>0</v>
          </cell>
          <cell r="F298">
            <v>0</v>
          </cell>
          <cell r="G298">
            <v>0</v>
          </cell>
          <cell r="H298">
            <v>0</v>
          </cell>
          <cell r="I298">
            <v>0</v>
          </cell>
        </row>
        <row r="299">
          <cell r="A299">
            <v>282</v>
          </cell>
          <cell r="B299">
            <v>65928</v>
          </cell>
          <cell r="C299">
            <v>0</v>
          </cell>
          <cell r="D299">
            <v>999524.58607696265</v>
          </cell>
          <cell r="E299">
            <v>0</v>
          </cell>
          <cell r="F299">
            <v>0</v>
          </cell>
          <cell r="G299">
            <v>0</v>
          </cell>
          <cell r="H299">
            <v>0</v>
          </cell>
          <cell r="I299">
            <v>0</v>
          </cell>
        </row>
        <row r="300">
          <cell r="A300">
            <v>283</v>
          </cell>
          <cell r="B300">
            <v>66020</v>
          </cell>
          <cell r="C300">
            <v>0</v>
          </cell>
          <cell r="D300">
            <v>999524.58607696265</v>
          </cell>
          <cell r="E300">
            <v>0</v>
          </cell>
          <cell r="F300">
            <v>0</v>
          </cell>
          <cell r="G300">
            <v>0</v>
          </cell>
          <cell r="H300">
            <v>0</v>
          </cell>
          <cell r="I300">
            <v>0</v>
          </cell>
        </row>
        <row r="301">
          <cell r="A301">
            <v>284</v>
          </cell>
          <cell r="B301">
            <v>66112</v>
          </cell>
          <cell r="C301">
            <v>0</v>
          </cell>
          <cell r="D301">
            <v>999524.58607696265</v>
          </cell>
          <cell r="E301">
            <v>0</v>
          </cell>
          <cell r="F301">
            <v>0</v>
          </cell>
          <cell r="G301">
            <v>0</v>
          </cell>
          <cell r="H301">
            <v>0</v>
          </cell>
          <cell r="I301">
            <v>0</v>
          </cell>
        </row>
        <row r="302">
          <cell r="A302">
            <v>285</v>
          </cell>
          <cell r="B302">
            <v>66202</v>
          </cell>
          <cell r="C302">
            <v>0</v>
          </cell>
          <cell r="D302">
            <v>999524.58607696265</v>
          </cell>
          <cell r="E302">
            <v>0</v>
          </cell>
          <cell r="F302">
            <v>0</v>
          </cell>
          <cell r="G302">
            <v>0</v>
          </cell>
          <cell r="H302">
            <v>0</v>
          </cell>
          <cell r="I302">
            <v>0</v>
          </cell>
        </row>
        <row r="303">
          <cell r="A303">
            <v>286</v>
          </cell>
          <cell r="B303">
            <v>66293</v>
          </cell>
          <cell r="C303">
            <v>0</v>
          </cell>
          <cell r="D303">
            <v>999524.58607696265</v>
          </cell>
          <cell r="E303">
            <v>0</v>
          </cell>
          <cell r="F303">
            <v>0</v>
          </cell>
          <cell r="G303">
            <v>0</v>
          </cell>
          <cell r="H303">
            <v>0</v>
          </cell>
          <cell r="I303">
            <v>0</v>
          </cell>
        </row>
        <row r="304">
          <cell r="A304">
            <v>287</v>
          </cell>
          <cell r="B304">
            <v>66385</v>
          </cell>
          <cell r="C304">
            <v>0</v>
          </cell>
          <cell r="D304">
            <v>999524.58607696265</v>
          </cell>
          <cell r="E304">
            <v>0</v>
          </cell>
          <cell r="F304">
            <v>0</v>
          </cell>
          <cell r="G304">
            <v>0</v>
          </cell>
          <cell r="H304">
            <v>0</v>
          </cell>
          <cell r="I304">
            <v>0</v>
          </cell>
        </row>
        <row r="305">
          <cell r="A305">
            <v>288</v>
          </cell>
          <cell r="B305">
            <v>66477</v>
          </cell>
          <cell r="C305">
            <v>0</v>
          </cell>
          <cell r="D305">
            <v>999524.58607696265</v>
          </cell>
          <cell r="E305">
            <v>0</v>
          </cell>
          <cell r="F305">
            <v>0</v>
          </cell>
          <cell r="G305">
            <v>0</v>
          </cell>
          <cell r="H305">
            <v>0</v>
          </cell>
          <cell r="I305">
            <v>0</v>
          </cell>
        </row>
        <row r="306">
          <cell r="A306">
            <v>289</v>
          </cell>
          <cell r="B306">
            <v>66567</v>
          </cell>
          <cell r="C306">
            <v>0</v>
          </cell>
          <cell r="D306">
            <v>999524.58607696265</v>
          </cell>
          <cell r="E306">
            <v>0</v>
          </cell>
          <cell r="F306">
            <v>0</v>
          </cell>
          <cell r="G306">
            <v>0</v>
          </cell>
          <cell r="H306">
            <v>0</v>
          </cell>
          <cell r="I306">
            <v>0</v>
          </cell>
        </row>
        <row r="307">
          <cell r="A307">
            <v>290</v>
          </cell>
          <cell r="B307">
            <v>66658</v>
          </cell>
          <cell r="C307">
            <v>0</v>
          </cell>
          <cell r="D307">
            <v>999524.58607696265</v>
          </cell>
          <cell r="E307">
            <v>0</v>
          </cell>
          <cell r="F307">
            <v>0</v>
          </cell>
          <cell r="G307">
            <v>0</v>
          </cell>
          <cell r="H307">
            <v>0</v>
          </cell>
          <cell r="I307">
            <v>0</v>
          </cell>
        </row>
        <row r="308">
          <cell r="A308">
            <v>291</v>
          </cell>
          <cell r="B308">
            <v>66750</v>
          </cell>
          <cell r="C308">
            <v>0</v>
          </cell>
          <cell r="D308">
            <v>999524.58607696265</v>
          </cell>
          <cell r="E308">
            <v>0</v>
          </cell>
          <cell r="F308">
            <v>0</v>
          </cell>
          <cell r="G308">
            <v>0</v>
          </cell>
          <cell r="H308">
            <v>0</v>
          </cell>
          <cell r="I308">
            <v>0</v>
          </cell>
        </row>
        <row r="309">
          <cell r="A309">
            <v>292</v>
          </cell>
          <cell r="B309">
            <v>66842</v>
          </cell>
          <cell r="C309">
            <v>0</v>
          </cell>
          <cell r="D309">
            <v>999524.58607696265</v>
          </cell>
          <cell r="E309">
            <v>0</v>
          </cell>
          <cell r="F309">
            <v>0</v>
          </cell>
          <cell r="G309">
            <v>0</v>
          </cell>
          <cell r="H309">
            <v>0</v>
          </cell>
          <cell r="I309">
            <v>0</v>
          </cell>
        </row>
        <row r="310">
          <cell r="A310">
            <v>293</v>
          </cell>
          <cell r="B310">
            <v>66932</v>
          </cell>
          <cell r="C310">
            <v>0</v>
          </cell>
          <cell r="D310">
            <v>999524.58607696265</v>
          </cell>
          <cell r="E310">
            <v>0</v>
          </cell>
          <cell r="F310">
            <v>0</v>
          </cell>
          <cell r="G310">
            <v>0</v>
          </cell>
          <cell r="H310">
            <v>0</v>
          </cell>
          <cell r="I310">
            <v>0</v>
          </cell>
        </row>
        <row r="311">
          <cell r="A311">
            <v>294</v>
          </cell>
          <cell r="B311">
            <v>67023</v>
          </cell>
          <cell r="C311">
            <v>0</v>
          </cell>
          <cell r="D311">
            <v>999524.58607696265</v>
          </cell>
          <cell r="E311">
            <v>0</v>
          </cell>
          <cell r="F311">
            <v>0</v>
          </cell>
          <cell r="G311">
            <v>0</v>
          </cell>
          <cell r="H311">
            <v>0</v>
          </cell>
          <cell r="I311">
            <v>0</v>
          </cell>
        </row>
        <row r="312">
          <cell r="A312">
            <v>295</v>
          </cell>
          <cell r="B312">
            <v>67115</v>
          </cell>
          <cell r="C312">
            <v>0</v>
          </cell>
          <cell r="D312">
            <v>999524.58607696265</v>
          </cell>
          <cell r="E312">
            <v>0</v>
          </cell>
          <cell r="F312">
            <v>0</v>
          </cell>
          <cell r="G312">
            <v>0</v>
          </cell>
          <cell r="H312">
            <v>0</v>
          </cell>
          <cell r="I312">
            <v>0</v>
          </cell>
        </row>
        <row r="313">
          <cell r="A313">
            <v>296</v>
          </cell>
          <cell r="B313">
            <v>67207</v>
          </cell>
          <cell r="C313">
            <v>0</v>
          </cell>
          <cell r="D313">
            <v>999524.58607696265</v>
          </cell>
          <cell r="E313">
            <v>0</v>
          </cell>
          <cell r="F313">
            <v>0</v>
          </cell>
          <cell r="G313">
            <v>0</v>
          </cell>
          <cell r="H313">
            <v>0</v>
          </cell>
          <cell r="I313">
            <v>0</v>
          </cell>
        </row>
        <row r="314">
          <cell r="A314">
            <v>297</v>
          </cell>
          <cell r="B314">
            <v>67298</v>
          </cell>
          <cell r="C314">
            <v>0</v>
          </cell>
          <cell r="D314">
            <v>999524.58607696265</v>
          </cell>
          <cell r="E314">
            <v>0</v>
          </cell>
          <cell r="F314">
            <v>0</v>
          </cell>
          <cell r="G314">
            <v>0</v>
          </cell>
          <cell r="H314">
            <v>0</v>
          </cell>
          <cell r="I314">
            <v>0</v>
          </cell>
        </row>
        <row r="315">
          <cell r="A315">
            <v>298</v>
          </cell>
          <cell r="B315">
            <v>67389</v>
          </cell>
          <cell r="C315">
            <v>0</v>
          </cell>
          <cell r="D315">
            <v>999524.58607696265</v>
          </cell>
          <cell r="E315">
            <v>0</v>
          </cell>
          <cell r="F315">
            <v>0</v>
          </cell>
          <cell r="G315">
            <v>0</v>
          </cell>
          <cell r="H315">
            <v>0</v>
          </cell>
          <cell r="I315">
            <v>0</v>
          </cell>
        </row>
        <row r="316">
          <cell r="A316">
            <v>299</v>
          </cell>
          <cell r="B316">
            <v>67481</v>
          </cell>
          <cell r="C316">
            <v>0</v>
          </cell>
          <cell r="D316">
            <v>999524.58607696265</v>
          </cell>
          <cell r="E316">
            <v>0</v>
          </cell>
          <cell r="F316">
            <v>0</v>
          </cell>
          <cell r="G316">
            <v>0</v>
          </cell>
          <cell r="H316">
            <v>0</v>
          </cell>
          <cell r="I316">
            <v>0</v>
          </cell>
        </row>
        <row r="317">
          <cell r="A317">
            <v>300</v>
          </cell>
          <cell r="B317">
            <v>67573</v>
          </cell>
          <cell r="C317">
            <v>0</v>
          </cell>
          <cell r="D317">
            <v>999524.58607696265</v>
          </cell>
          <cell r="E317">
            <v>0</v>
          </cell>
          <cell r="F317">
            <v>0</v>
          </cell>
          <cell r="G317">
            <v>0</v>
          </cell>
          <cell r="H317">
            <v>0</v>
          </cell>
          <cell r="I317">
            <v>0</v>
          </cell>
        </row>
        <row r="318">
          <cell r="A318">
            <v>301</v>
          </cell>
          <cell r="B318">
            <v>67663</v>
          </cell>
          <cell r="C318">
            <v>0</v>
          </cell>
          <cell r="D318">
            <v>999524.58607696265</v>
          </cell>
          <cell r="E318">
            <v>0</v>
          </cell>
          <cell r="F318">
            <v>0</v>
          </cell>
          <cell r="G318">
            <v>0</v>
          </cell>
          <cell r="H318">
            <v>0</v>
          </cell>
          <cell r="I318">
            <v>0</v>
          </cell>
        </row>
        <row r="319">
          <cell r="A319">
            <v>302</v>
          </cell>
          <cell r="B319">
            <v>67754</v>
          </cell>
          <cell r="C319">
            <v>0</v>
          </cell>
          <cell r="D319">
            <v>999524.58607696265</v>
          </cell>
          <cell r="E319">
            <v>0</v>
          </cell>
          <cell r="F319">
            <v>0</v>
          </cell>
          <cell r="G319">
            <v>0</v>
          </cell>
          <cell r="H319">
            <v>0</v>
          </cell>
          <cell r="I319">
            <v>0</v>
          </cell>
        </row>
        <row r="320">
          <cell r="A320">
            <v>303</v>
          </cell>
          <cell r="B320">
            <v>67846</v>
          </cell>
          <cell r="C320">
            <v>0</v>
          </cell>
          <cell r="D320">
            <v>999524.58607696265</v>
          </cell>
          <cell r="E320">
            <v>0</v>
          </cell>
          <cell r="F320">
            <v>0</v>
          </cell>
          <cell r="G320">
            <v>0</v>
          </cell>
          <cell r="H320">
            <v>0</v>
          </cell>
          <cell r="I320">
            <v>0</v>
          </cell>
        </row>
        <row r="321">
          <cell r="A321">
            <v>304</v>
          </cell>
          <cell r="B321">
            <v>67938</v>
          </cell>
          <cell r="C321">
            <v>0</v>
          </cell>
          <cell r="D321">
            <v>999524.58607696265</v>
          </cell>
          <cell r="E321">
            <v>0</v>
          </cell>
          <cell r="F321">
            <v>0</v>
          </cell>
          <cell r="G321">
            <v>0</v>
          </cell>
          <cell r="H321">
            <v>0</v>
          </cell>
          <cell r="I321">
            <v>0</v>
          </cell>
        </row>
        <row r="322">
          <cell r="A322">
            <v>305</v>
          </cell>
          <cell r="B322">
            <v>68028</v>
          </cell>
          <cell r="C322">
            <v>0</v>
          </cell>
          <cell r="D322">
            <v>999524.58607696265</v>
          </cell>
          <cell r="E322">
            <v>0</v>
          </cell>
          <cell r="F322">
            <v>0</v>
          </cell>
          <cell r="G322">
            <v>0</v>
          </cell>
          <cell r="H322">
            <v>0</v>
          </cell>
          <cell r="I322">
            <v>0</v>
          </cell>
        </row>
        <row r="323">
          <cell r="A323">
            <v>306</v>
          </cell>
          <cell r="B323">
            <v>68119</v>
          </cell>
          <cell r="C323">
            <v>0</v>
          </cell>
          <cell r="D323">
            <v>999524.58607696265</v>
          </cell>
          <cell r="E323">
            <v>0</v>
          </cell>
          <cell r="F323">
            <v>0</v>
          </cell>
          <cell r="G323">
            <v>0</v>
          </cell>
          <cell r="H323">
            <v>0</v>
          </cell>
          <cell r="I323">
            <v>0</v>
          </cell>
        </row>
        <row r="324">
          <cell r="A324">
            <v>307</v>
          </cell>
          <cell r="B324">
            <v>68211</v>
          </cell>
          <cell r="C324">
            <v>0</v>
          </cell>
          <cell r="D324">
            <v>999524.58607696265</v>
          </cell>
          <cell r="E324">
            <v>0</v>
          </cell>
          <cell r="F324">
            <v>0</v>
          </cell>
          <cell r="G324">
            <v>0</v>
          </cell>
          <cell r="H324">
            <v>0</v>
          </cell>
          <cell r="I324">
            <v>0</v>
          </cell>
        </row>
        <row r="325">
          <cell r="A325">
            <v>308</v>
          </cell>
          <cell r="B325">
            <v>68303</v>
          </cell>
          <cell r="C325">
            <v>0</v>
          </cell>
          <cell r="D325">
            <v>999524.58607696265</v>
          </cell>
          <cell r="E325">
            <v>0</v>
          </cell>
          <cell r="F325">
            <v>0</v>
          </cell>
          <cell r="G325">
            <v>0</v>
          </cell>
          <cell r="H325">
            <v>0</v>
          </cell>
          <cell r="I325">
            <v>0</v>
          </cell>
        </row>
        <row r="326">
          <cell r="A326">
            <v>309</v>
          </cell>
          <cell r="B326">
            <v>68393</v>
          </cell>
          <cell r="C326">
            <v>0</v>
          </cell>
          <cell r="D326">
            <v>999524.58607696265</v>
          </cell>
          <cell r="E326">
            <v>0</v>
          </cell>
          <cell r="F326">
            <v>0</v>
          </cell>
          <cell r="G326">
            <v>0</v>
          </cell>
          <cell r="H326">
            <v>0</v>
          </cell>
          <cell r="I326">
            <v>0</v>
          </cell>
        </row>
        <row r="327">
          <cell r="A327">
            <v>310</v>
          </cell>
          <cell r="B327">
            <v>68484</v>
          </cell>
          <cell r="C327">
            <v>0</v>
          </cell>
          <cell r="D327">
            <v>999524.58607696265</v>
          </cell>
          <cell r="E327">
            <v>0</v>
          </cell>
          <cell r="F327">
            <v>0</v>
          </cell>
          <cell r="G327">
            <v>0</v>
          </cell>
          <cell r="H327">
            <v>0</v>
          </cell>
          <cell r="I327">
            <v>0</v>
          </cell>
        </row>
        <row r="328">
          <cell r="A328">
            <v>311</v>
          </cell>
          <cell r="B328">
            <v>68576</v>
          </cell>
          <cell r="C328">
            <v>0</v>
          </cell>
          <cell r="D328">
            <v>999524.58607696265</v>
          </cell>
          <cell r="E328">
            <v>0</v>
          </cell>
          <cell r="F328">
            <v>0</v>
          </cell>
          <cell r="G328">
            <v>0</v>
          </cell>
          <cell r="H328">
            <v>0</v>
          </cell>
          <cell r="I328">
            <v>0</v>
          </cell>
        </row>
        <row r="329">
          <cell r="A329">
            <v>312</v>
          </cell>
          <cell r="B329">
            <v>68668</v>
          </cell>
          <cell r="C329">
            <v>0</v>
          </cell>
          <cell r="D329">
            <v>999524.58607696265</v>
          </cell>
          <cell r="E329">
            <v>0</v>
          </cell>
          <cell r="F329">
            <v>0</v>
          </cell>
          <cell r="G329">
            <v>0</v>
          </cell>
          <cell r="H329">
            <v>0</v>
          </cell>
          <cell r="I329">
            <v>0</v>
          </cell>
        </row>
        <row r="330">
          <cell r="A330">
            <v>313</v>
          </cell>
          <cell r="B330">
            <v>68759</v>
          </cell>
          <cell r="C330">
            <v>0</v>
          </cell>
          <cell r="D330">
            <v>999524.58607696265</v>
          </cell>
          <cell r="E330">
            <v>0</v>
          </cell>
          <cell r="F330">
            <v>0</v>
          </cell>
          <cell r="G330">
            <v>0</v>
          </cell>
          <cell r="H330">
            <v>0</v>
          </cell>
          <cell r="I330">
            <v>0</v>
          </cell>
        </row>
        <row r="331">
          <cell r="A331">
            <v>314</v>
          </cell>
          <cell r="B331">
            <v>68850</v>
          </cell>
          <cell r="C331">
            <v>0</v>
          </cell>
          <cell r="D331">
            <v>999524.58607696265</v>
          </cell>
          <cell r="E331">
            <v>0</v>
          </cell>
          <cell r="F331">
            <v>0</v>
          </cell>
          <cell r="G331">
            <v>0</v>
          </cell>
          <cell r="H331">
            <v>0</v>
          </cell>
          <cell r="I331">
            <v>0</v>
          </cell>
        </row>
        <row r="332">
          <cell r="A332">
            <v>315</v>
          </cell>
          <cell r="B332">
            <v>68942</v>
          </cell>
          <cell r="C332">
            <v>0</v>
          </cell>
          <cell r="D332">
            <v>999524.58607696265</v>
          </cell>
          <cell r="E332">
            <v>0</v>
          </cell>
          <cell r="F332">
            <v>0</v>
          </cell>
          <cell r="G332">
            <v>0</v>
          </cell>
          <cell r="H332">
            <v>0</v>
          </cell>
          <cell r="I332">
            <v>0</v>
          </cell>
        </row>
        <row r="333">
          <cell r="A333">
            <v>316</v>
          </cell>
          <cell r="B333">
            <v>69034</v>
          </cell>
          <cell r="C333">
            <v>0</v>
          </cell>
          <cell r="D333">
            <v>999524.58607696265</v>
          </cell>
          <cell r="E333">
            <v>0</v>
          </cell>
          <cell r="F333">
            <v>0</v>
          </cell>
          <cell r="G333">
            <v>0</v>
          </cell>
          <cell r="H333">
            <v>0</v>
          </cell>
          <cell r="I333">
            <v>0</v>
          </cell>
        </row>
        <row r="334">
          <cell r="A334">
            <v>317</v>
          </cell>
          <cell r="B334">
            <v>69124</v>
          </cell>
          <cell r="C334">
            <v>0</v>
          </cell>
          <cell r="D334">
            <v>999524.58607696265</v>
          </cell>
          <cell r="E334">
            <v>0</v>
          </cell>
          <cell r="F334">
            <v>0</v>
          </cell>
          <cell r="G334">
            <v>0</v>
          </cell>
          <cell r="H334">
            <v>0</v>
          </cell>
          <cell r="I334">
            <v>0</v>
          </cell>
        </row>
        <row r="335">
          <cell r="A335">
            <v>318</v>
          </cell>
          <cell r="B335">
            <v>69215</v>
          </cell>
          <cell r="C335">
            <v>0</v>
          </cell>
          <cell r="D335">
            <v>999524.58607696265</v>
          </cell>
          <cell r="E335">
            <v>0</v>
          </cell>
          <cell r="F335">
            <v>0</v>
          </cell>
          <cell r="G335">
            <v>0</v>
          </cell>
          <cell r="H335">
            <v>0</v>
          </cell>
          <cell r="I335">
            <v>0</v>
          </cell>
        </row>
        <row r="336">
          <cell r="A336">
            <v>319</v>
          </cell>
          <cell r="B336">
            <v>69307</v>
          </cell>
          <cell r="C336">
            <v>0</v>
          </cell>
          <cell r="D336">
            <v>999524.58607696265</v>
          </cell>
          <cell r="E336">
            <v>0</v>
          </cell>
          <cell r="F336">
            <v>0</v>
          </cell>
          <cell r="G336">
            <v>0</v>
          </cell>
          <cell r="H336">
            <v>0</v>
          </cell>
          <cell r="I336">
            <v>0</v>
          </cell>
        </row>
        <row r="337">
          <cell r="A337">
            <v>320</v>
          </cell>
          <cell r="B337">
            <v>69399</v>
          </cell>
          <cell r="C337">
            <v>0</v>
          </cell>
          <cell r="D337">
            <v>999524.58607696265</v>
          </cell>
          <cell r="E337">
            <v>0</v>
          </cell>
          <cell r="F337">
            <v>0</v>
          </cell>
          <cell r="G337">
            <v>0</v>
          </cell>
          <cell r="H337">
            <v>0</v>
          </cell>
          <cell r="I337">
            <v>0</v>
          </cell>
        </row>
        <row r="338">
          <cell r="A338">
            <v>321</v>
          </cell>
          <cell r="B338">
            <v>69489</v>
          </cell>
          <cell r="C338">
            <v>0</v>
          </cell>
          <cell r="D338">
            <v>999524.58607696265</v>
          </cell>
          <cell r="E338">
            <v>0</v>
          </cell>
          <cell r="F338">
            <v>0</v>
          </cell>
          <cell r="G338">
            <v>0</v>
          </cell>
          <cell r="H338">
            <v>0</v>
          </cell>
          <cell r="I338">
            <v>0</v>
          </cell>
        </row>
        <row r="339">
          <cell r="A339">
            <v>322</v>
          </cell>
          <cell r="B339">
            <v>69580</v>
          </cell>
          <cell r="C339">
            <v>0</v>
          </cell>
          <cell r="D339">
            <v>999524.58607696265</v>
          </cell>
          <cell r="E339">
            <v>0</v>
          </cell>
          <cell r="F339">
            <v>0</v>
          </cell>
          <cell r="G339">
            <v>0</v>
          </cell>
          <cell r="H339">
            <v>0</v>
          </cell>
          <cell r="I339">
            <v>0</v>
          </cell>
        </row>
        <row r="340">
          <cell r="A340">
            <v>323</v>
          </cell>
          <cell r="B340">
            <v>69672</v>
          </cell>
          <cell r="C340">
            <v>0</v>
          </cell>
          <cell r="D340">
            <v>999524.58607696265</v>
          </cell>
          <cell r="E340">
            <v>0</v>
          </cell>
          <cell r="F340">
            <v>0</v>
          </cell>
          <cell r="G340">
            <v>0</v>
          </cell>
          <cell r="H340">
            <v>0</v>
          </cell>
          <cell r="I340">
            <v>0</v>
          </cell>
        </row>
        <row r="341">
          <cell r="A341">
            <v>324</v>
          </cell>
          <cell r="B341">
            <v>69764</v>
          </cell>
          <cell r="C341">
            <v>0</v>
          </cell>
          <cell r="D341">
            <v>999524.58607696265</v>
          </cell>
          <cell r="E341">
            <v>0</v>
          </cell>
          <cell r="F341">
            <v>0</v>
          </cell>
          <cell r="G341">
            <v>0</v>
          </cell>
          <cell r="H341">
            <v>0</v>
          </cell>
          <cell r="I341">
            <v>0</v>
          </cell>
        </row>
        <row r="342">
          <cell r="A342">
            <v>325</v>
          </cell>
          <cell r="B342">
            <v>69854</v>
          </cell>
          <cell r="C342">
            <v>0</v>
          </cell>
          <cell r="D342">
            <v>999524.58607696265</v>
          </cell>
          <cell r="E342">
            <v>0</v>
          </cell>
          <cell r="F342">
            <v>0</v>
          </cell>
          <cell r="G342">
            <v>0</v>
          </cell>
          <cell r="H342">
            <v>0</v>
          </cell>
          <cell r="I342">
            <v>0</v>
          </cell>
        </row>
        <row r="343">
          <cell r="A343">
            <v>326</v>
          </cell>
          <cell r="B343">
            <v>69945</v>
          </cell>
          <cell r="C343">
            <v>0</v>
          </cell>
          <cell r="D343">
            <v>999524.58607696265</v>
          </cell>
          <cell r="E343">
            <v>0</v>
          </cell>
          <cell r="F343">
            <v>0</v>
          </cell>
          <cell r="G343">
            <v>0</v>
          </cell>
          <cell r="H343">
            <v>0</v>
          </cell>
          <cell r="I343">
            <v>0</v>
          </cell>
        </row>
        <row r="344">
          <cell r="A344">
            <v>327</v>
          </cell>
          <cell r="B344">
            <v>70037</v>
          </cell>
          <cell r="C344">
            <v>0</v>
          </cell>
          <cell r="D344">
            <v>999524.58607696265</v>
          </cell>
          <cell r="E344">
            <v>0</v>
          </cell>
          <cell r="F344">
            <v>0</v>
          </cell>
          <cell r="G344">
            <v>0</v>
          </cell>
          <cell r="H344">
            <v>0</v>
          </cell>
          <cell r="I344">
            <v>0</v>
          </cell>
        </row>
        <row r="345">
          <cell r="A345">
            <v>328</v>
          </cell>
          <cell r="B345">
            <v>70129</v>
          </cell>
          <cell r="C345">
            <v>0</v>
          </cell>
          <cell r="D345">
            <v>999524.58607696265</v>
          </cell>
          <cell r="E345">
            <v>0</v>
          </cell>
          <cell r="F345">
            <v>0</v>
          </cell>
          <cell r="G345">
            <v>0</v>
          </cell>
          <cell r="H345">
            <v>0</v>
          </cell>
          <cell r="I345">
            <v>0</v>
          </cell>
        </row>
        <row r="346">
          <cell r="A346">
            <v>329</v>
          </cell>
          <cell r="B346">
            <v>70220</v>
          </cell>
          <cell r="C346">
            <v>0</v>
          </cell>
          <cell r="D346">
            <v>999524.58607696265</v>
          </cell>
          <cell r="E346">
            <v>0</v>
          </cell>
          <cell r="F346">
            <v>0</v>
          </cell>
          <cell r="G346">
            <v>0</v>
          </cell>
          <cell r="H346">
            <v>0</v>
          </cell>
          <cell r="I346">
            <v>0</v>
          </cell>
        </row>
        <row r="347">
          <cell r="A347">
            <v>330</v>
          </cell>
          <cell r="B347">
            <v>70311</v>
          </cell>
          <cell r="C347">
            <v>0</v>
          </cell>
          <cell r="D347">
            <v>999524.58607696265</v>
          </cell>
          <cell r="E347">
            <v>0</v>
          </cell>
          <cell r="F347">
            <v>0</v>
          </cell>
          <cell r="G347">
            <v>0</v>
          </cell>
          <cell r="H347">
            <v>0</v>
          </cell>
          <cell r="I347">
            <v>0</v>
          </cell>
        </row>
        <row r="348">
          <cell r="A348">
            <v>331</v>
          </cell>
          <cell r="B348">
            <v>70403</v>
          </cell>
          <cell r="C348">
            <v>0</v>
          </cell>
          <cell r="D348">
            <v>999524.58607696265</v>
          </cell>
          <cell r="E348">
            <v>0</v>
          </cell>
          <cell r="F348">
            <v>0</v>
          </cell>
          <cell r="G348">
            <v>0</v>
          </cell>
          <cell r="H348">
            <v>0</v>
          </cell>
          <cell r="I348">
            <v>0</v>
          </cell>
        </row>
        <row r="349">
          <cell r="A349">
            <v>332</v>
          </cell>
          <cell r="B349">
            <v>70495</v>
          </cell>
          <cell r="C349">
            <v>0</v>
          </cell>
          <cell r="D349">
            <v>999524.58607696265</v>
          </cell>
          <cell r="E349">
            <v>0</v>
          </cell>
          <cell r="F349">
            <v>0</v>
          </cell>
          <cell r="G349">
            <v>0</v>
          </cell>
          <cell r="H349">
            <v>0</v>
          </cell>
          <cell r="I349">
            <v>0</v>
          </cell>
        </row>
        <row r="350">
          <cell r="A350">
            <v>333</v>
          </cell>
          <cell r="B350">
            <v>70585</v>
          </cell>
          <cell r="C350">
            <v>0</v>
          </cell>
          <cell r="D350">
            <v>999524.58607696265</v>
          </cell>
          <cell r="E350">
            <v>0</v>
          </cell>
          <cell r="F350">
            <v>0</v>
          </cell>
          <cell r="G350">
            <v>0</v>
          </cell>
          <cell r="H350">
            <v>0</v>
          </cell>
          <cell r="I350">
            <v>0</v>
          </cell>
        </row>
        <row r="351">
          <cell r="A351">
            <v>334</v>
          </cell>
          <cell r="B351">
            <v>70676</v>
          </cell>
          <cell r="C351">
            <v>0</v>
          </cell>
          <cell r="D351">
            <v>999524.58607696265</v>
          </cell>
          <cell r="E351">
            <v>0</v>
          </cell>
          <cell r="F351">
            <v>0</v>
          </cell>
          <cell r="G351">
            <v>0</v>
          </cell>
          <cell r="H351">
            <v>0</v>
          </cell>
          <cell r="I351">
            <v>0</v>
          </cell>
        </row>
        <row r="352">
          <cell r="A352">
            <v>335</v>
          </cell>
          <cell r="B352">
            <v>70768</v>
          </cell>
          <cell r="C352">
            <v>0</v>
          </cell>
          <cell r="D352">
            <v>999524.58607696265</v>
          </cell>
          <cell r="E352">
            <v>0</v>
          </cell>
          <cell r="F352">
            <v>0</v>
          </cell>
          <cell r="G352">
            <v>0</v>
          </cell>
          <cell r="H352">
            <v>0</v>
          </cell>
          <cell r="I352">
            <v>0</v>
          </cell>
        </row>
        <row r="353">
          <cell r="A353">
            <v>336</v>
          </cell>
          <cell r="B353">
            <v>70860</v>
          </cell>
          <cell r="C353">
            <v>0</v>
          </cell>
          <cell r="D353">
            <v>999524.58607696265</v>
          </cell>
          <cell r="E353">
            <v>0</v>
          </cell>
          <cell r="F353">
            <v>0</v>
          </cell>
          <cell r="G353">
            <v>0</v>
          </cell>
          <cell r="H353">
            <v>0</v>
          </cell>
          <cell r="I353">
            <v>0</v>
          </cell>
        </row>
        <row r="354">
          <cell r="A354">
            <v>337</v>
          </cell>
          <cell r="B354">
            <v>70950</v>
          </cell>
          <cell r="C354">
            <v>0</v>
          </cell>
          <cell r="D354">
            <v>999524.58607696265</v>
          </cell>
          <cell r="E354">
            <v>0</v>
          </cell>
          <cell r="F354">
            <v>0</v>
          </cell>
          <cell r="G354">
            <v>0</v>
          </cell>
          <cell r="H354">
            <v>0</v>
          </cell>
          <cell r="I354">
            <v>0</v>
          </cell>
        </row>
        <row r="355">
          <cell r="A355">
            <v>338</v>
          </cell>
          <cell r="B355">
            <v>71041</v>
          </cell>
          <cell r="C355">
            <v>0</v>
          </cell>
          <cell r="D355">
            <v>999524.58607696265</v>
          </cell>
          <cell r="E355">
            <v>0</v>
          </cell>
          <cell r="F355">
            <v>0</v>
          </cell>
          <cell r="G355">
            <v>0</v>
          </cell>
          <cell r="H355">
            <v>0</v>
          </cell>
          <cell r="I355">
            <v>0</v>
          </cell>
        </row>
        <row r="356">
          <cell r="A356">
            <v>339</v>
          </cell>
          <cell r="B356">
            <v>71133</v>
          </cell>
          <cell r="C356">
            <v>0</v>
          </cell>
          <cell r="D356">
            <v>999524.58607696265</v>
          </cell>
          <cell r="E356">
            <v>0</v>
          </cell>
          <cell r="F356">
            <v>0</v>
          </cell>
          <cell r="G356">
            <v>0</v>
          </cell>
          <cell r="H356">
            <v>0</v>
          </cell>
          <cell r="I356">
            <v>0</v>
          </cell>
        </row>
        <row r="357">
          <cell r="A357">
            <v>340</v>
          </cell>
          <cell r="B357">
            <v>71225</v>
          </cell>
          <cell r="C357">
            <v>0</v>
          </cell>
          <cell r="D357">
            <v>999524.58607696265</v>
          </cell>
          <cell r="E357">
            <v>0</v>
          </cell>
          <cell r="F357">
            <v>0</v>
          </cell>
          <cell r="G357">
            <v>0</v>
          </cell>
          <cell r="H357">
            <v>0</v>
          </cell>
          <cell r="I357">
            <v>0</v>
          </cell>
        </row>
        <row r="358">
          <cell r="A358">
            <v>341</v>
          </cell>
          <cell r="B358">
            <v>71315</v>
          </cell>
          <cell r="C358">
            <v>0</v>
          </cell>
          <cell r="D358">
            <v>999524.58607696265</v>
          </cell>
          <cell r="E358">
            <v>0</v>
          </cell>
          <cell r="F358">
            <v>0</v>
          </cell>
          <cell r="G358">
            <v>0</v>
          </cell>
          <cell r="H358">
            <v>0</v>
          </cell>
          <cell r="I358">
            <v>0</v>
          </cell>
        </row>
        <row r="359">
          <cell r="A359">
            <v>342</v>
          </cell>
          <cell r="B359">
            <v>71406</v>
          </cell>
          <cell r="C359">
            <v>0</v>
          </cell>
          <cell r="D359">
            <v>999524.58607696265</v>
          </cell>
          <cell r="E359">
            <v>0</v>
          </cell>
          <cell r="F359">
            <v>0</v>
          </cell>
          <cell r="G359">
            <v>0</v>
          </cell>
          <cell r="H359">
            <v>0</v>
          </cell>
          <cell r="I359">
            <v>0</v>
          </cell>
        </row>
        <row r="360">
          <cell r="A360">
            <v>343</v>
          </cell>
          <cell r="B360">
            <v>71498</v>
          </cell>
          <cell r="C360">
            <v>0</v>
          </cell>
          <cell r="D360">
            <v>999524.58607696265</v>
          </cell>
          <cell r="E360">
            <v>0</v>
          </cell>
          <cell r="F360">
            <v>0</v>
          </cell>
          <cell r="G360">
            <v>0</v>
          </cell>
          <cell r="H360">
            <v>0</v>
          </cell>
          <cell r="I360">
            <v>0</v>
          </cell>
        </row>
        <row r="361">
          <cell r="A361">
            <v>344</v>
          </cell>
          <cell r="B361">
            <v>71590</v>
          </cell>
          <cell r="C361">
            <v>0</v>
          </cell>
          <cell r="D361">
            <v>999524.58607696265</v>
          </cell>
          <cell r="E361">
            <v>0</v>
          </cell>
          <cell r="F361">
            <v>0</v>
          </cell>
          <cell r="G361">
            <v>0</v>
          </cell>
          <cell r="H361">
            <v>0</v>
          </cell>
          <cell r="I361">
            <v>0</v>
          </cell>
        </row>
        <row r="362">
          <cell r="A362">
            <v>345</v>
          </cell>
          <cell r="B362">
            <v>71681</v>
          </cell>
          <cell r="C362">
            <v>0</v>
          </cell>
          <cell r="D362">
            <v>999524.58607696265</v>
          </cell>
          <cell r="E362">
            <v>0</v>
          </cell>
          <cell r="F362">
            <v>0</v>
          </cell>
          <cell r="G362">
            <v>0</v>
          </cell>
          <cell r="H362">
            <v>0</v>
          </cell>
          <cell r="I362">
            <v>0</v>
          </cell>
        </row>
        <row r="363">
          <cell r="A363">
            <v>346</v>
          </cell>
          <cell r="B363">
            <v>71772</v>
          </cell>
          <cell r="C363">
            <v>0</v>
          </cell>
          <cell r="D363">
            <v>999524.58607696265</v>
          </cell>
          <cell r="E363">
            <v>0</v>
          </cell>
          <cell r="F363">
            <v>0</v>
          </cell>
          <cell r="G363">
            <v>0</v>
          </cell>
          <cell r="H363">
            <v>0</v>
          </cell>
          <cell r="I363">
            <v>0</v>
          </cell>
        </row>
        <row r="364">
          <cell r="A364">
            <v>347</v>
          </cell>
          <cell r="B364">
            <v>71864</v>
          </cell>
          <cell r="C364">
            <v>0</v>
          </cell>
          <cell r="D364">
            <v>999524.58607696265</v>
          </cell>
          <cell r="E364">
            <v>0</v>
          </cell>
          <cell r="F364">
            <v>0</v>
          </cell>
          <cell r="G364">
            <v>0</v>
          </cell>
          <cell r="H364">
            <v>0</v>
          </cell>
          <cell r="I364">
            <v>0</v>
          </cell>
        </row>
        <row r="365">
          <cell r="A365">
            <v>348</v>
          </cell>
          <cell r="B365">
            <v>71956</v>
          </cell>
          <cell r="C365">
            <v>0</v>
          </cell>
          <cell r="D365">
            <v>999524.58607696265</v>
          </cell>
          <cell r="E365">
            <v>0</v>
          </cell>
          <cell r="F365">
            <v>0</v>
          </cell>
          <cell r="G365">
            <v>0</v>
          </cell>
          <cell r="H365">
            <v>0</v>
          </cell>
          <cell r="I365">
            <v>0</v>
          </cell>
        </row>
        <row r="366">
          <cell r="A366">
            <v>349</v>
          </cell>
          <cell r="B366">
            <v>72046</v>
          </cell>
          <cell r="C366">
            <v>0</v>
          </cell>
          <cell r="D366">
            <v>999524.58607696265</v>
          </cell>
          <cell r="E366">
            <v>0</v>
          </cell>
          <cell r="F366">
            <v>0</v>
          </cell>
          <cell r="G366">
            <v>0</v>
          </cell>
          <cell r="H366">
            <v>0</v>
          </cell>
          <cell r="I366">
            <v>0</v>
          </cell>
        </row>
        <row r="367">
          <cell r="A367">
            <v>350</v>
          </cell>
          <cell r="B367">
            <v>72137</v>
          </cell>
          <cell r="C367">
            <v>0</v>
          </cell>
          <cell r="D367">
            <v>999524.58607696265</v>
          </cell>
          <cell r="E367">
            <v>0</v>
          </cell>
          <cell r="F367">
            <v>0</v>
          </cell>
          <cell r="G367">
            <v>0</v>
          </cell>
          <cell r="H367">
            <v>0</v>
          </cell>
          <cell r="I367">
            <v>0</v>
          </cell>
        </row>
        <row r="368">
          <cell r="A368">
            <v>351</v>
          </cell>
          <cell r="B368">
            <v>72229</v>
          </cell>
          <cell r="C368">
            <v>0</v>
          </cell>
          <cell r="D368">
            <v>999524.58607696265</v>
          </cell>
          <cell r="E368">
            <v>0</v>
          </cell>
          <cell r="F368">
            <v>0</v>
          </cell>
          <cell r="G368">
            <v>0</v>
          </cell>
          <cell r="H368">
            <v>0</v>
          </cell>
          <cell r="I368">
            <v>0</v>
          </cell>
        </row>
        <row r="369">
          <cell r="A369">
            <v>352</v>
          </cell>
          <cell r="B369">
            <v>72321</v>
          </cell>
          <cell r="C369">
            <v>0</v>
          </cell>
          <cell r="D369">
            <v>999524.58607696265</v>
          </cell>
          <cell r="E369">
            <v>0</v>
          </cell>
          <cell r="F369">
            <v>0</v>
          </cell>
          <cell r="G369">
            <v>0</v>
          </cell>
          <cell r="H369">
            <v>0</v>
          </cell>
          <cell r="I369">
            <v>0</v>
          </cell>
        </row>
        <row r="370">
          <cell r="A370">
            <v>353</v>
          </cell>
          <cell r="B370">
            <v>72411</v>
          </cell>
          <cell r="C370">
            <v>0</v>
          </cell>
          <cell r="D370">
            <v>999524.58607696265</v>
          </cell>
          <cell r="E370">
            <v>0</v>
          </cell>
          <cell r="F370">
            <v>0</v>
          </cell>
          <cell r="G370">
            <v>0</v>
          </cell>
          <cell r="H370">
            <v>0</v>
          </cell>
          <cell r="I370">
            <v>0</v>
          </cell>
        </row>
        <row r="371">
          <cell r="A371">
            <v>354</v>
          </cell>
          <cell r="B371">
            <v>72502</v>
          </cell>
          <cell r="C371">
            <v>0</v>
          </cell>
          <cell r="D371">
            <v>999524.58607696265</v>
          </cell>
          <cell r="E371">
            <v>0</v>
          </cell>
          <cell r="F371">
            <v>0</v>
          </cell>
          <cell r="G371">
            <v>0</v>
          </cell>
          <cell r="H371">
            <v>0</v>
          </cell>
          <cell r="I371">
            <v>0</v>
          </cell>
        </row>
        <row r="372">
          <cell r="A372">
            <v>355</v>
          </cell>
          <cell r="B372">
            <v>72594</v>
          </cell>
          <cell r="C372">
            <v>0</v>
          </cell>
          <cell r="D372">
            <v>999524.58607696265</v>
          </cell>
          <cell r="E372">
            <v>0</v>
          </cell>
          <cell r="F372">
            <v>0</v>
          </cell>
          <cell r="G372">
            <v>0</v>
          </cell>
          <cell r="H372">
            <v>0</v>
          </cell>
          <cell r="I372">
            <v>0</v>
          </cell>
        </row>
        <row r="373">
          <cell r="A373">
            <v>356</v>
          </cell>
          <cell r="B373">
            <v>72686</v>
          </cell>
          <cell r="C373">
            <v>0</v>
          </cell>
          <cell r="D373">
            <v>999524.58607696265</v>
          </cell>
          <cell r="E373">
            <v>0</v>
          </cell>
          <cell r="F373">
            <v>0</v>
          </cell>
          <cell r="G373">
            <v>0</v>
          </cell>
          <cell r="H373">
            <v>0</v>
          </cell>
          <cell r="I373">
            <v>0</v>
          </cell>
        </row>
        <row r="374">
          <cell r="A374">
            <v>357</v>
          </cell>
          <cell r="B374">
            <v>72776</v>
          </cell>
          <cell r="C374">
            <v>0</v>
          </cell>
          <cell r="D374">
            <v>999524.58607696265</v>
          </cell>
          <cell r="E374">
            <v>0</v>
          </cell>
          <cell r="F374">
            <v>0</v>
          </cell>
          <cell r="G374">
            <v>0</v>
          </cell>
          <cell r="H374">
            <v>0</v>
          </cell>
          <cell r="I374">
            <v>0</v>
          </cell>
        </row>
        <row r="375">
          <cell r="A375">
            <v>358</v>
          </cell>
          <cell r="B375">
            <v>72867</v>
          </cell>
          <cell r="C375">
            <v>0</v>
          </cell>
          <cell r="D375">
            <v>999524.58607696265</v>
          </cell>
          <cell r="E375">
            <v>0</v>
          </cell>
          <cell r="F375">
            <v>0</v>
          </cell>
          <cell r="G375">
            <v>0</v>
          </cell>
          <cell r="H375">
            <v>0</v>
          </cell>
          <cell r="I375">
            <v>0</v>
          </cell>
        </row>
        <row r="376">
          <cell r="A376">
            <v>359</v>
          </cell>
          <cell r="B376">
            <v>72959</v>
          </cell>
          <cell r="C376">
            <v>0</v>
          </cell>
          <cell r="D376">
            <v>999524.58607696265</v>
          </cell>
          <cell r="E376">
            <v>0</v>
          </cell>
          <cell r="F376">
            <v>0</v>
          </cell>
          <cell r="G376">
            <v>0</v>
          </cell>
          <cell r="H376">
            <v>0</v>
          </cell>
          <cell r="I376">
            <v>0</v>
          </cell>
        </row>
        <row r="377">
          <cell r="A377">
            <v>360</v>
          </cell>
          <cell r="B377">
            <v>73051</v>
          </cell>
          <cell r="C377">
            <v>0</v>
          </cell>
          <cell r="D377">
            <v>999524.58607696265</v>
          </cell>
          <cell r="E377">
            <v>0</v>
          </cell>
          <cell r="F377">
            <v>0</v>
          </cell>
          <cell r="G377">
            <v>0</v>
          </cell>
          <cell r="H377">
            <v>0</v>
          </cell>
          <cell r="I377">
            <v>0</v>
          </cell>
        </row>
      </sheetData>
      <sheetData sheetId="16"/>
      <sheetData sheetId="17"/>
      <sheetData sheetId="18"/>
      <sheetData sheetId="19"/>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1" displayName="טבלה1" ref="B91:C116" totalsRowShown="0" headerRowDxfId="105" headerRowBorderDxfId="104" tableBorderDxfId="103" totalsRowBorderDxfId="102">
  <tableColumns count="2">
    <tableColumn id="1" xr3:uid="{00000000-0010-0000-0000-000001000000}" name="שנה" dataDxfId="101">
      <calculatedColumnFormula>B91+1</calculatedColumnFormula>
    </tableColumn>
    <tableColumn id="2" xr3:uid="{00000000-0010-0000-0000-000002000000}" name="שיעור מס" dataDxfId="100"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טבלה4" displayName="טבלה4" ref="B118:C122" totalsRowShown="0">
  <tableColumns count="2">
    <tableColumn id="1" xr3:uid="{00000000-0010-0000-0100-000001000000}" name="שיעור החזקת חוץ" dataDxfId="99"/>
    <tableColumn id="2" xr3:uid="{00000000-0010-0000-0100-000002000000}" name="שיעור מס" dataDxfId="98" dataCellStyle="Percent"/>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טבלה3" displayName="טבלה3" ref="A1:B16" totalsRowShown="0" headerRowDxfId="97" dataDxfId="95" headerRowBorderDxfId="96" tableBorderDxfId="94" totalsRowBorderDxfId="93">
  <tableColumns count="2">
    <tableColumn id="1" xr3:uid="{00000000-0010-0000-0200-000001000000}" name="שם החברה" dataDxfId="92"/>
    <tableColumn id="2" xr3:uid="{00000000-0010-0000-0200-000002000000}" name="עמודה1" dataDxfId="91"/>
  </tableColumns>
  <tableStyleInfo name="TableStyleMedium2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טבלה2" displayName="טבלה2" ref="A5:K11" totalsRowShown="0" headerRowDxfId="90" headerRowBorderDxfId="89">
  <tableColumns count="11">
    <tableColumn id="1" xr3:uid="{00000000-0010-0000-0300-000001000000}" name="סוג חדר" dataDxfId="88"/>
    <tableColumn id="2" xr3:uid="{00000000-0010-0000-0300-000002000000}" name="כמות חדרים" dataDxfId="87"/>
    <tableColumn id="3" xr3:uid="{00000000-0010-0000-0300-000003000000}" name="אורחים לחדר" dataDxfId="86"/>
    <tableColumn id="5" xr3:uid="{00000000-0010-0000-0300-000005000000}" name="אורחים ליום" dataDxfId="85"/>
    <tableColumn id="13" xr3:uid="{00000000-0010-0000-0300-00000D000000}" name="מחיר לחדר" dataDxfId="84"/>
    <tableColumn id="10" xr3:uid="{00000000-0010-0000-0300-00000A000000}" name="מחיר לאורח" dataDxfId="83"/>
    <tableColumn id="7" xr3:uid="{00000000-0010-0000-0300-000007000000}" name="א. בוקר" dataDxfId="82" dataCellStyle="Currency">
      <calculatedColumnFormula>$B$3*'נ.בסיס לינה'!$C6</calculatedColumnFormula>
    </tableColumn>
    <tableColumn id="8" xr3:uid="{00000000-0010-0000-0300-000008000000}" name="עמודה1" dataDxfId="81" dataCellStyle="Currency"/>
    <tableColumn id="6" xr3:uid="{00000000-0010-0000-0300-000006000000}" name="עמודה2" dataDxfId="80" dataCellStyle="Currency"/>
    <tableColumn id="11" xr3:uid="{00000000-0010-0000-0300-00000B000000}" name="עמודה3" dataDxfId="79" dataCellStyle="Percent"/>
    <tableColumn id="12" xr3:uid="{00000000-0010-0000-0300-00000C000000}" name="עמודה4" dataDxfId="78" dataCellStyle="Currency"/>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טבלה5" displayName="טבלה5" ref="A2:E7" totalsRowShown="0">
  <tableColumns count="5">
    <tableColumn id="1" xr3:uid="{00000000-0010-0000-0400-000001000000}" name="סוג שרות"/>
    <tableColumn id="2" xr3:uid="{00000000-0010-0000-0400-000002000000}" name="כמות לינות" dataDxfId="77"/>
    <tableColumn id="3" xr3:uid="{00000000-0010-0000-0400-000003000000}" name="אחוז רוכשים" dataDxfId="76"/>
    <tableColumn id="4" xr3:uid="{00000000-0010-0000-0400-000004000000}" name="מחיר ממוצע"/>
    <tableColumn id="5" xr3:uid="{00000000-0010-0000-0400-000005000000}" name="הכנסות חזויות" dataDxfId="7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טבלה7" displayName="טבלה7" ref="A9:D13" totalsRowShown="0" headerRowDxfId="74" headerRowBorderDxfId="73" tableBorderDxfId="72">
  <tableColumns count="4">
    <tableColumn id="1" xr3:uid="{00000000-0010-0000-0500-000001000000}" name="SPA" dataDxfId="71"/>
    <tableColumn id="2" xr3:uid="{00000000-0010-0000-0500-000002000000}" name="שנה ראשונה"/>
    <tableColumn id="3" xr3:uid="{00000000-0010-0000-0500-000003000000}" name="שנה שניה"/>
    <tableColumn id="4" xr3:uid="{00000000-0010-0000-0500-000004000000}" name="שנה שלישית"/>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טבלה8" displayName="טבלה8" ref="I2:L8" totalsRowCount="1">
  <tableColumns count="4">
    <tableColumn id="1" xr3:uid="{00000000-0010-0000-0600-000001000000}" name="מרכזי רווח" dataDxfId="70" totalsRowDxfId="69"/>
    <tableColumn id="2" xr3:uid="{00000000-0010-0000-0600-000002000000}" name="כן/לא" dataDxfId="68" totalsRowDxfId="67"/>
    <tableColumn id="3" xr3:uid="{00000000-0010-0000-0600-000003000000}" name="עמודה1" totalsRowFunction="sum" dataDxfId="66" totalsRowDxfId="65">
      <calculatedColumnFormula>IF(טבלה8[[#This Row],[כן/לא]]="כן",1,0)</calculatedColumnFormula>
    </tableColumn>
    <tableColumn id="4" xr3:uid="{00000000-0010-0000-0600-000004000000}" name="עמודה2" totalsRowFunction="sum" dataDxfId="64" totalsRowDxfId="63">
      <calculatedColumnFormula>IF(AND(טבלה8[[#This Row],[עמודה1]]&gt;0,D5&gt;0),1,0)</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טבלה11" displayName="טבלה11" ref="A11:C15" totalsRowShown="0">
  <tableColumns count="3">
    <tableColumn id="1" xr3:uid="{00000000-0010-0000-0700-000001000000}" name="שיווק ומכירות"/>
    <tableColumn id="3" xr3:uid="{00000000-0010-0000-0700-000003000000}" name="חודשי" dataDxfId="62" dataCellStyle="Currency"/>
    <tableColumn id="2" xr3:uid="{00000000-0010-0000-0700-000002000000}" name="שנתי" dataDxfId="61" dataCellStyle="Currenc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טבלה1113" displayName="טבלה1113" ref="A17:C23" totalsRowShown="0">
  <tableColumns count="3">
    <tableColumn id="1" xr3:uid="{00000000-0010-0000-0800-000001000000}" name="הנהלה וכלליות ללא שכר"/>
    <tableColumn id="3" xr3:uid="{00000000-0010-0000-0800-000003000000}" name="חודשי" dataDxfId="60" dataCellStyle="Currency"/>
    <tableColumn id="2" xr3:uid="{00000000-0010-0000-0800-000002000000}" name="שנתי" dataDxfId="59" dataCellStyle="Currenc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9000000}" name="טבלה111314" displayName="טבלה111314" ref="E11:H14" totalsRowShown="0">
  <tableColumns count="4">
    <tableColumn id="1" xr3:uid="{00000000-0010-0000-0900-000001000000}" name="ביטוח"/>
    <tableColumn id="3" xr3:uid="{00000000-0010-0000-0900-000003000000}" name="אחוז" dataDxfId="58" dataCellStyle="Currency"/>
    <tableColumn id="2" xr3:uid="{00000000-0010-0000-0900-000002000000}" name="ערך ציוד" dataDxfId="57" dataCellStyle="Currency"/>
    <tableColumn id="4" xr3:uid="{00000000-0010-0000-0900-000004000000}" name="סה&quot;כ עלות" dataDxfId="56"/>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A000000}" name="טבלה11131415" displayName="טבלה11131415" ref="E16:H19" totalsRowShown="0">
  <tableColumns count="4">
    <tableColumn id="1" xr3:uid="{00000000-0010-0000-0A00-000001000000}" name="ארנונה"/>
    <tableColumn id="3" xr3:uid="{00000000-0010-0000-0A00-000003000000}" name="שטח מ&quot;ר" dataDxfId="55" dataCellStyle="Currency"/>
    <tableColumn id="2" xr3:uid="{00000000-0010-0000-0A00-000002000000}" name="עלות מ&quot;ר" dataDxfId="54" dataCellStyle="Currency"/>
    <tableColumn id="4" xr3:uid="{00000000-0010-0000-0A00-000004000000}" name="סה&quot;כ עלות" dataDxfId="53"/>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B000000}" name="טבלה111316" displayName="טבלה111316" ref="A25:C28" totalsRowShown="0">
  <tableColumns count="3">
    <tableColumn id="1" xr3:uid="{00000000-0010-0000-0B00-000001000000}" name="פרטים"/>
    <tableColumn id="3" xr3:uid="{00000000-0010-0000-0B00-000003000000}" name="חודשי" dataDxfId="52" dataCellStyle="Currency"/>
    <tableColumn id="2" xr3:uid="{00000000-0010-0000-0B00-000002000000}" name="שנתי" dataDxfId="51" dataCellStyle="Currency"/>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C000000}" name="טבלה111317" displayName="טבלה111317" ref="E22:G27" totalsRowShown="0">
  <tableColumns count="3">
    <tableColumn id="1" xr3:uid="{00000000-0010-0000-0C00-000001000000}" name="אנרגיה"/>
    <tableColumn id="3" xr3:uid="{00000000-0010-0000-0C00-000003000000}" name="חודשי" dataDxfId="50" dataCellStyle="Currency"/>
    <tableColumn id="2" xr3:uid="{00000000-0010-0000-0C00-000002000000}" name="שנתי" dataDxfId="49" dataCellStyle="Currency"/>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D000000}" name="טבלה17" displayName="טבלה17" ref="A1:B8" totalsRowShown="0" headerRowDxfId="48" dataDxfId="46" headerRowBorderDxfId="47" tableBorderDxfId="45" totalsRowBorderDxfId="44">
  <tableColumns count="2">
    <tableColumn id="1" xr3:uid="{00000000-0010-0000-0D00-000001000000}" name="הוצאות קבועות" dataDxfId="43"/>
    <tableColumn id="2" xr3:uid="{00000000-0010-0000-0D00-000002000000}" name="לשנה" dataDxfId="42"/>
  </tableColumns>
  <tableStyleInfo name="TableStyleMedium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0.xml"/><Relationship Id="rId1" Type="http://schemas.openxmlformats.org/officeDocument/2006/relationships/printerSettings" Target="../printerSettings/printerSettings11.bin"/><Relationship Id="rId5" Type="http://schemas.openxmlformats.org/officeDocument/2006/relationships/table" Target="../tables/table7.xml"/><Relationship Id="rId4"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drawing" Target="../drawings/drawing14.xml"/><Relationship Id="rId1" Type="http://schemas.openxmlformats.org/officeDocument/2006/relationships/printerSettings" Target="../printerSettings/printerSettings15.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 Id="rId9"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22"/>
  <dimension ref="A1:J30"/>
  <sheetViews>
    <sheetView showGridLines="0" rightToLeft="1" view="pageBreakPreview" zoomScale="90" zoomScaleNormal="100" zoomScaleSheetLayoutView="90" workbookViewId="0">
      <selection activeCell="C4" sqref="C4"/>
    </sheetView>
  </sheetViews>
  <sheetFormatPr defaultColWidth="0" defaultRowHeight="14.25" zeroHeight="1"/>
  <cols>
    <col min="1" max="9" width="9" customWidth="1"/>
    <col min="10" max="10" width="9" hidden="1" customWidth="1"/>
    <col min="11" max="16384" width="9" hidden="1"/>
  </cols>
  <sheetData>
    <row r="1" spans="1:10">
      <c r="A1" s="271"/>
      <c r="B1" s="271"/>
      <c r="C1" s="271"/>
      <c r="D1" s="271"/>
      <c r="E1" s="271"/>
      <c r="F1" s="271"/>
      <c r="G1" s="271"/>
      <c r="H1" s="271"/>
      <c r="I1" s="271"/>
      <c r="J1" s="271"/>
    </row>
    <row r="2" spans="1:10" ht="90">
      <c r="A2" s="271"/>
      <c r="B2" s="271"/>
      <c r="C2" s="271"/>
      <c r="D2" s="271"/>
      <c r="E2" s="272" t="s">
        <v>415</v>
      </c>
      <c r="F2" s="271"/>
      <c r="G2" s="271"/>
      <c r="H2" s="271"/>
      <c r="I2" s="271"/>
      <c r="J2" s="271"/>
    </row>
    <row r="3" spans="1:10" ht="90">
      <c r="A3" s="271"/>
      <c r="B3" s="271"/>
      <c r="C3" s="271"/>
      <c r="D3" s="271"/>
      <c r="E3" s="272">
        <f>'נתוני חברה'!B4</f>
        <v>0</v>
      </c>
      <c r="F3" s="271"/>
      <c r="G3" s="271"/>
      <c r="H3" s="271"/>
      <c r="I3" s="271"/>
      <c r="J3" s="271"/>
    </row>
    <row r="4" spans="1:10" ht="60">
      <c r="A4" s="271"/>
      <c r="B4" s="271"/>
      <c r="C4" s="271"/>
      <c r="D4" s="271"/>
      <c r="E4" s="930" t="str">
        <f>טבלה3[[#Headers],[עמודה1]]</f>
        <v>עמודה1</v>
      </c>
      <c r="F4" s="271"/>
      <c r="G4" s="271"/>
      <c r="H4" s="271"/>
      <c r="I4" s="271"/>
      <c r="J4" s="271"/>
    </row>
    <row r="5" spans="1:10">
      <c r="A5" s="271"/>
      <c r="B5" s="271"/>
      <c r="C5" s="271"/>
      <c r="D5" s="271"/>
      <c r="E5" s="271"/>
      <c r="F5" s="271"/>
      <c r="G5" s="271"/>
      <c r="H5" s="271"/>
      <c r="I5" s="271"/>
      <c r="J5" s="271"/>
    </row>
    <row r="6" spans="1:10">
      <c r="A6" s="271"/>
      <c r="B6" s="271"/>
      <c r="C6" s="271"/>
      <c r="D6" s="271"/>
      <c r="F6" s="271"/>
      <c r="G6" s="271"/>
      <c r="H6" s="271"/>
      <c r="I6" s="271"/>
      <c r="J6" s="271"/>
    </row>
    <row r="7" spans="1:10">
      <c r="A7" s="271"/>
      <c r="B7" s="271"/>
      <c r="C7" s="271"/>
      <c r="D7" s="271"/>
      <c r="F7" s="271"/>
      <c r="G7" s="271"/>
      <c r="H7" s="271"/>
      <c r="I7" s="271"/>
      <c r="J7" s="271"/>
    </row>
    <row r="8" spans="1:10">
      <c r="A8" s="271"/>
      <c r="B8" s="271"/>
      <c r="C8" s="271"/>
      <c r="D8" s="271"/>
      <c r="F8" s="271"/>
      <c r="G8" s="271"/>
      <c r="H8" s="271"/>
      <c r="I8" s="271"/>
      <c r="J8" s="271"/>
    </row>
    <row r="9" spans="1:10">
      <c r="A9" s="271"/>
      <c r="B9" s="271"/>
      <c r="C9" s="271"/>
      <c r="D9" s="271"/>
      <c r="E9" s="271"/>
      <c r="F9" s="271"/>
      <c r="G9" s="271"/>
      <c r="H9" s="271"/>
      <c r="I9" s="271"/>
      <c r="J9" s="271"/>
    </row>
    <row r="28" spans="1:1" ht="20.25" hidden="1">
      <c r="A28" s="259"/>
    </row>
    <row r="29" spans="1:1" ht="20.25" hidden="1">
      <c r="A29" s="258"/>
    </row>
    <row r="30" spans="1:1" ht="20.25" hidden="1">
      <c r="A30" s="258"/>
    </row>
  </sheetData>
  <sheetProtection algorithmName="SHA-512" hashValue="9q1LYpCPpRdohYbfUOZq8R5Jx/UIO2coNznmXyJgjIPvdLRveT7PZuJYWtjSulgXw1rMUQdixxL047D2Byt3sg==" saltValue="BEzXIIM4MtsPP+GzujGkgA==" spinCount="100000" sheet="1" objects="1" scenarios="1" selectLockedCells="1" selectUnlockedCells="1"/>
  <printOptions horizontalCentered="1" verticalCentered="1"/>
  <pageMargins left="0" right="0" top="0.74803149606299213" bottom="0.74803149606299213" header="0.31496062992125984" footer="0.31496062992125984"/>
  <pageSetup scale="88" orientation="portrait" r:id="rId1"/>
  <headerFooter>
    <oddFooter>&amp;L&amp;D&amp;C&amp;F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גיליון1"/>
  <dimension ref="A1:G13"/>
  <sheetViews>
    <sheetView showGridLines="0" rightToLeft="1" zoomScale="90" zoomScaleNormal="90" workbookViewId="0"/>
  </sheetViews>
  <sheetFormatPr defaultColWidth="0" defaultRowHeight="14.25" zeroHeight="1"/>
  <cols>
    <col min="1" max="6" width="24.75" customWidth="1"/>
    <col min="7" max="7" width="22.125" hidden="1" customWidth="1"/>
    <col min="8" max="16384" width="9" hidden="1"/>
  </cols>
  <sheetData>
    <row r="1" spans="1:6" ht="91.5" customHeight="1" thickBot="1">
      <c r="A1" s="406">
        <f>IF('נתוני חברה'!F26=100%,1,0)</f>
        <v>0</v>
      </c>
      <c r="B1" s="406">
        <f>IF('נתוני הקמה'!B23&gt;0,1,0)</f>
        <v>0</v>
      </c>
      <c r="C1" s="408" t="e">
        <f>IF('מקורות מימון'!C11=100%,1," ")</f>
        <v>#DIV/0!</v>
      </c>
      <c r="D1" s="546"/>
      <c r="E1" s="408" t="e">
        <f>IF(AND('נ.בסיס לינה'!Q17&gt;0,'נ.בסיס לינה'!R17&gt;0,'נ.בסיס לינה'!S17&gt;0,'נ.בסיס לינה'!B11&gt;0,'נ.בסיס לינה'!B3&gt;0,+'נ.בסיס לינה'!B28&gt;0,+'נ.בסיס לינה'!B29&gt;0,+'נ.בסיס לינה'!D11&gt;0),1,0)</f>
        <v>#N/A</v>
      </c>
      <c r="F1" s="407"/>
    </row>
    <row r="2" spans="1:6" ht="91.5" customHeight="1" thickBot="1">
      <c r="A2" s="408" t="e">
        <f>IF(AND('הכנסות לינה'!E23&gt;0,'הכנסות לינה'!G23&gt;0,'הכנסות לינה'!I23&gt;0),1,0)</f>
        <v>#N/A</v>
      </c>
      <c r="B2" s="408">
        <f>IF(AND('מזון ומשקאות'!B10&gt;0,'מזון ומשקאות'!B11&gt;0),1,0)</f>
        <v>0</v>
      </c>
      <c r="C2" s="408">
        <f>'הכנסות נוספות'!L12</f>
        <v>1</v>
      </c>
      <c r="D2" s="408">
        <f>IF(הוצאות!C33&gt;0,1,0)</f>
        <v>0</v>
      </c>
      <c r="E2" s="408" t="e">
        <f>IF(פחת!H9&lt;1,1,0)</f>
        <v>#N/A</v>
      </c>
      <c r="F2" s="407"/>
    </row>
    <row r="3" spans="1:6" ht="91.5" customHeight="1" thickBot="1">
      <c r="A3" s="408">
        <f>IF(AND('כח אדם'!D94&gt;1000,'כח אדם'!G94&gt;1000,'כח אדם'!J94&gt;1000),1,0)</f>
        <v>0</v>
      </c>
      <c r="B3" s="408">
        <f>קבועות!H32</f>
        <v>0</v>
      </c>
      <c r="C3" s="408" t="e">
        <f ca="1">IF('רווח והפסד'!AA49&gt;0,1,0)</f>
        <v>#N/A</v>
      </c>
      <c r="D3" s="408" t="e">
        <f ca="1">IF(Total_Interest&gt;1000,1,0)</f>
        <v>#N/A</v>
      </c>
      <c r="E3" s="408" t="e">
        <f>IF(מימון!E25&gt;0,1,0)</f>
        <v>#N/A</v>
      </c>
      <c r="F3" s="453"/>
    </row>
    <row r="4" spans="1:6" ht="91.5" customHeight="1" thickBot="1">
      <c r="A4" s="408">
        <f>IF('כדאיות למשק'!B26&gt;1,1,0)</f>
        <v>0</v>
      </c>
      <c r="B4" s="408">
        <f ca="1">IF('כדאיות לפירמה'!B17&gt;1,1,0)</f>
        <v>0</v>
      </c>
      <c r="C4" s="408">
        <f ca="1">IF('כדאיות ליזם'!B11&gt;1,1,0)</f>
        <v>0</v>
      </c>
      <c r="D4" s="408" t="e">
        <f ca="1">IF('תזרים מזומנים'!F41&gt;1000,1,0)</f>
        <v>#N/A</v>
      </c>
      <c r="E4" s="408" t="e">
        <f ca="1">IF(C3=1,1,0)</f>
        <v>#N/A</v>
      </c>
      <c r="F4" s="454"/>
    </row>
    <row r="5" spans="1:6" ht="91.5" hidden="1" customHeight="1"/>
    <row r="6" spans="1:6" ht="91.5" hidden="1" customHeight="1"/>
    <row r="7" spans="1:6" ht="91.5" hidden="1" customHeight="1"/>
    <row r="8" spans="1:6" ht="91.5" hidden="1" customHeight="1"/>
    <row r="9" spans="1:6" ht="91.5" hidden="1" customHeight="1"/>
    <row r="10" spans="1:6" ht="91.5" hidden="1" customHeight="1"/>
    <row r="11" spans="1:6" ht="91.5" hidden="1" customHeight="1"/>
    <row r="12" spans="1:6" ht="91.5" hidden="1" customHeight="1"/>
    <row r="13" spans="1:6" ht="91.5" hidden="1" customHeight="1"/>
  </sheetData>
  <sheetProtection algorithmName="SHA-512" hashValue="+3vHqhEFNG9A6GeJzzYvcxFFVm1pXKf7HgQE74tMhd5owV+ejkwp8xn2FR/0YDzrZIIXLUqmWzGeZPlskExf5Q==" saltValue="Wr5hb1S/xE6aN9XntxTvWQ==" spinCount="100000" sheet="1" selectLockedCells="1"/>
  <conditionalFormatting sqref="A1:B1">
    <cfRule type="cellIs" dxfId="41" priority="35" operator="greaterThan">
      <formula>0</formula>
    </cfRule>
    <cfRule type="cellIs" dxfId="40" priority="36" operator="greaterThan">
      <formula>0</formula>
    </cfRule>
    <cfRule type="cellIs" dxfId="39" priority="37" operator="greaterThan">
      <formula>0.5</formula>
    </cfRule>
  </conditionalFormatting>
  <conditionalFormatting sqref="A2:B4">
    <cfRule type="cellIs" dxfId="38" priority="7" operator="equal">
      <formula>1</formula>
    </cfRule>
    <cfRule type="cellIs" dxfId="37" priority="8" operator="equal">
      <formula>"""  """</formula>
    </cfRule>
  </conditionalFormatting>
  <conditionalFormatting sqref="B1">
    <cfRule type="cellIs" dxfId="36" priority="39" operator="greaterThan">
      <formula>0</formula>
    </cfRule>
    <cfRule type="cellIs" dxfId="35" priority="40" operator="greaterThan">
      <formula>1</formula>
    </cfRule>
  </conditionalFormatting>
  <conditionalFormatting sqref="C1:C4">
    <cfRule type="cellIs" dxfId="34" priority="5" operator="equal">
      <formula>1</formula>
    </cfRule>
    <cfRule type="cellIs" dxfId="33" priority="6" operator="equal">
      <formula>"""  """</formula>
    </cfRule>
  </conditionalFormatting>
  <conditionalFormatting sqref="D2:D4">
    <cfRule type="cellIs" dxfId="32" priority="3" operator="equal">
      <formula>1</formula>
    </cfRule>
    <cfRule type="cellIs" dxfId="31" priority="4" operator="equal">
      <formula>"""  """</formula>
    </cfRule>
  </conditionalFormatting>
  <conditionalFormatting sqref="E1:E4">
    <cfRule type="cellIs" dxfId="30" priority="1" operator="equal">
      <formula>1</formula>
    </cfRule>
    <cfRule type="cellIs" dxfId="29" priority="2" operator="equal">
      <formula>"""  """</formula>
    </cfRule>
  </conditionalFormatting>
  <printOptions horizontalCentered="1" verticalCentered="1"/>
  <pageMargins left="0" right="0" top="0.74803149606299213" bottom="0.74803149606299213" header="0.31496062992125984" footer="0.31496062992125984"/>
  <pageSetup scale="90"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גיליון23"/>
  <dimension ref="A1:J122"/>
  <sheetViews>
    <sheetView showGridLines="0" rightToLeft="1" workbookViewId="0">
      <selection activeCell="E106" sqref="E106"/>
    </sheetView>
  </sheetViews>
  <sheetFormatPr defaultColWidth="9" defaultRowHeight="14.25"/>
  <cols>
    <col min="1" max="1" width="22.625" bestFit="1" customWidth="1"/>
    <col min="2" max="2" width="18.25" bestFit="1" customWidth="1"/>
    <col min="3" max="3" width="19.375" customWidth="1"/>
    <col min="4" max="4" width="9.375" bestFit="1" customWidth="1"/>
    <col min="5" max="5" width="12.875" bestFit="1" customWidth="1"/>
    <col min="6" max="6" width="9.875" customWidth="1"/>
    <col min="7" max="7" width="8.25" bestFit="1" customWidth="1"/>
    <col min="8" max="8" width="9.625" customWidth="1"/>
  </cols>
  <sheetData>
    <row r="1" spans="1:8">
      <c r="A1" s="271"/>
      <c r="B1" s="271"/>
      <c r="C1" s="271"/>
      <c r="D1" s="271"/>
      <c r="E1" s="271"/>
      <c r="F1" s="271"/>
      <c r="G1" s="271"/>
      <c r="H1" s="271"/>
    </row>
    <row r="2" spans="1:8">
      <c r="A2" s="498" t="s">
        <v>475</v>
      </c>
      <c r="B2" s="271"/>
      <c r="C2" s="498" t="s">
        <v>503</v>
      </c>
      <c r="D2" s="271"/>
      <c r="E2" s="271"/>
      <c r="F2" s="271"/>
      <c r="G2" s="271"/>
      <c r="H2" s="271"/>
    </row>
    <row r="3" spans="1:8" ht="18">
      <c r="A3" s="573" t="s">
        <v>404</v>
      </c>
      <c r="B3" s="271"/>
      <c r="C3" s="572" t="s">
        <v>501</v>
      </c>
      <c r="D3" s="271"/>
      <c r="E3" s="271"/>
      <c r="F3" s="271"/>
      <c r="G3" s="271" t="s">
        <v>480</v>
      </c>
      <c r="H3" s="271"/>
    </row>
    <row r="4" spans="1:8" ht="18">
      <c r="A4" s="573" t="s">
        <v>426</v>
      </c>
      <c r="B4" s="271"/>
      <c r="C4" s="572" t="s">
        <v>502</v>
      </c>
      <c r="D4" s="271"/>
      <c r="E4" s="271"/>
      <c r="F4" s="271"/>
      <c r="G4" s="271"/>
      <c r="H4" s="271"/>
    </row>
    <row r="5" spans="1:8" ht="18">
      <c r="A5" s="573" t="s">
        <v>321</v>
      </c>
      <c r="B5" s="271"/>
      <c r="C5" s="574" t="s">
        <v>504</v>
      </c>
      <c r="D5" s="271"/>
      <c r="E5" s="271"/>
      <c r="F5" s="271"/>
      <c r="G5" s="271"/>
      <c r="H5" s="271"/>
    </row>
    <row r="6" spans="1:8" ht="18">
      <c r="A6" s="573" t="s">
        <v>476</v>
      </c>
      <c r="B6" s="271"/>
      <c r="C6" s="575" t="s">
        <v>505</v>
      </c>
      <c r="D6" s="271"/>
      <c r="E6" s="271"/>
      <c r="F6" s="271"/>
      <c r="G6" s="271"/>
      <c r="H6" s="271"/>
    </row>
    <row r="7" spans="1:8" ht="18">
      <c r="A7" s="573" t="s">
        <v>477</v>
      </c>
      <c r="B7" s="271"/>
      <c r="C7" s="574" t="s">
        <v>506</v>
      </c>
      <c r="D7" s="271"/>
      <c r="E7" s="271"/>
      <c r="F7" s="271"/>
      <c r="G7" s="271"/>
      <c r="H7" s="271"/>
    </row>
    <row r="8" spans="1:8" ht="18">
      <c r="A8" s="573" t="s">
        <v>478</v>
      </c>
      <c r="B8" s="271"/>
      <c r="C8" s="572" t="s">
        <v>507</v>
      </c>
      <c r="D8" s="271"/>
      <c r="E8" s="271"/>
      <c r="F8" s="271"/>
      <c r="G8" s="271"/>
      <c r="H8" s="271"/>
    </row>
    <row r="9" spans="1:8" ht="18">
      <c r="A9" s="573" t="s">
        <v>479</v>
      </c>
      <c r="B9" s="271"/>
      <c r="C9" s="574" t="s">
        <v>508</v>
      </c>
      <c r="D9" s="271"/>
      <c r="E9" s="271"/>
      <c r="F9" s="271"/>
      <c r="G9" s="271"/>
      <c r="H9" s="271"/>
    </row>
    <row r="10" spans="1:8" ht="18">
      <c r="A10" s="573" t="s">
        <v>500</v>
      </c>
      <c r="B10" s="271"/>
      <c r="C10" s="574" t="s">
        <v>304</v>
      </c>
      <c r="D10" s="271"/>
      <c r="E10" s="271"/>
      <c r="F10" s="271"/>
      <c r="G10" s="271"/>
      <c r="H10" s="271"/>
    </row>
    <row r="11" spans="1:8" ht="18">
      <c r="A11" s="271"/>
      <c r="B11" s="271"/>
      <c r="C11" s="572" t="s">
        <v>509</v>
      </c>
      <c r="D11" s="271"/>
      <c r="E11" s="271"/>
      <c r="F11" s="271"/>
      <c r="G11" s="271"/>
      <c r="H11" s="271"/>
    </row>
    <row r="12" spans="1:8">
      <c r="A12" s="271"/>
      <c r="B12" s="271"/>
      <c r="C12" s="271"/>
      <c r="D12" s="271"/>
      <c r="E12" s="271"/>
      <c r="F12" s="271"/>
      <c r="G12" s="271"/>
      <c r="H12" s="271"/>
    </row>
    <row r="13" spans="1:8">
      <c r="A13" s="271"/>
      <c r="B13" s="271"/>
      <c r="C13" s="271"/>
      <c r="D13" s="271"/>
      <c r="E13" s="271"/>
      <c r="F13" s="271"/>
      <c r="G13" s="271"/>
      <c r="H13" s="271"/>
    </row>
    <row r="14" spans="1:8" ht="18">
      <c r="A14" s="958" t="s">
        <v>425</v>
      </c>
      <c r="B14" s="958"/>
      <c r="C14" s="958"/>
      <c r="D14" s="958"/>
      <c r="E14" s="958"/>
      <c r="F14" s="958"/>
      <c r="G14" s="271"/>
      <c r="H14" s="271"/>
    </row>
    <row r="15" spans="1:8" ht="18">
      <c r="A15" s="286"/>
      <c r="B15" s="286"/>
      <c r="C15" s="286"/>
      <c r="D15" s="286"/>
      <c r="E15" s="286"/>
      <c r="F15" s="286"/>
      <c r="G15" s="271"/>
      <c r="H15" s="271"/>
    </row>
    <row r="16" spans="1:8" ht="18">
      <c r="A16" s="286"/>
      <c r="B16" s="286"/>
      <c r="C16" s="286"/>
      <c r="D16" s="286"/>
      <c r="E16" s="286"/>
      <c r="F16" s="286"/>
      <c r="G16" s="271"/>
      <c r="H16" s="271"/>
    </row>
    <row r="17" spans="1:8" ht="18.75" thickBot="1">
      <c r="A17" s="499" t="s">
        <v>404</v>
      </c>
      <c r="B17" s="286"/>
      <c r="C17" s="499" t="s">
        <v>321</v>
      </c>
      <c r="D17" s="286"/>
      <c r="E17" s="499" t="s">
        <v>427</v>
      </c>
      <c r="F17" s="286"/>
      <c r="G17" s="271"/>
      <c r="H17" s="271"/>
    </row>
    <row r="18" spans="1:8" ht="18">
      <c r="A18" s="500" t="s">
        <v>105</v>
      </c>
      <c r="B18" s="183"/>
      <c r="C18" s="501" t="s">
        <v>383</v>
      </c>
      <c r="D18" s="286"/>
      <c r="E18" s="501" t="s">
        <v>388</v>
      </c>
      <c r="F18" s="286"/>
      <c r="G18" s="271"/>
      <c r="H18" s="271"/>
    </row>
    <row r="19" spans="1:8" ht="18.75" thickBot="1">
      <c r="A19" s="500" t="s">
        <v>619</v>
      </c>
      <c r="B19" s="183"/>
      <c r="C19" s="502" t="s">
        <v>384</v>
      </c>
      <c r="D19" s="286"/>
      <c r="E19" s="503" t="s">
        <v>389</v>
      </c>
      <c r="F19" s="286"/>
      <c r="G19" s="271"/>
      <c r="H19" s="271"/>
    </row>
    <row r="20" spans="1:8" ht="18">
      <c r="A20" s="500" t="s">
        <v>107</v>
      </c>
      <c r="B20" s="183"/>
      <c r="C20" s="502" t="s">
        <v>322</v>
      </c>
      <c r="D20" s="286"/>
      <c r="E20" s="286"/>
      <c r="F20" s="286"/>
      <c r="G20" s="271"/>
      <c r="H20" s="271"/>
    </row>
    <row r="21" spans="1:8" ht="18">
      <c r="A21" s="286"/>
      <c r="B21" s="183"/>
      <c r="C21" s="502" t="s">
        <v>385</v>
      </c>
      <c r="D21" s="286"/>
      <c r="E21" s="286"/>
      <c r="F21" s="286"/>
      <c r="G21" s="271"/>
      <c r="H21" s="271"/>
    </row>
    <row r="22" spans="1:8" ht="18">
      <c r="A22" s="499" t="s">
        <v>426</v>
      </c>
      <c r="B22" s="183"/>
      <c r="C22" s="502" t="s">
        <v>526</v>
      </c>
      <c r="D22" s="286"/>
      <c r="E22" s="286"/>
      <c r="F22" s="286"/>
      <c r="G22" s="271"/>
      <c r="H22" s="271"/>
    </row>
    <row r="23" spans="1:8" ht="18">
      <c r="A23" s="500" t="s">
        <v>109</v>
      </c>
      <c r="B23" s="183"/>
      <c r="C23" s="502" t="s">
        <v>529</v>
      </c>
      <c r="D23" s="286"/>
      <c r="E23" s="286"/>
      <c r="F23" s="286"/>
      <c r="G23" s="271"/>
      <c r="H23" s="271"/>
    </row>
    <row r="24" spans="1:8" ht="18">
      <c r="A24" s="500" t="s">
        <v>110</v>
      </c>
      <c r="B24" s="286"/>
      <c r="C24" s="502" t="s">
        <v>527</v>
      </c>
      <c r="D24" s="286" t="s">
        <v>528</v>
      </c>
      <c r="E24" s="286"/>
      <c r="F24" s="286"/>
      <c r="G24" s="271"/>
      <c r="H24" s="271"/>
    </row>
    <row r="25" spans="1:8" ht="18.75" thickBot="1">
      <c r="A25" s="500" t="s">
        <v>382</v>
      </c>
      <c r="B25" s="286"/>
      <c r="C25" s="503" t="s">
        <v>279</v>
      </c>
      <c r="D25" s="286"/>
      <c r="E25" s="286"/>
      <c r="F25" s="286"/>
      <c r="G25" s="271"/>
      <c r="H25" s="271"/>
    </row>
    <row r="26" spans="1:8" ht="18">
      <c r="A26" s="500" t="s">
        <v>111</v>
      </c>
      <c r="B26" s="286"/>
      <c r="C26" s="286"/>
      <c r="D26" s="286"/>
      <c r="E26" s="286"/>
      <c r="F26" s="286"/>
      <c r="G26" s="271"/>
      <c r="H26" s="271"/>
    </row>
    <row r="27" spans="1:8" ht="18">
      <c r="A27" s="500" t="s">
        <v>317</v>
      </c>
      <c r="B27" s="286"/>
      <c r="C27" s="286"/>
      <c r="D27" s="286"/>
      <c r="E27" s="286"/>
      <c r="F27" s="286"/>
      <c r="G27" s="271"/>
      <c r="H27" s="271"/>
    </row>
    <row r="28" spans="1:8" ht="18">
      <c r="A28" s="500" t="s">
        <v>112</v>
      </c>
      <c r="B28" s="286"/>
      <c r="C28" s="286"/>
      <c r="D28" s="286"/>
      <c r="E28" s="286"/>
      <c r="F28" s="286"/>
      <c r="G28" s="271"/>
      <c r="H28" s="271"/>
    </row>
    <row r="29" spans="1:8">
      <c r="A29" s="271"/>
      <c r="B29" s="271"/>
      <c r="C29" s="271"/>
      <c r="D29" s="271"/>
      <c r="E29" s="271"/>
      <c r="F29" s="271"/>
      <c r="G29" s="271"/>
      <c r="H29" s="271"/>
    </row>
    <row r="30" spans="1:8">
      <c r="A30" s="271"/>
      <c r="B30" s="271"/>
      <c r="C30" s="271"/>
      <c r="D30" s="271"/>
      <c r="E30" s="271"/>
      <c r="F30" s="271"/>
      <c r="G30" s="271"/>
      <c r="H30" s="271"/>
    </row>
    <row r="31" spans="1:8">
      <c r="A31" s="271"/>
      <c r="B31" s="271"/>
      <c r="C31" s="271"/>
      <c r="D31" s="271"/>
      <c r="E31" s="271"/>
      <c r="F31" s="271"/>
      <c r="G31" s="271"/>
      <c r="H31" s="271"/>
    </row>
    <row r="32" spans="1:8" ht="18">
      <c r="A32" s="959" t="s">
        <v>441</v>
      </c>
      <c r="B32" s="959"/>
      <c r="C32" s="959"/>
      <c r="D32" s="959"/>
      <c r="E32" s="959"/>
      <c r="F32" s="959"/>
      <c r="G32" s="959"/>
      <c r="H32" s="271"/>
    </row>
    <row r="33" spans="1:10">
      <c r="A33" s="271"/>
      <c r="B33" s="271"/>
      <c r="C33" s="271"/>
      <c r="D33" s="271"/>
      <c r="E33" s="271"/>
      <c r="F33" s="271"/>
      <c r="G33" s="271"/>
      <c r="H33" s="271"/>
    </row>
    <row r="34" spans="1:10" ht="18.75">
      <c r="A34" s="960" t="s">
        <v>86</v>
      </c>
      <c r="B34" s="960"/>
      <c r="C34" s="271"/>
      <c r="D34" s="271"/>
      <c r="E34" s="271"/>
      <c r="F34" s="271"/>
      <c r="G34" s="271"/>
      <c r="H34" s="271"/>
    </row>
    <row r="35" spans="1:10" ht="18.75">
      <c r="A35" s="504"/>
      <c r="B35" s="504"/>
      <c r="C35" s="271"/>
      <c r="D35" s="271"/>
      <c r="E35" s="271"/>
      <c r="F35" s="271"/>
      <c r="G35" s="271"/>
      <c r="H35" s="271"/>
    </row>
    <row r="36" spans="1:10" ht="18.75">
      <c r="A36" s="505" t="s">
        <v>108</v>
      </c>
      <c r="B36" s="505" t="s">
        <v>117</v>
      </c>
      <c r="C36" s="271"/>
      <c r="D36" s="271"/>
      <c r="E36" s="271"/>
      <c r="F36" s="271"/>
      <c r="G36" s="271"/>
      <c r="H36" s="271"/>
    </row>
    <row r="37" spans="1:10" ht="15.75">
      <c r="A37" s="506" t="s">
        <v>87</v>
      </c>
      <c r="B37" s="507">
        <v>1</v>
      </c>
      <c r="C37" s="271"/>
      <c r="D37" s="271"/>
      <c r="E37" s="271"/>
      <c r="F37" s="271"/>
      <c r="G37" s="271"/>
      <c r="H37" s="271"/>
    </row>
    <row r="38" spans="1:10" ht="15.75">
      <c r="A38" s="506" t="s">
        <v>88</v>
      </c>
      <c r="B38" s="507">
        <v>0.8</v>
      </c>
      <c r="C38" s="271"/>
      <c r="D38" s="271"/>
      <c r="E38" s="271"/>
      <c r="F38" s="271"/>
      <c r="G38" s="271"/>
      <c r="H38" s="271"/>
    </row>
    <row r="39" spans="1:10" ht="15.75">
      <c r="A39" s="506" t="s">
        <v>89</v>
      </c>
      <c r="B39" s="507">
        <v>1.4</v>
      </c>
      <c r="C39" s="271"/>
      <c r="D39" s="271"/>
      <c r="E39" s="271"/>
      <c r="F39" s="271"/>
      <c r="G39" s="271"/>
      <c r="H39" s="271"/>
    </row>
    <row r="40" spans="1:10" ht="15.75">
      <c r="A40" s="506" t="s">
        <v>90</v>
      </c>
      <c r="B40" s="507">
        <v>1.2</v>
      </c>
      <c r="C40" s="271"/>
      <c r="D40" s="271"/>
      <c r="E40" s="271"/>
      <c r="F40" s="271"/>
      <c r="G40" s="271"/>
      <c r="H40" s="271"/>
    </row>
    <row r="41" spans="1:10" ht="15.75">
      <c r="A41" s="506" t="s">
        <v>91</v>
      </c>
      <c r="B41" s="507">
        <v>1</v>
      </c>
      <c r="C41" s="271"/>
      <c r="D41" s="271"/>
      <c r="E41" s="271"/>
      <c r="F41" s="271"/>
      <c r="G41" s="271"/>
      <c r="H41" s="271"/>
    </row>
    <row r="42" spans="1:10" ht="15.75">
      <c r="A42" s="506" t="s">
        <v>92</v>
      </c>
      <c r="B42" s="507">
        <v>0.8</v>
      </c>
      <c r="C42" s="271"/>
      <c r="D42" s="271"/>
      <c r="E42" s="271"/>
      <c r="F42" s="271"/>
      <c r="G42" s="271"/>
      <c r="H42" s="271"/>
    </row>
    <row r="43" spans="1:10" ht="15.75">
      <c r="A43" s="508" t="s">
        <v>101</v>
      </c>
      <c r="B43" s="507">
        <v>1</v>
      </c>
      <c r="C43" s="271"/>
      <c r="D43" s="271"/>
      <c r="E43" s="271"/>
      <c r="F43" s="271"/>
      <c r="G43" s="271"/>
      <c r="H43" s="271"/>
    </row>
    <row r="44" spans="1:10">
      <c r="A44" s="271"/>
      <c r="B44" s="271"/>
      <c r="C44" s="271"/>
      <c r="D44" s="271"/>
      <c r="E44" s="271"/>
      <c r="F44" s="271"/>
      <c r="G44" s="271"/>
      <c r="H44" s="271"/>
    </row>
    <row r="45" spans="1:10" ht="18.75">
      <c r="A45" s="961" t="s">
        <v>324</v>
      </c>
      <c r="B45" s="961"/>
      <c r="C45" s="961"/>
      <c r="D45" s="961"/>
      <c r="E45" s="961"/>
      <c r="F45" s="961"/>
      <c r="G45" s="961"/>
      <c r="H45" s="271"/>
    </row>
    <row r="46" spans="1:10" ht="15" thickBot="1">
      <c r="A46" s="509"/>
      <c r="B46" s="510"/>
      <c r="C46" s="509"/>
      <c r="D46" s="510"/>
      <c r="E46" s="510"/>
      <c r="F46" s="510"/>
      <c r="G46" s="271"/>
      <c r="H46" s="271"/>
    </row>
    <row r="47" spans="1:10" ht="48" thickBot="1">
      <c r="A47" s="511" t="s">
        <v>323</v>
      </c>
      <c r="B47" s="512" t="s">
        <v>74</v>
      </c>
      <c r="C47" s="512" t="str">
        <f>C18</f>
        <v>אילת</v>
      </c>
      <c r="D47" s="512" t="str">
        <f>C19</f>
        <v>ים המלח</v>
      </c>
      <c r="E47" s="512" t="str">
        <f>C20</f>
        <v>ירושלים</v>
      </c>
      <c r="F47" s="512" t="str">
        <f>C21</f>
        <v>החוף</v>
      </c>
      <c r="G47" s="512" t="str">
        <f>C22</f>
        <v>צפון - כנרת - גליל</v>
      </c>
      <c r="H47" s="512" t="str">
        <f>C23</f>
        <v>דרום ואחר</v>
      </c>
      <c r="I47" s="512" t="str">
        <f>C24</f>
        <v>תל אביב - יפו</v>
      </c>
      <c r="J47" s="512" t="str">
        <f>C25</f>
        <v>אחר</v>
      </c>
    </row>
    <row r="48" spans="1:10" ht="16.5" thickBot="1">
      <c r="A48" s="513" t="s">
        <v>78</v>
      </c>
      <c r="B48" s="514"/>
      <c r="C48" s="515">
        <v>120</v>
      </c>
      <c r="D48" s="515">
        <v>100</v>
      </c>
      <c r="E48" s="515">
        <v>90</v>
      </c>
      <c r="F48" s="515">
        <v>90</v>
      </c>
      <c r="G48" s="515">
        <v>60</v>
      </c>
      <c r="H48" s="515">
        <v>45</v>
      </c>
      <c r="I48" s="515">
        <v>90</v>
      </c>
      <c r="J48" s="515">
        <v>60</v>
      </c>
    </row>
    <row r="49" spans="1:10" ht="16.5" thickBot="1">
      <c r="A49" s="516"/>
      <c r="B49" s="517"/>
      <c r="C49" s="518"/>
      <c r="D49" s="518"/>
      <c r="E49" s="518"/>
      <c r="F49" s="518"/>
      <c r="G49" s="518"/>
      <c r="H49" s="518"/>
      <c r="I49" s="518"/>
      <c r="J49" s="518"/>
    </row>
    <row r="50" spans="1:10" ht="16.5" thickBot="1">
      <c r="A50" s="513" t="s">
        <v>79</v>
      </c>
      <c r="B50" s="514"/>
      <c r="C50" s="515">
        <v>90</v>
      </c>
      <c r="D50" s="515">
        <v>90</v>
      </c>
      <c r="E50" s="515">
        <v>60</v>
      </c>
      <c r="F50" s="515">
        <v>45</v>
      </c>
      <c r="G50" s="515">
        <v>45</v>
      </c>
      <c r="H50" s="515">
        <v>45</v>
      </c>
      <c r="I50" s="515">
        <v>60</v>
      </c>
      <c r="J50" s="515">
        <v>45</v>
      </c>
    </row>
    <row r="51" spans="1:10" ht="15.75">
      <c r="A51" s="956" t="s">
        <v>80</v>
      </c>
      <c r="B51" s="519" t="s">
        <v>81</v>
      </c>
      <c r="C51" s="520">
        <v>46</v>
      </c>
      <c r="D51" s="520">
        <v>46</v>
      </c>
      <c r="E51" s="520">
        <v>35</v>
      </c>
      <c r="F51" s="520">
        <v>25</v>
      </c>
      <c r="G51" s="520">
        <v>25</v>
      </c>
      <c r="H51" s="520">
        <v>25</v>
      </c>
      <c r="I51" s="520">
        <v>25</v>
      </c>
      <c r="J51" s="520">
        <v>35</v>
      </c>
    </row>
    <row r="52" spans="1:10" ht="16.5" thickBot="1">
      <c r="A52" s="957"/>
      <c r="B52" s="521" t="s">
        <v>82</v>
      </c>
      <c r="C52" s="522">
        <f t="shared" ref="C52:J52" si="0">C50-C51</f>
        <v>44</v>
      </c>
      <c r="D52" s="522">
        <f t="shared" si="0"/>
        <v>44</v>
      </c>
      <c r="E52" s="522">
        <f t="shared" si="0"/>
        <v>25</v>
      </c>
      <c r="F52" s="522">
        <f t="shared" si="0"/>
        <v>20</v>
      </c>
      <c r="G52" s="522">
        <f t="shared" si="0"/>
        <v>20</v>
      </c>
      <c r="H52" s="522">
        <f t="shared" si="0"/>
        <v>20</v>
      </c>
      <c r="I52" s="522">
        <f t="shared" si="0"/>
        <v>35</v>
      </c>
      <c r="J52" s="522">
        <f t="shared" si="0"/>
        <v>10</v>
      </c>
    </row>
    <row r="53" spans="1:10" ht="16.5" thickBot="1">
      <c r="A53" s="513" t="s">
        <v>83</v>
      </c>
      <c r="B53" s="523"/>
      <c r="C53" s="515">
        <v>100</v>
      </c>
      <c r="D53" s="515">
        <v>120</v>
      </c>
      <c r="E53" s="515">
        <v>110</v>
      </c>
      <c r="F53" s="515">
        <v>165</v>
      </c>
      <c r="G53" s="515">
        <v>160</v>
      </c>
      <c r="H53" s="515">
        <v>160</v>
      </c>
      <c r="I53" s="515">
        <v>110</v>
      </c>
      <c r="J53" s="515">
        <v>160</v>
      </c>
    </row>
    <row r="54" spans="1:10" ht="15.75">
      <c r="A54" s="956" t="s">
        <v>80</v>
      </c>
      <c r="B54" s="519" t="s">
        <v>81</v>
      </c>
      <c r="C54" s="520">
        <v>100</v>
      </c>
      <c r="D54" s="520">
        <v>100</v>
      </c>
      <c r="E54" s="520">
        <v>100</v>
      </c>
      <c r="F54" s="520">
        <v>125</v>
      </c>
      <c r="G54" s="520">
        <v>145</v>
      </c>
      <c r="H54" s="520">
        <v>150</v>
      </c>
      <c r="I54" s="520">
        <v>100</v>
      </c>
      <c r="J54" s="520">
        <v>150</v>
      </c>
    </row>
    <row r="55" spans="1:10" ht="16.5" thickBot="1">
      <c r="A55" s="957"/>
      <c r="B55" s="521" t="s">
        <v>82</v>
      </c>
      <c r="C55" s="522">
        <f t="shared" ref="C55:J55" si="1">C53-C54</f>
        <v>0</v>
      </c>
      <c r="D55" s="522">
        <f t="shared" si="1"/>
        <v>20</v>
      </c>
      <c r="E55" s="522">
        <f t="shared" si="1"/>
        <v>10</v>
      </c>
      <c r="F55" s="522">
        <f t="shared" si="1"/>
        <v>40</v>
      </c>
      <c r="G55" s="522">
        <f t="shared" si="1"/>
        <v>15</v>
      </c>
      <c r="H55" s="522">
        <f t="shared" si="1"/>
        <v>10</v>
      </c>
      <c r="I55" s="522">
        <f t="shared" si="1"/>
        <v>10</v>
      </c>
      <c r="J55" s="522">
        <f t="shared" si="1"/>
        <v>10</v>
      </c>
    </row>
    <row r="56" spans="1:10" ht="16.5" thickBot="1">
      <c r="A56" s="513" t="s">
        <v>84</v>
      </c>
      <c r="B56" s="523"/>
      <c r="C56" s="515">
        <v>55</v>
      </c>
      <c r="D56" s="515">
        <v>55</v>
      </c>
      <c r="E56" s="515">
        <v>105</v>
      </c>
      <c r="F56" s="515">
        <v>65</v>
      </c>
      <c r="G56" s="515">
        <v>100</v>
      </c>
      <c r="H56" s="515">
        <v>115</v>
      </c>
      <c r="I56" s="515">
        <v>105</v>
      </c>
      <c r="J56" s="515">
        <v>100</v>
      </c>
    </row>
    <row r="57" spans="1:10" ht="15.75">
      <c r="A57" s="956" t="s">
        <v>80</v>
      </c>
      <c r="B57" s="519" t="s">
        <v>81</v>
      </c>
      <c r="C57" s="520">
        <v>45</v>
      </c>
      <c r="D57" s="520">
        <v>45</v>
      </c>
      <c r="E57" s="520">
        <v>95</v>
      </c>
      <c r="F57" s="520">
        <v>40</v>
      </c>
      <c r="G57" s="520">
        <v>90</v>
      </c>
      <c r="H57" s="520">
        <v>105</v>
      </c>
      <c r="I57" s="520">
        <v>95</v>
      </c>
      <c r="J57" s="520">
        <v>90</v>
      </c>
    </row>
    <row r="58" spans="1:10" ht="16.5" thickBot="1">
      <c r="A58" s="967"/>
      <c r="B58" s="521" t="s">
        <v>82</v>
      </c>
      <c r="C58" s="524">
        <f t="shared" ref="C58:J58" si="2">C56-C57</f>
        <v>10</v>
      </c>
      <c r="D58" s="524">
        <f t="shared" si="2"/>
        <v>10</v>
      </c>
      <c r="E58" s="524">
        <f t="shared" si="2"/>
        <v>10</v>
      </c>
      <c r="F58" s="524">
        <f t="shared" si="2"/>
        <v>25</v>
      </c>
      <c r="G58" s="524">
        <f t="shared" si="2"/>
        <v>10</v>
      </c>
      <c r="H58" s="524">
        <f t="shared" si="2"/>
        <v>10</v>
      </c>
      <c r="I58" s="524">
        <f t="shared" si="2"/>
        <v>10</v>
      </c>
      <c r="J58" s="524">
        <f t="shared" si="2"/>
        <v>10</v>
      </c>
    </row>
    <row r="59" spans="1:10" ht="15" thickBot="1">
      <c r="A59" s="525" t="s">
        <v>85</v>
      </c>
      <c r="B59" s="526"/>
      <c r="C59" s="527">
        <f t="shared" ref="C59:J59" si="3">IF((C48+C50+C53+C56)=365,365,"שגיאה, בדוק כמות ימים")</f>
        <v>365</v>
      </c>
      <c r="D59" s="528">
        <f t="shared" si="3"/>
        <v>365</v>
      </c>
      <c r="E59" s="529">
        <f t="shared" si="3"/>
        <v>365</v>
      </c>
      <c r="F59" s="529">
        <f t="shared" si="3"/>
        <v>365</v>
      </c>
      <c r="G59" s="529">
        <f t="shared" si="3"/>
        <v>365</v>
      </c>
      <c r="H59" s="529">
        <f t="shared" si="3"/>
        <v>365</v>
      </c>
      <c r="I59" s="529">
        <f t="shared" si="3"/>
        <v>365</v>
      </c>
      <c r="J59" s="529">
        <f t="shared" si="3"/>
        <v>365</v>
      </c>
    </row>
    <row r="60" spans="1:10">
      <c r="A60" s="271"/>
      <c r="B60" s="271"/>
      <c r="C60" s="271"/>
      <c r="D60" s="271"/>
      <c r="E60" s="271"/>
      <c r="F60" s="271"/>
      <c r="G60" s="271"/>
      <c r="H60" s="271"/>
      <c r="I60" s="271"/>
      <c r="J60" s="271"/>
    </row>
    <row r="61" spans="1:10" ht="15" thickBot="1">
      <c r="A61" s="271"/>
      <c r="B61" s="271"/>
      <c r="C61" s="271"/>
      <c r="D61" s="271"/>
      <c r="E61" s="271"/>
      <c r="F61" s="271"/>
      <c r="G61" s="271"/>
      <c r="H61" s="271"/>
    </row>
    <row r="62" spans="1:10" ht="18.75" thickBot="1">
      <c r="A62" s="530" t="s">
        <v>275</v>
      </c>
      <c r="B62" s="531" t="s">
        <v>282</v>
      </c>
      <c r="C62" s="271"/>
      <c r="D62" s="271"/>
      <c r="E62" s="271"/>
      <c r="F62" s="271"/>
      <c r="G62" s="271"/>
      <c r="H62" s="271"/>
    </row>
    <row r="63" spans="1:10" ht="18">
      <c r="A63" s="532" t="s">
        <v>318</v>
      </c>
      <c r="B63" s="534">
        <v>0.12</v>
      </c>
      <c r="C63" s="271"/>
      <c r="D63" s="271"/>
      <c r="E63" s="271"/>
      <c r="F63" s="271"/>
      <c r="G63" s="271"/>
      <c r="H63" s="271"/>
    </row>
    <row r="64" spans="1:10" ht="18">
      <c r="A64" s="532" t="s">
        <v>284</v>
      </c>
      <c r="B64" s="533"/>
      <c r="C64" s="271"/>
      <c r="D64" s="271"/>
      <c r="E64" s="271"/>
      <c r="F64" s="271"/>
      <c r="G64" s="271"/>
      <c r="H64" s="271"/>
    </row>
    <row r="65" spans="1:8" ht="18">
      <c r="A65" s="535" t="s">
        <v>277</v>
      </c>
      <c r="B65" s="536">
        <v>0</v>
      </c>
      <c r="C65" s="271"/>
      <c r="D65" s="271"/>
      <c r="E65" s="271"/>
      <c r="F65" s="271"/>
      <c r="G65" s="271"/>
      <c r="H65" s="271"/>
    </row>
    <row r="66" spans="1:8" ht="18">
      <c r="A66" s="535" t="s">
        <v>387</v>
      </c>
      <c r="B66" s="536">
        <v>0</v>
      </c>
      <c r="C66" s="271"/>
      <c r="D66" s="271"/>
      <c r="E66" s="271"/>
      <c r="F66" s="271"/>
      <c r="G66" s="271"/>
      <c r="H66" s="271"/>
    </row>
    <row r="67" spans="1:8" ht="18">
      <c r="A67" s="535" t="s">
        <v>278</v>
      </c>
      <c r="B67" s="537"/>
      <c r="C67" s="271"/>
      <c r="D67" s="271"/>
      <c r="E67" s="271"/>
      <c r="F67" s="271"/>
      <c r="G67" s="271"/>
      <c r="H67" s="271"/>
    </row>
    <row r="68" spans="1:8" ht="18">
      <c r="A68" s="535" t="s">
        <v>319</v>
      </c>
      <c r="B68" s="536">
        <v>0.05</v>
      </c>
      <c r="C68" s="271"/>
      <c r="D68" s="271"/>
      <c r="E68" s="271"/>
      <c r="F68" s="271"/>
      <c r="G68" s="271"/>
      <c r="H68" s="271"/>
    </row>
    <row r="69" spans="1:8" ht="18">
      <c r="A69" s="535" t="s">
        <v>279</v>
      </c>
      <c r="B69" s="536"/>
      <c r="C69" s="271"/>
      <c r="D69" s="271"/>
      <c r="E69" s="271"/>
      <c r="F69" s="271"/>
      <c r="G69" s="271"/>
      <c r="H69" s="271"/>
    </row>
    <row r="70" spans="1:8">
      <c r="A70" s="271"/>
      <c r="B70" s="271"/>
      <c r="C70" s="271"/>
      <c r="D70" s="271"/>
      <c r="E70" s="271"/>
      <c r="F70" s="271"/>
      <c r="G70" s="271"/>
      <c r="H70" s="271"/>
    </row>
    <row r="71" spans="1:8">
      <c r="A71" s="271"/>
      <c r="B71" s="271"/>
      <c r="C71" s="271"/>
      <c r="D71" s="271"/>
      <c r="E71" s="271"/>
      <c r="F71" s="271"/>
      <c r="G71" s="271"/>
      <c r="H71" s="271"/>
    </row>
    <row r="72" spans="1:8" ht="15">
      <c r="A72" s="968" t="s">
        <v>474</v>
      </c>
      <c r="B72" s="968"/>
      <c r="C72" s="968"/>
      <c r="D72" s="271"/>
      <c r="E72" s="271"/>
      <c r="F72" s="271"/>
      <c r="G72" s="271"/>
      <c r="H72" s="271"/>
    </row>
    <row r="73" spans="1:8" ht="15.75">
      <c r="A73" s="538" t="s">
        <v>23</v>
      </c>
      <c r="B73" s="539" t="s">
        <v>32</v>
      </c>
      <c r="C73" s="539" t="s">
        <v>65</v>
      </c>
      <c r="D73" s="271"/>
      <c r="E73" s="271"/>
      <c r="F73" s="271"/>
      <c r="G73" s="271"/>
      <c r="H73" s="271"/>
    </row>
    <row r="74" spans="1:8" ht="15">
      <c r="A74" s="540" t="s">
        <v>24</v>
      </c>
      <c r="B74" s="578">
        <v>0</v>
      </c>
      <c r="C74" s="578">
        <f>B74*2</f>
        <v>0</v>
      </c>
      <c r="D74" s="271"/>
      <c r="E74" s="271"/>
      <c r="F74" s="271"/>
      <c r="G74" s="271"/>
      <c r="H74" s="271"/>
    </row>
    <row r="75" spans="1:8" ht="15">
      <c r="A75" s="540" t="s">
        <v>28</v>
      </c>
      <c r="B75" s="578">
        <v>0.04</v>
      </c>
      <c r="C75" s="578">
        <f t="shared" ref="C75:C80" si="4">B75*2</f>
        <v>0.08</v>
      </c>
      <c r="D75" s="271"/>
      <c r="E75" s="271"/>
      <c r="F75" s="271"/>
      <c r="G75" s="271"/>
      <c r="H75" s="271"/>
    </row>
    <row r="76" spans="1:8" ht="15">
      <c r="A76" s="540" t="s">
        <v>29</v>
      </c>
      <c r="B76" s="578">
        <v>0.04</v>
      </c>
      <c r="C76" s="578">
        <f t="shared" si="4"/>
        <v>0.08</v>
      </c>
      <c r="D76" s="271"/>
      <c r="E76" s="271"/>
      <c r="F76" s="271"/>
      <c r="G76" s="271"/>
      <c r="H76" s="271"/>
    </row>
    <row r="77" spans="1:8" ht="15">
      <c r="A77" s="540" t="s">
        <v>30</v>
      </c>
      <c r="B77" s="578">
        <v>0.04</v>
      </c>
      <c r="C77" s="578">
        <f t="shared" si="4"/>
        <v>0.08</v>
      </c>
      <c r="D77" s="271"/>
      <c r="E77" s="271"/>
      <c r="F77" s="271"/>
      <c r="G77" s="271"/>
      <c r="H77" s="271"/>
    </row>
    <row r="78" spans="1:8" ht="15">
      <c r="A78" s="540" t="s">
        <v>26</v>
      </c>
      <c r="B78" s="578">
        <v>0.1</v>
      </c>
      <c r="C78" s="578">
        <f t="shared" si="4"/>
        <v>0.2</v>
      </c>
      <c r="D78" s="271"/>
      <c r="E78" s="271"/>
      <c r="F78" s="271"/>
      <c r="G78" s="271"/>
      <c r="H78" s="271"/>
    </row>
    <row r="79" spans="1:8" ht="15">
      <c r="A79" s="540" t="s">
        <v>27</v>
      </c>
      <c r="B79" s="578">
        <v>7.0000000000000007E-2</v>
      </c>
      <c r="C79" s="578">
        <f t="shared" si="4"/>
        <v>0.14000000000000001</v>
      </c>
      <c r="D79" s="271"/>
      <c r="E79" s="271"/>
      <c r="F79" s="271"/>
      <c r="G79" s="271"/>
      <c r="H79" s="271"/>
    </row>
    <row r="80" spans="1:8" ht="15">
      <c r="A80" s="540" t="s">
        <v>31</v>
      </c>
      <c r="B80" s="578">
        <v>0.04</v>
      </c>
      <c r="C80" s="578">
        <f t="shared" si="4"/>
        <v>0.08</v>
      </c>
      <c r="D80" s="271"/>
      <c r="E80" s="271"/>
      <c r="F80" s="271"/>
      <c r="G80" s="271"/>
      <c r="H80" s="271"/>
    </row>
    <row r="81" spans="1:8">
      <c r="A81" s="271"/>
      <c r="B81" s="271"/>
      <c r="C81" s="271"/>
      <c r="D81" s="271"/>
      <c r="E81" s="271"/>
      <c r="F81" s="271"/>
      <c r="G81" s="271"/>
      <c r="H81" s="271"/>
    </row>
    <row r="82" spans="1:8" ht="15" thickBot="1">
      <c r="A82" s="271"/>
      <c r="B82" s="271"/>
      <c r="C82" s="271"/>
      <c r="D82" s="271"/>
      <c r="E82" s="271"/>
      <c r="F82" s="271"/>
      <c r="G82" s="271"/>
      <c r="H82" s="271"/>
    </row>
    <row r="83" spans="1:8">
      <c r="A83" s="964" t="s">
        <v>490</v>
      </c>
      <c r="B83" s="965"/>
      <c r="C83" s="965"/>
      <c r="D83" s="966"/>
      <c r="E83" s="271"/>
      <c r="F83" s="271"/>
      <c r="G83" s="271"/>
      <c r="H83" s="271"/>
    </row>
    <row r="84" spans="1:8" ht="15">
      <c r="A84" s="565" t="s">
        <v>421</v>
      </c>
      <c r="B84" s="566" t="s">
        <v>491</v>
      </c>
      <c r="C84" s="566" t="s">
        <v>493</v>
      </c>
      <c r="D84" s="567"/>
      <c r="E84" s="271"/>
      <c r="F84" s="271"/>
      <c r="G84" s="271"/>
      <c r="H84" s="271"/>
    </row>
    <row r="85" spans="1:8">
      <c r="A85" s="568" t="s">
        <v>492</v>
      </c>
      <c r="B85" s="579">
        <v>0</v>
      </c>
      <c r="C85" s="962" t="s">
        <v>494</v>
      </c>
      <c r="D85" s="963"/>
      <c r="E85" s="271"/>
      <c r="F85" s="271"/>
      <c r="G85" s="271"/>
      <c r="H85" s="271"/>
    </row>
    <row r="86" spans="1:8">
      <c r="A86" s="568" t="s">
        <v>524</v>
      </c>
      <c r="B86" s="579">
        <v>0.1</v>
      </c>
      <c r="C86" s="962" t="s">
        <v>495</v>
      </c>
      <c r="D86" s="963"/>
      <c r="E86" s="271"/>
      <c r="F86" s="271"/>
      <c r="G86" s="271"/>
      <c r="H86" s="271"/>
    </row>
    <row r="87" spans="1:8">
      <c r="A87" s="568" t="s">
        <v>525</v>
      </c>
      <c r="B87" s="579"/>
      <c r="C87" s="581"/>
      <c r="D87" s="582"/>
      <c r="E87" s="271"/>
      <c r="F87" s="271"/>
      <c r="G87" s="271"/>
      <c r="H87" s="271"/>
    </row>
    <row r="88" spans="1:8" ht="15" thickBot="1">
      <c r="A88" s="569" t="s">
        <v>496</v>
      </c>
      <c r="B88" s="580">
        <v>0.23</v>
      </c>
      <c r="C88" s="570"/>
      <c r="D88" s="571"/>
    </row>
    <row r="91" spans="1:8">
      <c r="B91" s="691" t="s">
        <v>419</v>
      </c>
      <c r="C91" s="196" t="s">
        <v>491</v>
      </c>
    </row>
    <row r="92" spans="1:8">
      <c r="B92" s="689">
        <v>2024</v>
      </c>
      <c r="C92" s="690">
        <v>0.23</v>
      </c>
    </row>
    <row r="93" spans="1:8">
      <c r="B93" s="689">
        <f>B92+1</f>
        <v>2025</v>
      </c>
      <c r="C93" s="690">
        <v>0.23</v>
      </c>
    </row>
    <row r="94" spans="1:8">
      <c r="B94" s="689">
        <f t="shared" ref="B94:B116" si="5">B93+1</f>
        <v>2026</v>
      </c>
      <c r="C94" s="690">
        <v>0.23</v>
      </c>
    </row>
    <row r="95" spans="1:8">
      <c r="B95" s="689">
        <f t="shared" si="5"/>
        <v>2027</v>
      </c>
      <c r="C95" s="690">
        <v>0.23</v>
      </c>
    </row>
    <row r="96" spans="1:8">
      <c r="B96" s="689">
        <f t="shared" si="5"/>
        <v>2028</v>
      </c>
      <c r="C96" s="690">
        <v>0.23</v>
      </c>
    </row>
    <row r="97" spans="2:3">
      <c r="B97" s="689">
        <f t="shared" si="5"/>
        <v>2029</v>
      </c>
      <c r="C97" s="690">
        <v>0.23</v>
      </c>
    </row>
    <row r="98" spans="2:3">
      <c r="B98" s="689">
        <f t="shared" si="5"/>
        <v>2030</v>
      </c>
      <c r="C98" s="690">
        <v>0.23</v>
      </c>
    </row>
    <row r="99" spans="2:3">
      <c r="B99" s="689">
        <f t="shared" si="5"/>
        <v>2031</v>
      </c>
      <c r="C99" s="690">
        <v>0.23</v>
      </c>
    </row>
    <row r="100" spans="2:3">
      <c r="B100" s="689">
        <f t="shared" si="5"/>
        <v>2032</v>
      </c>
      <c r="C100" s="690">
        <v>0.23</v>
      </c>
    </row>
    <row r="101" spans="2:3">
      <c r="B101" s="689">
        <f t="shared" si="5"/>
        <v>2033</v>
      </c>
      <c r="C101" s="690">
        <v>0.23</v>
      </c>
    </row>
    <row r="102" spans="2:3">
      <c r="B102" s="689">
        <f t="shared" si="5"/>
        <v>2034</v>
      </c>
      <c r="C102" s="690">
        <v>0.23</v>
      </c>
    </row>
    <row r="103" spans="2:3">
      <c r="B103" s="689">
        <f t="shared" si="5"/>
        <v>2035</v>
      </c>
      <c r="C103" s="690">
        <v>0.23</v>
      </c>
    </row>
    <row r="104" spans="2:3">
      <c r="B104" s="689">
        <f t="shared" si="5"/>
        <v>2036</v>
      </c>
      <c r="C104" s="690">
        <v>0.23</v>
      </c>
    </row>
    <row r="105" spans="2:3">
      <c r="B105" s="689">
        <f t="shared" si="5"/>
        <v>2037</v>
      </c>
      <c r="C105" s="690">
        <v>0.23</v>
      </c>
    </row>
    <row r="106" spans="2:3">
      <c r="B106" s="689">
        <f t="shared" si="5"/>
        <v>2038</v>
      </c>
      <c r="C106" s="690">
        <v>0.23</v>
      </c>
    </row>
    <row r="107" spans="2:3">
      <c r="B107" s="689">
        <f t="shared" si="5"/>
        <v>2039</v>
      </c>
      <c r="C107" s="690">
        <v>0.23</v>
      </c>
    </row>
    <row r="108" spans="2:3">
      <c r="B108" s="689">
        <f t="shared" si="5"/>
        <v>2040</v>
      </c>
      <c r="C108" s="690">
        <v>0.23</v>
      </c>
    </row>
    <row r="109" spans="2:3">
      <c r="B109" s="689">
        <f t="shared" si="5"/>
        <v>2041</v>
      </c>
      <c r="C109" s="690">
        <v>0.23</v>
      </c>
    </row>
    <row r="110" spans="2:3">
      <c r="B110" s="689">
        <f>B109+1</f>
        <v>2042</v>
      </c>
      <c r="C110" s="690">
        <v>0.23</v>
      </c>
    </row>
    <row r="111" spans="2:3">
      <c r="B111" s="689">
        <f t="shared" si="5"/>
        <v>2043</v>
      </c>
      <c r="C111" s="690">
        <v>0.23</v>
      </c>
    </row>
    <row r="112" spans="2:3">
      <c r="B112" s="689">
        <f t="shared" si="5"/>
        <v>2044</v>
      </c>
      <c r="C112" s="690">
        <v>0.23</v>
      </c>
    </row>
    <row r="113" spans="2:3">
      <c r="B113" s="689">
        <f t="shared" si="5"/>
        <v>2045</v>
      </c>
      <c r="C113" s="690">
        <v>0.23</v>
      </c>
    </row>
    <row r="114" spans="2:3">
      <c r="B114" s="689">
        <f t="shared" si="5"/>
        <v>2046</v>
      </c>
      <c r="C114" s="690">
        <v>0.23</v>
      </c>
    </row>
    <row r="115" spans="2:3">
      <c r="B115" s="689">
        <f t="shared" si="5"/>
        <v>2047</v>
      </c>
      <c r="C115" s="690">
        <v>0.23</v>
      </c>
    </row>
    <row r="116" spans="2:3">
      <c r="B116" s="689">
        <f t="shared" si="5"/>
        <v>2048</v>
      </c>
      <c r="C116" s="690">
        <v>0.23</v>
      </c>
    </row>
    <row r="117" spans="2:3">
      <c r="C117" s="945"/>
    </row>
    <row r="118" spans="2:3">
      <c r="B118" t="s">
        <v>606</v>
      </c>
      <c r="C118" t="s">
        <v>491</v>
      </c>
    </row>
    <row r="119" spans="2:3">
      <c r="B119" s="105">
        <v>0.49</v>
      </c>
      <c r="C119" s="209">
        <v>0.23</v>
      </c>
    </row>
    <row r="120" spans="2:3">
      <c r="B120" s="105">
        <v>0.74</v>
      </c>
      <c r="C120" s="209">
        <v>0.2</v>
      </c>
    </row>
    <row r="121" spans="2:3">
      <c r="B121" s="105">
        <v>0.9</v>
      </c>
      <c r="C121" s="209">
        <v>0.15</v>
      </c>
    </row>
    <row r="122" spans="2:3">
      <c r="B122" s="105"/>
      <c r="C122" s="209">
        <v>0.1</v>
      </c>
    </row>
  </sheetData>
  <sheetProtection algorithmName="SHA-512" hashValue="O8ee1EBMlvBEnZ7X+L413IRkF3L+MFzK83PYOv+lIgFhcbZF3jHZBU7XOuFgkbe62GghCSFrQ8BgZ/BJr8n9oA==" saltValue="s6IqGkEXgYnj95skx8v8bA==" spinCount="100000" sheet="1" selectLockedCells="1"/>
  <mergeCells count="11">
    <mergeCell ref="C85:D85"/>
    <mergeCell ref="C86:D86"/>
    <mergeCell ref="A83:D83"/>
    <mergeCell ref="A57:A58"/>
    <mergeCell ref="A72:C72"/>
    <mergeCell ref="A54:A55"/>
    <mergeCell ref="A14:F14"/>
    <mergeCell ref="A32:G32"/>
    <mergeCell ref="A34:B34"/>
    <mergeCell ref="A45:G45"/>
    <mergeCell ref="A51:A52"/>
  </mergeCells>
  <conditionalFormatting sqref="C59:J59">
    <cfRule type="containsText" dxfId="28" priority="1" operator="containsText" text="שגיאה">
      <formula>NOT(ISERROR(SEARCH("שגיאה",C59)))</formula>
    </cfRule>
  </conditionalFormatting>
  <hyperlinks>
    <hyperlink ref="A3" location="מנהל!A18" display="סוג פרוייקט" xr:uid="{00000000-0004-0000-0200-000000000000}"/>
    <hyperlink ref="A4" location="מנהל!A23" display="תת פרוייקט" xr:uid="{00000000-0004-0000-0200-000001000000}"/>
    <hyperlink ref="A5" location="מנהל!C18" display="מוקד תיירות" xr:uid="{00000000-0004-0000-0200-000002000000}"/>
    <hyperlink ref="A6" location="מנהל!A37" display="מקדמי עונה לינות" xr:uid="{00000000-0004-0000-0200-000003000000}"/>
    <hyperlink ref="A7" location="מנהל!C45" display="עונתיות מוקד" xr:uid="{00000000-0004-0000-0200-000004000000}"/>
    <hyperlink ref="A8" location="מנהל!B63" display="מחיר הון לפי מקור מימון" xr:uid="{00000000-0004-0000-0200-000005000000}"/>
    <hyperlink ref="A9" location="מנהל!B72" display="אחוז פחת לפי חוק" xr:uid="{00000000-0004-0000-0200-000006000000}"/>
    <hyperlink ref="A10" location="מנהל!B83" display="שיעורי מס" xr:uid="{00000000-0004-0000-0200-000007000000}"/>
  </hyperlinks>
  <pageMargins left="0.7" right="0.7" top="0.75" bottom="0.75" header="0.3" footer="0.3"/>
  <pageSetup paperSize="9" orientation="portrait" verticalDpi="0"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גיליון2"/>
  <dimension ref="A1:H70"/>
  <sheetViews>
    <sheetView showGridLines="0" rightToLeft="1" zoomScale="90" zoomScaleNormal="90" workbookViewId="0">
      <selection activeCell="B1" sqref="B1"/>
    </sheetView>
  </sheetViews>
  <sheetFormatPr defaultColWidth="0" defaultRowHeight="18" zeroHeight="1"/>
  <cols>
    <col min="1" max="1" width="20.625" style="264" customWidth="1"/>
    <col min="2" max="2" width="25.125" style="264" customWidth="1"/>
    <col min="3" max="3" width="16.25" style="264" customWidth="1"/>
    <col min="4" max="4" width="17.125" style="264" bestFit="1" customWidth="1"/>
    <col min="5" max="5" width="17" style="264" customWidth="1"/>
    <col min="6" max="6" width="16.75" style="264" customWidth="1"/>
    <col min="7" max="8" width="6.125" style="264" hidden="1" customWidth="1"/>
    <col min="9" max="16384" width="9" style="264" hidden="1"/>
  </cols>
  <sheetData>
    <row r="1" spans="1:6">
      <c r="A1" s="265" t="s">
        <v>0</v>
      </c>
      <c r="B1" s="544" t="s">
        <v>428</v>
      </c>
      <c r="D1" s="263" t="s">
        <v>15</v>
      </c>
    </row>
    <row r="2" spans="1:6">
      <c r="A2" s="266" t="s">
        <v>1</v>
      </c>
      <c r="B2" s="460"/>
      <c r="D2" s="268" t="s">
        <v>3</v>
      </c>
      <c r="E2" s="463"/>
    </row>
    <row r="3" spans="1:6">
      <c r="A3" s="266" t="s">
        <v>2</v>
      </c>
      <c r="B3" s="461"/>
      <c r="D3" s="268" t="s">
        <v>4</v>
      </c>
      <c r="E3" s="463"/>
    </row>
    <row r="4" spans="1:6">
      <c r="A4" s="266" t="s">
        <v>404</v>
      </c>
      <c r="B4" s="461"/>
      <c r="D4" s="268" t="s">
        <v>6</v>
      </c>
      <c r="E4" s="929"/>
    </row>
    <row r="5" spans="1:6">
      <c r="A5" s="266" t="s">
        <v>405</v>
      </c>
      <c r="B5" s="461"/>
      <c r="D5" s="268" t="s">
        <v>7</v>
      </c>
      <c r="E5" s="929"/>
    </row>
    <row r="6" spans="1:6">
      <c r="A6" s="266" t="s">
        <v>406</v>
      </c>
      <c r="B6" s="461"/>
      <c r="D6" s="268" t="s">
        <v>8</v>
      </c>
      <c r="E6" s="929"/>
    </row>
    <row r="7" spans="1:6">
      <c r="A7" s="266" t="s">
        <v>407</v>
      </c>
      <c r="B7" s="461"/>
    </row>
    <row r="8" spans="1:6">
      <c r="A8" s="266" t="s">
        <v>408</v>
      </c>
      <c r="B8" s="461"/>
      <c r="D8" s="264" t="s">
        <v>421</v>
      </c>
      <c r="E8" s="263" t="s">
        <v>422</v>
      </c>
      <c r="F8" s="263" t="s">
        <v>423</v>
      </c>
    </row>
    <row r="9" spans="1:6">
      <c r="A9" s="266" t="s">
        <v>411</v>
      </c>
      <c r="B9" s="461"/>
      <c r="D9" s="268" t="s">
        <v>9</v>
      </c>
      <c r="E9" s="929"/>
      <c r="F9" s="929"/>
    </row>
    <row r="10" spans="1:6">
      <c r="A10" s="266" t="s">
        <v>409</v>
      </c>
      <c r="B10" s="461"/>
      <c r="D10" s="268" t="s">
        <v>386</v>
      </c>
      <c r="E10" s="929"/>
      <c r="F10" s="929"/>
    </row>
    <row r="11" spans="1:6">
      <c r="A11" s="266" t="s">
        <v>410</v>
      </c>
      <c r="B11" s="461"/>
      <c r="D11" s="268" t="s">
        <v>7</v>
      </c>
      <c r="E11" s="929"/>
      <c r="F11" s="929"/>
    </row>
    <row r="12" spans="1:6">
      <c r="A12" s="266" t="s">
        <v>424</v>
      </c>
      <c r="B12" s="461"/>
      <c r="D12" s="268" t="s">
        <v>10</v>
      </c>
      <c r="E12" s="929"/>
      <c r="F12" s="929"/>
    </row>
    <row r="13" spans="1:6">
      <c r="A13" s="266" t="s">
        <v>412</v>
      </c>
      <c r="B13" s="461"/>
      <c r="D13" s="268" t="s">
        <v>8</v>
      </c>
      <c r="E13" s="929"/>
      <c r="F13" s="929"/>
    </row>
    <row r="14" spans="1:6">
      <c r="A14" s="267" t="s">
        <v>321</v>
      </c>
      <c r="B14" s="462"/>
    </row>
    <row r="15" spans="1:6">
      <c r="A15" s="688" t="s">
        <v>605</v>
      </c>
      <c r="B15" s="462"/>
    </row>
    <row r="16" spans="1:6">
      <c r="A16" s="688"/>
      <c r="B16" s="462"/>
      <c r="D16" s="286"/>
      <c r="E16" s="286"/>
      <c r="F16" s="286"/>
    </row>
    <row r="17" spans="1:6">
      <c r="A17" s="263" t="s">
        <v>5</v>
      </c>
      <c r="D17" s="286"/>
      <c r="E17" s="286"/>
      <c r="F17" s="286"/>
    </row>
    <row r="18" spans="1:6">
      <c r="A18" s="268" t="s">
        <v>3</v>
      </c>
      <c r="B18" s="463"/>
      <c r="D18" s="286"/>
      <c r="E18" s="286"/>
    </row>
    <row r="19" spans="1:6">
      <c r="A19" s="268" t="s">
        <v>4</v>
      </c>
      <c r="B19" s="463"/>
      <c r="D19" s="286"/>
      <c r="F19" s="286"/>
    </row>
    <row r="20" spans="1:6">
      <c r="A20" s="268" t="s">
        <v>6</v>
      </c>
      <c r="B20" s="463"/>
      <c r="D20" s="286"/>
      <c r="E20" s="286"/>
      <c r="F20" s="286"/>
    </row>
    <row r="21" spans="1:6">
      <c r="A21" s="268" t="s">
        <v>7</v>
      </c>
      <c r="B21" s="463"/>
      <c r="E21" s="286"/>
      <c r="F21" s="286"/>
    </row>
    <row r="22" spans="1:6">
      <c r="A22" s="268" t="s">
        <v>8</v>
      </c>
      <c r="B22" s="463"/>
      <c r="D22" s="286"/>
      <c r="E22" s="286"/>
      <c r="F22" s="286"/>
    </row>
    <row r="23" spans="1:6">
      <c r="D23" s="286"/>
      <c r="E23" s="286"/>
      <c r="F23" s="286"/>
    </row>
    <row r="24" spans="1:6">
      <c r="A24" s="287" t="s">
        <v>11</v>
      </c>
      <c r="B24" s="268">
        <v>1</v>
      </c>
      <c r="C24" s="268">
        <v>2</v>
      </c>
      <c r="D24" s="268">
        <v>3</v>
      </c>
      <c r="E24" s="268">
        <v>4</v>
      </c>
      <c r="F24" s="268" t="s">
        <v>102</v>
      </c>
    </row>
    <row r="25" spans="1:6">
      <c r="A25" s="268" t="s">
        <v>12</v>
      </c>
      <c r="B25" s="463"/>
      <c r="C25" s="463"/>
      <c r="D25" s="463"/>
      <c r="E25" s="463"/>
      <c r="F25" s="268"/>
    </row>
    <row r="26" spans="1:6">
      <c r="A26" s="268" t="s">
        <v>13</v>
      </c>
      <c r="B26" s="464"/>
      <c r="C26" s="464"/>
      <c r="D26" s="464"/>
      <c r="E26" s="464"/>
      <c r="F26" s="545">
        <f>SUM(B26:E26)</f>
        <v>0</v>
      </c>
    </row>
    <row r="27" spans="1:6" ht="17.45" customHeight="1">
      <c r="A27" s="268" t="s">
        <v>424</v>
      </c>
      <c r="B27" s="693"/>
      <c r="C27" s="693"/>
      <c r="D27" s="693"/>
      <c r="E27" s="693"/>
      <c r="F27" s="545"/>
    </row>
    <row r="28" spans="1:6">
      <c r="A28" s="268" t="s">
        <v>14</v>
      </c>
      <c r="B28" s="463"/>
      <c r="C28" s="463"/>
      <c r="D28" s="463"/>
      <c r="E28" s="463"/>
      <c r="F28" s="268"/>
    </row>
    <row r="29" spans="1:6" ht="39.75" customHeight="1">
      <c r="A29" s="970" t="str">
        <f>IF(F26=100%," ","בדוק אחוזי בעלות, לא תקין")</f>
        <v>בדוק אחוזי בעלות, לא תקין</v>
      </c>
      <c r="B29" s="971"/>
      <c r="C29" s="971"/>
      <c r="D29" s="971"/>
      <c r="E29" s="971"/>
      <c r="F29" s="971"/>
    </row>
    <row r="30" spans="1:6" hidden="1">
      <c r="A30" s="264" t="s">
        <v>607</v>
      </c>
      <c r="B30" s="694">
        <f>IF(B27="כן",B26,0)</f>
        <v>0</v>
      </c>
      <c r="C30" s="694">
        <f>IF(C27="כן",C26,0)</f>
        <v>0</v>
      </c>
      <c r="D30" s="694">
        <f>IF(D27="כן",D26,0)</f>
        <v>0</v>
      </c>
      <c r="E30" s="694">
        <f>IF(E27="כן",E26,0)</f>
        <v>0</v>
      </c>
      <c r="F30" s="695">
        <f>SUM(B30:E30)</f>
        <v>0</v>
      </c>
    </row>
    <row r="31" spans="1:6"/>
    <row r="32" spans="1:6"/>
    <row r="33"/>
    <row r="34"/>
    <row r="35"/>
    <row r="36"/>
    <row r="37"/>
    <row r="38"/>
    <row r="39"/>
    <row r="40"/>
    <row r="54" spans="1:6" hidden="1">
      <c r="A54" s="969" t="s">
        <v>425</v>
      </c>
      <c r="B54" s="969"/>
      <c r="C54" s="969"/>
      <c r="D54" s="969"/>
      <c r="E54" s="969"/>
      <c r="F54" s="969"/>
    </row>
    <row r="57" spans="1:6" hidden="1">
      <c r="A57" s="263" t="s">
        <v>404</v>
      </c>
      <c r="C57" s="263" t="s">
        <v>321</v>
      </c>
      <c r="E57" s="263" t="s">
        <v>427</v>
      </c>
    </row>
    <row r="58" spans="1:6" ht="26.25" hidden="1">
      <c r="A58" s="285" t="str">
        <f>מנהל!A18</f>
        <v>מלון</v>
      </c>
      <c r="C58" s="285" t="str">
        <f>מנהל!C18</f>
        <v>אילת</v>
      </c>
      <c r="E58" s="692" t="str">
        <f>מנהל!E18</f>
        <v>כן</v>
      </c>
    </row>
    <row r="59" spans="1:6" ht="26.25" hidden="1">
      <c r="A59" s="285" t="s">
        <v>604</v>
      </c>
      <c r="C59" s="285" t="str">
        <f>מנהל!C19</f>
        <v>ים המלח</v>
      </c>
      <c r="E59" s="692" t="str">
        <f>מנהל!E19</f>
        <v>לא</v>
      </c>
    </row>
    <row r="60" spans="1:6" hidden="1">
      <c r="C60" s="285" t="str">
        <f>מנהל!C20</f>
        <v>ירושלים</v>
      </c>
    </row>
    <row r="61" spans="1:6" hidden="1">
      <c r="C61" s="285" t="str">
        <f>מנהל!C21</f>
        <v>החוף</v>
      </c>
    </row>
    <row r="62" spans="1:6" hidden="1">
      <c r="A62" s="263" t="s">
        <v>426</v>
      </c>
      <c r="C62" s="285" t="str">
        <f>מנהל!C22</f>
        <v>צפון - כנרת - גליל</v>
      </c>
    </row>
    <row r="63" spans="1:6" hidden="1">
      <c r="A63" s="285" t="str">
        <f>מנהל!A23</f>
        <v>הקמה</v>
      </c>
      <c r="C63" s="285" t="str">
        <f>מנהל!C23</f>
        <v>דרום ואחר</v>
      </c>
    </row>
    <row r="64" spans="1:6" hidden="1">
      <c r="A64" s="285" t="str">
        <f>מנהל!A24</f>
        <v>השבחה</v>
      </c>
      <c r="C64" s="285" t="str">
        <f>מנהל!C24</f>
        <v>תל אביב - יפו</v>
      </c>
    </row>
    <row r="65" spans="1:3" hidden="1">
      <c r="A65" s="285" t="str">
        <f>מנהל!A25</f>
        <v>הרחבה</v>
      </c>
      <c r="C65" s="285" t="str">
        <f>מנהל!C25</f>
        <v>אחר</v>
      </c>
    </row>
    <row r="66" spans="1:3" hidden="1">
      <c r="A66" s="285" t="str">
        <f>מנהל!A26</f>
        <v>הסבה</v>
      </c>
    </row>
    <row r="67" spans="1:3" hidden="1">
      <c r="A67" s="285" t="str">
        <f>מנהל!A27</f>
        <v>שימור</v>
      </c>
    </row>
    <row r="68" spans="1:3" hidden="1">
      <c r="A68" s="285" t="str">
        <f>מנהל!A28</f>
        <v>השבה</v>
      </c>
    </row>
    <row r="70" spans="1:3"/>
  </sheetData>
  <sheetProtection algorithmName="SHA-512" hashValue="Ih2Xzs+3Z1COyeyNgpZkiFszug8MhiLm7Dw+wfA9yk0rWUSknlZBg6uNmVCH9THJLf9tRB1l3qxQA2DRZjq2KQ==" saltValue="GZVU8NtqdaMDtziVBVFZXQ==" spinCount="100000" sheet="1" selectLockedCells="1"/>
  <mergeCells count="2">
    <mergeCell ref="A54:F54"/>
    <mergeCell ref="A29:F29"/>
  </mergeCells>
  <conditionalFormatting sqref="A29">
    <cfRule type="containsText" dxfId="27" priority="1" operator="containsText" text="ב">
      <formula>NOT(ISERROR(SEARCH("ב",A29)))</formula>
    </cfRule>
  </conditionalFormatting>
  <dataValidations count="7">
    <dataValidation type="list" showInputMessage="1" showErrorMessage="1" error="נתון לא חוקי_x000a_יש לבחור כן/לא" sqref="B12:B13 B6" xr:uid="{00000000-0002-0000-0300-000000000000}">
      <formula1>$E$58:$E$59</formula1>
    </dataValidation>
    <dataValidation type="list" allowBlank="1" showInputMessage="1" showErrorMessage="1" prompt="בחר מתוך הרשימה" sqref="B4" xr:uid="{00000000-0002-0000-0300-000001000000}">
      <formula1>$A$58:$A$59</formula1>
    </dataValidation>
    <dataValidation type="date" allowBlank="1" showInputMessage="1" showErrorMessage="1" promptTitle="הקש תאריך בפורמט dd/mm/yyyy" prompt="הקש תאריך בפורמט dd/mm/yyyy" sqref="B2" xr:uid="{00000000-0002-0000-0300-000002000000}">
      <formula1>36526</formula1>
      <formula2>72686</formula2>
    </dataValidation>
    <dataValidation type="list" showInputMessage="1" showErrorMessage="1" sqref="B5" xr:uid="{00000000-0002-0000-0300-000003000000}">
      <formula1>$A$63:$A$68</formula1>
    </dataValidation>
    <dataValidation type="list" allowBlank="1" showInputMessage="1" showErrorMessage="1" prompt="בחר את איזור שיוך מהרשימה" sqref="B14" xr:uid="{00000000-0002-0000-0300-000004000000}">
      <formula1>$C$58:$C$65</formula1>
    </dataValidation>
    <dataValidation allowBlank="1" showInputMessage="1" showErrorMessage="1" prompt="הקש שנה שלמה בלבד" sqref="B15" xr:uid="{00000000-0002-0000-0300-000005000000}"/>
    <dataValidation type="list" allowBlank="1" showInputMessage="1" showErrorMessage="1" sqref="B27:E27" xr:uid="{00000000-0002-0000-0300-000006000000}">
      <formula1>$E$58:$E$59</formula1>
    </dataValidation>
  </dataValidations>
  <printOptions horizontalCentered="1"/>
  <pageMargins left="0" right="0" top="0.74803149606299213" bottom="0.74803149606299213" header="0.31496062992125984" footer="0.31496062992125984"/>
  <pageSetup scale="94" orientation="portrait" r:id="rId1"/>
  <headerFooter>
    <oddHeader>&amp;C&amp;"-,מודגש"&amp;14&amp;Eנתוני חברה</oddHeader>
    <oddFooter>&amp;L&amp;F&amp;C&amp;D</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גיליון3"/>
  <dimension ref="A1:G101"/>
  <sheetViews>
    <sheetView showGridLines="0" rightToLeft="1" zoomScaleNormal="100" workbookViewId="0">
      <selection activeCell="B2" sqref="B2"/>
    </sheetView>
  </sheetViews>
  <sheetFormatPr defaultColWidth="0" defaultRowHeight="14.25" zeroHeight="1"/>
  <cols>
    <col min="1" max="1" width="29.25" bestFit="1" customWidth="1"/>
    <col min="2" max="2" width="24.375" customWidth="1"/>
    <col min="3" max="3" width="14" customWidth="1"/>
    <col min="4" max="4" width="21" hidden="1" customWidth="1"/>
    <col min="5" max="5" width="12" hidden="1" customWidth="1"/>
    <col min="6" max="6" width="9" hidden="1" customWidth="1"/>
    <col min="7" max="7" width="0" hidden="1" customWidth="1"/>
    <col min="8" max="16384" width="9" hidden="1"/>
  </cols>
  <sheetData>
    <row r="1" spans="1:7" ht="15.75">
      <c r="A1" s="301"/>
      <c r="B1" s="299"/>
    </row>
    <row r="2" spans="1:7" ht="15">
      <c r="A2" s="298" t="s">
        <v>16</v>
      </c>
      <c r="B2" s="456"/>
    </row>
    <row r="3" spans="1:7" ht="15">
      <c r="A3" s="298" t="s">
        <v>17</v>
      </c>
      <c r="B3" s="457"/>
    </row>
    <row r="4" spans="1:7" ht="15">
      <c r="A4" s="298" t="s">
        <v>19</v>
      </c>
      <c r="B4" s="457"/>
    </row>
    <row r="5" spans="1:7" ht="15">
      <c r="A5" s="298" t="s">
        <v>18</v>
      </c>
      <c r="B5" s="457"/>
    </row>
    <row r="6" spans="1:7" ht="18">
      <c r="A6" s="298" t="s">
        <v>20</v>
      </c>
      <c r="B6" s="457"/>
      <c r="G6" s="75"/>
    </row>
    <row r="7" spans="1:7" ht="18">
      <c r="A7" s="298" t="s">
        <v>394</v>
      </c>
      <c r="B7" s="457"/>
      <c r="G7" s="75"/>
    </row>
    <row r="8" spans="1:7" ht="18">
      <c r="A8" s="298" t="s">
        <v>395</v>
      </c>
      <c r="B8" s="457"/>
      <c r="G8" s="75"/>
    </row>
    <row r="9" spans="1:7" ht="15">
      <c r="A9" s="298" t="s">
        <v>21</v>
      </c>
      <c r="B9" s="457"/>
      <c r="C9" s="179"/>
    </row>
    <row r="10" spans="1:7" ht="15">
      <c r="A10" s="298" t="s">
        <v>22</v>
      </c>
      <c r="B10" s="457"/>
    </row>
    <row r="11" spans="1:7" ht="15">
      <c r="A11" s="298" t="s">
        <v>34</v>
      </c>
      <c r="B11" s="458" t="e">
        <f>VLOOKUP(B2,'תקרת השקעה'!A5:C32,3,0)</f>
        <v>#N/A</v>
      </c>
    </row>
    <row r="12" spans="1:7" ht="15">
      <c r="A12" s="298" t="s">
        <v>35</v>
      </c>
      <c r="B12" s="459">
        <f>IF('נתוני חברה'!$B$6="כן",120%,IF('נתוני חברה'!$B$5="הסבה",60%,IF('נתוני חברה'!$B$5="השבה",60%,100%)))</f>
        <v>1</v>
      </c>
    </row>
    <row r="13" spans="1:7" ht="15">
      <c r="A13" s="298" t="s">
        <v>145</v>
      </c>
      <c r="B13" s="457"/>
    </row>
    <row r="14" spans="1:7" ht="15">
      <c r="A14" s="299"/>
      <c r="B14" s="296"/>
    </row>
    <row r="15" spans="1:7" ht="15.75">
      <c r="A15" s="300" t="s">
        <v>23</v>
      </c>
      <c r="B15" s="297" t="s">
        <v>25</v>
      </c>
      <c r="C15" s="1"/>
      <c r="D15" s="282"/>
      <c r="E15" s="283"/>
      <c r="F15" s="283"/>
    </row>
    <row r="16" spans="1:7" ht="15">
      <c r="A16" s="298" t="s">
        <v>24</v>
      </c>
      <c r="B16" s="457"/>
      <c r="C16" s="302"/>
      <c r="D16" s="284"/>
      <c r="E16" s="284"/>
      <c r="F16" s="284"/>
    </row>
    <row r="17" spans="1:6" ht="15">
      <c r="A17" s="298" t="s">
        <v>28</v>
      </c>
      <c r="B17" s="457"/>
      <c r="C17" s="302"/>
      <c r="D17" s="284"/>
      <c r="E17" s="284"/>
      <c r="F17" s="105"/>
    </row>
    <row r="18" spans="1:6" ht="15">
      <c r="A18" s="298" t="s">
        <v>29</v>
      </c>
      <c r="B18" s="457"/>
      <c r="C18" s="302"/>
      <c r="D18" s="284"/>
      <c r="E18" s="284"/>
      <c r="F18" s="105"/>
    </row>
    <row r="19" spans="1:6" ht="15">
      <c r="A19" s="298" t="s">
        <v>30</v>
      </c>
      <c r="B19" s="457"/>
      <c r="C19" s="302"/>
      <c r="D19" s="284"/>
      <c r="E19" s="284"/>
      <c r="F19" s="105"/>
    </row>
    <row r="20" spans="1:6" ht="15">
      <c r="A20" s="298" t="s">
        <v>26</v>
      </c>
      <c r="B20" s="457"/>
      <c r="C20" s="302"/>
      <c r="D20" s="284"/>
      <c r="E20" s="284"/>
      <c r="F20" s="105"/>
    </row>
    <row r="21" spans="1:6" ht="15">
      <c r="A21" s="298" t="s">
        <v>27</v>
      </c>
      <c r="B21" s="457"/>
      <c r="C21" s="302"/>
      <c r="D21" s="284"/>
      <c r="E21" s="284"/>
      <c r="F21" s="105"/>
    </row>
    <row r="22" spans="1:6" ht="15">
      <c r="A22" s="298" t="s">
        <v>31</v>
      </c>
      <c r="B22" s="457"/>
      <c r="C22" s="302"/>
      <c r="D22" s="284"/>
      <c r="E22" s="284"/>
      <c r="F22" s="105"/>
    </row>
    <row r="23" spans="1:6" ht="15">
      <c r="A23" s="304" t="s">
        <v>33</v>
      </c>
      <c r="B23" s="458">
        <f>SUM(B16:B22)</f>
        <v>0</v>
      </c>
      <c r="C23" s="302"/>
    </row>
    <row r="24" spans="1:6" ht="15">
      <c r="A24" s="304" t="s">
        <v>273</v>
      </c>
      <c r="B24" s="458">
        <f>B23-B16</f>
        <v>0</v>
      </c>
      <c r="C24" s="302"/>
    </row>
    <row r="25" spans="1:6" ht="15">
      <c r="A25" s="298"/>
      <c r="B25" s="303"/>
    </row>
    <row r="26" spans="1:6" ht="15">
      <c r="A26" s="304" t="s">
        <v>397</v>
      </c>
      <c r="B26" s="305" t="e">
        <f>B3*B11*B12</f>
        <v>#N/A</v>
      </c>
    </row>
    <row r="27" spans="1:6" ht="15">
      <c r="A27" s="298"/>
      <c r="B27" s="298"/>
    </row>
    <row r="28" spans="1:6" ht="15">
      <c r="A28" s="306" t="s">
        <v>429</v>
      </c>
      <c r="B28" s="307" t="e">
        <f>B26/B24</f>
        <v>#N/A</v>
      </c>
    </row>
    <row r="29" spans="1:6" ht="45" customHeight="1">
      <c r="A29" s="298" t="s">
        <v>274</v>
      </c>
      <c r="B29" s="973" t="e">
        <f>IF(B28&lt;1,"חריגה מתקרה מאושרת - שים לב","עומד בתקרת השקעה מאושרת")</f>
        <v>#N/A</v>
      </c>
      <c r="C29" s="974"/>
    </row>
    <row r="30" spans="1:6"/>
    <row r="31" spans="1:6"/>
    <row r="36" spans="2:2" hidden="1">
      <c r="B36" s="269"/>
    </row>
    <row r="37" spans="2:2" hidden="1">
      <c r="B37" s="269"/>
    </row>
    <row r="50" spans="1:2" ht="15.75" hidden="1">
      <c r="A50" s="972" t="s">
        <v>396</v>
      </c>
      <c r="B50" s="972"/>
    </row>
    <row r="51" spans="1:2" ht="15" hidden="1">
      <c r="A51" s="1" t="s">
        <v>36</v>
      </c>
    </row>
    <row r="52" spans="1:2" hidden="1">
      <c r="A52" s="38" t="s">
        <v>16</v>
      </c>
      <c r="B52" s="38"/>
    </row>
    <row r="53" spans="1:2" hidden="1">
      <c r="A53" s="38" t="s">
        <v>17</v>
      </c>
      <c r="B53" s="38"/>
    </row>
    <row r="54" spans="1:2" hidden="1">
      <c r="A54" s="38" t="s">
        <v>19</v>
      </c>
      <c r="B54" s="38"/>
    </row>
    <row r="55" spans="1:2" hidden="1">
      <c r="A55" s="38" t="s">
        <v>18</v>
      </c>
      <c r="B55" s="38"/>
    </row>
    <row r="56" spans="1:2" hidden="1">
      <c r="A56" s="38" t="s">
        <v>20</v>
      </c>
      <c r="B56" s="38"/>
    </row>
    <row r="57" spans="1:2" hidden="1">
      <c r="A57" s="38" t="s">
        <v>394</v>
      </c>
      <c r="B57" s="38"/>
    </row>
    <row r="58" spans="1:2" hidden="1">
      <c r="A58" s="38" t="s">
        <v>395</v>
      </c>
      <c r="B58" s="38"/>
    </row>
    <row r="59" spans="1:2" hidden="1">
      <c r="A59" s="38" t="s">
        <v>21</v>
      </c>
      <c r="B59" s="38"/>
    </row>
    <row r="60" spans="1:2" hidden="1">
      <c r="A60" s="38" t="s">
        <v>22</v>
      </c>
      <c r="B60" s="38"/>
    </row>
    <row r="73" spans="1:1" ht="15.75" hidden="1">
      <c r="A73" s="8"/>
    </row>
    <row r="74" spans="1:1" ht="15.75" hidden="1">
      <c r="A74" s="67" t="s">
        <v>42</v>
      </c>
    </row>
    <row r="75" spans="1:1" ht="15.75" hidden="1">
      <c r="A75" s="67" t="s">
        <v>43</v>
      </c>
    </row>
    <row r="76" spans="1:1" ht="15.75" hidden="1">
      <c r="A76" s="67" t="s">
        <v>44</v>
      </c>
    </row>
    <row r="77" spans="1:1" ht="15.75" hidden="1">
      <c r="A77" s="67" t="s">
        <v>45</v>
      </c>
    </row>
    <row r="78" spans="1:1" ht="15.75" hidden="1">
      <c r="A78" s="67" t="s">
        <v>46</v>
      </c>
    </row>
    <row r="79" spans="1:1" ht="15.75" hidden="1">
      <c r="A79" s="67" t="s">
        <v>47</v>
      </c>
    </row>
    <row r="80" spans="1:1" ht="15.75" hidden="1">
      <c r="A80" s="67" t="s">
        <v>48</v>
      </c>
    </row>
    <row r="81" spans="1:1" ht="15.75" hidden="1">
      <c r="A81" s="67" t="s">
        <v>49</v>
      </c>
    </row>
    <row r="82" spans="1:1" ht="15.75" hidden="1">
      <c r="A82" s="6"/>
    </row>
    <row r="83" spans="1:1" ht="15.75" hidden="1">
      <c r="A83" s="68" t="s">
        <v>50</v>
      </c>
    </row>
    <row r="84" spans="1:1" ht="15.75" hidden="1">
      <c r="A84" s="68" t="s">
        <v>51</v>
      </c>
    </row>
    <row r="85" spans="1:1" ht="15.75" hidden="1">
      <c r="A85" s="68" t="s">
        <v>52</v>
      </c>
    </row>
    <row r="86" spans="1:1" ht="15.75" hidden="1">
      <c r="A86" s="68" t="s">
        <v>53</v>
      </c>
    </row>
    <row r="87" spans="1:1" ht="15.75" hidden="1">
      <c r="A87" s="6"/>
    </row>
    <row r="88" spans="1:1" ht="15.75" hidden="1">
      <c r="A88" s="67" t="s">
        <v>54</v>
      </c>
    </row>
    <row r="89" spans="1:1" ht="15.75" hidden="1">
      <c r="A89" s="67" t="s">
        <v>55</v>
      </c>
    </row>
    <row r="90" spans="1:1" ht="15.75" hidden="1">
      <c r="A90" s="67" t="s">
        <v>56</v>
      </c>
    </row>
    <row r="91" spans="1:1" ht="15.75" hidden="1">
      <c r="A91" s="67" t="s">
        <v>57</v>
      </c>
    </row>
    <row r="92" spans="1:1" ht="15.75" hidden="1">
      <c r="A92" s="6"/>
    </row>
    <row r="93" spans="1:1" ht="15.75" hidden="1">
      <c r="A93" s="68" t="s">
        <v>58</v>
      </c>
    </row>
    <row r="94" spans="1:1" ht="15.75" hidden="1">
      <c r="A94" s="68" t="s">
        <v>59</v>
      </c>
    </row>
    <row r="95" spans="1:1" ht="15.75" hidden="1">
      <c r="A95" s="68" t="s">
        <v>60</v>
      </c>
    </row>
    <row r="96" spans="1:1" ht="15.75" hidden="1">
      <c r="A96" s="68" t="s">
        <v>61</v>
      </c>
    </row>
    <row r="97" spans="1:1" ht="15.75" hidden="1">
      <c r="A97" s="6"/>
    </row>
    <row r="98" spans="1:1" ht="15.75" hidden="1">
      <c r="A98" s="67" t="s">
        <v>62</v>
      </c>
    </row>
    <row r="99" spans="1:1" ht="15.75" hidden="1">
      <c r="A99" s="67" t="s">
        <v>63</v>
      </c>
    </row>
    <row r="100" spans="1:1" ht="15.75" hidden="1">
      <c r="A100" s="6"/>
    </row>
    <row r="101" spans="1:1" ht="15.75" hidden="1">
      <c r="A101" s="69" t="s">
        <v>64</v>
      </c>
    </row>
  </sheetData>
  <sheetProtection algorithmName="SHA-512" hashValue="0KUhHMc0XkAbTjmz750AnwWW5tp0d+L1ZKRXDL4FdOXYBAMKPhzqyY67SFQjmvcDEYmG9t0th3R2WLfJ65plVA==" saltValue="vu2dggcwI+6zU3ZknNLoVA==" spinCount="100000" sheet="1" objects="1" scenarios="1" selectLockedCells="1"/>
  <mergeCells count="2">
    <mergeCell ref="A50:B50"/>
    <mergeCell ref="B29:C29"/>
  </mergeCells>
  <conditionalFormatting sqref="B29">
    <cfRule type="cellIs" dxfId="26" priority="1" stopIfTrue="1" operator="lessThan">
      <formula>$B$28&gt;1</formula>
    </cfRule>
  </conditionalFormatting>
  <dataValidations count="1">
    <dataValidation type="list" allowBlank="1" showInputMessage="1" showErrorMessage="1" prompt="בחר מתוך הרשימה" sqref="B2" xr:uid="{00000000-0002-0000-0400-000000000000}">
      <formula1>$A$73:$A$101</formula1>
    </dataValidation>
  </dataValidations>
  <pageMargins left="0.70866141732283472" right="0.70866141732283472" top="0.74803149606299213" bottom="0.74803149606299213" header="0.31496062992125984" footer="0.31496062992125984"/>
  <pageSetup orientation="portrait" verticalDpi="0" r:id="rId1"/>
  <headerFooter>
    <oddHeader xml:space="preserve">&amp;C&amp;"-,מודגש"&amp;14&amp;Eתוכנה לסקר כלכלי
נתוני הקמה
</oddHeader>
    <oddFooter>&amp;L&amp;F&amp;C&amp;D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גיליון4"/>
  <dimension ref="A1:X52"/>
  <sheetViews>
    <sheetView showGridLines="0" rightToLeft="1" topLeftCell="A2" zoomScale="90" zoomScaleNormal="90" workbookViewId="0">
      <selection activeCell="D3" sqref="D3"/>
    </sheetView>
  </sheetViews>
  <sheetFormatPr defaultColWidth="0" defaultRowHeight="15.75" zeroHeight="1"/>
  <cols>
    <col min="1" max="1" width="46.375" style="4" customWidth="1"/>
    <col min="2" max="2" width="12" style="25" hidden="1" customWidth="1"/>
    <col min="3" max="3" width="29" style="4" bestFit="1" customWidth="1"/>
    <col min="4" max="4" width="4.125" style="4" bestFit="1" customWidth="1"/>
    <col min="5" max="5" width="13.75" style="5" customWidth="1"/>
    <col min="6" max="8" width="9" style="4" hidden="1" customWidth="1"/>
    <col min="9" max="9" width="13.375" style="4" hidden="1" customWidth="1"/>
    <col min="10" max="19" width="9" style="4" hidden="1" customWidth="1"/>
    <col min="20" max="20" width="38.75" style="4" hidden="1" customWidth="1"/>
    <col min="21" max="21" width="37.375" style="4" hidden="1" customWidth="1"/>
    <col min="22" max="22" width="35.25" style="4" hidden="1" customWidth="1"/>
    <col min="23" max="24" width="11.25" style="4" hidden="1" customWidth="1"/>
    <col min="25" max="16384" width="9" style="4" hidden="1"/>
  </cols>
  <sheetData>
    <row r="1" spans="1:5" ht="9" hidden="1" customHeight="1">
      <c r="A1" s="2"/>
      <c r="B1" s="3"/>
      <c r="C1" s="319" t="s">
        <v>440</v>
      </c>
    </row>
    <row r="2" spans="1:5">
      <c r="A2" s="6" t="s">
        <v>38</v>
      </c>
      <c r="B2" s="7"/>
      <c r="C2" s="6" t="s">
        <v>39</v>
      </c>
    </row>
    <row r="3" spans="1:5" ht="21.95" customHeight="1">
      <c r="A3" s="946">
        <v>45383</v>
      </c>
      <c r="B3" s="947"/>
      <c r="C3" s="948">
        <v>352.50650000000002</v>
      </c>
    </row>
    <row r="4" spans="1:5" s="10" customFormat="1">
      <c r="A4" s="318" t="s">
        <v>108</v>
      </c>
      <c r="B4" s="9" t="s">
        <v>40</v>
      </c>
      <c r="C4" s="8" t="s">
        <v>41</v>
      </c>
      <c r="D4" s="10" t="s">
        <v>16</v>
      </c>
    </row>
    <row r="5" spans="1:5" ht="21.75" customHeight="1">
      <c r="A5" s="6" t="s">
        <v>42</v>
      </c>
      <c r="B5" s="11">
        <v>3252.589453861</v>
      </c>
      <c r="C5" s="12">
        <f>B5*C3</f>
        <v>1146558.9243174526</v>
      </c>
      <c r="D5" s="4" t="s">
        <v>456</v>
      </c>
      <c r="E5" s="4"/>
    </row>
    <row r="6" spans="1:5" ht="21.75" customHeight="1">
      <c r="A6" s="6" t="s">
        <v>43</v>
      </c>
      <c r="B6" s="11">
        <v>2868.879472693</v>
      </c>
      <c r="C6" s="12">
        <f>B6*C3</f>
        <v>1011298.661840855</v>
      </c>
      <c r="D6" s="4" t="s">
        <v>456</v>
      </c>
      <c r="E6" s="4"/>
    </row>
    <row r="7" spans="1:5" ht="21.75" customHeight="1">
      <c r="A7" s="6" t="s">
        <v>44</v>
      </c>
      <c r="B7" s="11">
        <v>2412.1233521660001</v>
      </c>
      <c r="C7" s="12">
        <f>B7*C3</f>
        <v>850289.1604403042</v>
      </c>
      <c r="D7" s="4" t="s">
        <v>457</v>
      </c>
      <c r="E7" s="4"/>
    </row>
    <row r="8" spans="1:5" ht="21.75" customHeight="1">
      <c r="A8" s="6" t="s">
        <v>45</v>
      </c>
      <c r="B8" s="11">
        <v>2079.3079099050001</v>
      </c>
      <c r="C8" s="12">
        <f>B8*C3</f>
        <v>732969.55374292692</v>
      </c>
      <c r="D8" s="4" t="s">
        <v>457</v>
      </c>
      <c r="E8" s="4"/>
    </row>
    <row r="9" spans="1:5" ht="21.75" customHeight="1">
      <c r="A9" s="6" t="s">
        <v>46</v>
      </c>
      <c r="B9" s="11">
        <v>1690.4896421850001</v>
      </c>
      <c r="C9" s="12">
        <f>B9*C3</f>
        <v>595908.58705288672</v>
      </c>
      <c r="D9" s="4" t="s">
        <v>458</v>
      </c>
      <c r="E9" s="4"/>
    </row>
    <row r="10" spans="1:5" ht="21.75" customHeight="1">
      <c r="A10" s="6" t="s">
        <v>47</v>
      </c>
      <c r="B10" s="11">
        <v>1444.7269303200001</v>
      </c>
      <c r="C10" s="12">
        <f>B10*C3</f>
        <v>509275.6336628471</v>
      </c>
      <c r="D10" s="4" t="s">
        <v>458</v>
      </c>
      <c r="E10" s="4"/>
    </row>
    <row r="11" spans="1:5" ht="21.75" customHeight="1">
      <c r="A11" s="6" t="s">
        <v>48</v>
      </c>
      <c r="B11" s="11">
        <v>1303.790018832</v>
      </c>
      <c r="C11" s="12">
        <f>B11*C3</f>
        <v>459594.45627340244</v>
      </c>
      <c r="D11" s="4" t="s">
        <v>459</v>
      </c>
      <c r="E11" s="4"/>
    </row>
    <row r="12" spans="1:5" ht="21.75" customHeight="1">
      <c r="A12" s="6" t="s">
        <v>49</v>
      </c>
      <c r="B12" s="11">
        <v>1056.4500941619999</v>
      </c>
      <c r="C12" s="12">
        <f>B12*C3</f>
        <v>372405.52511771704</v>
      </c>
      <c r="D12" s="4" t="s">
        <v>459</v>
      </c>
      <c r="E12" s="4"/>
    </row>
    <row r="13" spans="1:5" ht="9" customHeight="1">
      <c r="A13" s="320"/>
      <c r="B13" s="321"/>
      <c r="C13" s="322"/>
      <c r="E13" s="4"/>
    </row>
    <row r="14" spans="1:5" ht="21.75" customHeight="1">
      <c r="A14" s="6" t="s">
        <v>50</v>
      </c>
      <c r="B14" s="11">
        <v>3383.2391713749998</v>
      </c>
      <c r="C14" s="12">
        <f>B14*C3</f>
        <v>1192613.7989643014</v>
      </c>
      <c r="D14" s="4" t="s">
        <v>456</v>
      </c>
      <c r="E14" s="4"/>
    </row>
    <row r="15" spans="1:5" ht="21.75" customHeight="1">
      <c r="A15" s="6" t="s">
        <v>51</v>
      </c>
      <c r="B15" s="11">
        <v>2996.6807909600002</v>
      </c>
      <c r="C15" s="12">
        <f>B15*C3</f>
        <v>1056349.4572385415</v>
      </c>
      <c r="D15" s="4" t="s">
        <v>456</v>
      </c>
      <c r="E15" s="4"/>
    </row>
    <row r="16" spans="1:5" ht="21.75" customHeight="1">
      <c r="A16" s="6" t="s">
        <v>52</v>
      </c>
      <c r="B16" s="11">
        <v>2150.8003766480001</v>
      </c>
      <c r="C16" s="12">
        <f>B16*C3</f>
        <v>758171.11297086824</v>
      </c>
      <c r="D16" s="4" t="s">
        <v>458</v>
      </c>
      <c r="E16" s="4"/>
    </row>
    <row r="17" spans="1:7" ht="21.75" customHeight="1">
      <c r="A17" s="6" t="s">
        <v>53</v>
      </c>
      <c r="B17" s="11">
        <v>1785.49905838</v>
      </c>
      <c r="C17" s="12">
        <f>B17*C3</f>
        <v>629400.02382282948</v>
      </c>
      <c r="D17" s="4" t="s">
        <v>458</v>
      </c>
      <c r="E17" s="4"/>
      <c r="G17" s="13"/>
    </row>
    <row r="18" spans="1:7" ht="9" customHeight="1">
      <c r="A18" s="320"/>
      <c r="B18" s="321"/>
      <c r="C18" s="322"/>
      <c r="E18" s="4"/>
      <c r="G18" s="13"/>
    </row>
    <row r="19" spans="1:7" ht="21.75" customHeight="1">
      <c r="A19" s="6" t="s">
        <v>54</v>
      </c>
      <c r="B19" s="11">
        <v>2072.0103578150001</v>
      </c>
      <c r="C19" s="12">
        <f>B19*C3</f>
        <v>730397.11919711332</v>
      </c>
      <c r="D19" s="4" t="s">
        <v>456</v>
      </c>
      <c r="E19" s="4"/>
    </row>
    <row r="20" spans="1:7" ht="21.75" customHeight="1">
      <c r="A20" s="6" t="s">
        <v>55</v>
      </c>
      <c r="B20" s="11">
        <v>1760.169491525</v>
      </c>
      <c r="C20" s="12">
        <f>B20*C3</f>
        <v>620471.18686425744</v>
      </c>
      <c r="D20" s="4" t="s">
        <v>456</v>
      </c>
      <c r="E20" s="4"/>
    </row>
    <row r="21" spans="1:7" ht="21.75" customHeight="1">
      <c r="A21" s="6" t="s">
        <v>56</v>
      </c>
      <c r="B21" s="11">
        <v>1154.6139359700001</v>
      </c>
      <c r="C21" s="12">
        <f>B21*C3</f>
        <v>407008.91742000886</v>
      </c>
      <c r="D21" s="418" t="s">
        <v>458</v>
      </c>
      <c r="E21" s="4"/>
    </row>
    <row r="22" spans="1:7" ht="21.75" customHeight="1">
      <c r="A22" s="6" t="s">
        <v>57</v>
      </c>
      <c r="B22" s="11">
        <v>751.50659133709996</v>
      </c>
      <c r="C22" s="12">
        <f>B22*C3</f>
        <v>264910.95823917142</v>
      </c>
      <c r="D22" s="4" t="s">
        <v>458</v>
      </c>
      <c r="E22" s="4"/>
    </row>
    <row r="23" spans="1:7" ht="9" customHeight="1">
      <c r="A23" s="320"/>
      <c r="B23" s="321"/>
      <c r="C23" s="322"/>
      <c r="E23" s="4"/>
    </row>
    <row r="24" spans="1:7" ht="21.75" customHeight="1">
      <c r="A24" s="6" t="s">
        <v>58</v>
      </c>
      <c r="B24" s="11">
        <v>2405.202448211</v>
      </c>
      <c r="C24" s="12">
        <f>B24*C3</f>
        <v>847849.49681029096</v>
      </c>
      <c r="D24" s="4" t="s">
        <v>456</v>
      </c>
      <c r="E24" s="4"/>
    </row>
    <row r="25" spans="1:7" ht="21.75" customHeight="1">
      <c r="A25" s="6" t="s">
        <v>59</v>
      </c>
      <c r="B25" s="11">
        <v>2000</v>
      </c>
      <c r="C25" s="12">
        <f>B25*C3</f>
        <v>705013</v>
      </c>
      <c r="D25" s="4" t="s">
        <v>456</v>
      </c>
      <c r="E25" s="4"/>
    </row>
    <row r="26" spans="1:7" ht="21.75" customHeight="1">
      <c r="A26" s="6" t="s">
        <v>60</v>
      </c>
      <c r="B26" s="11">
        <v>1616.1723163839999</v>
      </c>
      <c r="C26" s="12">
        <f>B26*C3</f>
        <v>569711.24664541648</v>
      </c>
      <c r="D26" s="4" t="s">
        <v>458</v>
      </c>
      <c r="E26" s="4"/>
    </row>
    <row r="27" spans="1:7" ht="21.75" customHeight="1">
      <c r="A27" s="6" t="s">
        <v>61</v>
      </c>
      <c r="B27" s="11">
        <v>1345.645009416</v>
      </c>
      <c r="C27" s="12">
        <f>B27*C3</f>
        <v>474348.61251170124</v>
      </c>
      <c r="D27" s="4" t="s">
        <v>458</v>
      </c>
      <c r="E27" s="4"/>
    </row>
    <row r="28" spans="1:7" ht="9" customHeight="1">
      <c r="A28" s="320"/>
      <c r="B28" s="321"/>
      <c r="C28" s="322"/>
      <c r="E28" s="4"/>
    </row>
    <row r="29" spans="1:7" ht="21.75" customHeight="1">
      <c r="A29" s="419" t="s">
        <v>62</v>
      </c>
      <c r="B29" s="11">
        <v>3208.2391713749998</v>
      </c>
      <c r="C29" s="12">
        <f>B29*C3</f>
        <v>1130925.1614643014</v>
      </c>
      <c r="D29" s="4" t="s">
        <v>456</v>
      </c>
      <c r="E29" s="4"/>
    </row>
    <row r="30" spans="1:7" ht="21.75" customHeight="1">
      <c r="A30" s="419" t="s">
        <v>63</v>
      </c>
      <c r="B30" s="11">
        <v>1764.241996234</v>
      </c>
      <c r="C30" s="12">
        <f>B30*C3</f>
        <v>621906.77124546061</v>
      </c>
      <c r="D30" s="4" t="s">
        <v>458</v>
      </c>
      <c r="E30" s="4"/>
    </row>
    <row r="31" spans="1:7" ht="9" customHeight="1">
      <c r="A31" s="320"/>
      <c r="B31" s="321"/>
      <c r="C31" s="322"/>
      <c r="E31" s="4"/>
    </row>
    <row r="32" spans="1:7" ht="21.75" customHeight="1">
      <c r="A32" s="6" t="s">
        <v>64</v>
      </c>
      <c r="B32" s="14"/>
      <c r="C32" s="12">
        <f>77485/212.4*C3</f>
        <v>128596.82745998117</v>
      </c>
      <c r="D32" s="4" t="s">
        <v>459</v>
      </c>
      <c r="E32" s="16"/>
    </row>
    <row r="33" spans="1:5" hidden="1">
      <c r="A33" s="6"/>
      <c r="B33" s="7"/>
      <c r="C33" s="15"/>
      <c r="D33" s="15"/>
      <c r="E33" s="16"/>
    </row>
    <row r="34" spans="1:5" hidden="1">
      <c r="A34" s="17"/>
      <c r="B34" s="18"/>
      <c r="C34" s="17"/>
      <c r="D34" s="17"/>
      <c r="E34" s="17"/>
    </row>
    <row r="35" spans="1:5" ht="38.25" hidden="1" customHeight="1">
      <c r="A35" s="17"/>
      <c r="B35" s="18"/>
      <c r="D35" s="17"/>
      <c r="E35" s="17"/>
    </row>
    <row r="36" spans="1:5" hidden="1">
      <c r="A36" s="19"/>
      <c r="B36" s="20"/>
      <c r="C36" s="17"/>
      <c r="E36" s="16"/>
    </row>
    <row r="37" spans="1:5" hidden="1">
      <c r="B37" s="18"/>
      <c r="E37" s="16"/>
    </row>
    <row r="38" spans="1:5" hidden="1">
      <c r="A38" s="21"/>
      <c r="B38" s="22"/>
      <c r="D38" s="15"/>
    </row>
    <row r="39" spans="1:5" hidden="1">
      <c r="A39" s="23"/>
      <c r="B39" s="18"/>
      <c r="D39" s="15"/>
    </row>
    <row r="40" spans="1:5" hidden="1">
      <c r="B40" s="24"/>
      <c r="C40" s="15"/>
      <c r="D40" s="15"/>
      <c r="E40" s="16"/>
    </row>
    <row r="41" spans="1:5" hidden="1">
      <c r="A41" s="15"/>
      <c r="B41" s="7"/>
      <c r="C41" s="15"/>
      <c r="D41" s="15"/>
      <c r="E41" s="16"/>
    </row>
    <row r="42" spans="1:5" hidden="1">
      <c r="A42" s="15"/>
      <c r="B42" s="7"/>
      <c r="C42" s="15"/>
      <c r="D42" s="15"/>
      <c r="E42" s="16"/>
    </row>
    <row r="43" spans="1:5" hidden="1">
      <c r="A43" s="15"/>
      <c r="B43" s="7"/>
      <c r="C43" s="15"/>
      <c r="D43" s="15"/>
      <c r="E43" s="16"/>
    </row>
    <row r="44" spans="1:5" hidden="1">
      <c r="A44" s="15"/>
      <c r="B44" s="7"/>
      <c r="C44" s="15"/>
      <c r="D44" s="15"/>
      <c r="E44" s="16"/>
    </row>
    <row r="45" spans="1:5" hidden="1">
      <c r="A45" s="15"/>
      <c r="B45" s="7"/>
      <c r="C45" s="15"/>
      <c r="D45" s="15"/>
      <c r="E45" s="16"/>
    </row>
    <row r="46" spans="1:5" hidden="1">
      <c r="A46" s="15"/>
      <c r="B46" s="7"/>
      <c r="C46" s="15"/>
      <c r="D46" s="15"/>
      <c r="E46" s="16"/>
    </row>
    <row r="47" spans="1:5" hidden="1">
      <c r="A47" s="15"/>
      <c r="B47" s="7"/>
      <c r="C47" s="15"/>
      <c r="D47" s="15"/>
      <c r="E47" s="16"/>
    </row>
    <row r="48" spans="1:5" hidden="1">
      <c r="A48" s="15"/>
      <c r="B48" s="7"/>
      <c r="C48" s="15"/>
      <c r="D48" s="15"/>
      <c r="E48" s="16"/>
    </row>
    <row r="49" spans="1:5" hidden="1">
      <c r="A49" s="15"/>
      <c r="B49" s="7"/>
      <c r="C49" s="15"/>
      <c r="D49" s="15"/>
      <c r="E49" s="16"/>
    </row>
    <row r="50" spans="1:5" hidden="1">
      <c r="A50" s="15"/>
      <c r="B50" s="7"/>
      <c r="C50" s="15"/>
      <c r="D50" s="15"/>
      <c r="E50" s="16"/>
    </row>
    <row r="51" spans="1:5" hidden="1">
      <c r="A51" s="15"/>
      <c r="B51" s="7"/>
      <c r="C51" s="15"/>
      <c r="D51" s="15"/>
      <c r="E51" s="16"/>
    </row>
    <row r="52" spans="1:5" hidden="1">
      <c r="A52" s="15"/>
      <c r="B52" s="7"/>
      <c r="C52" s="15"/>
      <c r="D52" s="15"/>
      <c r="E52" s="16"/>
    </row>
  </sheetData>
  <sheetProtection algorithmName="SHA-512" hashValue="dg24vOTdQ4EOz/9MnRUcHeqM4vuzu7KnOWg4aHykITSdtnRaWnYIpvjl3Aph+e4IFgpQnoAT7aRE09D6ykFpFg==" saltValue="KXnSk/mqQnvIVcNCR2E4NQ==" spinCount="100000" sheet="1" objects="1" scenarios="1" selectLockedCells="1"/>
  <dataConsolidate/>
  <printOptions horizontalCentered="1" verticalCentered="1"/>
  <pageMargins left="0.74803149606299213" right="0.74803149606299213" top="1.1417322834645669" bottom="0" header="0.39370078740157483" footer="0.35433070866141736"/>
  <pageSetup paperSize="9" scale="74" orientation="landscape" horizontalDpi="300" verticalDpi="300" r:id="rId1"/>
  <headerFooter alignWithMargins="0">
    <oddHeader>&amp;C&amp;"Arial,רגיל"&amp;20תקרת ההשקעה המוכרת לחדר&amp;"Courier New,רגיל"&amp;18 
&amp;"Courier New,מודגש"&amp;14להקמת מלונות חדשים לפי מדד תשומות הבנייה:</oddHeader>
    <oddFooter>&amp;L&amp;F&amp;C&amp;D</oddFooter>
  </headerFooter>
  <rowBreaks count="1" manualBreakCount="1">
    <brk id="32" max="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גיליון25"/>
  <dimension ref="A1:XFC25"/>
  <sheetViews>
    <sheetView showGridLines="0" rightToLeft="1" zoomScale="90" zoomScaleNormal="90" workbookViewId="0">
      <selection activeCell="B5" sqref="B5"/>
    </sheetView>
  </sheetViews>
  <sheetFormatPr defaultColWidth="0" defaultRowHeight="18" zeroHeight="1"/>
  <cols>
    <col min="1" max="1" width="24.375" style="61" customWidth="1"/>
    <col min="2" max="2" width="20.75" style="61" customWidth="1"/>
    <col min="3" max="3" width="16.625" style="61" bestFit="1" customWidth="1"/>
    <col min="4" max="4" width="9.375" style="61" bestFit="1" customWidth="1"/>
    <col min="5" max="5" width="14.375" style="61" bestFit="1" customWidth="1"/>
    <col min="6" max="6" width="10.125" style="61" customWidth="1"/>
    <col min="7" max="7" width="9" style="61" hidden="1"/>
    <col min="8" max="128" width="0" style="61" hidden="1"/>
    <col min="129" max="16382" width="9" style="61" hidden="1"/>
    <col min="16383" max="16383" width="0.875" style="61" hidden="1" customWidth="1"/>
    <col min="16384" max="16384" width="6" style="61" customWidth="1"/>
  </cols>
  <sheetData>
    <row r="1" spans="1:6"/>
    <row r="2" spans="1:6" ht="18.75" thickBot="1"/>
    <row r="3" spans="1:6" ht="18.75" thickBot="1">
      <c r="A3" s="288" t="s">
        <v>275</v>
      </c>
      <c r="B3" s="289" t="s">
        <v>435</v>
      </c>
      <c r="C3" s="289" t="s">
        <v>281</v>
      </c>
      <c r="D3" s="290" t="s">
        <v>282</v>
      </c>
      <c r="E3" s="443" t="s">
        <v>283</v>
      </c>
      <c r="F3" s="447" t="s">
        <v>467</v>
      </c>
    </row>
    <row r="4" spans="1:6">
      <c r="A4" s="291" t="s">
        <v>318</v>
      </c>
      <c r="B4" s="311">
        <f>B11*0.2</f>
        <v>0</v>
      </c>
      <c r="C4" s="292" t="e">
        <f t="shared" ref="C4:C9" si="0">B4/$B$11</f>
        <v>#DIV/0!</v>
      </c>
      <c r="D4" s="315">
        <f>מנהל!B63</f>
        <v>0.12</v>
      </c>
      <c r="E4" s="444" t="e">
        <f t="shared" ref="E4:E9" si="1">C4*D4</f>
        <v>#DIV/0!</v>
      </c>
      <c r="F4" s="448"/>
    </row>
    <row r="5" spans="1:6">
      <c r="A5" s="291" t="s">
        <v>284</v>
      </c>
      <c r="B5" s="314"/>
      <c r="C5" s="292" t="e">
        <f t="shared" si="0"/>
        <v>#DIV/0!</v>
      </c>
      <c r="D5" s="316">
        <v>0.08</v>
      </c>
      <c r="E5" s="444" t="e">
        <f t="shared" si="1"/>
        <v>#DIV/0!</v>
      </c>
      <c r="F5" s="448"/>
    </row>
    <row r="6" spans="1:6">
      <c r="A6" s="293" t="s">
        <v>277</v>
      </c>
      <c r="B6" s="312" t="e">
        <f>IF('נתוני הקמה'!B28&gt;1,'נתוני הקמה'!B24*0.2,'נתוני הקמה'!B26*0.2)</f>
        <v>#N/A</v>
      </c>
      <c r="C6" s="294" t="e">
        <f t="shared" si="0"/>
        <v>#N/A</v>
      </c>
      <c r="D6" s="315">
        <f>מנהל!B65</f>
        <v>0</v>
      </c>
      <c r="E6" s="445" t="e">
        <f t="shared" si="1"/>
        <v>#N/A</v>
      </c>
      <c r="F6" s="448"/>
    </row>
    <row r="7" spans="1:6">
      <c r="A7" s="293" t="s">
        <v>387</v>
      </c>
      <c r="B7" s="312">
        <v>0</v>
      </c>
      <c r="C7" s="295" t="e">
        <f t="shared" si="0"/>
        <v>#DIV/0!</v>
      </c>
      <c r="D7" s="315">
        <f>מנהל!B66</f>
        <v>0</v>
      </c>
      <c r="E7" s="445" t="e">
        <f t="shared" si="1"/>
        <v>#DIV/0!</v>
      </c>
      <c r="F7" s="448"/>
    </row>
    <row r="8" spans="1:6">
      <c r="A8" s="293" t="s">
        <v>278</v>
      </c>
      <c r="B8" s="312" t="e">
        <f>B11-B10-B9-B7-B6-B5-B4</f>
        <v>#N/A</v>
      </c>
      <c r="C8" s="295" t="e">
        <f t="shared" si="0"/>
        <v>#N/A</v>
      </c>
      <c r="D8" s="317">
        <v>5.5E-2</v>
      </c>
      <c r="E8" s="445" t="e">
        <f t="shared" si="1"/>
        <v>#N/A</v>
      </c>
      <c r="F8" s="450">
        <v>10</v>
      </c>
    </row>
    <row r="9" spans="1:6">
      <c r="A9" s="293" t="s">
        <v>319</v>
      </c>
      <c r="B9" s="312">
        <v>0</v>
      </c>
      <c r="C9" s="295" t="e">
        <f t="shared" si="0"/>
        <v>#DIV/0!</v>
      </c>
      <c r="D9" s="315">
        <f>מנהל!B68</f>
        <v>0.05</v>
      </c>
      <c r="E9" s="445" t="e">
        <f t="shared" si="1"/>
        <v>#DIV/0!</v>
      </c>
      <c r="F9" s="448"/>
    </row>
    <row r="10" spans="1:6">
      <c r="A10" s="293" t="s">
        <v>279</v>
      </c>
      <c r="B10" s="312"/>
      <c r="C10" s="295"/>
      <c r="D10" s="315">
        <f>מנהל!B69</f>
        <v>0</v>
      </c>
      <c r="E10" s="445"/>
      <c r="F10" s="448"/>
    </row>
    <row r="11" spans="1:6" ht="21" thickBot="1">
      <c r="A11" s="308" t="s">
        <v>280</v>
      </c>
      <c r="B11" s="313">
        <f>'נתוני הקמה'!B24</f>
        <v>0</v>
      </c>
      <c r="C11" s="310" t="e">
        <f>SUM(C4:C10)</f>
        <v>#DIV/0!</v>
      </c>
      <c r="D11" s="309"/>
      <c r="E11" s="446" t="e">
        <f>SUM(E4:E10)</f>
        <v>#DIV/0!</v>
      </c>
      <c r="F11" s="449"/>
    </row>
    <row r="12" spans="1:6" ht="18.75" thickTop="1"/>
    <row r="13" spans="1:6">
      <c r="A13" s="263" t="s">
        <v>436</v>
      </c>
    </row>
    <row r="14" spans="1:6">
      <c r="A14" s="263" t="s">
        <v>430</v>
      </c>
      <c r="B14" s="263" t="s">
        <v>185</v>
      </c>
    </row>
    <row r="15" spans="1:6">
      <c r="A15" s="61" t="s">
        <v>318</v>
      </c>
      <c r="B15" s="61" t="s">
        <v>618</v>
      </c>
    </row>
    <row r="16" spans="1:6">
      <c r="A16" s="61" t="s">
        <v>431</v>
      </c>
      <c r="B16" s="61" t="s">
        <v>472</v>
      </c>
    </row>
    <row r="17" spans="1:2">
      <c r="A17" s="61" t="s">
        <v>277</v>
      </c>
      <c r="B17" s="61" t="s">
        <v>439</v>
      </c>
    </row>
    <row r="18" spans="1:2">
      <c r="A18" s="61" t="s">
        <v>387</v>
      </c>
      <c r="B18" s="61" t="s">
        <v>432</v>
      </c>
    </row>
    <row r="19" spans="1:2">
      <c r="A19" s="61" t="s">
        <v>278</v>
      </c>
      <c r="B19" s="61" t="s">
        <v>434</v>
      </c>
    </row>
    <row r="20" spans="1:2">
      <c r="A20" s="61" t="s">
        <v>319</v>
      </c>
      <c r="B20" s="61" t="s">
        <v>432</v>
      </c>
    </row>
    <row r="21" spans="1:2">
      <c r="A21" s="61" t="s">
        <v>279</v>
      </c>
      <c r="B21" s="61" t="s">
        <v>433</v>
      </c>
    </row>
    <row r="22" spans="1:2">
      <c r="A22" s="61" t="s">
        <v>467</v>
      </c>
      <c r="B22" s="61" t="s">
        <v>468</v>
      </c>
    </row>
    <row r="23" spans="1:2">
      <c r="A23" s="61" t="s">
        <v>282</v>
      </c>
      <c r="B23" s="61" t="s">
        <v>437</v>
      </c>
    </row>
    <row r="24" spans="1:2">
      <c r="A24" s="61" t="s">
        <v>284</v>
      </c>
      <c r="B24" s="61" t="s">
        <v>438</v>
      </c>
    </row>
    <row r="25" spans="1:2">
      <c r="A25" s="61" t="s">
        <v>283</v>
      </c>
      <c r="B25" s="61" t="s">
        <v>481</v>
      </c>
    </row>
  </sheetData>
  <sheetProtection algorithmName="SHA-512" hashValue="m1JAJy/gJ7s+HI1tn4OHJxGoyqXV/taBD6dWFWXC7WuuFxKyyKguKISKTMC+F6pZbmkbjniegCnJsmamn6U86A==" saltValue="LbuMy1TMH+T7zrbVRPM8Ig==" spinCount="100000" sheet="1" objects="1" scenarios="1" selectLockedCells="1"/>
  <printOptions horizontalCentered="1"/>
  <pageMargins left="0" right="0" top="0.74803149606299213" bottom="0.74803149606299213" header="0.31496062992125984" footer="0.31496062992125984"/>
  <pageSetup paperSize="9" orientation="landscape" verticalDpi="0" r:id="rId1"/>
  <headerFooter>
    <oddHeader xml:space="preserve">&amp;C&amp;"-,מודגש"&amp;18&amp;Eריכוז מקורות מימון
</oddHeader>
    <oddFooter>&amp;L&amp;F&amp;C&amp;D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גיליון5"/>
  <dimension ref="A1:T131"/>
  <sheetViews>
    <sheetView showGridLines="0" rightToLeft="1" zoomScale="90" zoomScaleNormal="90" zoomScaleSheetLayoutView="80" workbookViewId="0">
      <selection activeCell="E7" sqref="E7"/>
    </sheetView>
  </sheetViews>
  <sheetFormatPr defaultColWidth="0" defaultRowHeight="14.25" zeroHeight="1"/>
  <cols>
    <col min="1" max="1" width="24.625" bestFit="1" customWidth="1"/>
    <col min="2" max="2" width="12.625" customWidth="1"/>
    <col min="3" max="3" width="10.75" customWidth="1"/>
    <col min="4" max="4" width="9.75" customWidth="1"/>
    <col min="5" max="5" width="10.25" customWidth="1"/>
    <col min="6" max="6" width="9.875" bestFit="1" customWidth="1"/>
    <col min="7" max="7" width="8.375" bestFit="1" customWidth="1"/>
    <col min="8" max="8" width="10.625" hidden="1" customWidth="1"/>
    <col min="9" max="9" width="10.375" hidden="1" customWidth="1"/>
    <col min="10" max="10" width="6.375" hidden="1" customWidth="1"/>
    <col min="11" max="11" width="6.875" hidden="1" customWidth="1"/>
    <col min="12" max="14" width="9" customWidth="1"/>
    <col min="15" max="15" width="6.375" customWidth="1"/>
    <col min="16" max="16" width="8.75" customWidth="1"/>
    <col min="17" max="18" width="8.125" customWidth="1"/>
    <col min="19" max="19" width="8.625" customWidth="1"/>
    <col min="20" max="20" width="3.75" customWidth="1"/>
    <col min="21" max="16384" width="9" hidden="1"/>
  </cols>
  <sheetData>
    <row r="1" spans="1:19" ht="18">
      <c r="A1" s="986" t="s">
        <v>104</v>
      </c>
      <c r="B1" s="986"/>
      <c r="C1" s="986"/>
      <c r="D1" s="986"/>
      <c r="E1" s="986"/>
      <c r="F1" s="986"/>
      <c r="G1" s="986"/>
      <c r="H1" s="986"/>
      <c r="O1" s="977" t="s">
        <v>134</v>
      </c>
      <c r="P1" s="977"/>
      <c r="Q1" s="977"/>
      <c r="R1" s="977"/>
      <c r="S1" s="977"/>
    </row>
    <row r="2" spans="1:19" ht="18">
      <c r="A2" s="332"/>
      <c r="B2" s="332"/>
      <c r="C2" s="332"/>
      <c r="D2" s="332"/>
      <c r="E2" s="332"/>
      <c r="F2" s="332"/>
      <c r="G2" s="332"/>
      <c r="H2" s="332"/>
      <c r="O2" s="333"/>
      <c r="P2" s="333"/>
      <c r="Q2" s="333"/>
      <c r="R2" s="333"/>
      <c r="S2" s="333"/>
    </row>
    <row r="3" spans="1:19" ht="15.75" thickBot="1">
      <c r="A3" s="57" t="s">
        <v>320</v>
      </c>
      <c r="B3" s="376"/>
      <c r="D3" s="57"/>
      <c r="E3" s="57"/>
    </row>
    <row r="4" spans="1:19" ht="32.25" thickBot="1">
      <c r="A4" s="57"/>
      <c r="B4" s="57"/>
      <c r="C4" s="57"/>
      <c r="D4" s="57"/>
      <c r="E4" s="57"/>
      <c r="O4" s="78" t="s">
        <v>116</v>
      </c>
      <c r="P4" s="29" t="s">
        <v>453</v>
      </c>
      <c r="Q4" s="97" t="s">
        <v>75</v>
      </c>
      <c r="R4" s="98" t="s">
        <v>76</v>
      </c>
      <c r="S4" s="99" t="s">
        <v>77</v>
      </c>
    </row>
    <row r="5" spans="1:19" ht="24" customHeight="1" thickBot="1">
      <c r="A5" s="91" t="s">
        <v>66</v>
      </c>
      <c r="B5" s="91" t="s">
        <v>37</v>
      </c>
      <c r="C5" s="91" t="s">
        <v>72</v>
      </c>
      <c r="D5" s="90" t="s">
        <v>443</v>
      </c>
      <c r="E5" s="90" t="s">
        <v>139</v>
      </c>
      <c r="F5" s="90" t="s">
        <v>444</v>
      </c>
      <c r="G5" s="72" t="s">
        <v>445</v>
      </c>
      <c r="H5" s="72" t="s">
        <v>428</v>
      </c>
      <c r="I5" s="72" t="s">
        <v>446</v>
      </c>
      <c r="J5" s="72" t="s">
        <v>447</v>
      </c>
      <c r="K5" s="72" t="s">
        <v>448</v>
      </c>
      <c r="O5" s="101" t="s">
        <v>78</v>
      </c>
      <c r="P5" s="32"/>
      <c r="Q5" s="384"/>
      <c r="R5" s="384"/>
      <c r="S5" s="384"/>
    </row>
    <row r="6" spans="1:19" ht="16.5" thickBot="1">
      <c r="A6" s="38" t="s">
        <v>67</v>
      </c>
      <c r="B6" s="377"/>
      <c r="C6" s="38">
        <v>1</v>
      </c>
      <c r="D6" s="38">
        <f>'נ.בסיס לינה'!$B6*'נ.בסיס לינה'!$C6</f>
        <v>0</v>
      </c>
      <c r="E6" s="378"/>
      <c r="F6" s="157">
        <f>IF(טבלה2[[#This Row],[כמות חדרים]]&gt;0,E6/C6,0)</f>
        <v>0</v>
      </c>
      <c r="G6" s="60">
        <f>$B$3*'נ.בסיס לינה'!$C6</f>
        <v>0</v>
      </c>
      <c r="H6" s="60">
        <f>'נ.בסיס לינה'!$D6*'נ.בסיס לינה'!$K6</f>
        <v>0</v>
      </c>
      <c r="I6" s="60">
        <f>K6*D6-$B$3*D6</f>
        <v>0</v>
      </c>
      <c r="J6" s="106">
        <f>רגישות!$C$2</f>
        <v>1</v>
      </c>
      <c r="K6" s="59">
        <f>F6*J6</f>
        <v>0</v>
      </c>
      <c r="O6" s="93"/>
      <c r="P6" s="94"/>
      <c r="Q6" s="95"/>
      <c r="R6" s="95"/>
      <c r="S6" s="95"/>
    </row>
    <row r="7" spans="1:19" ht="16.5" thickBot="1">
      <c r="A7" s="38" t="s">
        <v>68</v>
      </c>
      <c r="B7" s="377"/>
      <c r="C7" s="38">
        <v>2</v>
      </c>
      <c r="D7" s="38">
        <f>'נ.בסיס לינה'!$B7*'נ.בסיס לינה'!$C7</f>
        <v>0</v>
      </c>
      <c r="E7" s="379"/>
      <c r="F7" s="157">
        <f>IF(טבלה2[[#This Row],[כמות חדרים]]&gt;0,E7/C7,0)</f>
        <v>0</v>
      </c>
      <c r="G7" s="59">
        <f>$B$3*'נ.בסיס לינה'!$C7</f>
        <v>0</v>
      </c>
      <c r="H7" s="59">
        <f>'נ.בסיס לינה'!$D7*'נ.בסיס לינה'!$K7</f>
        <v>0</v>
      </c>
      <c r="I7" s="60">
        <f>K7*D7-$B$3*D7</f>
        <v>0</v>
      </c>
      <c r="J7" s="71">
        <f>$J$6</f>
        <v>1</v>
      </c>
      <c r="K7" s="59">
        <f>F7*J7</f>
        <v>0</v>
      </c>
      <c r="O7" s="101" t="s">
        <v>79</v>
      </c>
      <c r="P7" s="32"/>
      <c r="Q7" s="33"/>
      <c r="R7" s="33"/>
      <c r="S7" s="33"/>
    </row>
    <row r="8" spans="1:19" ht="17.25" customHeight="1">
      <c r="A8" s="38" t="s">
        <v>69</v>
      </c>
      <c r="B8" s="377"/>
      <c r="C8" s="38">
        <v>3</v>
      </c>
      <c r="D8" s="38">
        <f>'נ.בסיס לינה'!$B8*'נ.בסיס לינה'!$C8</f>
        <v>0</v>
      </c>
      <c r="E8" s="379"/>
      <c r="F8" s="157">
        <f>IF(טבלה2[[#This Row],[כמות חדרים]]&gt;0,E8/C8,0)</f>
        <v>0</v>
      </c>
      <c r="G8" s="59">
        <f>$B$3*'נ.בסיס לינה'!$C8</f>
        <v>0</v>
      </c>
      <c r="H8" s="59">
        <f>'נ.בסיס לינה'!$D8*'נ.בסיס לינה'!$K8</f>
        <v>0</v>
      </c>
      <c r="I8" s="60">
        <f>K8*D8-$B$3*D8</f>
        <v>0</v>
      </c>
      <c r="J8" s="71">
        <f>$J$6</f>
        <v>1</v>
      </c>
      <c r="K8" s="59">
        <f>F8*J8</f>
        <v>0</v>
      </c>
      <c r="O8" s="975"/>
      <c r="P8" s="326" t="s">
        <v>449</v>
      </c>
      <c r="Q8" s="385"/>
      <c r="R8" s="385"/>
      <c r="S8" s="385"/>
    </row>
    <row r="9" spans="1:19" ht="18" customHeight="1" thickBot="1">
      <c r="A9" s="38" t="s">
        <v>70</v>
      </c>
      <c r="B9" s="377"/>
      <c r="C9" s="38">
        <v>4</v>
      </c>
      <c r="D9" s="38">
        <f>'נ.בסיס לינה'!$B9*'נ.בסיס לינה'!$C9</f>
        <v>0</v>
      </c>
      <c r="E9" s="379"/>
      <c r="F9" s="157">
        <f>IF(טבלה2[[#This Row],[כמות חדרים]]&gt;0,E9/C9,0)</f>
        <v>0</v>
      </c>
      <c r="G9" s="59">
        <f>$B$3*'נ.בסיס לינה'!$C9</f>
        <v>0</v>
      </c>
      <c r="H9" s="59">
        <f>'נ.בסיס לינה'!$D9*'נ.בסיס לינה'!$K9</f>
        <v>0</v>
      </c>
      <c r="I9" s="60">
        <f>K9*D9-$B$3*D9</f>
        <v>0</v>
      </c>
      <c r="J9" s="71">
        <f>$J$6</f>
        <v>1</v>
      </c>
      <c r="K9" s="59">
        <f>F9*J9</f>
        <v>0</v>
      </c>
      <c r="O9" s="976"/>
      <c r="P9" s="327" t="s">
        <v>450</v>
      </c>
      <c r="Q9" s="386"/>
      <c r="R9" s="386"/>
      <c r="S9" s="386"/>
    </row>
    <row r="10" spans="1:19" ht="16.5" thickBot="1">
      <c r="A10" s="38" t="s">
        <v>71</v>
      </c>
      <c r="B10" s="377"/>
      <c r="C10" s="38">
        <v>3</v>
      </c>
      <c r="D10" s="38">
        <f>'נ.בסיס לינה'!$B10*'נ.בסיס לינה'!$C10</f>
        <v>0</v>
      </c>
      <c r="E10" s="379"/>
      <c r="F10" s="157">
        <f>IF(טבלה2[[#This Row],[כמות חדרים]]&gt;0,E10/C10,0)</f>
        <v>0</v>
      </c>
      <c r="G10" s="59">
        <f>$B$3*'נ.בסיס לינה'!$C10</f>
        <v>0</v>
      </c>
      <c r="H10" s="59">
        <f>'נ.בסיס לינה'!$D10*'נ.בסיס לינה'!$K10</f>
        <v>0</v>
      </c>
      <c r="I10" s="60">
        <f>K10*D10-$B$3*D10</f>
        <v>0</v>
      </c>
      <c r="J10" s="71">
        <f>$J$6</f>
        <v>1</v>
      </c>
      <c r="K10" s="59">
        <f>F10*J10</f>
        <v>0</v>
      </c>
      <c r="O10" s="101" t="s">
        <v>83</v>
      </c>
      <c r="P10" s="102"/>
      <c r="Q10" s="33"/>
      <c r="R10" s="33"/>
      <c r="S10" s="33"/>
    </row>
    <row r="11" spans="1:19" ht="15.75">
      <c r="A11" s="74" t="s">
        <v>102</v>
      </c>
      <c r="B11" s="74">
        <f>SUBTOTAL(109,B6:B10)</f>
        <v>0</v>
      </c>
      <c r="C11" s="74"/>
      <c r="D11" s="74">
        <f>SUBTOTAL(109,D6:D10)</f>
        <v>0</v>
      </c>
      <c r="E11" s="686"/>
      <c r="F11" s="74" t="e">
        <f>(F6*B6+F7*B7+F8*B8+F9*B9+F10*B10)/טבלה2[[#This Row],[כמות חדרים]]</f>
        <v>#DIV/0!</v>
      </c>
      <c r="G11" s="73"/>
      <c r="H11" s="73">
        <f>SUBTOTAL(109,H6:H10)</f>
        <v>0</v>
      </c>
      <c r="I11" s="73">
        <f>SUM(I6:I10)</f>
        <v>0</v>
      </c>
      <c r="J11" s="73"/>
      <c r="K11" s="73"/>
      <c r="O11" s="975" t="s">
        <v>80</v>
      </c>
      <c r="P11" s="326" t="s">
        <v>449</v>
      </c>
      <c r="Q11" s="385"/>
      <c r="R11" s="385"/>
      <c r="S11" s="385"/>
    </row>
    <row r="12" spans="1:19" ht="26.25" thickBot="1">
      <c r="A12" s="38" t="s">
        <v>85</v>
      </c>
      <c r="B12" s="989" t="str">
        <f>IF(B11='נתוני הקמה'!B3,"","שגיאה, בדוק כמות חדרים")</f>
        <v/>
      </c>
      <c r="C12" s="990"/>
      <c r="D12" s="990"/>
      <c r="E12" s="990"/>
      <c r="F12" s="70"/>
      <c r="O12" s="976"/>
      <c r="P12" s="327" t="s">
        <v>450</v>
      </c>
      <c r="Q12" s="386"/>
      <c r="R12" s="386"/>
      <c r="S12" s="386"/>
    </row>
    <row r="13" spans="1:19" ht="16.5" thickBot="1">
      <c r="E13" s="70"/>
      <c r="F13" s="70"/>
      <c r="O13" s="101" t="s">
        <v>84</v>
      </c>
      <c r="P13" s="102"/>
      <c r="Q13" s="33"/>
      <c r="R13" s="33"/>
      <c r="S13" s="33"/>
    </row>
    <row r="14" spans="1:19" ht="18">
      <c r="F14" s="75"/>
      <c r="G14" s="75"/>
      <c r="O14" s="975" t="s">
        <v>80</v>
      </c>
      <c r="P14" s="326" t="s">
        <v>449</v>
      </c>
      <c r="Q14" s="385"/>
      <c r="R14" s="385"/>
      <c r="S14" s="385"/>
    </row>
    <row r="15" spans="1:19" ht="19.5" thickBot="1">
      <c r="A15" s="980" t="s">
        <v>455</v>
      </c>
      <c r="B15" s="980"/>
      <c r="C15" s="980"/>
      <c r="D15" s="980"/>
      <c r="E15" s="980"/>
      <c r="F15" s="980"/>
      <c r="O15" s="976"/>
      <c r="P15" s="327" t="s">
        <v>450</v>
      </c>
      <c r="Q15" s="386"/>
      <c r="R15" s="386"/>
      <c r="S15" s="386"/>
    </row>
    <row r="16" spans="1:19" ht="20.25" thickTop="1" thickBot="1">
      <c r="A16" s="103"/>
      <c r="B16" s="103"/>
      <c r="C16" s="103"/>
      <c r="D16" s="103"/>
      <c r="E16" s="103"/>
      <c r="F16" s="103"/>
      <c r="O16" s="79"/>
    </row>
    <row r="17" spans="1:19" ht="19.5" customHeight="1" thickTop="1" thickBot="1">
      <c r="A17" s="39" t="s">
        <v>93</v>
      </c>
      <c r="B17" s="40" t="s">
        <v>94</v>
      </c>
      <c r="C17" s="985" t="s">
        <v>95</v>
      </c>
      <c r="D17" s="985"/>
      <c r="E17" s="985"/>
      <c r="F17" s="985"/>
      <c r="O17" s="978" t="s">
        <v>454</v>
      </c>
      <c r="P17" s="979"/>
      <c r="Q17" s="337" t="e">
        <f>(Q5*'הכנסות לינה'!$B$5+'נ.בסיס לינה'!Q8*'הכנסות לינה'!$B$8+'נ.בסיס לינה'!Q9*'הכנסות לינה'!$B$9+'נ.בסיס לינה'!Q11*'הכנסות לינה'!$B$11+'נ.בסיס לינה'!Q12*'הכנסות לינה'!$B$12+'נ.בסיס לינה'!Q14*'הכנסות לינה'!$B$14+'נ.בסיס לינה'!Q15*'הכנסות לינה'!$B$15)/365</f>
        <v>#N/A</v>
      </c>
      <c r="R17" s="337" t="e">
        <f>(R5*'הכנסות לינה'!$B$5+'נ.בסיס לינה'!R8*'הכנסות לינה'!$B$8+'נ.בסיס לינה'!R9*'הכנסות לינה'!$B$9+'נ.בסיס לינה'!R11*'הכנסות לינה'!$B$11+'נ.בסיס לינה'!R12*'הכנסות לינה'!$B$12+'נ.בסיס לינה'!R14*'הכנסות לינה'!$B$14+'נ.בסיס לינה'!R15*'הכנסות לינה'!$B$15)/365</f>
        <v>#N/A</v>
      </c>
      <c r="S17" s="337" t="e">
        <f>(S5*'הכנסות לינה'!$B$5+'נ.בסיס לינה'!S8*'הכנסות לינה'!$B$8+'נ.בסיס לינה'!S9*'הכנסות לינה'!$B$9+'נ.בסיס לינה'!S11*'הכנסות לינה'!$B$11+'נ.בסיס לינה'!S12*'הכנסות לינה'!$B$12+'נ.בסיס לינה'!S14*'הכנסות לינה'!$B$14+'נ.בסיס לינה'!S15*'הכנסות לינה'!$B$15)/365</f>
        <v>#N/A</v>
      </c>
    </row>
    <row r="18" spans="1:19" ht="16.5" thickBot="1">
      <c r="A18" s="41"/>
      <c r="B18" s="42"/>
      <c r="C18" s="43" t="s">
        <v>78</v>
      </c>
      <c r="D18" s="44" t="s">
        <v>79</v>
      </c>
      <c r="E18" s="44" t="s">
        <v>83</v>
      </c>
      <c r="F18" s="44" t="s">
        <v>84</v>
      </c>
    </row>
    <row r="19" spans="1:19" ht="15.75">
      <c r="A19" s="49" t="s">
        <v>96</v>
      </c>
      <c r="B19" s="380"/>
      <c r="C19" s="45"/>
      <c r="D19" s="46"/>
      <c r="E19" s="46"/>
      <c r="F19" s="46"/>
    </row>
    <row r="20" spans="1:19" ht="15.75">
      <c r="A20" s="49" t="s">
        <v>97</v>
      </c>
      <c r="B20" s="380"/>
      <c r="C20" s="381"/>
      <c r="D20" s="380"/>
      <c r="E20" s="380"/>
      <c r="F20" s="380"/>
    </row>
    <row r="21" spans="1:19" ht="15.75">
      <c r="A21" s="50" t="s">
        <v>98</v>
      </c>
      <c r="B21" s="53">
        <f>1-B20</f>
        <v>1</v>
      </c>
      <c r="C21" s="382"/>
      <c r="D21" s="383"/>
      <c r="E21" s="383"/>
      <c r="F21" s="383"/>
    </row>
    <row r="22" spans="1:19" ht="15.75">
      <c r="A22" s="49" t="s">
        <v>99</v>
      </c>
      <c r="B22" s="548">
        <f>1-B19</f>
        <v>1</v>
      </c>
      <c r="C22" s="387"/>
      <c r="D22" s="388"/>
      <c r="E22" s="388"/>
      <c r="F22" s="388"/>
    </row>
    <row r="23" spans="1:19" ht="15.75">
      <c r="A23" s="49" t="s">
        <v>97</v>
      </c>
      <c r="B23" s="380"/>
      <c r="C23" s="381"/>
      <c r="D23" s="380"/>
      <c r="E23" s="380"/>
      <c r="F23" s="380"/>
    </row>
    <row r="24" spans="1:19" ht="15.75">
      <c r="A24" s="50" t="s">
        <v>98</v>
      </c>
      <c r="B24" s="53">
        <f>1-B23</f>
        <v>1</v>
      </c>
      <c r="C24" s="382"/>
      <c r="D24" s="383"/>
      <c r="E24" s="383"/>
      <c r="F24" s="383"/>
    </row>
    <row r="25" spans="1:19" ht="16.5" thickBot="1">
      <c r="A25" s="51" t="s">
        <v>100</v>
      </c>
      <c r="B25" s="52">
        <f>+B22+B19</f>
        <v>1</v>
      </c>
      <c r="C25" s="48"/>
      <c r="D25" s="47"/>
      <c r="E25" s="47"/>
      <c r="F25" s="47"/>
    </row>
    <row r="26" spans="1:19" ht="16.5" thickBot="1">
      <c r="A26" s="55" t="s">
        <v>103</v>
      </c>
      <c r="B26" s="56"/>
      <c r="C26" s="62">
        <f>C20*$B$20*$B$19+C21*$B$21*$B$19+C23*$B$23*$B$22+C24*$B$24*$B$22</f>
        <v>0</v>
      </c>
      <c r="D26" s="63">
        <f>D20*$B$20*$B$19+D21*$B$21*$B$19+D23*$B$23*$B$22+D24*$B$24*$B$22</f>
        <v>0</v>
      </c>
      <c r="E26" s="63">
        <f>E20*$B$20*$B$19+E21*$B$21*$B$19+E23*$B$23*$B$22+E24*$B$24*$B$22</f>
        <v>0</v>
      </c>
      <c r="F26" s="63">
        <f>F20*$B$20*$B$19+F21*$B$21*$B$19+F23*$B$23*$B$22+F24*$B$24*$B$22</f>
        <v>0</v>
      </c>
    </row>
    <row r="27" spans="1:19" ht="15.75" thickTop="1" thickBot="1"/>
    <row r="28" spans="1:19" ht="15.75">
      <c r="A28" s="328" t="s">
        <v>451</v>
      </c>
      <c r="B28" s="329">
        <f>B19*B20+B22*B23</f>
        <v>0</v>
      </c>
    </row>
    <row r="29" spans="1:19" ht="20.100000000000001" customHeight="1" thickBot="1">
      <c r="A29" s="330" t="s">
        <v>452</v>
      </c>
      <c r="B29" s="331">
        <f>1-B28</f>
        <v>1</v>
      </c>
    </row>
    <row r="30" spans="1:19"/>
    <row r="31" spans="1:19" ht="18.75" hidden="1">
      <c r="G31" s="54"/>
    </row>
    <row r="32" spans="1:19" ht="18.75" hidden="1">
      <c r="G32" s="54"/>
    </row>
    <row r="45" ht="16.5" hidden="1" customHeight="1"/>
    <row r="46" ht="16.5" hidden="1" customHeight="1"/>
    <row r="47" ht="16.5" hidden="1" customHeight="1"/>
    <row r="48" ht="16.5" hidden="1" customHeight="1"/>
    <row r="49" spans="1:7" ht="16.5" hidden="1" customHeight="1"/>
    <row r="50" spans="1:7" ht="16.5" hidden="1" customHeight="1"/>
    <row r="51" spans="1:7" ht="16.5" hidden="1" customHeight="1"/>
    <row r="52" spans="1:7" ht="16.5" hidden="1" customHeight="1"/>
    <row r="53" spans="1:7" ht="18" hidden="1">
      <c r="A53" s="982" t="s">
        <v>441</v>
      </c>
      <c r="B53" s="982"/>
      <c r="C53" s="982"/>
      <c r="D53" s="982"/>
      <c r="E53" s="982"/>
      <c r="F53" s="982"/>
      <c r="G53" s="982"/>
    </row>
    <row r="55" spans="1:7" ht="18.75" hidden="1">
      <c r="A55" s="988" t="s">
        <v>86</v>
      </c>
      <c r="B55" s="988"/>
    </row>
    <row r="56" spans="1:7" ht="18.75" hidden="1">
      <c r="A56" s="58"/>
      <c r="B56" s="58"/>
    </row>
    <row r="57" spans="1:7" ht="18.75" hidden="1">
      <c r="A57" s="76" t="s">
        <v>108</v>
      </c>
      <c r="B57" s="76" t="s">
        <v>117</v>
      </c>
    </row>
    <row r="58" spans="1:7" ht="15.75" hidden="1">
      <c r="A58" s="35" t="s">
        <v>87</v>
      </c>
      <c r="B58" s="36">
        <f>מנהל!B37</f>
        <v>1</v>
      </c>
    </row>
    <row r="59" spans="1:7" ht="15.75" hidden="1">
      <c r="A59" s="35" t="s">
        <v>88</v>
      </c>
      <c r="B59" s="36">
        <f>מנהל!B38</f>
        <v>0.8</v>
      </c>
    </row>
    <row r="60" spans="1:7" ht="15.75" hidden="1">
      <c r="A60" s="35" t="s">
        <v>89</v>
      </c>
      <c r="B60" s="36">
        <f>מנהל!B39</f>
        <v>1.4</v>
      </c>
    </row>
    <row r="61" spans="1:7" ht="15.75" hidden="1">
      <c r="A61" s="35" t="s">
        <v>90</v>
      </c>
      <c r="B61" s="36">
        <f>מנהל!B40</f>
        <v>1.2</v>
      </c>
    </row>
    <row r="62" spans="1:7" ht="15.75" hidden="1">
      <c r="A62" s="35" t="s">
        <v>91</v>
      </c>
      <c r="B62" s="36">
        <f>מנהל!B41</f>
        <v>1</v>
      </c>
    </row>
    <row r="63" spans="1:7" ht="15.75" hidden="1">
      <c r="A63" s="35" t="s">
        <v>92</v>
      </c>
      <c r="B63" s="36">
        <f>מנהל!B42</f>
        <v>0.8</v>
      </c>
    </row>
    <row r="64" spans="1:7" ht="15.75" hidden="1">
      <c r="A64" s="37" t="s">
        <v>101</v>
      </c>
      <c r="B64" s="36">
        <f>מנהל!B43</f>
        <v>1</v>
      </c>
    </row>
    <row r="66" spans="1:12" ht="18.75" hidden="1">
      <c r="A66" s="981" t="s">
        <v>324</v>
      </c>
      <c r="B66" s="981"/>
      <c r="C66" s="981"/>
      <c r="D66" s="981"/>
      <c r="E66" s="981"/>
      <c r="F66" s="981"/>
      <c r="G66" s="981"/>
    </row>
    <row r="67" spans="1:12" ht="15" hidden="1" thickBot="1">
      <c r="A67" s="26"/>
      <c r="B67" s="27"/>
      <c r="C67" s="26"/>
      <c r="D67" s="27"/>
      <c r="E67" s="27"/>
      <c r="F67" s="27"/>
    </row>
    <row r="68" spans="1:12" ht="32.25" hidden="1" thickBot="1">
      <c r="A68" s="28" t="s">
        <v>323</v>
      </c>
      <c r="B68" s="206" t="s">
        <v>74</v>
      </c>
      <c r="C68" s="206" t="str">
        <f>מנהל!C47</f>
        <v>אילת</v>
      </c>
      <c r="D68" s="206" t="str">
        <f>מנהל!D47</f>
        <v>ים המלח</v>
      </c>
      <c r="E68" s="206" t="str">
        <f>מנהל!E47</f>
        <v>ירושלים</v>
      </c>
      <c r="F68" s="206" t="str">
        <f>מנהל!F47</f>
        <v>החוף</v>
      </c>
      <c r="G68" s="206" t="str">
        <f>מנהל!I47</f>
        <v>תל אביב - יפו</v>
      </c>
      <c r="L68" s="206" t="str">
        <f>מנהל!J47</f>
        <v>אחר</v>
      </c>
    </row>
    <row r="69" spans="1:12" ht="16.5" hidden="1" thickBot="1">
      <c r="A69" s="31" t="s">
        <v>78</v>
      </c>
      <c r="B69" s="323"/>
      <c r="C69" s="334">
        <f>מנהל!C48</f>
        <v>120</v>
      </c>
      <c r="D69" s="334">
        <f>מנהל!D48</f>
        <v>100</v>
      </c>
      <c r="E69" s="334">
        <f>מנהל!E48</f>
        <v>90</v>
      </c>
      <c r="F69" s="334">
        <f>מנהל!F48</f>
        <v>90</v>
      </c>
      <c r="G69" s="334">
        <f>מנהל!I48</f>
        <v>90</v>
      </c>
      <c r="L69" s="334">
        <f>מנהל!J48</f>
        <v>60</v>
      </c>
    </row>
    <row r="70" spans="1:12" ht="16.5" hidden="1" thickBot="1">
      <c r="A70" s="92"/>
      <c r="B70" s="78"/>
      <c r="C70" s="335"/>
      <c r="D70" s="335"/>
      <c r="E70" s="335"/>
      <c r="F70" s="335"/>
      <c r="G70" s="335"/>
      <c r="L70" s="335"/>
    </row>
    <row r="71" spans="1:12" ht="16.5" hidden="1" thickBot="1">
      <c r="A71" s="31" t="s">
        <v>79</v>
      </c>
      <c r="B71" s="323"/>
      <c r="C71" s="334">
        <f>מנהל!C50</f>
        <v>90</v>
      </c>
      <c r="D71" s="334">
        <f>מנהל!D50</f>
        <v>90</v>
      </c>
      <c r="E71" s="334">
        <f>מנהל!E50</f>
        <v>60</v>
      </c>
      <c r="F71" s="334">
        <f>מנהל!F50</f>
        <v>45</v>
      </c>
      <c r="G71" s="334">
        <f>מנהל!I50</f>
        <v>60</v>
      </c>
      <c r="L71" s="334">
        <f>מנהל!J50</f>
        <v>45</v>
      </c>
    </row>
    <row r="72" spans="1:12" ht="26.25" hidden="1" thickBot="1">
      <c r="A72" s="983" t="s">
        <v>80</v>
      </c>
      <c r="B72" s="496" t="s">
        <v>81</v>
      </c>
      <c r="C72" s="495">
        <f>מנהל!C51</f>
        <v>46</v>
      </c>
      <c r="D72" s="495">
        <f>מנהל!D51</f>
        <v>46</v>
      </c>
      <c r="E72" s="495">
        <f>מנהל!E51</f>
        <v>35</v>
      </c>
      <c r="F72" s="495">
        <f>מנהל!F51</f>
        <v>25</v>
      </c>
      <c r="G72" s="495">
        <f>מנהל!I51</f>
        <v>25</v>
      </c>
      <c r="L72" s="495">
        <f>מנהל!J51</f>
        <v>35</v>
      </c>
    </row>
    <row r="73" spans="1:12" ht="26.25" hidden="1" thickBot="1">
      <c r="A73" s="987"/>
      <c r="B73" s="497" t="s">
        <v>82</v>
      </c>
      <c r="C73" s="495">
        <f>מנהל!C52</f>
        <v>44</v>
      </c>
      <c r="D73" s="495">
        <f>מנהל!D52</f>
        <v>44</v>
      </c>
      <c r="E73" s="495">
        <f>מנהל!E52</f>
        <v>25</v>
      </c>
      <c r="F73" s="495">
        <f>מנהל!F52</f>
        <v>20</v>
      </c>
      <c r="G73" s="495">
        <f>מנהל!I52</f>
        <v>35</v>
      </c>
      <c r="L73" s="495">
        <f>מנהל!J52</f>
        <v>10</v>
      </c>
    </row>
    <row r="74" spans="1:12" ht="16.5" hidden="1" thickBot="1">
      <c r="A74" s="31" t="s">
        <v>83</v>
      </c>
      <c r="B74" s="324"/>
      <c r="C74" s="334">
        <f>מנהל!C53</f>
        <v>100</v>
      </c>
      <c r="D74" s="334">
        <f>מנהל!D53</f>
        <v>120</v>
      </c>
      <c r="E74" s="334">
        <f>מנהל!E53</f>
        <v>110</v>
      </c>
      <c r="F74" s="334">
        <f>מנהל!F53</f>
        <v>165</v>
      </c>
      <c r="G74" s="334">
        <f>מנהל!I53</f>
        <v>110</v>
      </c>
      <c r="L74" s="334">
        <f>מנהל!J53</f>
        <v>160</v>
      </c>
    </row>
    <row r="75" spans="1:12" ht="26.25" hidden="1" thickBot="1">
      <c r="A75" s="983" t="s">
        <v>80</v>
      </c>
      <c r="B75" s="496" t="s">
        <v>81</v>
      </c>
      <c r="C75" s="495">
        <f>מנהל!C54</f>
        <v>100</v>
      </c>
      <c r="D75" s="495">
        <f>מנהל!D54</f>
        <v>100</v>
      </c>
      <c r="E75" s="495">
        <f>מנהל!E54</f>
        <v>100</v>
      </c>
      <c r="F75" s="495">
        <f>מנהל!F54</f>
        <v>125</v>
      </c>
      <c r="G75" s="495">
        <f>מנהל!I54</f>
        <v>100</v>
      </c>
      <c r="L75" s="495">
        <f>מנהל!J54</f>
        <v>150</v>
      </c>
    </row>
    <row r="76" spans="1:12" ht="26.25" hidden="1" thickBot="1">
      <c r="A76" s="987"/>
      <c r="B76" s="497" t="s">
        <v>82</v>
      </c>
      <c r="C76" s="495">
        <f>מנהל!C55</f>
        <v>0</v>
      </c>
      <c r="D76" s="495">
        <f>מנהל!D55</f>
        <v>20</v>
      </c>
      <c r="E76" s="495">
        <f>מנהל!E55</f>
        <v>10</v>
      </c>
      <c r="F76" s="495">
        <f>מנהל!F55</f>
        <v>40</v>
      </c>
      <c r="G76" s="495">
        <f>מנהל!I55</f>
        <v>10</v>
      </c>
      <c r="L76" s="495">
        <f>מנהל!J55</f>
        <v>10</v>
      </c>
    </row>
    <row r="77" spans="1:12" ht="16.5" hidden="1" thickBot="1">
      <c r="A77" s="31" t="s">
        <v>84</v>
      </c>
      <c r="B77" s="324"/>
      <c r="C77" s="334">
        <f>מנהל!C56</f>
        <v>55</v>
      </c>
      <c r="D77" s="334">
        <f>מנהל!D56</f>
        <v>55</v>
      </c>
      <c r="E77" s="334">
        <f>מנהל!E56</f>
        <v>105</v>
      </c>
      <c r="F77" s="334">
        <f>מנהל!F56</f>
        <v>65</v>
      </c>
      <c r="G77" s="334">
        <f>מנהל!I56</f>
        <v>105</v>
      </c>
      <c r="L77" s="334">
        <f>מנהל!J56</f>
        <v>100</v>
      </c>
    </row>
    <row r="78" spans="1:12" ht="26.25" hidden="1" thickBot="1">
      <c r="A78" s="983" t="s">
        <v>80</v>
      </c>
      <c r="B78" s="496" t="s">
        <v>81</v>
      </c>
      <c r="C78" s="495">
        <f>מנהל!C57</f>
        <v>45</v>
      </c>
      <c r="D78" s="495">
        <f>מנהל!D57</f>
        <v>45</v>
      </c>
      <c r="E78" s="495">
        <f>מנהל!E57</f>
        <v>95</v>
      </c>
      <c r="F78" s="495">
        <f>מנהל!F57</f>
        <v>40</v>
      </c>
      <c r="G78" s="495">
        <f>מנהל!I57</f>
        <v>95</v>
      </c>
      <c r="L78" s="495">
        <f>מנהל!J57</f>
        <v>90</v>
      </c>
    </row>
    <row r="79" spans="1:12" ht="26.25" hidden="1" thickBot="1">
      <c r="A79" s="984"/>
      <c r="B79" s="497" t="s">
        <v>82</v>
      </c>
      <c r="C79" s="495">
        <f>מנהל!C58</f>
        <v>10</v>
      </c>
      <c r="D79" s="495">
        <f>מנהל!D58</f>
        <v>10</v>
      </c>
      <c r="E79" s="495">
        <f>מנהל!E58</f>
        <v>10</v>
      </c>
      <c r="F79" s="495">
        <f>מנהל!F58</f>
        <v>25</v>
      </c>
      <c r="G79" s="495">
        <f>מנהל!I58</f>
        <v>10</v>
      </c>
      <c r="L79" s="495">
        <f>מנהל!J58</f>
        <v>10</v>
      </c>
    </row>
    <row r="80" spans="1:12" ht="15" hidden="1" thickBot="1">
      <c r="A80" s="80" t="s">
        <v>85</v>
      </c>
      <c r="B80" s="325"/>
      <c r="C80" s="82">
        <f>IF((C69+C71+C74+C77)=365,365,"שגיאה, בדוק כמות ימים")</f>
        <v>365</v>
      </c>
      <c r="D80" s="83">
        <f>IF((D69+D71+D74+D77)=365,365,"שגיאה, בדוק כמות ימים")</f>
        <v>365</v>
      </c>
      <c r="E80" s="81">
        <f>IF((E69+E71+E74+E77)=365,365,"שגיאה, בדוק כמות ימים")</f>
        <v>365</v>
      </c>
      <c r="F80" s="81">
        <f>IF((F69+F71+F74+F77)=365,365,"שגיאה, בדוק כמות ימים")</f>
        <v>365</v>
      </c>
      <c r="G80" s="81">
        <f>IF((G69+G71+G74+G77)=365,365,"שגיאה, בדוק כמות ימים")</f>
        <v>365</v>
      </c>
      <c r="L80" s="81">
        <f>IF((L69+L71+L74+L77)=365,365,"שגיאה, בדוק כמות ימים")</f>
        <v>365</v>
      </c>
    </row>
    <row r="117" spans="1:7" hidden="1">
      <c r="A117" s="336"/>
      <c r="B117" s="336"/>
      <c r="C117" s="336"/>
      <c r="D117" s="336"/>
      <c r="E117" s="336"/>
      <c r="F117" s="336"/>
      <c r="G117" s="336"/>
    </row>
    <row r="118" spans="1:7" ht="18" hidden="1">
      <c r="A118" s="977" t="s">
        <v>141</v>
      </c>
      <c r="B118" s="977"/>
      <c r="C118" s="977"/>
      <c r="D118" s="977"/>
      <c r="E118" s="977"/>
      <c r="F118" s="977"/>
      <c r="G118" s="977"/>
    </row>
    <row r="119" spans="1:7" ht="15" hidden="1" thickBot="1"/>
    <row r="120" spans="1:7" ht="16.5" hidden="1" thickBot="1">
      <c r="A120" s="78" t="s">
        <v>116</v>
      </c>
      <c r="B120" s="29" t="s">
        <v>74</v>
      </c>
      <c r="C120" s="97" t="s">
        <v>75</v>
      </c>
      <c r="D120" s="98" t="s">
        <v>76</v>
      </c>
      <c r="E120" s="99" t="s">
        <v>77</v>
      </c>
      <c r="F120" s="99" t="s">
        <v>106</v>
      </c>
      <c r="G120" s="100" t="s">
        <v>115</v>
      </c>
    </row>
    <row r="121" spans="1:7" ht="16.5" hidden="1" thickBot="1">
      <c r="A121" s="101" t="s">
        <v>78</v>
      </c>
      <c r="B121" s="32"/>
      <c r="C121" s="64">
        <f>Q5*רגישות!$C$3</f>
        <v>0</v>
      </c>
      <c r="D121" s="64">
        <f>R5*רגישות!$C$3</f>
        <v>0</v>
      </c>
      <c r="E121" s="64">
        <f>S5*רגישות!$C$3</f>
        <v>0</v>
      </c>
      <c r="F121" s="64">
        <f>C26</f>
        <v>0</v>
      </c>
      <c r="G121" s="64">
        <f>$B$60</f>
        <v>1.4</v>
      </c>
    </row>
    <row r="122" spans="1:7" ht="16.5" hidden="1" thickBot="1">
      <c r="A122" s="93"/>
      <c r="B122" s="94"/>
      <c r="C122" s="96"/>
      <c r="D122" s="96"/>
      <c r="E122" s="96"/>
      <c r="F122" s="96"/>
      <c r="G122" s="96"/>
    </row>
    <row r="123" spans="1:7" ht="16.5" hidden="1" thickBot="1">
      <c r="A123" s="101" t="s">
        <v>79</v>
      </c>
      <c r="B123" s="32"/>
      <c r="C123" s="64"/>
      <c r="D123" s="64"/>
      <c r="E123" s="64"/>
      <c r="F123" s="64"/>
      <c r="G123" s="64"/>
    </row>
    <row r="124" spans="1:7" ht="25.5" hidden="1">
      <c r="A124" s="975" t="s">
        <v>80</v>
      </c>
      <c r="B124" s="34" t="s">
        <v>81</v>
      </c>
      <c r="C124" s="107">
        <f>Q8*רגישות!$C$3</f>
        <v>0</v>
      </c>
      <c r="D124" s="107">
        <f>R8*רגישות!$C$3</f>
        <v>0</v>
      </c>
      <c r="E124" s="107">
        <f>S8*רגישות!$C$3</f>
        <v>0</v>
      </c>
      <c r="F124" s="65">
        <f>D26</f>
        <v>0</v>
      </c>
      <c r="G124" s="65">
        <f>$B$61*$B$59</f>
        <v>0.96</v>
      </c>
    </row>
    <row r="125" spans="1:7" ht="26.25" hidden="1" thickBot="1">
      <c r="A125" s="976"/>
      <c r="B125" s="30" t="s">
        <v>82</v>
      </c>
      <c r="C125" s="108">
        <f>Q9*רגישות!$C$3</f>
        <v>0</v>
      </c>
      <c r="D125" s="108">
        <f>R9*רגישות!$C$3</f>
        <v>0</v>
      </c>
      <c r="E125" s="108">
        <f>S9*רגישות!$C$3</f>
        <v>0</v>
      </c>
      <c r="F125" s="66">
        <f>F124</f>
        <v>0</v>
      </c>
      <c r="G125" s="66">
        <f>$B$61*$B$58</f>
        <v>1.2</v>
      </c>
    </row>
    <row r="126" spans="1:7" ht="16.5" hidden="1" thickBot="1">
      <c r="A126" s="101" t="s">
        <v>83</v>
      </c>
      <c r="B126" s="102"/>
      <c r="C126" s="33"/>
      <c r="D126" s="33"/>
      <c r="E126" s="33"/>
      <c r="F126" s="64"/>
      <c r="G126" s="64"/>
    </row>
    <row r="127" spans="1:7" ht="25.5" hidden="1">
      <c r="A127" s="975" t="s">
        <v>80</v>
      </c>
      <c r="B127" s="34" t="s">
        <v>81</v>
      </c>
      <c r="C127" s="107">
        <f>Q11*רגישות!$C$3</f>
        <v>0</v>
      </c>
      <c r="D127" s="107">
        <f>R11*רגישות!$C$3</f>
        <v>0</v>
      </c>
      <c r="E127" s="107">
        <f>S11*רגישות!$C$3</f>
        <v>0</v>
      </c>
      <c r="F127" s="65">
        <f>E26</f>
        <v>0</v>
      </c>
      <c r="G127" s="65">
        <f>$B$62*$B$59</f>
        <v>0.8</v>
      </c>
    </row>
    <row r="128" spans="1:7" ht="26.25" hidden="1" thickBot="1">
      <c r="A128" s="976"/>
      <c r="B128" s="30" t="s">
        <v>82</v>
      </c>
      <c r="C128" s="108">
        <f>Q12*רגישות!$C$3</f>
        <v>0</v>
      </c>
      <c r="D128" s="108">
        <f>R12*רגישות!$C$3</f>
        <v>0</v>
      </c>
      <c r="E128" s="108">
        <f>S12*רגישות!$C$3</f>
        <v>0</v>
      </c>
      <c r="F128" s="66">
        <f>F127</f>
        <v>0</v>
      </c>
      <c r="G128" s="66">
        <f>$B$62*$B$58</f>
        <v>1</v>
      </c>
    </row>
    <row r="129" spans="1:7" ht="16.5" hidden="1" thickBot="1">
      <c r="A129" s="101" t="s">
        <v>84</v>
      </c>
      <c r="B129" s="102"/>
      <c r="C129" s="33"/>
      <c r="D129" s="33"/>
      <c r="E129" s="33"/>
      <c r="F129" s="64"/>
      <c r="G129" s="64"/>
    </row>
    <row r="130" spans="1:7" ht="25.5" hidden="1">
      <c r="A130" s="975" t="s">
        <v>80</v>
      </c>
      <c r="B130" s="34" t="s">
        <v>81</v>
      </c>
      <c r="C130" s="107">
        <f>Q14*רגישות!$C$3</f>
        <v>0</v>
      </c>
      <c r="D130" s="107">
        <f>R14*רגישות!$C$3</f>
        <v>0</v>
      </c>
      <c r="E130" s="107">
        <f>S14*רגישות!$C$3</f>
        <v>0</v>
      </c>
      <c r="F130" s="65">
        <f>F26</f>
        <v>0</v>
      </c>
      <c r="G130" s="65">
        <f>$B$63*$B$59</f>
        <v>0.64000000000000012</v>
      </c>
    </row>
    <row r="131" spans="1:7" ht="26.25" hidden="1" thickBot="1">
      <c r="A131" s="976"/>
      <c r="B131" s="30" t="s">
        <v>82</v>
      </c>
      <c r="C131" s="108">
        <f>Q15*רגישות!$C$3</f>
        <v>0</v>
      </c>
      <c r="D131" s="108">
        <f>R15*רגישות!$C$3</f>
        <v>0</v>
      </c>
      <c r="E131" s="108">
        <f>S15*רגישות!$C$3</f>
        <v>0</v>
      </c>
      <c r="F131" s="66">
        <f>F130</f>
        <v>0</v>
      </c>
      <c r="G131" s="66">
        <f>$B$63*$B$58</f>
        <v>0.8</v>
      </c>
    </row>
  </sheetData>
  <sheetProtection algorithmName="SHA-512" hashValue="UdhFg6KZBO7UZUH9ELNOwHDjEzCIEICH1hZjEZ6p0yQpopWSdu6ByoXr0BRo/xKnimlxyOvkLBVguSzi79/HLA==" saltValue="WBDfpraCB7sfEsffjDYDZQ==" spinCount="100000" sheet="1" objects="1" scenarios="1" selectLockedCells="1"/>
  <mergeCells count="19">
    <mergeCell ref="A1:H1"/>
    <mergeCell ref="A72:A73"/>
    <mergeCell ref="A75:A76"/>
    <mergeCell ref="A55:B55"/>
    <mergeCell ref="B12:E12"/>
    <mergeCell ref="A124:A125"/>
    <mergeCell ref="A15:F15"/>
    <mergeCell ref="A127:A128"/>
    <mergeCell ref="A130:A131"/>
    <mergeCell ref="A118:G118"/>
    <mergeCell ref="A66:G66"/>
    <mergeCell ref="A53:G53"/>
    <mergeCell ref="A78:A79"/>
    <mergeCell ref="C17:F17"/>
    <mergeCell ref="O14:O15"/>
    <mergeCell ref="O11:O12"/>
    <mergeCell ref="O8:O9"/>
    <mergeCell ref="O1:S1"/>
    <mergeCell ref="O17:P17"/>
  </mergeCells>
  <conditionalFormatting sqref="B12 C80:G80 L80">
    <cfRule type="containsText" dxfId="25" priority="5" operator="containsText" text="שגיאה">
      <formula>NOT(ISERROR(SEARCH("שגיאה",B12)))</formula>
    </cfRule>
  </conditionalFormatting>
  <dataValidations count="1">
    <dataValidation operator="equal" allowBlank="1" showInputMessage="1" errorTitle="שגיאה" error="מספר חדרים לא תואם נתוני השקעה" sqref="B11:B12" xr:uid="{00000000-0002-0000-0700-000000000000}"/>
  </dataValidations>
  <printOptions horizontalCentered="1"/>
  <pageMargins left="0" right="0" top="0.74803149606299213" bottom="0" header="0.31496062992125984" footer="0.31496062992125984"/>
  <pageSetup scale="85" orientation="landscape" verticalDpi="0" r:id="rId1"/>
  <headerFooter>
    <oddHeader xml:space="preserve">&amp;C&amp;"-,מודגש"&amp;14&amp;Eתוכנה לסקר כלכלי
נתונים בסיסיים ללינה
</oddHeader>
    <oddFooter>&amp;L&amp;F&amp;C&amp;D</oddFooter>
  </headerFooter>
  <colBreaks count="2" manualBreakCount="2">
    <brk id="13" max="1048575" man="1"/>
    <brk id="20" max="79" man="1"/>
  </colBreaks>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גיליון6"/>
  <dimension ref="A1:I28"/>
  <sheetViews>
    <sheetView showGridLines="0" showRowColHeaders="0" rightToLeft="1" zoomScale="90" zoomScaleNormal="90" workbookViewId="0">
      <selection activeCell="D4" sqref="D4"/>
    </sheetView>
  </sheetViews>
  <sheetFormatPr defaultColWidth="0" defaultRowHeight="18" zeroHeight="1"/>
  <cols>
    <col min="1" max="1" width="20.625" style="61" customWidth="1"/>
    <col min="2" max="2" width="10" style="61" customWidth="1"/>
    <col min="3" max="3" width="20.375" style="61" customWidth="1"/>
    <col min="4" max="4" width="10" style="61" customWidth="1"/>
    <col min="5" max="5" width="14.75" style="61" customWidth="1"/>
    <col min="6" max="6" width="10" style="61" customWidth="1"/>
    <col min="7" max="7" width="14.75" style="61" customWidth="1"/>
    <col min="8" max="8" width="10" style="61" customWidth="1"/>
    <col min="9" max="9" width="14.75" style="61" customWidth="1"/>
    <col min="10" max="16384" width="13.375" style="61" hidden="1"/>
  </cols>
  <sheetData>
    <row r="1" spans="1:9">
      <c r="A1" s="991" t="s">
        <v>114</v>
      </c>
      <c r="B1" s="991"/>
      <c r="C1" s="991"/>
      <c r="D1" s="991"/>
      <c r="E1" s="991"/>
      <c r="F1" s="991"/>
      <c r="G1" s="991"/>
      <c r="H1" s="991"/>
      <c r="I1" s="991"/>
    </row>
    <row r="2" spans="1:9" ht="18.75" thickBot="1">
      <c r="A2" s="338"/>
      <c r="B2" s="338"/>
      <c r="C2" s="338" t="s">
        <v>118</v>
      </c>
      <c r="D2" s="338"/>
      <c r="E2" s="339">
        <f>'נתוני חברה'!B14</f>
        <v>0</v>
      </c>
      <c r="F2" s="339"/>
      <c r="G2" s="340"/>
      <c r="H2" s="340"/>
      <c r="I2" s="338"/>
    </row>
    <row r="3" spans="1:9">
      <c r="A3" s="340"/>
      <c r="B3" s="340"/>
      <c r="C3" s="340"/>
      <c r="D3" s="995" t="s">
        <v>75</v>
      </c>
      <c r="E3" s="996"/>
      <c r="F3" s="995" t="s">
        <v>137</v>
      </c>
      <c r="G3" s="996"/>
      <c r="H3" s="995" t="s">
        <v>77</v>
      </c>
      <c r="I3" s="996"/>
    </row>
    <row r="4" spans="1:9" s="77" customFormat="1" ht="18.75">
      <c r="A4" s="341" t="s">
        <v>73</v>
      </c>
      <c r="B4" s="342" t="s">
        <v>442</v>
      </c>
      <c r="C4" s="342" t="s">
        <v>74</v>
      </c>
      <c r="D4" s="343" t="s">
        <v>135</v>
      </c>
      <c r="E4" s="344" t="s">
        <v>136</v>
      </c>
      <c r="F4" s="343" t="s">
        <v>135</v>
      </c>
      <c r="G4" s="344" t="s">
        <v>136</v>
      </c>
      <c r="H4" s="343" t="s">
        <v>135</v>
      </c>
      <c r="I4" s="344" t="s">
        <v>136</v>
      </c>
    </row>
    <row r="5" spans="1:9" ht="18.75">
      <c r="A5" s="345" t="s">
        <v>78</v>
      </c>
      <c r="B5" s="346" t="e">
        <f>HLOOKUP($E$2,מנהל!$C$47:$J$59,2,0)</f>
        <v>#N/A</v>
      </c>
      <c r="C5" s="347"/>
      <c r="D5" s="348" t="e">
        <f>B5*'נ.בסיס לינה'!$D$11*'נ.בסיס לינה'!C121</f>
        <v>#N/A</v>
      </c>
      <c r="E5" s="349" t="e">
        <f>$B5*'נ.בסיס לינה'!$I$11*'נ.בסיס לינה'!C121*'נ.בסיס לינה'!$G121</f>
        <v>#N/A</v>
      </c>
      <c r="F5" s="350" t="e">
        <f>$B5*'נ.בסיס לינה'!$D$11*'נ.בסיס לינה'!D121</f>
        <v>#N/A</v>
      </c>
      <c r="G5" s="349" t="e">
        <f>$B5*'נ.בסיס לינה'!$I$11*'נ.בסיס לינה'!D121*'נ.בסיס לינה'!$G121</f>
        <v>#N/A</v>
      </c>
      <c r="H5" s="350" t="e">
        <f>$B5*'נ.בסיס לינה'!$D$11*'נ.בסיס לינה'!E121</f>
        <v>#N/A</v>
      </c>
      <c r="I5" s="349" t="e">
        <f>$B5*'נ.בסיס לינה'!$I$11*'נ.בסיס לינה'!E121*'נ.בסיס לינה'!$G121</f>
        <v>#N/A</v>
      </c>
    </row>
    <row r="6" spans="1:9" ht="18.75">
      <c r="A6" s="351"/>
      <c r="B6" s="342"/>
      <c r="C6" s="352"/>
      <c r="D6" s="353"/>
      <c r="E6" s="354"/>
      <c r="F6" s="353"/>
      <c r="G6" s="354"/>
      <c r="H6" s="353"/>
      <c r="I6" s="354"/>
    </row>
    <row r="7" spans="1:9" ht="18.75">
      <c r="A7" s="355" t="s">
        <v>79</v>
      </c>
      <c r="B7" s="346" t="e">
        <f>HLOOKUP($E$2,מנהל!$C$47:$J$59,4,0)</f>
        <v>#N/A</v>
      </c>
      <c r="C7" s="347"/>
      <c r="D7" s="350"/>
      <c r="E7" s="356"/>
      <c r="F7" s="350"/>
      <c r="G7" s="356"/>
      <c r="H7" s="350"/>
      <c r="I7" s="356"/>
    </row>
    <row r="8" spans="1:9" ht="18.75">
      <c r="A8" s="992" t="s">
        <v>119</v>
      </c>
      <c r="B8" s="346" t="e">
        <f>HLOOKUP($E$2,מנהל!$C$47:$J$59,5,0)</f>
        <v>#N/A</v>
      </c>
      <c r="C8" s="357" t="s">
        <v>81</v>
      </c>
      <c r="D8" s="358" t="e">
        <f>B8*'נ.בסיס לינה'!$D$11*'נ.בסיס לינה'!C124</f>
        <v>#N/A</v>
      </c>
      <c r="E8" s="354" t="e">
        <f>$B8*'נ.בסיס לינה'!$I$11*'נ.בסיס לינה'!C124*'נ.בסיס לינה'!$G124</f>
        <v>#N/A</v>
      </c>
      <c r="F8" s="358" t="e">
        <f>$B8*'נ.בסיס לינה'!$D$11*'נ.בסיס לינה'!D124</f>
        <v>#N/A</v>
      </c>
      <c r="G8" s="354" t="e">
        <f>$B8*'נ.בסיס לינה'!$I$11*'נ.בסיס לינה'!D124*'נ.בסיס לינה'!$G124</f>
        <v>#N/A</v>
      </c>
      <c r="H8" s="358" t="e">
        <f>$B8*'נ.בסיס לינה'!$D$11*'נ.בסיס לינה'!E124</f>
        <v>#N/A</v>
      </c>
      <c r="I8" s="354" t="e">
        <f>$B8*'נ.בסיס לינה'!$I$11*'נ.בסיס לינה'!E124*'נ.בסיס לינה'!$G124</f>
        <v>#N/A</v>
      </c>
    </row>
    <row r="9" spans="1:9" ht="37.5">
      <c r="A9" s="993"/>
      <c r="B9" s="346" t="e">
        <f>HLOOKUP($E$2,מנהל!$C$47:$J$59,6,0)</f>
        <v>#N/A</v>
      </c>
      <c r="C9" s="357" t="s">
        <v>82</v>
      </c>
      <c r="D9" s="358" t="e">
        <f>B9*'נ.בסיס לינה'!$D$11*'נ.בסיס לינה'!C125</f>
        <v>#N/A</v>
      </c>
      <c r="E9" s="354" t="e">
        <f>$B9*'נ.בסיס לינה'!$I$11*'נ.בסיס לינה'!C125*'נ.בסיס לינה'!$G125</f>
        <v>#N/A</v>
      </c>
      <c r="F9" s="358" t="e">
        <f>$B9*'נ.בסיס לינה'!$D$11*'נ.בסיס לינה'!D125</f>
        <v>#N/A</v>
      </c>
      <c r="G9" s="354" t="e">
        <f>$B9*'נ.בסיס לינה'!$I$11*'נ.בסיס לינה'!D125*'נ.בסיס לינה'!$G125</f>
        <v>#N/A</v>
      </c>
      <c r="H9" s="358" t="e">
        <f>$B9*'נ.בסיס לינה'!$D$11*'נ.בסיס לינה'!E125</f>
        <v>#N/A</v>
      </c>
      <c r="I9" s="354" t="e">
        <f>$B9*'נ.בסיס לינה'!$I$11*'נ.בסיס לינה'!E125*'נ.בסיס לינה'!$G125</f>
        <v>#N/A</v>
      </c>
    </row>
    <row r="10" spans="1:9" ht="18.75">
      <c r="A10" s="355" t="s">
        <v>83</v>
      </c>
      <c r="B10" s="346" t="e">
        <f>HLOOKUP($E$2,מנהל!$C$47:$J$59,7,0)</f>
        <v>#N/A</v>
      </c>
      <c r="C10" s="347"/>
      <c r="D10" s="350"/>
      <c r="E10" s="356"/>
      <c r="F10" s="350"/>
      <c r="G10" s="356"/>
      <c r="H10" s="350"/>
      <c r="I10" s="356"/>
    </row>
    <row r="11" spans="1:9" ht="18.75">
      <c r="A11" s="992" t="s">
        <v>119</v>
      </c>
      <c r="B11" s="346" t="e">
        <f>HLOOKUP($E$2,מנהל!$C$47:$J$59,8,0)</f>
        <v>#N/A</v>
      </c>
      <c r="C11" s="357" t="s">
        <v>81</v>
      </c>
      <c r="D11" s="358" t="e">
        <f>B11*'נ.בסיס לינה'!$D$11*'נ.בסיס לינה'!C127</f>
        <v>#N/A</v>
      </c>
      <c r="E11" s="354" t="e">
        <f>$B11*'נ.בסיס לינה'!$I$11*'נ.בסיס לינה'!C127*'נ.בסיס לינה'!$G127</f>
        <v>#N/A</v>
      </c>
      <c r="F11" s="358" t="e">
        <f>$B11*'נ.בסיס לינה'!$D$11*'נ.בסיס לינה'!D127</f>
        <v>#N/A</v>
      </c>
      <c r="G11" s="354" t="e">
        <f>$B11*'נ.בסיס לינה'!$I$11*'נ.בסיס לינה'!D127*'נ.בסיס לינה'!$G127</f>
        <v>#N/A</v>
      </c>
      <c r="H11" s="358" t="e">
        <f>$B11*'נ.בסיס לינה'!$D$11*'נ.בסיס לינה'!E127</f>
        <v>#N/A</v>
      </c>
      <c r="I11" s="354" t="e">
        <f>$B11*'נ.בסיס לינה'!$I$11*'נ.בסיס לינה'!E127*'נ.בסיס לינה'!$G127</f>
        <v>#N/A</v>
      </c>
    </row>
    <row r="12" spans="1:9" ht="37.5">
      <c r="A12" s="993"/>
      <c r="B12" s="346" t="e">
        <f>HLOOKUP($E$2,מנהל!$C$47:$J$59,9,0)</f>
        <v>#N/A</v>
      </c>
      <c r="C12" s="357" t="s">
        <v>82</v>
      </c>
      <c r="D12" s="358" t="e">
        <f>B12*'נ.בסיס לינה'!$D$11*'נ.בסיס לינה'!C128</f>
        <v>#N/A</v>
      </c>
      <c r="E12" s="354" t="e">
        <f>$B12*'נ.בסיס לינה'!$I$11*'נ.בסיס לינה'!C128*'נ.בסיס לינה'!$G128</f>
        <v>#N/A</v>
      </c>
      <c r="F12" s="358" t="e">
        <f>$B12*'נ.בסיס לינה'!$D$11*'נ.בסיס לינה'!D128</f>
        <v>#N/A</v>
      </c>
      <c r="G12" s="354" t="e">
        <f>$B12*'נ.בסיס לינה'!$I$11*'נ.בסיס לינה'!D128*'נ.בסיס לינה'!$G128</f>
        <v>#N/A</v>
      </c>
      <c r="H12" s="358" t="e">
        <f>$B12*'נ.בסיס לינה'!$D$11*'נ.בסיס לינה'!E128</f>
        <v>#N/A</v>
      </c>
      <c r="I12" s="354" t="e">
        <f>$B12*'נ.בסיס לינה'!$I$11*'נ.בסיס לינה'!E128*'נ.בסיס לינה'!$G128</f>
        <v>#N/A</v>
      </c>
    </row>
    <row r="13" spans="1:9" ht="18.75">
      <c r="A13" s="355" t="s">
        <v>84</v>
      </c>
      <c r="B13" s="346" t="e">
        <f>HLOOKUP($E$2,מנהל!$C$47:$J$59,10,0)</f>
        <v>#N/A</v>
      </c>
      <c r="C13" s="347"/>
      <c r="D13" s="350"/>
      <c r="E13" s="356"/>
      <c r="F13" s="350"/>
      <c r="G13" s="356"/>
      <c r="H13" s="350"/>
      <c r="I13" s="356"/>
    </row>
    <row r="14" spans="1:9" ht="18.75">
      <c r="A14" s="992" t="s">
        <v>119</v>
      </c>
      <c r="B14" s="346" t="e">
        <f>HLOOKUP($E$2,מנהל!$C$47:$J$59,11,0)</f>
        <v>#N/A</v>
      </c>
      <c r="C14" s="357" t="s">
        <v>81</v>
      </c>
      <c r="D14" s="358" t="e">
        <f>B14*'נ.בסיס לינה'!$D$11*'נ.בסיס לינה'!C130</f>
        <v>#N/A</v>
      </c>
      <c r="E14" s="354" t="e">
        <f>$B14*'נ.בסיס לינה'!$I$11*'נ.בסיס לינה'!C130*'נ.בסיס לינה'!$G130</f>
        <v>#N/A</v>
      </c>
      <c r="F14" s="358" t="e">
        <f>$B14*'נ.בסיס לינה'!$D$11*'נ.בסיס לינה'!D130</f>
        <v>#N/A</v>
      </c>
      <c r="G14" s="354" t="e">
        <f>$B14*'נ.בסיס לינה'!$I$11*'נ.בסיס לינה'!D130*'נ.בסיס לינה'!$G130</f>
        <v>#N/A</v>
      </c>
      <c r="H14" s="358" t="e">
        <f>$B14*'נ.בסיס לינה'!$D$11*'נ.בסיס לינה'!E130</f>
        <v>#N/A</v>
      </c>
      <c r="I14" s="354" t="e">
        <f>$B14*'נ.בסיס לינה'!$I$11*'נ.בסיס לינה'!E130*'נ.בסיס לינה'!$G130</f>
        <v>#N/A</v>
      </c>
    </row>
    <row r="15" spans="1:9" ht="38.25" thickBot="1">
      <c r="A15" s="994"/>
      <c r="B15" s="346" t="e">
        <f>HLOOKUP($E$2,מנהל!$C$47:$J$59,12,0)</f>
        <v>#N/A</v>
      </c>
      <c r="C15" s="359" t="s">
        <v>82</v>
      </c>
      <c r="D15" s="360" t="e">
        <f>B15*'נ.בסיס לינה'!$D$11*'נ.בסיס לינה'!C131</f>
        <v>#N/A</v>
      </c>
      <c r="E15" s="361" t="e">
        <f>$B15*'נ.בסיס לינה'!$I$11*'נ.בסיס לינה'!C131*'נ.בסיס לינה'!$G131</f>
        <v>#N/A</v>
      </c>
      <c r="F15" s="360" t="e">
        <f>$B15*'נ.בסיס לינה'!$D$11*'נ.בסיס לינה'!D131</f>
        <v>#N/A</v>
      </c>
      <c r="G15" s="361" t="e">
        <f>$B15*'נ.בסיס לינה'!$I$11*'נ.בסיס לינה'!D131*'נ.בסיס לינה'!$G131</f>
        <v>#N/A</v>
      </c>
      <c r="H15" s="360" t="e">
        <f>$B15*'נ.בסיס לינה'!$D$11*'נ.בסיס לינה'!E131</f>
        <v>#N/A</v>
      </c>
      <c r="I15" s="361" t="e">
        <f>$B15*'נ.בסיס לינה'!$I$11*'נ.בסיס לינה'!E131*'נ.בסיס לינה'!$G131</f>
        <v>#N/A</v>
      </c>
    </row>
    <row r="16" spans="1:9" ht="19.5" thickBot="1">
      <c r="A16" s="362" t="s">
        <v>102</v>
      </c>
      <c r="B16" s="346" t="e">
        <f>B15+B14+B12+B11+B9+B8+B5</f>
        <v>#N/A</v>
      </c>
      <c r="C16" s="363"/>
      <c r="D16" s="364" t="e">
        <f t="shared" ref="D16:I16" si="0">SUM(D5:D15)</f>
        <v>#N/A</v>
      </c>
      <c r="E16" s="365" t="e">
        <f t="shared" si="0"/>
        <v>#N/A</v>
      </c>
      <c r="F16" s="364" t="e">
        <f t="shared" si="0"/>
        <v>#N/A</v>
      </c>
      <c r="G16" s="365" t="e">
        <f t="shared" si="0"/>
        <v>#N/A</v>
      </c>
      <c r="H16" s="364" t="e">
        <f t="shared" si="0"/>
        <v>#N/A</v>
      </c>
      <c r="I16" s="365" t="e">
        <f t="shared" si="0"/>
        <v>#N/A</v>
      </c>
    </row>
    <row r="17" spans="1:9" ht="18.75" thickBot="1">
      <c r="A17" s="366" t="s">
        <v>113</v>
      </c>
      <c r="B17" s="367"/>
      <c r="C17" s="368"/>
      <c r="D17" s="369"/>
      <c r="E17" s="370" t="e">
        <f>E5*'נ.בסיס לינה'!$F$121+'נ.בסיס לינה'!$F$124*'הכנסות לינה'!E8+'הכנסות לינה'!E9*'נ.בסיס לינה'!$F$125+'נ.בסיס לינה'!$F$127*'הכנסות לינה'!E11+'הכנסות לינה'!E12*'נ.בסיס לינה'!$F$128+'נ.בסיס לינה'!$F$130*'הכנסות לינה'!E14+'הכנסות לינה'!E15*'נ.בסיס לינה'!$F$131</f>
        <v>#N/A</v>
      </c>
      <c r="F17" s="369"/>
      <c r="G17" s="370" t="e">
        <f>G5*'נ.בסיס לינה'!$F$121+'נ.בסיס לינה'!$F$124*'הכנסות לינה'!G8+'הכנסות לינה'!G9*'נ.בסיס לינה'!$F$125+'נ.בסיס לינה'!$F$127*'הכנסות לינה'!G11+'הכנסות לינה'!G12*'נ.בסיס לינה'!$F$128+'נ.בסיס לינה'!$F$130*'הכנסות לינה'!G14+'הכנסות לינה'!G15*'נ.בסיס לינה'!$F$131</f>
        <v>#N/A</v>
      </c>
      <c r="H17" s="369"/>
      <c r="I17" s="370" t="e">
        <f>I5*'נ.בסיס לינה'!$F$121+'נ.בסיס לינה'!$F$124*'הכנסות לינה'!I8+'הכנסות לינה'!I9*'נ.בסיס לינה'!$F$125+'נ.בסיס לינה'!$F$127*'הכנסות לינה'!I11+'הכנסות לינה'!I12*'נ.בסיס לינה'!$F$128+'נ.בסיס לינה'!$F$130*'הכנסות לינה'!I14+'הכנסות לינה'!I15*'נ.בסיס לינה'!$F$131</f>
        <v>#N/A</v>
      </c>
    </row>
    <row r="18" spans="1:9" ht="18.75" thickBot="1">
      <c r="A18" s="465" t="s">
        <v>138</v>
      </c>
      <c r="B18" s="466"/>
      <c r="C18" s="467"/>
      <c r="D18" s="465"/>
      <c r="E18" s="468" t="e">
        <f>E16-E17</f>
        <v>#N/A</v>
      </c>
      <c r="F18" s="465"/>
      <c r="G18" s="468" t="e">
        <f>G16-G17</f>
        <v>#N/A</v>
      </c>
      <c r="H18" s="465"/>
      <c r="I18" s="468" t="e">
        <f>I16-I17</f>
        <v>#N/A</v>
      </c>
    </row>
    <row r="19" spans="1:9">
      <c r="A19" s="340" t="s">
        <v>399</v>
      </c>
      <c r="B19" s="340"/>
      <c r="C19" s="340"/>
      <c r="D19" s="340"/>
      <c r="E19" s="552" t="e">
        <f>E18/'נתוני הקמה'!$B$13</f>
        <v>#N/A</v>
      </c>
      <c r="F19" s="553"/>
      <c r="G19" s="552" t="e">
        <f>G18/'נתוני הקמה'!$B$13</f>
        <v>#N/A</v>
      </c>
      <c r="H19" s="553"/>
      <c r="I19" s="552" t="e">
        <f>I18/'נתוני הקמה'!$B$13</f>
        <v>#N/A</v>
      </c>
    </row>
    <row r="20" spans="1:9" ht="22.5">
      <c r="A20" s="340"/>
      <c r="B20" s="340"/>
      <c r="C20" s="340"/>
      <c r="D20" s="340"/>
      <c r="E20" s="550"/>
      <c r="F20" s="550"/>
      <c r="G20" s="550"/>
      <c r="H20" s="550"/>
      <c r="I20" s="550"/>
    </row>
    <row r="21" spans="1:9" ht="22.5">
      <c r="A21" s="340" t="s">
        <v>398</v>
      </c>
      <c r="B21" s="340"/>
      <c r="C21" s="340"/>
      <c r="D21" s="340"/>
      <c r="E21" s="551" t="e">
        <f>E18/D16</f>
        <v>#N/A</v>
      </c>
      <c r="F21" s="551"/>
      <c r="G21" s="551" t="e">
        <f>G18/F16</f>
        <v>#N/A</v>
      </c>
      <c r="H21" s="551"/>
      <c r="I21" s="551" t="e">
        <f>I18/H16</f>
        <v>#N/A</v>
      </c>
    </row>
    <row r="22" spans="1:9" ht="22.5">
      <c r="A22" s="340"/>
      <c r="B22" s="340"/>
      <c r="C22" s="340"/>
      <c r="D22" s="340"/>
      <c r="E22" s="551"/>
      <c r="F22" s="551"/>
      <c r="G22" s="551"/>
      <c r="H22" s="551"/>
      <c r="I22" s="551"/>
    </row>
    <row r="23" spans="1:9" ht="22.5">
      <c r="A23" s="340" t="s">
        <v>400</v>
      </c>
      <c r="B23" s="340"/>
      <c r="C23" s="340"/>
      <c r="D23" s="340"/>
      <c r="E23" s="549" t="e">
        <f>E19/D16</f>
        <v>#N/A</v>
      </c>
      <c r="F23" s="549"/>
      <c r="G23" s="549" t="e">
        <f>G19/F16</f>
        <v>#N/A</v>
      </c>
      <c r="H23" s="549"/>
      <c r="I23" s="549" t="e">
        <f>I19/H16</f>
        <v>#N/A</v>
      </c>
    </row>
    <row r="24" spans="1:9">
      <c r="E24" s="547"/>
      <c r="F24" s="547"/>
      <c r="G24" s="547"/>
      <c r="H24" s="547"/>
      <c r="I24" s="547"/>
    </row>
    <row r="25" spans="1:9"/>
    <row r="26" spans="1:9"/>
    <row r="27" spans="1:9"/>
    <row r="28" spans="1:9"/>
  </sheetData>
  <sheetProtection algorithmName="SHA-512" hashValue="yw87z2oE9ljY4coYSLKZNS7nrrzphWPomka3psIk40IWOLDudol2m9gVFZ8FdzvBF0kyftPk0JZ30ffNmRO2Fw==" saltValue="nG8b3WPmNwdP4+EmdNx/cw==" spinCount="100000" sheet="1" objects="1" scenarios="1" selectLockedCells="1" selectUnlockedCells="1"/>
  <mergeCells count="7">
    <mergeCell ref="A1:I1"/>
    <mergeCell ref="A8:A9"/>
    <mergeCell ref="A11:A12"/>
    <mergeCell ref="A14:A15"/>
    <mergeCell ref="D3:E3"/>
    <mergeCell ref="F3:G3"/>
    <mergeCell ref="H3:I3"/>
  </mergeCells>
  <conditionalFormatting sqref="D16 F16 H16">
    <cfRule type="containsText" dxfId="24" priority="4" operator="containsText" text="שגיאה">
      <formula>NOT(ISERROR(SEARCH("שגיאה",D16)))</formula>
    </cfRule>
  </conditionalFormatting>
  <printOptions horizontalCentered="1"/>
  <pageMargins left="0" right="0" top="0.74803149606299213" bottom="0.74803149606299213" header="0.31496062992125984" footer="0.31496062992125984"/>
  <pageSetup scale="83" orientation="landscape" verticalDpi="0" r:id="rId1"/>
  <headerFooter>
    <oddHeader xml:space="preserve">&amp;C&amp;"-,מודגש"&amp;14&amp;Eתוכנה לסקר כלכלי
הכנסות מלינה
</oddHeader>
    <oddFooter>&amp;L&amp;F&amp;C&amp;D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גיליון7"/>
  <dimension ref="A1:H34"/>
  <sheetViews>
    <sheetView showGridLines="0" rightToLeft="1" view="pageBreakPreview" zoomScale="90" zoomScaleNormal="100" zoomScaleSheetLayoutView="90" workbookViewId="0">
      <selection activeCell="B5" sqref="B5"/>
    </sheetView>
  </sheetViews>
  <sheetFormatPr defaultColWidth="0" defaultRowHeight="15" zeroHeight="1"/>
  <cols>
    <col min="1" max="1" width="29.125" style="85" bestFit="1" customWidth="1"/>
    <col min="2" max="2" width="10.25" style="85" customWidth="1"/>
    <col min="3" max="3" width="10.75" style="85" customWidth="1"/>
    <col min="4" max="4" width="10.25" style="85" customWidth="1"/>
    <col min="5" max="5" width="9.875" style="85" bestFit="1" customWidth="1"/>
    <col min="6" max="6" width="10.25" style="85" customWidth="1"/>
    <col min="7" max="7" width="9" style="85" customWidth="1"/>
    <col min="8" max="9" width="9" style="85" hidden="1" customWidth="1"/>
    <col min="10" max="16384" width="9" style="85" hidden="1"/>
  </cols>
  <sheetData>
    <row r="1" spans="1:6" ht="15.75">
      <c r="A1" s="997" t="s">
        <v>120</v>
      </c>
      <c r="B1" s="997"/>
    </row>
    <row r="2" spans="1:6" ht="16.5" thickBot="1">
      <c r="A2" s="86"/>
      <c r="B2" s="86"/>
    </row>
    <row r="3" spans="1:6" s="89" customFormat="1" ht="32.25" thickBot="1">
      <c r="A3" s="87" t="s">
        <v>108</v>
      </c>
      <c r="B3" s="88" t="s">
        <v>121</v>
      </c>
    </row>
    <row r="4" spans="1:6" ht="15.75">
      <c r="A4" s="371" t="s">
        <v>122</v>
      </c>
      <c r="B4" s="375">
        <f>B7-B6-B5</f>
        <v>1</v>
      </c>
      <c r="C4" s="261"/>
    </row>
    <row r="5" spans="1:6" ht="15.75">
      <c r="A5" s="372" t="s">
        <v>123</v>
      </c>
      <c r="B5" s="401"/>
      <c r="C5" s="261"/>
    </row>
    <row r="6" spans="1:6" ht="15.75">
      <c r="A6" s="372" t="s">
        <v>124</v>
      </c>
      <c r="B6" s="401"/>
      <c r="C6" s="261"/>
    </row>
    <row r="7" spans="1:6" ht="15.75">
      <c r="A7" s="555" t="s">
        <v>482</v>
      </c>
      <c r="B7" s="833">
        <v>1</v>
      </c>
      <c r="C7" s="261"/>
    </row>
    <row r="8" spans="1:6" ht="16.5" thickBot="1">
      <c r="A8" s="373" t="s">
        <v>483</v>
      </c>
      <c r="B8" s="374">
        <f>1*B5+2*B6</f>
        <v>0</v>
      </c>
    </row>
    <row r="9" spans="1:6"/>
    <row r="10" spans="1:6" ht="15.75">
      <c r="A10" s="554" t="s">
        <v>401</v>
      </c>
      <c r="B10" s="402"/>
    </row>
    <row r="11" spans="1:6" ht="15.75">
      <c r="A11" s="554" t="s">
        <v>402</v>
      </c>
      <c r="B11" s="402"/>
    </row>
    <row r="12" spans="1:6"/>
    <row r="13" spans="1:6" ht="15.75" thickBot="1"/>
    <row r="14" spans="1:6" ht="32.25" thickBot="1">
      <c r="A14" s="110" t="s">
        <v>125</v>
      </c>
      <c r="B14" s="111" t="s">
        <v>126</v>
      </c>
      <c r="C14" s="112" t="s">
        <v>127</v>
      </c>
      <c r="D14" s="998" t="s">
        <v>128</v>
      </c>
      <c r="E14" s="999"/>
      <c r="F14" s="1000"/>
    </row>
    <row r="15" spans="1:6" ht="16.5" thickBot="1">
      <c r="A15" s="113"/>
      <c r="B15" s="114" t="s">
        <v>25</v>
      </c>
      <c r="C15" s="115"/>
      <c r="D15" s="111" t="s">
        <v>75</v>
      </c>
      <c r="E15" s="111" t="s">
        <v>76</v>
      </c>
      <c r="F15" s="111" t="s">
        <v>77</v>
      </c>
    </row>
    <row r="16" spans="1:6" ht="16.5" thickBot="1">
      <c r="A16" s="113"/>
      <c r="B16" s="116"/>
      <c r="C16" s="117"/>
      <c r="D16" s="118"/>
      <c r="E16" s="119"/>
      <c r="F16" s="120"/>
    </row>
    <row r="17" spans="1:8" ht="15.75">
      <c r="A17" s="121" t="s">
        <v>129</v>
      </c>
      <c r="B17" s="122"/>
      <c r="C17" s="123"/>
      <c r="D17" s="124" t="e">
        <f>'הכנסות לינה'!D16</f>
        <v>#N/A</v>
      </c>
      <c r="E17" s="125" t="e">
        <f>'הכנסות לינה'!F16</f>
        <v>#N/A</v>
      </c>
      <c r="F17" s="126" t="e">
        <f>'הכנסות לינה'!H16</f>
        <v>#N/A</v>
      </c>
    </row>
    <row r="18" spans="1:8" ht="15.75">
      <c r="A18" s="127" t="s">
        <v>144</v>
      </c>
      <c r="B18" s="128">
        <f>'נ.בסיס לינה'!B28</f>
        <v>0</v>
      </c>
      <c r="C18" s="129"/>
      <c r="D18" s="130" t="e">
        <f>D17*$B$18</f>
        <v>#N/A</v>
      </c>
      <c r="E18" s="131" t="e">
        <f>E17*$B$18</f>
        <v>#N/A</v>
      </c>
      <c r="F18" s="132" t="e">
        <f>F17*$B$18</f>
        <v>#N/A</v>
      </c>
    </row>
    <row r="19" spans="1:8" ht="16.5" thickBot="1">
      <c r="A19" s="133" t="s">
        <v>98</v>
      </c>
      <c r="B19" s="134">
        <f>'נ.בסיס לינה'!B29</f>
        <v>1</v>
      </c>
      <c r="C19" s="135"/>
      <c r="D19" s="136" t="e">
        <f>D17*$B$19</f>
        <v>#N/A</v>
      </c>
      <c r="E19" s="137" t="e">
        <f>E17*$B$19</f>
        <v>#N/A</v>
      </c>
      <c r="F19" s="138" t="e">
        <f>F17*$B$19</f>
        <v>#N/A</v>
      </c>
    </row>
    <row r="20" spans="1:8" ht="16.5" thickTop="1">
      <c r="A20" s="139"/>
      <c r="B20" s="140"/>
      <c r="C20" s="141"/>
      <c r="D20" s="130"/>
      <c r="E20" s="131"/>
      <c r="F20" s="132"/>
    </row>
    <row r="21" spans="1:8" ht="15.75">
      <c r="A21" s="84" t="s">
        <v>325</v>
      </c>
      <c r="B21" s="260">
        <f>'נ.בסיס לינה'!B3</f>
        <v>0</v>
      </c>
      <c r="C21" s="141">
        <v>1</v>
      </c>
      <c r="D21" s="130" t="e">
        <f>D17*$B$21</f>
        <v>#N/A</v>
      </c>
      <c r="E21" s="131" t="e">
        <f>E17*$B$21</f>
        <v>#N/A</v>
      </c>
      <c r="F21" s="132" t="e">
        <f>F17*$B$21</f>
        <v>#N/A</v>
      </c>
    </row>
    <row r="22" spans="1:8" ht="15.75">
      <c r="A22" s="84"/>
      <c r="B22" s="140"/>
      <c r="C22" s="141"/>
      <c r="D22" s="130"/>
      <c r="E22" s="131"/>
      <c r="F22" s="132"/>
    </row>
    <row r="23" spans="1:8" ht="15.75">
      <c r="A23" s="84" t="s">
        <v>130</v>
      </c>
      <c r="B23" s="140"/>
      <c r="C23" s="141">
        <f>$B$8*רגישות!$C$5</f>
        <v>0</v>
      </c>
      <c r="D23" s="130" t="e">
        <f t="shared" ref="D23:F24" si="0">+$C23*D18</f>
        <v>#N/A</v>
      </c>
      <c r="E23" s="131" t="e">
        <f t="shared" si="0"/>
        <v>#N/A</v>
      </c>
      <c r="F23" s="132" t="e">
        <f t="shared" si="0"/>
        <v>#N/A</v>
      </c>
    </row>
    <row r="24" spans="1:8" ht="16.5" thickBot="1">
      <c r="A24" s="84" t="s">
        <v>131</v>
      </c>
      <c r="B24" s="116"/>
      <c r="C24" s="141">
        <f>$B$8*רגישות!$C$5</f>
        <v>0</v>
      </c>
      <c r="D24" s="142" t="e">
        <f t="shared" si="0"/>
        <v>#N/A</v>
      </c>
      <c r="E24" s="143" t="e">
        <f t="shared" si="0"/>
        <v>#N/A</v>
      </c>
      <c r="F24" s="144" t="e">
        <f t="shared" si="0"/>
        <v>#N/A</v>
      </c>
    </row>
    <row r="25" spans="1:8" ht="16.5" thickBot="1">
      <c r="A25" s="1001" t="s">
        <v>142</v>
      </c>
      <c r="B25" s="1002"/>
      <c r="C25" s="1003"/>
      <c r="D25" s="145" t="e">
        <f>+D24+D23+D20</f>
        <v>#N/A</v>
      </c>
      <c r="E25" s="145" t="e">
        <f>+E24+E23+E20</f>
        <v>#N/A</v>
      </c>
      <c r="F25" s="146" t="e">
        <f>+F24+F23+F20</f>
        <v>#N/A</v>
      </c>
    </row>
    <row r="26" spans="1:8" ht="15.75">
      <c r="A26" s="389" t="s">
        <v>143</v>
      </c>
      <c r="B26" s="390"/>
      <c r="C26" s="391"/>
      <c r="D26" s="392" t="e">
        <f>D25/365</f>
        <v>#N/A</v>
      </c>
      <c r="E26" s="393" t="e">
        <f>E25/365</f>
        <v>#N/A</v>
      </c>
      <c r="F26" s="394" t="e">
        <f>F25/365</f>
        <v>#N/A</v>
      </c>
    </row>
    <row r="27" spans="1:8" ht="16.5" thickBot="1">
      <c r="A27" s="395"/>
      <c r="B27" s="396"/>
      <c r="C27" s="397"/>
      <c r="D27" s="398"/>
      <c r="E27" s="399"/>
      <c r="F27" s="400"/>
    </row>
    <row r="28" spans="1:8" ht="18.75" thickTop="1">
      <c r="A28" s="147"/>
      <c r="B28" s="148"/>
      <c r="C28" s="149"/>
      <c r="D28" s="150">
        <f>+$B28*D20/1000</f>
        <v>0</v>
      </c>
      <c r="E28" s="150">
        <f>+$B28*E20/1000</f>
        <v>0</v>
      </c>
      <c r="F28" s="150">
        <f>+$B28*F20/1000</f>
        <v>0</v>
      </c>
      <c r="H28" s="403"/>
    </row>
    <row r="29" spans="1:8" ht="15.75">
      <c r="A29" s="139" t="s">
        <v>132</v>
      </c>
      <c r="B29" s="207">
        <f>B10</f>
        <v>0</v>
      </c>
      <c r="C29" s="151"/>
      <c r="D29" s="150" t="e">
        <f t="shared" ref="D29:F30" si="1">+$B29*D23</f>
        <v>#N/A</v>
      </c>
      <c r="E29" s="150" t="e">
        <f t="shared" si="1"/>
        <v>#N/A</v>
      </c>
      <c r="F29" s="150" t="e">
        <f t="shared" si="1"/>
        <v>#N/A</v>
      </c>
    </row>
    <row r="30" spans="1:8" ht="16.5" thickBot="1">
      <c r="A30" s="139" t="s">
        <v>133</v>
      </c>
      <c r="B30" s="208">
        <f>B11</f>
        <v>0</v>
      </c>
      <c r="C30" s="151"/>
      <c r="D30" s="152" t="e">
        <f t="shared" si="1"/>
        <v>#N/A</v>
      </c>
      <c r="E30" s="152" t="e">
        <f t="shared" si="1"/>
        <v>#N/A</v>
      </c>
      <c r="F30" s="152" t="e">
        <f t="shared" si="1"/>
        <v>#N/A</v>
      </c>
    </row>
    <row r="31" spans="1:8" ht="16.5" thickBot="1">
      <c r="A31" s="153" t="s">
        <v>326</v>
      </c>
      <c r="B31" s="154"/>
      <c r="C31" s="155"/>
      <c r="D31" s="156" t="e">
        <f>SUM(D28:D30)</f>
        <v>#N/A</v>
      </c>
      <c r="E31" s="156" t="e">
        <f>SUM(E28:E30)</f>
        <v>#N/A</v>
      </c>
      <c r="F31" s="156" t="e">
        <f>SUM(F28:F30)</f>
        <v>#N/A</v>
      </c>
    </row>
    <row r="32" spans="1:8" ht="15.75" thickBot="1"/>
    <row r="33" spans="1:6" ht="16.5" thickBot="1">
      <c r="A33" s="153" t="s">
        <v>146</v>
      </c>
      <c r="B33" s="154"/>
      <c r="C33" s="155"/>
      <c r="D33" s="156" t="e">
        <f>D31+D21</f>
        <v>#N/A</v>
      </c>
      <c r="E33" s="156" t="e">
        <f>E31+E21</f>
        <v>#N/A</v>
      </c>
      <c r="F33" s="156" t="e">
        <f>F31+F21</f>
        <v>#N/A</v>
      </c>
    </row>
    <row r="34" spans="1:6"/>
  </sheetData>
  <sheetProtection algorithmName="SHA-512" hashValue="okU9SIZEMuM7XVMbm4ir2hBrkjnhxbPa1/mlr6g9i+4emYxHn6y/CoU+LpVIHDDQYuXHBSbv39oQj3IeqfrXng==" saltValue="UK7HuJ7jiAsj/Cd2F93f0A==" spinCount="100000" sheet="1" objects="1" scenarios="1" selectLockedCells="1"/>
  <mergeCells count="3">
    <mergeCell ref="A1:B1"/>
    <mergeCell ref="D14:F14"/>
    <mergeCell ref="A25:C25"/>
  </mergeCells>
  <pageMargins left="0.70866141732283472" right="0.70866141732283472" top="0.74803149606299213" bottom="0.74803149606299213" header="0.31496062992125984" footer="0.31496062992125984"/>
  <pageSetup scale="90" orientation="landscape" r:id="rId1"/>
  <headerFooter>
    <oddHeader xml:space="preserve">&amp;C&amp;"-,מודגש"&amp;14&amp;Eתוכנה לסקר כלכלי
נתוני הכנסות ממזון 
</oddHeader>
    <oddFooter>&amp;L&amp;F&amp;C&amp;D</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גיליון8"/>
  <dimension ref="A1:M35"/>
  <sheetViews>
    <sheetView showGridLines="0" rightToLeft="1" zoomScale="90" zoomScaleNormal="90" zoomScaleSheetLayoutView="100" workbookViewId="0">
      <selection activeCell="G12" sqref="G12"/>
    </sheetView>
  </sheetViews>
  <sheetFormatPr defaultColWidth="0" defaultRowHeight="14.25" zeroHeight="1"/>
  <cols>
    <col min="1" max="1" width="24.125" bestFit="1" customWidth="1"/>
    <col min="2" max="2" width="11.375" customWidth="1"/>
    <col min="3" max="3" width="12" customWidth="1"/>
    <col min="4" max="4" width="11.25" customWidth="1"/>
    <col min="5" max="5" width="12.75" customWidth="1"/>
    <col min="6" max="6" width="13.375" customWidth="1"/>
    <col min="7" max="7" width="8.375" bestFit="1" customWidth="1"/>
    <col min="8" max="8" width="13.75" customWidth="1"/>
    <col min="9" max="9" width="15.125" customWidth="1"/>
    <col min="10" max="10" width="5.75" customWidth="1"/>
    <col min="11" max="16384" width="13.75" hidden="1"/>
  </cols>
  <sheetData>
    <row r="1" spans="1:13" ht="15">
      <c r="A1" s="1004" t="s">
        <v>148</v>
      </c>
      <c r="B1" s="1004"/>
      <c r="C1" s="1004"/>
      <c r="D1" s="1004"/>
      <c r="E1" s="1004"/>
    </row>
    <row r="2" spans="1:13">
      <c r="A2" t="s">
        <v>149</v>
      </c>
      <c r="B2" t="s">
        <v>150</v>
      </c>
      <c r="C2" t="s">
        <v>151</v>
      </c>
      <c r="D2" t="s">
        <v>152</v>
      </c>
      <c r="E2" t="s">
        <v>156</v>
      </c>
      <c r="I2" s="179" t="s">
        <v>609</v>
      </c>
      <c r="J2" t="s">
        <v>610</v>
      </c>
      <c r="K2" t="s">
        <v>428</v>
      </c>
      <c r="L2" t="s">
        <v>446</v>
      </c>
    </row>
    <row r="3" spans="1:13">
      <c r="A3" t="s">
        <v>153</v>
      </c>
      <c r="B3" s="104" t="e">
        <f>'הכנסות לינה'!H16</f>
        <v>#N/A</v>
      </c>
      <c r="C3" s="409"/>
      <c r="D3" s="410"/>
      <c r="E3" s="104" t="e">
        <f>B3*C3*D3</f>
        <v>#N/A</v>
      </c>
      <c r="I3" s="696" t="s">
        <v>148</v>
      </c>
      <c r="J3" s="377"/>
      <c r="K3">
        <f>IF(טבלה8[[#This Row],[כן/לא]]="כן",1,0)</f>
        <v>0</v>
      </c>
      <c r="L3">
        <f>IF(AND(טבלה8[[#This Row],[עמודה1]]&gt;0,D5&gt;0),1,0)</f>
        <v>0</v>
      </c>
      <c r="M3" t="s">
        <v>388</v>
      </c>
    </row>
    <row r="4" spans="1:13">
      <c r="A4" t="s">
        <v>154</v>
      </c>
      <c r="B4" s="104" t="e">
        <f>B3</f>
        <v>#N/A</v>
      </c>
      <c r="C4" s="409"/>
      <c r="D4" s="410"/>
      <c r="E4" s="104" t="e">
        <f>B4*C4*D4</f>
        <v>#N/A</v>
      </c>
      <c r="I4" s="696" t="s">
        <v>157</v>
      </c>
      <c r="J4" s="377"/>
      <c r="K4">
        <f>IF(טבלה8[[#This Row],[כן/לא]]="כן",1,0)</f>
        <v>0</v>
      </c>
      <c r="L4">
        <f>IF(AND(טבלה8[[#This Row],[עמודה1]]&gt;0,D6&gt;0),1,0)</f>
        <v>0</v>
      </c>
      <c r="M4" t="s">
        <v>389</v>
      </c>
    </row>
    <row r="5" spans="1:13">
      <c r="A5" s="158" t="s">
        <v>155</v>
      </c>
      <c r="B5" s="159" t="e">
        <f>B4</f>
        <v>#N/A</v>
      </c>
      <c r="C5" s="411"/>
      <c r="D5" s="412"/>
      <c r="E5" s="159" t="e">
        <f>B5*C5*D5</f>
        <v>#N/A</v>
      </c>
      <c r="I5" s="696" t="s">
        <v>169</v>
      </c>
      <c r="J5" s="377"/>
      <c r="K5">
        <f>IF(טבלה8[[#This Row],[כן/לא]]="כן",1,0)</f>
        <v>0</v>
      </c>
      <c r="L5">
        <f>IF(AND(טבלה8[[#This Row],[עמודה1]]&gt;0,D7&gt;0),1,0)</f>
        <v>0</v>
      </c>
    </row>
    <row r="6" spans="1:13" ht="15" thickBot="1">
      <c r="A6" s="177" t="s">
        <v>102</v>
      </c>
      <c r="B6" s="177"/>
      <c r="C6" s="177"/>
      <c r="D6" s="177"/>
      <c r="E6" s="178" t="e">
        <f>SUM(E3:E5)</f>
        <v>#N/A</v>
      </c>
      <c r="I6" s="696" t="s">
        <v>180</v>
      </c>
      <c r="J6" s="377"/>
      <c r="K6">
        <f>IF(טבלה8[[#This Row],[כן/לא]]="כן",1,0)</f>
        <v>0</v>
      </c>
      <c r="L6">
        <f>IF(AND(טבלה8[[#This Row],[עמודה1]]&gt;0,D8&gt;0),1,0)</f>
        <v>0</v>
      </c>
    </row>
    <row r="7" spans="1:13" ht="15" thickTop="1">
      <c r="A7" t="s">
        <v>403</v>
      </c>
      <c r="C7" s="105"/>
      <c r="E7" s="262"/>
      <c r="I7" s="696" t="s">
        <v>300</v>
      </c>
      <c r="J7" s="377"/>
      <c r="K7">
        <f>IF(טבלה8[[#This Row],[כן/לא]]="כן",1,0)</f>
        <v>0</v>
      </c>
      <c r="L7">
        <f>IF(AND(טבלה8[[#This Row],[עמודה1]]&gt;0,D9&gt;0),1,0)</f>
        <v>0</v>
      </c>
    </row>
    <row r="8" spans="1:13" ht="15.75" thickBot="1">
      <c r="A8" s="1004" t="s">
        <v>157</v>
      </c>
      <c r="B8" s="1004"/>
      <c r="C8" s="1004"/>
      <c r="D8" s="1004"/>
      <c r="I8" s="697"/>
      <c r="J8" s="698"/>
      <c r="K8">
        <f>SUBTOTAL(109,טבלה8[עמודה1])</f>
        <v>0</v>
      </c>
      <c r="L8">
        <f>SUBTOTAL(109,טבלה8[עמודה2])</f>
        <v>0</v>
      </c>
    </row>
    <row r="9" spans="1:13" ht="16.5" thickBot="1">
      <c r="A9" s="163" t="s">
        <v>157</v>
      </c>
      <c r="B9" s="164" t="s">
        <v>75</v>
      </c>
      <c r="C9" s="164" t="s">
        <v>76</v>
      </c>
      <c r="D9" s="165" t="s">
        <v>77</v>
      </c>
      <c r="F9" s="1007" t="s">
        <v>159</v>
      </c>
      <c r="G9" s="1008"/>
    </row>
    <row r="10" spans="1:13" ht="15.75" thickBot="1">
      <c r="A10" s="160" t="s">
        <v>158</v>
      </c>
      <c r="B10" s="576" t="e">
        <f>G14*'נתוני הקמה'!$B$13</f>
        <v>#DIV/0!</v>
      </c>
      <c r="C10" s="576" t="e">
        <f>B10</f>
        <v>#DIV/0!</v>
      </c>
      <c r="D10" s="577" t="e">
        <f>C10</f>
        <v>#DIV/0!</v>
      </c>
      <c r="F10" s="404" t="s">
        <v>616</v>
      </c>
      <c r="G10" s="949"/>
    </row>
    <row r="11" spans="1:13" ht="15.75" thickBot="1">
      <c r="A11" s="160" t="s">
        <v>135</v>
      </c>
      <c r="B11" s="161" t="e">
        <f>'הכנסות לינה'!D16</f>
        <v>#N/A</v>
      </c>
      <c r="C11" s="161" t="e">
        <f>'הכנסות לינה'!F16</f>
        <v>#N/A</v>
      </c>
      <c r="D11" s="162" t="e">
        <f>'הכנסות לינה'!H16</f>
        <v>#N/A</v>
      </c>
      <c r="F11" s="404" t="s">
        <v>160</v>
      </c>
      <c r="G11" s="949"/>
    </row>
    <row r="12" spans="1:13" ht="15.75" thickBot="1">
      <c r="A12" s="160" t="s">
        <v>151</v>
      </c>
      <c r="B12" s="834"/>
      <c r="C12" s="834"/>
      <c r="D12" s="835"/>
      <c r="F12" s="404" t="s">
        <v>161</v>
      </c>
      <c r="G12" s="949"/>
      <c r="L12">
        <f>IF(טבלה8[[#Totals],[עמודה2]]=טבלה8[[#Totals],[עמודה1]],1,0)</f>
        <v>1</v>
      </c>
    </row>
    <row r="13" spans="1:13" ht="15">
      <c r="A13" s="175" t="s">
        <v>163</v>
      </c>
      <c r="B13" s="176" t="e">
        <f>B10*B11*B12</f>
        <v>#DIV/0!</v>
      </c>
      <c r="C13" s="176" t="e">
        <f>C10*C11*C12</f>
        <v>#DIV/0!</v>
      </c>
      <c r="D13" s="176" t="e">
        <f>D10*D11*D12</f>
        <v>#DIV/0!</v>
      </c>
      <c r="F13" s="404" t="s">
        <v>162</v>
      </c>
      <c r="G13" s="949"/>
    </row>
    <row r="14" spans="1:13" ht="15.75" thickBot="1">
      <c r="F14" s="405" t="s">
        <v>164</v>
      </c>
      <c r="G14" s="571" t="e">
        <f>AVERAGE(G10:G13)</f>
        <v>#DIV/0!</v>
      </c>
    </row>
    <row r="15" spans="1:13" ht="16.5" thickBot="1">
      <c r="A15" s="1005" t="s">
        <v>169</v>
      </c>
      <c r="B15" s="1005"/>
      <c r="C15" s="1005"/>
      <c r="D15" s="1005"/>
      <c r="F15" s="593" t="s">
        <v>523</v>
      </c>
      <c r="G15" s="836"/>
    </row>
    <row r="16" spans="1:13" ht="16.5" thickBot="1">
      <c r="A16" s="166" t="s">
        <v>108</v>
      </c>
      <c r="B16" s="167" t="s">
        <v>75</v>
      </c>
      <c r="C16" s="167" t="s">
        <v>137</v>
      </c>
      <c r="D16" s="168" t="s">
        <v>77</v>
      </c>
    </row>
    <row r="17" spans="1:6" ht="15.75" thickBot="1">
      <c r="A17" s="169" t="s">
        <v>165</v>
      </c>
      <c r="B17" s="413"/>
      <c r="C17" s="413"/>
      <c r="D17" s="414"/>
    </row>
    <row r="18" spans="1:6" ht="15.75" thickBot="1">
      <c r="A18" s="160" t="s">
        <v>166</v>
      </c>
      <c r="B18" s="415"/>
      <c r="C18" s="415"/>
      <c r="D18" s="415"/>
    </row>
    <row r="19" spans="1:6" ht="15.75" thickBot="1">
      <c r="A19" s="169" t="s">
        <v>167</v>
      </c>
      <c r="B19" s="416"/>
      <c r="C19" s="416"/>
      <c r="D19" s="417"/>
    </row>
    <row r="20" spans="1:6" ht="15.75" thickBot="1">
      <c r="A20" s="172" t="s">
        <v>168</v>
      </c>
      <c r="B20" s="173">
        <f>B17*B18*B19</f>
        <v>0</v>
      </c>
      <c r="C20" s="173">
        <f>C17*C18*C19</f>
        <v>0</v>
      </c>
      <c r="D20" s="173">
        <f>D17*D18*D19</f>
        <v>0</v>
      </c>
    </row>
    <row r="21" spans="1:6"/>
    <row r="22" spans="1:6" ht="15.75" thickBot="1">
      <c r="A22" s="1004" t="s">
        <v>180</v>
      </c>
      <c r="B22" s="1004"/>
      <c r="C22" s="1004"/>
      <c r="D22" s="1004"/>
      <c r="E22" s="1004"/>
      <c r="F22" s="1004"/>
    </row>
    <row r="23" spans="1:6" ht="32.25" thickBot="1">
      <c r="A23" s="166" t="s">
        <v>108</v>
      </c>
      <c r="B23" s="167" t="s">
        <v>170</v>
      </c>
      <c r="C23" s="167" t="s">
        <v>171</v>
      </c>
      <c r="D23" s="167" t="s">
        <v>175</v>
      </c>
      <c r="E23" s="167" t="s">
        <v>176</v>
      </c>
      <c r="F23" s="168" t="s">
        <v>172</v>
      </c>
    </row>
    <row r="24" spans="1:6" ht="15.75" thickBot="1">
      <c r="A24" s="169" t="s">
        <v>173</v>
      </c>
      <c r="B24" s="413"/>
      <c r="C24" s="413"/>
      <c r="D24" s="170">
        <f>B24*C24</f>
        <v>0</v>
      </c>
      <c r="E24" s="170">
        <f>D24*12</f>
        <v>0</v>
      </c>
      <c r="F24" s="171"/>
    </row>
    <row r="25" spans="1:6" ht="15.75" thickBot="1">
      <c r="A25" s="160" t="s">
        <v>174</v>
      </c>
      <c r="B25" s="415"/>
      <c r="C25" s="415"/>
      <c r="D25" s="170">
        <f>B25*C25</f>
        <v>0</v>
      </c>
      <c r="E25" s="170">
        <f>D25*12</f>
        <v>0</v>
      </c>
      <c r="F25" s="162"/>
    </row>
    <row r="26" spans="1:6" ht="15.75" thickBot="1">
      <c r="A26" s="172" t="s">
        <v>102</v>
      </c>
      <c r="B26" s="173">
        <f>SUM(B24:B25)</f>
        <v>0</v>
      </c>
      <c r="C26" s="173"/>
      <c r="D26" s="173">
        <f>SUM(D24:D25)</f>
        <v>0</v>
      </c>
      <c r="E26" s="174">
        <f>SUM(E24:E25)</f>
        <v>0</v>
      </c>
      <c r="F26" s="173"/>
    </row>
    <row r="27" spans="1:6">
      <c r="A27" t="s">
        <v>85</v>
      </c>
      <c r="B27" s="1006" t="str">
        <f>IF(B26='נתוני הקמה'!B10,"","שגיאה, בדוק חישוב שטחים")</f>
        <v/>
      </c>
      <c r="C27" s="1006"/>
    </row>
    <row r="28" spans="1:6"/>
    <row r="29" spans="1:6" ht="15">
      <c r="A29" s="1004" t="s">
        <v>181</v>
      </c>
      <c r="B29" s="1004"/>
      <c r="C29" s="1004"/>
    </row>
    <row r="30" spans="1:6" ht="15.75">
      <c r="A30" s="556" t="s">
        <v>177</v>
      </c>
      <c r="B30" s="556" t="s">
        <v>178</v>
      </c>
      <c r="C30" s="1009" t="s">
        <v>179</v>
      </c>
      <c r="D30" s="1010"/>
      <c r="E30" s="1011"/>
    </row>
    <row r="31" spans="1:6" ht="15.75">
      <c r="A31" s="560" t="s">
        <v>310</v>
      </c>
      <c r="B31" s="557"/>
      <c r="C31" s="1012"/>
      <c r="D31" s="1012"/>
      <c r="E31" s="1012"/>
    </row>
    <row r="32" spans="1:6" ht="15.75">
      <c r="A32" s="561"/>
      <c r="B32" s="558"/>
      <c r="C32" s="1013"/>
      <c r="D32" s="1013"/>
      <c r="E32" s="1013"/>
    </row>
    <row r="33" spans="1:5" ht="15.75">
      <c r="A33" s="560"/>
      <c r="B33" s="558"/>
      <c r="C33" s="1013"/>
      <c r="D33" s="1013"/>
      <c r="E33" s="1013"/>
    </row>
    <row r="34" spans="1:5" ht="15.75">
      <c r="A34" s="562" t="s">
        <v>182</v>
      </c>
      <c r="B34" s="559">
        <f>SUM(B31:B33)</f>
        <v>0</v>
      </c>
      <c r="C34" s="1014"/>
      <c r="D34" s="1014"/>
      <c r="E34" s="1014"/>
    </row>
    <row r="35" spans="1:5"/>
  </sheetData>
  <sheetProtection algorithmName="SHA-512" hashValue="hDqoZPU1J7t+zIKu7S9J5siYA2ppjoDv36XawmkwrOf8/3yAiyg/3iODzxgKuFRUaLrlG+pBasgDIT0BV4RdhQ==" saltValue="fagxmTZAv0UapiURW5ZHFw==" spinCount="100000" sheet="1" objects="1" scenarios="1" selectLockedCells="1"/>
  <mergeCells count="12">
    <mergeCell ref="C30:E30"/>
    <mergeCell ref="C31:E31"/>
    <mergeCell ref="C32:E32"/>
    <mergeCell ref="C33:E33"/>
    <mergeCell ref="C34:E34"/>
    <mergeCell ref="A29:C29"/>
    <mergeCell ref="A1:E1"/>
    <mergeCell ref="A15:D15"/>
    <mergeCell ref="A8:D8"/>
    <mergeCell ref="B27:C27"/>
    <mergeCell ref="A22:F22"/>
    <mergeCell ref="F9:G9"/>
  </mergeCells>
  <conditionalFormatting sqref="B27:C27">
    <cfRule type="containsText" dxfId="23" priority="1" operator="containsText" text="שגיאה">
      <formula>NOT(ISERROR(SEARCH("שגיאה",B27)))</formula>
    </cfRule>
  </conditionalFormatting>
  <dataValidations count="2">
    <dataValidation operator="equal" allowBlank="1" showInputMessage="1" errorTitle="שגיאה" error="מספר חדרים לא תואם נתוני השקעה" sqref="B27" xr:uid="{00000000-0002-0000-0A00-000000000000}"/>
    <dataValidation type="list" allowBlank="1" showInputMessage="1" showErrorMessage="1" prompt="סמן כן/לא" sqref="J3:J7" xr:uid="{00000000-0002-0000-0A00-000001000000}">
      <formula1>$M$3:$M$4</formula1>
    </dataValidation>
  </dataValidations>
  <pageMargins left="0.70866141732283472" right="0.70866141732283472" top="0.74803149606299213" bottom="0" header="0.31496062992125984" footer="0.31496062992125984"/>
  <pageSetup scale="93" orientation="landscape" r:id="rId1"/>
  <headerFooter>
    <oddHeader xml:space="preserve">&amp;C&amp;"-,מודגש"&amp;14&amp;Eתוכנה לסקר כלכלי
נתוני הכנסות נוספות
</oddHeader>
    <oddFooter>&amp;L&amp;F&amp;C&amp;D</oddFooter>
  </headerFooter>
  <ignoredErrors>
    <ignoredError sqref="B4:B5" calculatedColumn="1"/>
  </ignoredErrors>
  <drawing r:id="rId2"/>
  <tableParts count="3">
    <tablePart r:id="rId3"/>
    <tablePart r:id="rId4"/>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גיליון10"/>
  <dimension ref="A1:G34"/>
  <sheetViews>
    <sheetView showGridLines="0" rightToLeft="1" zoomScale="90" zoomScaleNormal="90" workbookViewId="0">
      <selection activeCell="D3" sqref="D3"/>
    </sheetView>
  </sheetViews>
  <sheetFormatPr defaultColWidth="0" defaultRowHeight="14.25" zeroHeight="1"/>
  <cols>
    <col min="1" max="1" width="5" customWidth="1"/>
    <col min="2" max="2" width="27.75" customWidth="1"/>
    <col min="3" max="3" width="23.375" customWidth="1"/>
    <col min="4" max="7" width="10.25" customWidth="1"/>
    <col min="8" max="16384" width="27.625" hidden="1"/>
  </cols>
  <sheetData>
    <row r="1" spans="1:7" ht="15.75" thickBot="1">
      <c r="A1" s="933"/>
      <c r="B1" s="933"/>
      <c r="C1" s="424" t="s">
        <v>460</v>
      </c>
      <c r="D1" s="425" t="s">
        <v>456</v>
      </c>
      <c r="E1" s="425" t="s">
        <v>457</v>
      </c>
      <c r="F1" s="425" t="s">
        <v>458</v>
      </c>
      <c r="G1" s="426" t="s">
        <v>459</v>
      </c>
    </row>
    <row r="2" spans="1:7" ht="16.5" thickBot="1">
      <c r="A2" s="934" t="s">
        <v>183</v>
      </c>
      <c r="B2" s="935" t="s">
        <v>184</v>
      </c>
      <c r="C2" s="936" t="s">
        <v>185</v>
      </c>
      <c r="D2" s="423"/>
      <c r="E2" s="423"/>
      <c r="F2" s="423"/>
      <c r="G2" s="427"/>
    </row>
    <row r="3" spans="1:7" ht="16.5" customHeight="1" thickBot="1">
      <c r="A3" s="937">
        <v>1</v>
      </c>
      <c r="B3" s="938" t="s">
        <v>186</v>
      </c>
      <c r="C3" s="939" t="s">
        <v>187</v>
      </c>
      <c r="D3" s="837"/>
      <c r="E3" s="837"/>
      <c r="F3" s="837"/>
      <c r="G3" s="837"/>
    </row>
    <row r="4" spans="1:7" ht="16.5" thickBot="1">
      <c r="A4" s="937">
        <v>2</v>
      </c>
      <c r="B4" s="938" t="s">
        <v>188</v>
      </c>
      <c r="C4" s="939" t="s">
        <v>189</v>
      </c>
      <c r="D4" s="837"/>
      <c r="E4" s="837"/>
      <c r="F4" s="837"/>
      <c r="G4" s="837"/>
    </row>
    <row r="5" spans="1:7" ht="16.5" thickBot="1">
      <c r="A5" s="937">
        <v>3</v>
      </c>
      <c r="B5" s="938" t="s">
        <v>190</v>
      </c>
      <c r="C5" s="939" t="s">
        <v>191</v>
      </c>
      <c r="D5" s="837"/>
      <c r="E5" s="837"/>
      <c r="F5" s="837"/>
      <c r="G5" s="837"/>
    </row>
    <row r="6" spans="1:7" ht="16.5" thickBot="1">
      <c r="A6" s="937"/>
      <c r="B6" s="938" t="s">
        <v>355</v>
      </c>
      <c r="C6" s="939" t="s">
        <v>617</v>
      </c>
      <c r="D6" s="838"/>
      <c r="E6" s="838"/>
      <c r="F6" s="838"/>
      <c r="G6" s="838"/>
    </row>
    <row r="7" spans="1:7" ht="15.75" thickBot="1">
      <c r="A7" s="940"/>
      <c r="B7" s="941" t="s">
        <v>202</v>
      </c>
      <c r="C7" s="942"/>
      <c r="D7" s="839"/>
      <c r="E7" s="839"/>
      <c r="F7" s="839"/>
      <c r="G7" s="839"/>
    </row>
    <row r="8" spans="1:7" ht="16.5" thickBot="1">
      <c r="A8" s="937">
        <v>4</v>
      </c>
      <c r="B8" s="938" t="s">
        <v>203</v>
      </c>
      <c r="C8" s="1015" t="s">
        <v>617</v>
      </c>
      <c r="D8" s="840"/>
      <c r="E8" s="840"/>
      <c r="F8" s="840"/>
      <c r="G8" s="840"/>
    </row>
    <row r="9" spans="1:7" ht="16.5" thickBot="1">
      <c r="A9" s="937">
        <v>5</v>
      </c>
      <c r="B9" s="938" t="s">
        <v>200</v>
      </c>
      <c r="C9" s="1016"/>
      <c r="D9" s="837"/>
      <c r="E9" s="837"/>
      <c r="F9" s="837"/>
      <c r="G9" s="837"/>
    </row>
    <row r="10" spans="1:7" ht="16.5" thickBot="1">
      <c r="A10" s="937">
        <v>6</v>
      </c>
      <c r="B10" s="938" t="s">
        <v>194</v>
      </c>
      <c r="C10" s="1016"/>
      <c r="D10" s="837"/>
      <c r="E10" s="837"/>
      <c r="F10" s="837"/>
      <c r="G10" s="837"/>
    </row>
    <row r="11" spans="1:7" ht="16.5" thickBot="1">
      <c r="A11" s="937">
        <v>7</v>
      </c>
      <c r="B11" s="938" t="s">
        <v>205</v>
      </c>
      <c r="C11" s="1016"/>
      <c r="D11" s="837"/>
      <c r="E11" s="837"/>
      <c r="F11" s="837"/>
      <c r="G11" s="837"/>
    </row>
    <row r="12" spans="1:7" ht="16.5" thickBot="1">
      <c r="A12" s="943"/>
      <c r="B12" s="944" t="s">
        <v>206</v>
      </c>
      <c r="C12" s="1017"/>
      <c r="D12" s="563">
        <f>SUM(D8:D11)</f>
        <v>0</v>
      </c>
      <c r="E12" s="563">
        <f>SUM(E8:E11)</f>
        <v>0</v>
      </c>
      <c r="F12" s="563">
        <f>SUM(F8:F11)</f>
        <v>0</v>
      </c>
      <c r="G12" s="564">
        <f>SUM(G8:G11)</f>
        <v>0</v>
      </c>
    </row>
    <row r="13" spans="1:7" ht="15" thickBot="1"/>
    <row r="14" spans="1:7" ht="18.75" thickBot="1">
      <c r="B14" s="421" t="s">
        <v>460</v>
      </c>
      <c r="C14" s="422" t="e">
        <f>VLOOKUP('נתוני הקמה'!B2,'תקרת השקעה'!A5:D32,4,0)</f>
        <v>#N/A</v>
      </c>
    </row>
    <row r="15" spans="1:7"/>
    <row r="16" spans="1:7"/>
    <row r="17"/>
    <row r="18"/>
    <row r="19"/>
    <row r="20"/>
    <row r="21"/>
    <row r="22"/>
    <row r="23"/>
    <row r="24"/>
    <row r="25"/>
    <row r="26"/>
    <row r="27"/>
    <row r="28"/>
    <row r="29"/>
    <row r="30"/>
    <row r="31"/>
    <row r="32"/>
    <row r="33" spans="3:7" hidden="1">
      <c r="C33">
        <f>SUM(D33:G33)</f>
        <v>0</v>
      </c>
      <c r="D33">
        <f>IF(AND(D8&gt;0,D9&gt;0,D10&gt;0,D11&gt;0),1,0)</f>
        <v>0</v>
      </c>
      <c r="E33">
        <f>IF(AND(E8&gt;0,E9&gt;0,E10&gt;0,E11&gt;0),1,0)</f>
        <v>0</v>
      </c>
      <c r="F33">
        <f>IF(AND(F8&gt;0,F9&gt;0,F10&gt;0,F11&gt;0),1,0)</f>
        <v>0</v>
      </c>
      <c r="G33">
        <f>IF(AND(G8&gt;0,G9&gt;0,G10&gt;0,G11&gt;0),1,0)</f>
        <v>0</v>
      </c>
    </row>
    <row r="34" spans="3:7"/>
  </sheetData>
  <sheetProtection algorithmName="SHA-512" hashValue="mX+VjNQ46NZyooGg4yoXzPbilsG07iOnmWLvDfwcyMlHaaWvtPCYLziR1lDTYDuuQcE+xbnxGV4MJw+r4vAUCA==" saltValue="BrcK4dgOrBjmLgmCbbv3TQ==" spinCount="100000" sheet="1" objects="1" scenarios="1" selectLockedCells="1"/>
  <mergeCells count="1">
    <mergeCell ref="C8:C12"/>
  </mergeCells>
  <conditionalFormatting sqref="D3:G5 D8:G11">
    <cfRule type="cellIs" dxfId="22" priority="46" operator="lessThan">
      <formula>0.01</formula>
    </cfRule>
    <cfRule type="cellIs" dxfId="21" priority="47" operator="greaterThan">
      <formula>0.01</formula>
    </cfRule>
    <cfRule type="cellIs" dxfId="20" priority="48" operator="lessThan">
      <formula>0.01</formula>
    </cfRule>
    <cfRule type="cellIs" dxfId="19" priority="49" operator="greaterThan">
      <formula>0</formula>
    </cfRule>
  </conditionalFormatting>
  <conditionalFormatting sqref="D6:G6">
    <cfRule type="expression" dxfId="18" priority="5">
      <formula>$E$5&gt;0</formula>
    </cfRule>
    <cfRule type="expression" dxfId="17" priority="8">
      <formula>$F$5&gt;0</formula>
    </cfRule>
    <cfRule type="expression" dxfId="16" priority="9">
      <formula>$G$5&gt;0</formula>
    </cfRule>
    <cfRule type="expression" dxfId="15" priority="35">
      <formula>$D$5&gt;0</formula>
    </cfRule>
  </conditionalFormatting>
  <conditionalFormatting sqref="E3:G3 D3:D6 E5:G6 E8 D8:D11 E9:G9 E11:G11">
    <cfRule type="expression" dxfId="14" priority="29">
      <formula>$D$1=$C$14</formula>
    </cfRule>
  </conditionalFormatting>
  <conditionalFormatting sqref="E3:G3 D3:G6 E5:G6 D8:G11 E9:G9 E11:G11">
    <cfRule type="expression" dxfId="13" priority="1">
      <formula>D$1=$C$14</formula>
    </cfRule>
    <cfRule type="expression" priority="2">
      <formula>D$1=$C$14</formula>
    </cfRule>
    <cfRule type="expression" dxfId="12" priority="3">
      <formula>D1=$C$14</formula>
    </cfRule>
    <cfRule type="expression" priority="4">
      <formula>D1=$C$14</formula>
    </cfRule>
  </conditionalFormatting>
  <conditionalFormatting sqref="F10:G10">
    <cfRule type="expression" dxfId="11" priority="23">
      <formula>F$1=$C$14</formula>
    </cfRule>
    <cfRule type="expression" priority="24">
      <formula>F$1=$C$14</formula>
    </cfRule>
    <cfRule type="expression" dxfId="10" priority="25">
      <formula>F8=$C$14</formula>
    </cfRule>
    <cfRule type="expression" priority="28">
      <formula>F8=$C$14</formula>
    </cfRule>
  </conditionalFormatting>
  <printOptions horizontalCentered="1"/>
  <pageMargins left="0.70866141732283472" right="0.70866141732283472" top="1.1417322834645669" bottom="0.74803149606299213" header="0.31496062992125984" footer="0.31496062992125984"/>
  <pageSetup orientation="landscape" verticalDpi="0" r:id="rId1"/>
  <headerFooter>
    <oddHeader xml:space="preserve">&amp;C&amp;"-,מודגש"&amp;14&amp;Eתוכנה לסקר כלכלי
פרמטרים כלליים להוצאות
</oddHeader>
    <oddFooter>&amp;L&amp;F&amp;C&amp;D</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גיליון24"/>
  <dimension ref="A1:AA44"/>
  <sheetViews>
    <sheetView showGridLines="0" rightToLeft="1" zoomScale="90" zoomScaleNormal="90" zoomScaleSheetLayoutView="50" workbookViewId="0">
      <selection activeCell="B21" sqref="B21"/>
    </sheetView>
  </sheetViews>
  <sheetFormatPr defaultColWidth="0" defaultRowHeight="14.25" zeroHeight="1"/>
  <cols>
    <col min="1" max="1" width="17.625" customWidth="1"/>
    <col min="2" max="2" width="14.125" bestFit="1" customWidth="1"/>
    <col min="3" max="3" width="11.375" bestFit="1" customWidth="1"/>
    <col min="4" max="5" width="11.125" bestFit="1" customWidth="1"/>
    <col min="6" max="6" width="12.625" bestFit="1" customWidth="1"/>
    <col min="7" max="7" width="12.25" bestFit="1" customWidth="1"/>
    <col min="8" max="8" width="12.125" bestFit="1" customWidth="1"/>
    <col min="9" max="11" width="11.125" bestFit="1" customWidth="1"/>
    <col min="12" max="22" width="11.125" hidden="1" customWidth="1"/>
    <col min="23" max="27" width="5.375" hidden="1" customWidth="1"/>
    <col min="28" max="16384" width="9" hidden="1"/>
  </cols>
  <sheetData>
    <row r="1" spans="1:11" ht="15.75">
      <c r="A1" s="428" t="s">
        <v>23</v>
      </c>
      <c r="B1" s="428" t="s">
        <v>25</v>
      </c>
      <c r="C1" s="429" t="s">
        <v>32</v>
      </c>
      <c r="D1" s="429" t="s">
        <v>65</v>
      </c>
      <c r="E1" s="430" t="s">
        <v>416</v>
      </c>
      <c r="F1" s="430" t="s">
        <v>416</v>
      </c>
      <c r="G1" s="430" t="s">
        <v>417</v>
      </c>
      <c r="H1" s="430" t="s">
        <v>85</v>
      </c>
    </row>
    <row r="2" spans="1:11" ht="15">
      <c r="A2" s="431" t="s">
        <v>24</v>
      </c>
      <c r="B2" s="432">
        <f>'נתוני הקמה'!B16</f>
        <v>0</v>
      </c>
      <c r="C2" s="433">
        <f>מנהל!B74</f>
        <v>0</v>
      </c>
      <c r="D2" s="433">
        <f>מנהל!C74</f>
        <v>0</v>
      </c>
      <c r="E2" s="434">
        <v>0</v>
      </c>
      <c r="F2" s="435" t="e">
        <f>IF($B$11&gt;1,B2*E2,B2*E2*$B$11)</f>
        <v>#N/A</v>
      </c>
      <c r="G2" s="436" t="e">
        <f>B2-F2</f>
        <v>#N/A</v>
      </c>
      <c r="H2" s="437">
        <v>0</v>
      </c>
    </row>
    <row r="3" spans="1:11" ht="15">
      <c r="A3" s="431" t="s">
        <v>28</v>
      </c>
      <c r="B3" s="432">
        <f>'נתוני הקמה'!B17</f>
        <v>0</v>
      </c>
      <c r="C3" s="433">
        <f>מנהל!B75</f>
        <v>0.04</v>
      </c>
      <c r="D3" s="433">
        <f>מנהל!C75</f>
        <v>0.08</v>
      </c>
      <c r="E3" s="434">
        <v>0.2</v>
      </c>
      <c r="F3" s="435" t="e">
        <f t="shared" ref="F3:F8" si="0">IF($B$11&gt;1,B3*E3,B3*E3*$B$11)</f>
        <v>#N/A</v>
      </c>
      <c r="G3" s="436" t="e">
        <f t="shared" ref="G3:G8" si="1">B3-F3</f>
        <v>#N/A</v>
      </c>
      <c r="H3" s="437" t="e">
        <f t="shared" ref="H3:H8" si="2">G3-SUM(B14:K14)-SUM(B23:K23)-SUM(B32:F32)</f>
        <v>#N/A</v>
      </c>
      <c r="I3" s="269"/>
    </row>
    <row r="4" spans="1:11" ht="15">
      <c r="A4" s="431" t="s">
        <v>29</v>
      </c>
      <c r="B4" s="432">
        <f>'נתוני הקמה'!B18</f>
        <v>0</v>
      </c>
      <c r="C4" s="433">
        <f>מנהל!B76</f>
        <v>0.04</v>
      </c>
      <c r="D4" s="433">
        <f>מנהל!C76</f>
        <v>0.08</v>
      </c>
      <c r="E4" s="434">
        <v>0.2</v>
      </c>
      <c r="F4" s="435" t="e">
        <f t="shared" si="0"/>
        <v>#N/A</v>
      </c>
      <c r="G4" s="436" t="e">
        <f t="shared" si="1"/>
        <v>#N/A</v>
      </c>
      <c r="H4" s="437" t="e">
        <f t="shared" si="2"/>
        <v>#N/A</v>
      </c>
    </row>
    <row r="5" spans="1:11" ht="15">
      <c r="A5" s="431" t="s">
        <v>30</v>
      </c>
      <c r="B5" s="432">
        <f>'נתוני הקמה'!B19</f>
        <v>0</v>
      </c>
      <c r="C5" s="433">
        <f>מנהל!B77</f>
        <v>0.04</v>
      </c>
      <c r="D5" s="433">
        <f>מנהל!C77</f>
        <v>0.08</v>
      </c>
      <c r="E5" s="434">
        <v>0.2</v>
      </c>
      <c r="F5" s="435" t="e">
        <f t="shared" si="0"/>
        <v>#N/A</v>
      </c>
      <c r="G5" s="436" t="e">
        <f t="shared" si="1"/>
        <v>#N/A</v>
      </c>
      <c r="H5" s="437" t="e">
        <f t="shared" si="2"/>
        <v>#N/A</v>
      </c>
    </row>
    <row r="6" spans="1:11" ht="15">
      <c r="A6" s="431" t="s">
        <v>26</v>
      </c>
      <c r="B6" s="432">
        <f>'נתוני הקמה'!B20</f>
        <v>0</v>
      </c>
      <c r="C6" s="433">
        <f>מנהל!B78</f>
        <v>0.1</v>
      </c>
      <c r="D6" s="433">
        <f>מנהל!C78</f>
        <v>0.2</v>
      </c>
      <c r="E6" s="434">
        <v>0.2</v>
      </c>
      <c r="F6" s="435" t="e">
        <f t="shared" si="0"/>
        <v>#N/A</v>
      </c>
      <c r="G6" s="436" t="e">
        <f t="shared" si="1"/>
        <v>#N/A</v>
      </c>
      <c r="H6" s="437" t="e">
        <f t="shared" si="2"/>
        <v>#N/A</v>
      </c>
      <c r="K6" s="438"/>
    </row>
    <row r="7" spans="1:11" ht="15">
      <c r="A7" s="431" t="s">
        <v>27</v>
      </c>
      <c r="B7" s="432">
        <f>'נתוני הקמה'!B21</f>
        <v>0</v>
      </c>
      <c r="C7" s="433">
        <f>מנהל!B79</f>
        <v>7.0000000000000007E-2</v>
      </c>
      <c r="D7" s="433">
        <f>מנהל!C79</f>
        <v>0.14000000000000001</v>
      </c>
      <c r="E7" s="434">
        <v>0.2</v>
      </c>
      <c r="F7" s="435" t="e">
        <f t="shared" si="0"/>
        <v>#N/A</v>
      </c>
      <c r="G7" s="436" t="e">
        <f t="shared" si="1"/>
        <v>#N/A</v>
      </c>
      <c r="H7" s="439" t="e">
        <f t="shared" si="2"/>
        <v>#N/A</v>
      </c>
    </row>
    <row r="8" spans="1:11" ht="15">
      <c r="A8" s="431" t="s">
        <v>31</v>
      </c>
      <c r="B8" s="432">
        <f>'נתוני הקמה'!B22</f>
        <v>0</v>
      </c>
      <c r="C8" s="433">
        <f>מנהל!B80</f>
        <v>0.04</v>
      </c>
      <c r="D8" s="433">
        <f>מנהל!C80</f>
        <v>0.08</v>
      </c>
      <c r="E8" s="434">
        <v>0.2</v>
      </c>
      <c r="F8" s="435" t="e">
        <f t="shared" si="0"/>
        <v>#N/A</v>
      </c>
      <c r="G8" s="436" t="e">
        <f t="shared" si="1"/>
        <v>#N/A</v>
      </c>
      <c r="H8" s="437" t="e">
        <f t="shared" si="2"/>
        <v>#N/A</v>
      </c>
    </row>
    <row r="9" spans="1:11" ht="15">
      <c r="A9" s="469" t="s">
        <v>33</v>
      </c>
      <c r="B9" s="470">
        <f>SUM(B2:B8)</f>
        <v>0</v>
      </c>
      <c r="C9" s="471"/>
      <c r="D9" s="471"/>
      <c r="E9" s="471"/>
      <c r="F9" s="472" t="e">
        <f>SUM(F2:F8)</f>
        <v>#N/A</v>
      </c>
      <c r="G9" s="472" t="e">
        <f>SUM(G2:G8)</f>
        <v>#N/A</v>
      </c>
      <c r="H9" s="472" t="e">
        <f>SUM(H2:H8)</f>
        <v>#N/A</v>
      </c>
    </row>
    <row r="10" spans="1:11"/>
    <row r="11" spans="1:11" ht="15">
      <c r="A11" s="85" t="s">
        <v>418</v>
      </c>
      <c r="B11" s="105" t="e">
        <f>'נתוני הקמה'!B28</f>
        <v>#N/A</v>
      </c>
    </row>
    <row r="12" spans="1:11">
      <c r="A12" t="s">
        <v>419</v>
      </c>
      <c r="B12">
        <v>1</v>
      </c>
      <c r="C12">
        <v>2</v>
      </c>
      <c r="D12">
        <v>3</v>
      </c>
      <c r="E12">
        <v>4</v>
      </c>
      <c r="F12" s="180">
        <v>5</v>
      </c>
      <c r="G12">
        <v>6</v>
      </c>
      <c r="H12">
        <v>7</v>
      </c>
      <c r="I12">
        <v>8</v>
      </c>
      <c r="J12">
        <v>9</v>
      </c>
      <c r="K12">
        <v>10</v>
      </c>
    </row>
    <row r="13" spans="1:11" ht="15">
      <c r="A13" s="431" t="s">
        <v>24</v>
      </c>
      <c r="B13" s="180" t="e">
        <f>$G$2*$D$2</f>
        <v>#N/A</v>
      </c>
      <c r="C13" s="180" t="e">
        <f>$G$2*$D$2</f>
        <v>#N/A</v>
      </c>
      <c r="D13" s="180" t="e">
        <f>$G$2*$D$2</f>
        <v>#N/A</v>
      </c>
      <c r="E13" s="180" t="e">
        <f>$G$2*$D$2</f>
        <v>#N/A</v>
      </c>
      <c r="F13" s="180" t="e">
        <f>$G$2*$D$2</f>
        <v>#N/A</v>
      </c>
      <c r="G13" s="180" t="e">
        <f>$G$2*$C$2</f>
        <v>#N/A</v>
      </c>
      <c r="H13" s="180" t="e">
        <f>$G$2*$C$2</f>
        <v>#N/A</v>
      </c>
      <c r="I13" s="180" t="e">
        <f>$G$2*$C$2</f>
        <v>#N/A</v>
      </c>
      <c r="J13" s="180" t="e">
        <f>$G$2*$C$2</f>
        <v>#N/A</v>
      </c>
      <c r="K13" s="180" t="e">
        <f>$G$2*$C$2</f>
        <v>#N/A</v>
      </c>
    </row>
    <row r="14" spans="1:11" ht="15">
      <c r="A14" s="431" t="s">
        <v>28</v>
      </c>
      <c r="B14" s="180" t="e">
        <f>$G$3*$D$3</f>
        <v>#N/A</v>
      </c>
      <c r="C14" s="180" t="e">
        <f>$G$3*$D$3</f>
        <v>#N/A</v>
      </c>
      <c r="D14" s="180" t="e">
        <f>$G$3*$D$3</f>
        <v>#N/A</v>
      </c>
      <c r="E14" s="180" t="e">
        <f>$G$3*$D$3</f>
        <v>#N/A</v>
      </c>
      <c r="F14" s="180" t="e">
        <f>$G$3*$D$3</f>
        <v>#N/A</v>
      </c>
      <c r="G14" s="180" t="e">
        <f>$G$3*$C$3</f>
        <v>#N/A</v>
      </c>
      <c r="H14" s="180" t="e">
        <f>$G$3*$C$3</f>
        <v>#N/A</v>
      </c>
      <c r="I14" s="180" t="e">
        <f>$G$3*$C$3</f>
        <v>#N/A</v>
      </c>
      <c r="J14" s="180" t="e">
        <f>$G$3*$C$3</f>
        <v>#N/A</v>
      </c>
      <c r="K14" s="180" t="e">
        <f>$G$3*$C$3</f>
        <v>#N/A</v>
      </c>
    </row>
    <row r="15" spans="1:11" ht="15">
      <c r="A15" s="431" t="s">
        <v>29</v>
      </c>
      <c r="B15" s="180" t="e">
        <f>$G$4*$D$4</f>
        <v>#N/A</v>
      </c>
      <c r="C15" s="180" t="e">
        <f>$G$4*$D$4</f>
        <v>#N/A</v>
      </c>
      <c r="D15" s="180" t="e">
        <f>$G$4*$D$4</f>
        <v>#N/A</v>
      </c>
      <c r="E15" s="180" t="e">
        <f>$G$4*$D$4</f>
        <v>#N/A</v>
      </c>
      <c r="F15" s="180" t="e">
        <f>$G$4*$D$4</f>
        <v>#N/A</v>
      </c>
      <c r="G15" s="180" t="e">
        <f>$G$4*$C$4</f>
        <v>#N/A</v>
      </c>
      <c r="H15" s="180" t="e">
        <f>$G$4*$C$4</f>
        <v>#N/A</v>
      </c>
      <c r="I15" s="180" t="e">
        <f>$G$4*$C$4</f>
        <v>#N/A</v>
      </c>
      <c r="J15" s="180" t="e">
        <f>$G$4*$C$4</f>
        <v>#N/A</v>
      </c>
      <c r="K15" s="180" t="e">
        <f>$G$4*$C$4</f>
        <v>#N/A</v>
      </c>
    </row>
    <row r="16" spans="1:11" ht="15">
      <c r="A16" s="431" t="s">
        <v>30</v>
      </c>
      <c r="B16" s="180" t="e">
        <f>$G$5*$D$5</f>
        <v>#N/A</v>
      </c>
      <c r="C16" s="180" t="e">
        <f>$G$5*$D$5</f>
        <v>#N/A</v>
      </c>
      <c r="D16" s="180" t="e">
        <f>$G$5*$D$5</f>
        <v>#N/A</v>
      </c>
      <c r="E16" s="180" t="e">
        <f>$G$5*$D$5</f>
        <v>#N/A</v>
      </c>
      <c r="F16" s="180" t="e">
        <f>$G$5*$D$5</f>
        <v>#N/A</v>
      </c>
      <c r="G16" s="180" t="e">
        <f>$G$5*$C$5</f>
        <v>#N/A</v>
      </c>
      <c r="H16" s="180" t="e">
        <f>$G$5*$C$5</f>
        <v>#N/A</v>
      </c>
      <c r="I16" s="180" t="e">
        <f>$G$5*$C$5</f>
        <v>#N/A</v>
      </c>
      <c r="J16" s="180" t="e">
        <f>$G$5*$C$5</f>
        <v>#N/A</v>
      </c>
      <c r="K16" s="180" t="e">
        <f>$G$5*$C$5</f>
        <v>#N/A</v>
      </c>
    </row>
    <row r="17" spans="1:11" ht="15">
      <c r="A17" s="431" t="s">
        <v>26</v>
      </c>
      <c r="B17" s="180" t="e">
        <f>$G$6*$D$6</f>
        <v>#N/A</v>
      </c>
      <c r="C17" s="180" t="e">
        <f>$G$6*$D$6</f>
        <v>#N/A</v>
      </c>
      <c r="D17" s="180" t="e">
        <f>$G$6*$D$6</f>
        <v>#N/A</v>
      </c>
      <c r="E17" s="180" t="e">
        <f>$G$6*$D$6</f>
        <v>#N/A</v>
      </c>
      <c r="F17" s="180" t="e">
        <f>$G$6*$D$6</f>
        <v>#N/A</v>
      </c>
      <c r="G17" s="180"/>
      <c r="H17" s="180"/>
      <c r="I17" s="180"/>
      <c r="J17" s="180"/>
      <c r="K17" s="180"/>
    </row>
    <row r="18" spans="1:11" ht="15">
      <c r="A18" s="431" t="s">
        <v>27</v>
      </c>
      <c r="B18" s="180" t="e">
        <f>$G$7*$D$7</f>
        <v>#N/A</v>
      </c>
      <c r="C18" s="180" t="e">
        <f>$G$7*$D$7</f>
        <v>#N/A</v>
      </c>
      <c r="D18" s="180" t="e">
        <f>$G$7*$D$7</f>
        <v>#N/A</v>
      </c>
      <c r="E18" s="180" t="e">
        <f>$G$7*$D$7</f>
        <v>#N/A</v>
      </c>
      <c r="F18" s="180" t="e">
        <f>$G$7*$D$7</f>
        <v>#N/A</v>
      </c>
      <c r="G18" s="180" t="e">
        <f>$G$7*$C$7</f>
        <v>#N/A</v>
      </c>
      <c r="H18" s="180" t="e">
        <f>$G$7*$C$7</f>
        <v>#N/A</v>
      </c>
      <c r="I18" s="180" t="e">
        <f>$G$7*$C$7</f>
        <v>#N/A</v>
      </c>
      <c r="J18" s="180" t="e">
        <f>$G$7*$C$7</f>
        <v>#N/A</v>
      </c>
      <c r="K18" s="180" t="e">
        <f>2%*G7</f>
        <v>#N/A</v>
      </c>
    </row>
    <row r="19" spans="1:11" ht="15">
      <c r="A19" s="431" t="s">
        <v>31</v>
      </c>
      <c r="B19" s="180" t="e">
        <f>$G$8*$D$8</f>
        <v>#N/A</v>
      </c>
      <c r="C19" s="180" t="e">
        <f>$G$8*$D$8</f>
        <v>#N/A</v>
      </c>
      <c r="D19" s="180" t="e">
        <f>$G$8*$D$8</f>
        <v>#N/A</v>
      </c>
      <c r="E19" s="180" t="e">
        <f>$G$8*$D$8</f>
        <v>#N/A</v>
      </c>
      <c r="F19" s="180" t="e">
        <f>$G$8*$D$8</f>
        <v>#N/A</v>
      </c>
      <c r="G19" s="180" t="e">
        <f>$G$8*$C$8</f>
        <v>#N/A</v>
      </c>
      <c r="H19" s="180" t="e">
        <f>$G$8*$C$8</f>
        <v>#N/A</v>
      </c>
      <c r="I19" s="180" t="e">
        <f>$G$8*$C$8</f>
        <v>#N/A</v>
      </c>
      <c r="J19" s="180" t="e">
        <f>$G$8*$C$8</f>
        <v>#N/A</v>
      </c>
      <c r="K19" s="180" t="e">
        <f>$G$8*$C$8</f>
        <v>#N/A</v>
      </c>
    </row>
    <row r="20" spans="1:11" ht="15.75" thickBot="1">
      <c r="A20" s="431" t="s">
        <v>461</v>
      </c>
      <c r="B20" s="440" t="e">
        <f>SUM(B13:B19)</f>
        <v>#N/A</v>
      </c>
      <c r="C20" s="440" t="e">
        <f t="shared" ref="C20:K20" si="3">SUM(C13:C19)</f>
        <v>#N/A</v>
      </c>
      <c r="D20" s="440" t="e">
        <f t="shared" si="3"/>
        <v>#N/A</v>
      </c>
      <c r="E20" s="440" t="e">
        <f t="shared" si="3"/>
        <v>#N/A</v>
      </c>
      <c r="F20" s="440" t="e">
        <f t="shared" si="3"/>
        <v>#N/A</v>
      </c>
      <c r="G20" s="440" t="e">
        <f t="shared" si="3"/>
        <v>#N/A</v>
      </c>
      <c r="H20" s="440" t="e">
        <f t="shared" si="3"/>
        <v>#N/A</v>
      </c>
      <c r="I20" s="440" t="e">
        <f t="shared" si="3"/>
        <v>#N/A</v>
      </c>
      <c r="J20" s="440" t="e">
        <f t="shared" si="3"/>
        <v>#N/A</v>
      </c>
      <c r="K20" s="440" t="e">
        <f t="shared" si="3"/>
        <v>#N/A</v>
      </c>
    </row>
    <row r="21" spans="1:11" ht="15" thickTop="1">
      <c r="A21" t="s">
        <v>419</v>
      </c>
      <c r="B21" s="180">
        <v>11</v>
      </c>
      <c r="C21">
        <v>12</v>
      </c>
      <c r="D21">
        <v>13</v>
      </c>
      <c r="E21">
        <v>14</v>
      </c>
      <c r="F21">
        <v>15</v>
      </c>
      <c r="G21">
        <v>16</v>
      </c>
      <c r="H21" s="180">
        <v>17</v>
      </c>
      <c r="I21">
        <v>18</v>
      </c>
      <c r="J21">
        <v>19</v>
      </c>
      <c r="K21">
        <v>20</v>
      </c>
    </row>
    <row r="22" spans="1:11" ht="15">
      <c r="A22" s="431" t="s">
        <v>24</v>
      </c>
      <c r="B22" s="180" t="e">
        <f t="shared" ref="B22:K22" si="4">$G$2*$C$2</f>
        <v>#N/A</v>
      </c>
      <c r="C22" s="180" t="e">
        <f t="shared" si="4"/>
        <v>#N/A</v>
      </c>
      <c r="D22" s="180" t="e">
        <f t="shared" si="4"/>
        <v>#N/A</v>
      </c>
      <c r="E22" s="180" t="e">
        <f t="shared" si="4"/>
        <v>#N/A</v>
      </c>
      <c r="F22" s="180" t="e">
        <f t="shared" si="4"/>
        <v>#N/A</v>
      </c>
      <c r="G22" s="180" t="e">
        <f t="shared" si="4"/>
        <v>#N/A</v>
      </c>
      <c r="H22" s="180" t="e">
        <f t="shared" si="4"/>
        <v>#N/A</v>
      </c>
      <c r="I22" s="180" t="e">
        <f t="shared" si="4"/>
        <v>#N/A</v>
      </c>
      <c r="J22" s="180" t="e">
        <f t="shared" si="4"/>
        <v>#N/A</v>
      </c>
      <c r="K22" s="180" t="e">
        <f t="shared" si="4"/>
        <v>#N/A</v>
      </c>
    </row>
    <row r="23" spans="1:11" ht="15">
      <c r="A23" s="431" t="s">
        <v>28</v>
      </c>
      <c r="B23" s="180" t="e">
        <f t="shared" ref="B23:K23" si="5">$G$3*$C$3</f>
        <v>#N/A</v>
      </c>
      <c r="C23" s="180" t="e">
        <f t="shared" si="5"/>
        <v>#N/A</v>
      </c>
      <c r="D23" s="180" t="e">
        <f t="shared" si="5"/>
        <v>#N/A</v>
      </c>
      <c r="E23" s="180" t="e">
        <f t="shared" si="5"/>
        <v>#N/A</v>
      </c>
      <c r="F23" s="180" t="e">
        <f t="shared" si="5"/>
        <v>#N/A</v>
      </c>
      <c r="G23" s="180" t="e">
        <f t="shared" si="5"/>
        <v>#N/A</v>
      </c>
      <c r="H23" s="180" t="e">
        <f t="shared" si="5"/>
        <v>#N/A</v>
      </c>
      <c r="I23" s="180" t="e">
        <f t="shared" si="5"/>
        <v>#N/A</v>
      </c>
      <c r="J23" s="180" t="e">
        <f t="shared" si="5"/>
        <v>#N/A</v>
      </c>
      <c r="K23" s="180" t="e">
        <f t="shared" si="5"/>
        <v>#N/A</v>
      </c>
    </row>
    <row r="24" spans="1:11" ht="15">
      <c r="A24" s="431" t="s">
        <v>29</v>
      </c>
      <c r="B24" s="180" t="e">
        <f t="shared" ref="B24:K24" si="6">$G$4*$C$4</f>
        <v>#N/A</v>
      </c>
      <c r="C24" s="180" t="e">
        <f t="shared" si="6"/>
        <v>#N/A</v>
      </c>
      <c r="D24" s="180" t="e">
        <f t="shared" si="6"/>
        <v>#N/A</v>
      </c>
      <c r="E24" s="180" t="e">
        <f t="shared" si="6"/>
        <v>#N/A</v>
      </c>
      <c r="F24" s="180" t="e">
        <f t="shared" si="6"/>
        <v>#N/A</v>
      </c>
      <c r="G24" s="180" t="e">
        <f t="shared" si="6"/>
        <v>#N/A</v>
      </c>
      <c r="H24" s="180" t="e">
        <f t="shared" si="6"/>
        <v>#N/A</v>
      </c>
      <c r="I24" s="180" t="e">
        <f t="shared" si="6"/>
        <v>#N/A</v>
      </c>
      <c r="J24" s="180" t="e">
        <f t="shared" si="6"/>
        <v>#N/A</v>
      </c>
      <c r="K24" s="180" t="e">
        <f t="shared" si="6"/>
        <v>#N/A</v>
      </c>
    </row>
    <row r="25" spans="1:11" ht="15">
      <c r="A25" s="431" t="s">
        <v>30</v>
      </c>
      <c r="B25" s="180" t="e">
        <f t="shared" ref="B25:K25" si="7">$G$5*$C$5</f>
        <v>#N/A</v>
      </c>
      <c r="C25" s="180" t="e">
        <f t="shared" si="7"/>
        <v>#N/A</v>
      </c>
      <c r="D25" s="180" t="e">
        <f t="shared" si="7"/>
        <v>#N/A</v>
      </c>
      <c r="E25" s="180" t="e">
        <f t="shared" si="7"/>
        <v>#N/A</v>
      </c>
      <c r="F25" s="180" t="e">
        <f t="shared" si="7"/>
        <v>#N/A</v>
      </c>
      <c r="G25" s="180" t="e">
        <f t="shared" si="7"/>
        <v>#N/A</v>
      </c>
      <c r="H25" s="180" t="e">
        <f t="shared" si="7"/>
        <v>#N/A</v>
      </c>
      <c r="I25" s="180" t="e">
        <f t="shared" si="7"/>
        <v>#N/A</v>
      </c>
      <c r="J25" s="180" t="e">
        <f t="shared" si="7"/>
        <v>#N/A</v>
      </c>
      <c r="K25" s="180" t="e">
        <f t="shared" si="7"/>
        <v>#N/A</v>
      </c>
    </row>
    <row r="26" spans="1:11" ht="15">
      <c r="A26" s="431" t="s">
        <v>26</v>
      </c>
      <c r="B26" s="180"/>
      <c r="C26" s="180"/>
      <c r="D26" s="180"/>
      <c r="E26" s="180"/>
      <c r="F26" s="180"/>
      <c r="G26" s="180"/>
      <c r="H26" s="180"/>
      <c r="I26" s="180"/>
      <c r="J26" s="180"/>
      <c r="K26" s="180"/>
    </row>
    <row r="27" spans="1:11" ht="15">
      <c r="A27" s="431" t="s">
        <v>27</v>
      </c>
      <c r="B27" s="180"/>
      <c r="C27" s="180"/>
      <c r="D27" s="180"/>
      <c r="E27" s="180"/>
      <c r="F27" s="180"/>
      <c r="G27" s="180"/>
      <c r="H27" s="180"/>
      <c r="I27" s="180"/>
      <c r="J27" s="180"/>
      <c r="K27" s="180"/>
    </row>
    <row r="28" spans="1:11" ht="15">
      <c r="A28" s="431" t="s">
        <v>31</v>
      </c>
      <c r="B28" s="180" t="e">
        <f t="shared" ref="B28:K28" si="8">$G$8*$C$8</f>
        <v>#N/A</v>
      </c>
      <c r="C28" s="180" t="e">
        <f t="shared" si="8"/>
        <v>#N/A</v>
      </c>
      <c r="D28" s="180" t="e">
        <f t="shared" si="8"/>
        <v>#N/A</v>
      </c>
      <c r="E28" s="180" t="e">
        <f t="shared" si="8"/>
        <v>#N/A</v>
      </c>
      <c r="F28" s="180" t="e">
        <f t="shared" si="8"/>
        <v>#N/A</v>
      </c>
      <c r="G28" s="180" t="e">
        <f t="shared" si="8"/>
        <v>#N/A</v>
      </c>
      <c r="H28" s="180" t="e">
        <f t="shared" si="8"/>
        <v>#N/A</v>
      </c>
      <c r="I28" s="180" t="e">
        <f t="shared" si="8"/>
        <v>#N/A</v>
      </c>
      <c r="J28" s="180" t="e">
        <f t="shared" si="8"/>
        <v>#N/A</v>
      </c>
      <c r="K28" s="180" t="e">
        <f t="shared" si="8"/>
        <v>#N/A</v>
      </c>
    </row>
    <row r="29" spans="1:11" ht="15.75" thickBot="1">
      <c r="A29" s="431" t="s">
        <v>461</v>
      </c>
      <c r="B29" s="440" t="e">
        <f t="shared" ref="B29:K29" si="9">SUM(B22:B28)</f>
        <v>#N/A</v>
      </c>
      <c r="C29" s="440" t="e">
        <f t="shared" si="9"/>
        <v>#N/A</v>
      </c>
      <c r="D29" s="440" t="e">
        <f t="shared" si="9"/>
        <v>#N/A</v>
      </c>
      <c r="E29" s="440" t="e">
        <f t="shared" si="9"/>
        <v>#N/A</v>
      </c>
      <c r="F29" s="440" t="e">
        <f t="shared" si="9"/>
        <v>#N/A</v>
      </c>
      <c r="G29" s="440" t="e">
        <f t="shared" si="9"/>
        <v>#N/A</v>
      </c>
      <c r="H29" s="440" t="e">
        <f t="shared" si="9"/>
        <v>#N/A</v>
      </c>
      <c r="I29" s="440" t="e">
        <f t="shared" si="9"/>
        <v>#N/A</v>
      </c>
      <c r="J29" s="440" t="e">
        <f t="shared" si="9"/>
        <v>#N/A</v>
      </c>
      <c r="K29" s="440" t="e">
        <f t="shared" si="9"/>
        <v>#N/A</v>
      </c>
    </row>
    <row r="30" spans="1:11" ht="15" thickTop="1">
      <c r="A30" t="s">
        <v>419</v>
      </c>
      <c r="B30">
        <v>21</v>
      </c>
      <c r="C30">
        <v>22</v>
      </c>
      <c r="D30" s="180">
        <v>23</v>
      </c>
      <c r="E30">
        <v>24</v>
      </c>
      <c r="F30">
        <v>25</v>
      </c>
    </row>
    <row r="31" spans="1:11" ht="15">
      <c r="A31" s="431" t="s">
        <v>24</v>
      </c>
      <c r="B31" s="180" t="e">
        <f>$G$2*$C$2</f>
        <v>#N/A</v>
      </c>
      <c r="C31" s="180" t="e">
        <f>$G$2*$C$2</f>
        <v>#N/A</v>
      </c>
      <c r="D31" s="180" t="e">
        <f>$G$2*$C$2</f>
        <v>#N/A</v>
      </c>
      <c r="E31" s="180" t="e">
        <f>$G$2*$C$2</f>
        <v>#N/A</v>
      </c>
      <c r="F31" s="180" t="e">
        <f>$G$2*$C$2</f>
        <v>#N/A</v>
      </c>
    </row>
    <row r="32" spans="1:11" ht="15">
      <c r="A32" s="431" t="s">
        <v>28</v>
      </c>
      <c r="B32" s="180"/>
      <c r="C32" s="180"/>
      <c r="D32" s="180"/>
      <c r="E32" s="180"/>
      <c r="F32" s="180"/>
    </row>
    <row r="33" spans="1:6" ht="15">
      <c r="A33" s="431" t="s">
        <v>29</v>
      </c>
      <c r="B33" s="180"/>
      <c r="C33" s="180"/>
      <c r="D33" s="180"/>
      <c r="E33" s="180"/>
      <c r="F33" s="180"/>
    </row>
    <row r="34" spans="1:6" ht="15">
      <c r="A34" s="431" t="s">
        <v>30</v>
      </c>
      <c r="B34" s="180"/>
      <c r="C34" s="180"/>
      <c r="D34" s="180"/>
      <c r="E34" s="180"/>
      <c r="F34" s="180"/>
    </row>
    <row r="35" spans="1:6" ht="15">
      <c r="A35" s="431" t="s">
        <v>26</v>
      </c>
      <c r="B35" s="180"/>
      <c r="C35" s="180"/>
      <c r="D35" s="180"/>
      <c r="E35" s="180"/>
      <c r="F35" s="180"/>
    </row>
    <row r="36" spans="1:6" ht="15">
      <c r="A36" s="431" t="s">
        <v>27</v>
      </c>
      <c r="B36" s="180"/>
      <c r="C36" s="180"/>
      <c r="D36" s="180"/>
      <c r="E36" s="180"/>
      <c r="F36" s="180"/>
    </row>
    <row r="37" spans="1:6" ht="15">
      <c r="A37" s="431" t="s">
        <v>31</v>
      </c>
      <c r="B37" s="180"/>
      <c r="C37" s="180"/>
      <c r="D37" s="180"/>
      <c r="E37" s="180"/>
      <c r="F37" s="180"/>
    </row>
    <row r="38" spans="1:6" ht="15.75" thickBot="1">
      <c r="A38" s="431" t="s">
        <v>461</v>
      </c>
      <c r="B38" s="440" t="e">
        <f>SUM(B31:B37)</f>
        <v>#N/A</v>
      </c>
      <c r="C38" s="440" t="e">
        <f>SUM(C31:C37)</f>
        <v>#N/A</v>
      </c>
      <c r="D38" s="440" t="e">
        <f>SUM(D31:D37)</f>
        <v>#N/A</v>
      </c>
      <c r="E38" s="440" t="e">
        <f>SUM(E31:E37)</f>
        <v>#N/A</v>
      </c>
      <c r="F38" s="440" t="e">
        <f>SUM(F31:F37)</f>
        <v>#N/A</v>
      </c>
    </row>
    <row r="39" spans="1:6" ht="15" hidden="1" thickTop="1"/>
    <row r="43" spans="1:6" ht="15" thickTop="1"/>
    <row r="44" spans="1:6"/>
  </sheetData>
  <sheetProtection algorithmName="SHA-512" hashValue="QOdC6Of8jkrN9VnycK+tZdHY/FKvioyLdLA1QGPNHMnnMXH86OG2L0XwMLao1fHvmxAr9lGBqIAjI1G7Nl/N0g==" saltValue="JNwFECqhb1QV7jC43ZVtrw==" spinCount="100000" sheet="1" objects="1" scenarios="1" selectLockedCells="1" selectUnlockedCells="1"/>
  <pageMargins left="0.70866141732283472" right="0.70866141732283472" top="0.74803149606299213" bottom="0.74803149606299213" header="0.31496062992125984" footer="0.31496062992125984"/>
  <pageSetup paperSize="9" scale="85" orientation="landscape" verticalDpi="0" r:id="rId1"/>
  <headerFooter>
    <oddFooter>&amp;L&amp;F&amp;C&amp;D</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גיליון11"/>
  <dimension ref="A1:J177"/>
  <sheetViews>
    <sheetView showGridLines="0" rightToLeft="1" topLeftCell="A54" zoomScale="80" zoomScaleNormal="80" zoomScaleSheetLayoutView="80" workbookViewId="0">
      <selection activeCell="B26" sqref="B26"/>
    </sheetView>
  </sheetViews>
  <sheetFormatPr defaultColWidth="0" defaultRowHeight="14.25" zeroHeight="1"/>
  <cols>
    <col min="1" max="1" width="27.125" bestFit="1" customWidth="1"/>
    <col min="2" max="2" width="9" style="79" customWidth="1"/>
    <col min="3" max="3" width="8.75" style="79" customWidth="1"/>
    <col min="4" max="4" width="14" style="79" bestFit="1" customWidth="1"/>
    <col min="5" max="5" width="9" style="79" customWidth="1"/>
    <col min="6" max="6" width="8.75" style="79" customWidth="1"/>
    <col min="7" max="7" width="14" style="79" bestFit="1" customWidth="1"/>
    <col min="8" max="8" width="9" style="79" customWidth="1"/>
    <col min="9" max="9" width="8.75" style="79" customWidth="1"/>
    <col min="10" max="10" width="14" style="79" bestFit="1" customWidth="1"/>
    <col min="11" max="16384" width="9" hidden="1"/>
  </cols>
  <sheetData>
    <row r="1" spans="1:10" ht="20.25">
      <c r="A1" s="841" t="s">
        <v>463</v>
      </c>
    </row>
    <row r="2" spans="1:10" ht="15.75">
      <c r="A2" s="1018" t="s">
        <v>464</v>
      </c>
      <c r="B2" s="1018"/>
      <c r="C2" s="1018"/>
      <c r="D2" s="1018"/>
      <c r="E2" s="1018"/>
      <c r="F2" s="1018"/>
      <c r="G2" s="1018"/>
      <c r="H2" s="1018"/>
      <c r="I2" s="1018"/>
    </row>
    <row r="3" spans="1:10" ht="15.75">
      <c r="A3" s="1018" t="s">
        <v>465</v>
      </c>
      <c r="B3" s="1018"/>
      <c r="C3" s="1018"/>
      <c r="D3" s="1018"/>
      <c r="E3" s="1018"/>
      <c r="F3" s="1018"/>
      <c r="G3" s="1018"/>
      <c r="H3" s="1018"/>
      <c r="I3" s="1018"/>
    </row>
    <row r="4" spans="1:10" ht="15.75">
      <c r="A4" s="1018" t="s">
        <v>466</v>
      </c>
      <c r="B4" s="1018"/>
      <c r="C4" s="1018"/>
      <c r="D4" s="1018"/>
      <c r="E4" s="1018"/>
      <c r="F4" s="1018"/>
      <c r="G4" s="1018"/>
      <c r="H4" s="1018"/>
      <c r="I4" s="1018"/>
    </row>
    <row r="5" spans="1:10" ht="15.75">
      <c r="A5" s="301"/>
      <c r="B5" s="842"/>
      <c r="C5" s="842"/>
      <c r="D5" s="842"/>
    </row>
    <row r="6" spans="1:10" ht="18">
      <c r="A6" s="263"/>
    </row>
    <row r="7" spans="1:10" ht="15.75">
      <c r="A7" s="554"/>
    </row>
    <row r="8" spans="1:10" ht="18.75">
      <c r="A8" s="554"/>
      <c r="F8" s="843" t="s">
        <v>462</v>
      </c>
    </row>
    <row r="9" spans="1:10" ht="15.75">
      <c r="A9" s="844"/>
    </row>
    <row r="10" spans="1:10"/>
    <row r="11" spans="1:10" ht="15" thickBot="1"/>
    <row r="12" spans="1:10">
      <c r="B12" s="1019" t="s">
        <v>75</v>
      </c>
      <c r="C12" s="1020"/>
      <c r="D12" s="1021"/>
      <c r="E12" s="1019" t="s">
        <v>137</v>
      </c>
      <c r="F12" s="1020"/>
      <c r="G12" s="1021"/>
      <c r="H12" s="1019" t="s">
        <v>77</v>
      </c>
      <c r="I12" s="1020"/>
      <c r="J12" s="1021"/>
    </row>
    <row r="13" spans="1:10" ht="38.25" thickBot="1">
      <c r="B13" s="845" t="s">
        <v>210</v>
      </c>
      <c r="C13" s="846" t="s">
        <v>209</v>
      </c>
      <c r="D13" s="847" t="s">
        <v>211</v>
      </c>
      <c r="E13" s="845" t="s">
        <v>210</v>
      </c>
      <c r="F13" s="846" t="s">
        <v>209</v>
      </c>
      <c r="G13" s="847" t="s">
        <v>211</v>
      </c>
      <c r="H13" s="845" t="s">
        <v>210</v>
      </c>
      <c r="I13" s="846" t="s">
        <v>209</v>
      </c>
      <c r="J13" s="847" t="s">
        <v>211</v>
      </c>
    </row>
    <row r="14" spans="1:10" ht="15.75">
      <c r="A14" s="848" t="s">
        <v>212</v>
      </c>
      <c r="B14" s="849"/>
      <c r="C14" s="850"/>
      <c r="D14" s="851"/>
      <c r="E14" s="849"/>
      <c r="F14" s="850"/>
      <c r="G14" s="851"/>
      <c r="H14" s="849"/>
      <c r="I14" s="850"/>
      <c r="J14" s="851"/>
    </row>
    <row r="15" spans="1:10" ht="15.75">
      <c r="A15" s="852" t="s">
        <v>213</v>
      </c>
      <c r="B15" s="473"/>
      <c r="C15" s="455"/>
      <c r="D15" s="853">
        <f>B15*C15</f>
        <v>0</v>
      </c>
      <c r="E15" s="473"/>
      <c r="F15" s="455"/>
      <c r="G15" s="853">
        <f>E15*F15</f>
        <v>0</v>
      </c>
      <c r="H15" s="473"/>
      <c r="I15" s="455"/>
      <c r="J15" s="853">
        <f>H15*I15</f>
        <v>0</v>
      </c>
    </row>
    <row r="16" spans="1:10" ht="15.75">
      <c r="A16" s="854" t="s">
        <v>214</v>
      </c>
      <c r="B16" s="473"/>
      <c r="C16" s="455"/>
      <c r="D16" s="853">
        <f>B16*C16</f>
        <v>0</v>
      </c>
      <c r="E16" s="473"/>
      <c r="F16" s="455"/>
      <c r="G16" s="853">
        <f>E16*F16</f>
        <v>0</v>
      </c>
      <c r="H16" s="473"/>
      <c r="I16" s="455"/>
      <c r="J16" s="853">
        <f>H16*I16</f>
        <v>0</v>
      </c>
    </row>
    <row r="17" spans="1:10" ht="15.75">
      <c r="A17" s="855" t="s">
        <v>215</v>
      </c>
      <c r="B17" s="473"/>
      <c r="C17" s="455"/>
      <c r="D17" s="853">
        <f>B17*C17</f>
        <v>0</v>
      </c>
      <c r="E17" s="473"/>
      <c r="F17" s="455"/>
      <c r="G17" s="853">
        <f>E17*F17</f>
        <v>0</v>
      </c>
      <c r="H17" s="473"/>
      <c r="I17" s="455"/>
      <c r="J17" s="853">
        <f>H17*I17</f>
        <v>0</v>
      </c>
    </row>
    <row r="18" spans="1:10" ht="15.75">
      <c r="A18" s="856" t="s">
        <v>262</v>
      </c>
      <c r="B18" s="473"/>
      <c r="C18" s="474"/>
      <c r="D18" s="857"/>
      <c r="E18" s="473"/>
      <c r="F18" s="474"/>
      <c r="G18" s="857"/>
      <c r="H18" s="473"/>
      <c r="I18" s="474"/>
      <c r="J18" s="857"/>
    </row>
    <row r="19" spans="1:10" ht="15.75">
      <c r="A19" s="855" t="s">
        <v>216</v>
      </c>
      <c r="B19" s="473"/>
      <c r="C19" s="455"/>
      <c r="D19" s="853">
        <f>B19*C19</f>
        <v>0</v>
      </c>
      <c r="E19" s="473"/>
      <c r="F19" s="455"/>
      <c r="G19" s="853">
        <f>E19*F19</f>
        <v>0</v>
      </c>
      <c r="H19" s="473"/>
      <c r="I19" s="455"/>
      <c r="J19" s="853">
        <f>H19*I19</f>
        <v>0</v>
      </c>
    </row>
    <row r="20" spans="1:10" ht="15.75">
      <c r="A20" s="855" t="s">
        <v>217</v>
      </c>
      <c r="B20" s="473"/>
      <c r="C20" s="455"/>
      <c r="D20" s="853">
        <f>B20*C20</f>
        <v>0</v>
      </c>
      <c r="E20" s="473"/>
      <c r="F20" s="455"/>
      <c r="G20" s="853">
        <f>E20*F20</f>
        <v>0</v>
      </c>
      <c r="H20" s="473"/>
      <c r="I20" s="455"/>
      <c r="J20" s="853">
        <f>H20*I20</f>
        <v>0</v>
      </c>
    </row>
    <row r="21" spans="1:10" ht="16.5" thickBot="1">
      <c r="A21" s="858" t="s">
        <v>218</v>
      </c>
      <c r="B21" s="475"/>
      <c r="C21" s="476"/>
      <c r="D21" s="859">
        <f>B21*C21</f>
        <v>0</v>
      </c>
      <c r="E21" s="475"/>
      <c r="F21" s="476"/>
      <c r="G21" s="859">
        <f>E21*F21</f>
        <v>0</v>
      </c>
      <c r="H21" s="475"/>
      <c r="I21" s="476"/>
      <c r="J21" s="859">
        <f>H21*I21</f>
        <v>0</v>
      </c>
    </row>
    <row r="22" spans="1:10" ht="16.5" thickBot="1">
      <c r="A22" s="860" t="s">
        <v>261</v>
      </c>
      <c r="B22" s="861">
        <f>SUM(B15:B21)</f>
        <v>0</v>
      </c>
      <c r="C22" s="862"/>
      <c r="D22" s="863">
        <f>SUM(D15:D21)</f>
        <v>0</v>
      </c>
      <c r="E22" s="861">
        <f>SUM(E15:E21)</f>
        <v>0</v>
      </c>
      <c r="F22" s="862"/>
      <c r="G22" s="863">
        <f>SUM(G15:G21)</f>
        <v>0</v>
      </c>
      <c r="H22" s="861">
        <f>SUM(H15:H21)</f>
        <v>0</v>
      </c>
      <c r="I22" s="862"/>
      <c r="J22" s="863">
        <f>SUM(J15:J21)</f>
        <v>0</v>
      </c>
    </row>
    <row r="23" spans="1:10" ht="15.75">
      <c r="A23" s="864"/>
      <c r="B23" s="865"/>
      <c r="C23" s="865"/>
      <c r="D23" s="865"/>
      <c r="E23" s="865"/>
      <c r="F23" s="865"/>
      <c r="G23" s="865"/>
      <c r="H23" s="865"/>
      <c r="I23" s="865"/>
      <c r="J23" s="865"/>
    </row>
    <row r="24" spans="1:10" ht="15.75">
      <c r="A24" s="864"/>
      <c r="B24" s="865"/>
      <c r="C24" s="865"/>
      <c r="D24" s="865"/>
      <c r="E24" s="865"/>
      <c r="F24" s="865"/>
      <c r="G24" s="865"/>
      <c r="H24" s="865"/>
      <c r="I24" s="865"/>
      <c r="J24" s="865"/>
    </row>
    <row r="25" spans="1:10" ht="16.5" thickBot="1">
      <c r="A25" s="856" t="s">
        <v>194</v>
      </c>
      <c r="B25" s="865"/>
      <c r="C25" s="866"/>
      <c r="D25" s="866"/>
      <c r="E25" s="865"/>
      <c r="F25" s="866"/>
      <c r="G25" s="866"/>
      <c r="H25" s="865"/>
      <c r="I25" s="866"/>
      <c r="J25" s="866"/>
    </row>
    <row r="26" spans="1:10" ht="15.75">
      <c r="A26" s="867" t="s">
        <v>219</v>
      </c>
      <c r="B26" s="909"/>
      <c r="C26" s="909"/>
      <c r="D26" s="868">
        <f>B26*C26</f>
        <v>0</v>
      </c>
      <c r="E26" s="909"/>
      <c r="F26" s="909"/>
      <c r="G26" s="868">
        <f>E26*F26</f>
        <v>0</v>
      </c>
      <c r="H26" s="909"/>
      <c r="I26" s="909"/>
      <c r="J26" s="869">
        <f>H26*I26</f>
        <v>0</v>
      </c>
    </row>
    <row r="27" spans="1:10" ht="15.75">
      <c r="A27" s="870" t="s">
        <v>220</v>
      </c>
      <c r="B27" s="455"/>
      <c r="C27" s="455"/>
      <c r="D27" s="871">
        <f>B27*C27</f>
        <v>0</v>
      </c>
      <c r="E27" s="455"/>
      <c r="F27" s="455"/>
      <c r="G27" s="871">
        <f>E27*F27</f>
        <v>0</v>
      </c>
      <c r="H27" s="455"/>
      <c r="I27" s="455"/>
      <c r="J27" s="872">
        <f>H27*I27</f>
        <v>0</v>
      </c>
    </row>
    <row r="28" spans="1:10" ht="16.5" thickBot="1">
      <c r="A28" s="873" t="s">
        <v>221</v>
      </c>
      <c r="B28" s="476"/>
      <c r="C28" s="476"/>
      <c r="D28" s="874">
        <f>B28*C28</f>
        <v>0</v>
      </c>
      <c r="E28" s="476"/>
      <c r="F28" s="476"/>
      <c r="G28" s="874">
        <f>E28*F28</f>
        <v>0</v>
      </c>
      <c r="H28" s="476"/>
      <c r="I28" s="476"/>
      <c r="J28" s="875">
        <f>H28*I28</f>
        <v>0</v>
      </c>
    </row>
    <row r="29" spans="1:10" ht="16.5" thickBot="1">
      <c r="A29" s="876" t="s">
        <v>222</v>
      </c>
      <c r="B29" s="862">
        <f>SUM(B26:B28)</f>
        <v>0</v>
      </c>
      <c r="C29" s="862"/>
      <c r="D29" s="862">
        <f>SUM(D26:D28)</f>
        <v>0</v>
      </c>
      <c r="E29" s="862">
        <f>SUM(E26:E28)</f>
        <v>0</v>
      </c>
      <c r="F29" s="862"/>
      <c r="G29" s="862">
        <f>SUM(G26:G28)</f>
        <v>0</v>
      </c>
      <c r="H29" s="862">
        <f>SUM(H26:H28)</f>
        <v>0</v>
      </c>
      <c r="I29" s="862"/>
      <c r="J29" s="863">
        <f>SUM(J26:J28)</f>
        <v>0</v>
      </c>
    </row>
    <row r="30" spans="1:10" ht="15.75">
      <c r="A30" s="864"/>
      <c r="B30" s="865"/>
      <c r="C30" s="865"/>
      <c r="D30" s="865"/>
      <c r="E30" s="865"/>
      <c r="F30" s="865"/>
      <c r="G30" s="865"/>
      <c r="H30" s="865"/>
      <c r="I30" s="865"/>
      <c r="J30" s="865"/>
    </row>
    <row r="31" spans="1:10" ht="15.75">
      <c r="A31" s="864"/>
      <c r="B31" s="865"/>
      <c r="C31" s="865"/>
      <c r="D31" s="865"/>
      <c r="E31" s="865"/>
      <c r="F31" s="865"/>
      <c r="G31" s="865"/>
      <c r="H31" s="865"/>
      <c r="I31" s="865"/>
      <c r="J31" s="865"/>
    </row>
    <row r="32" spans="1:10" ht="16.5" thickBot="1">
      <c r="A32" s="877" t="s">
        <v>223</v>
      </c>
      <c r="B32" s="865"/>
      <c r="C32" s="865"/>
      <c r="D32" s="865"/>
      <c r="E32" s="865"/>
      <c r="F32" s="865"/>
      <c r="G32" s="865"/>
      <c r="H32" s="865"/>
      <c r="I32" s="865"/>
      <c r="J32" s="865"/>
    </row>
    <row r="33" spans="1:10" ht="15.75">
      <c r="A33" s="878" t="s">
        <v>224</v>
      </c>
      <c r="B33" s="910"/>
      <c r="C33" s="911"/>
      <c r="D33" s="879">
        <f>B33*C33</f>
        <v>0</v>
      </c>
      <c r="E33" s="910"/>
      <c r="F33" s="911"/>
      <c r="G33" s="879">
        <f>E33*F33</f>
        <v>0</v>
      </c>
      <c r="H33" s="910"/>
      <c r="I33" s="911"/>
      <c r="J33" s="879">
        <f>H33*I33</f>
        <v>0</v>
      </c>
    </row>
    <row r="34" spans="1:10" ht="15.75">
      <c r="A34" s="855" t="s">
        <v>225</v>
      </c>
      <c r="B34" s="473"/>
      <c r="C34" s="455"/>
      <c r="D34" s="872">
        <f t="shared" ref="D34:D39" si="0">B34*C34</f>
        <v>0</v>
      </c>
      <c r="E34" s="473"/>
      <c r="F34" s="455"/>
      <c r="G34" s="872">
        <f t="shared" ref="G34:G39" si="1">E34*F34</f>
        <v>0</v>
      </c>
      <c r="H34" s="473"/>
      <c r="I34" s="455"/>
      <c r="J34" s="872">
        <f t="shared" ref="J34:J39" si="2">H34*I34</f>
        <v>0</v>
      </c>
    </row>
    <row r="35" spans="1:10" ht="15.75">
      <c r="A35" s="855" t="s">
        <v>226</v>
      </c>
      <c r="B35" s="473"/>
      <c r="C35" s="455"/>
      <c r="D35" s="872">
        <f t="shared" si="0"/>
        <v>0</v>
      </c>
      <c r="E35" s="473"/>
      <c r="F35" s="455"/>
      <c r="G35" s="872">
        <f t="shared" si="1"/>
        <v>0</v>
      </c>
      <c r="H35" s="473"/>
      <c r="I35" s="455"/>
      <c r="J35" s="872">
        <f t="shared" si="2"/>
        <v>0</v>
      </c>
    </row>
    <row r="36" spans="1:10" ht="15.75">
      <c r="A36" s="855" t="s">
        <v>227</v>
      </c>
      <c r="B36" s="473"/>
      <c r="C36" s="455"/>
      <c r="D36" s="872">
        <f t="shared" si="0"/>
        <v>0</v>
      </c>
      <c r="E36" s="473"/>
      <c r="F36" s="455"/>
      <c r="G36" s="872">
        <f t="shared" si="1"/>
        <v>0</v>
      </c>
      <c r="H36" s="473"/>
      <c r="I36" s="455"/>
      <c r="J36" s="872">
        <f t="shared" si="2"/>
        <v>0</v>
      </c>
    </row>
    <row r="37" spans="1:10" ht="15.75">
      <c r="A37" s="855" t="s">
        <v>228</v>
      </c>
      <c r="B37" s="473"/>
      <c r="C37" s="455"/>
      <c r="D37" s="872">
        <f t="shared" si="0"/>
        <v>0</v>
      </c>
      <c r="E37" s="473"/>
      <c r="F37" s="455"/>
      <c r="G37" s="872">
        <f t="shared" si="1"/>
        <v>0</v>
      </c>
      <c r="H37" s="473"/>
      <c r="I37" s="455"/>
      <c r="J37" s="872">
        <f t="shared" si="2"/>
        <v>0</v>
      </c>
    </row>
    <row r="38" spans="1:10" ht="15.75">
      <c r="A38" s="855" t="s">
        <v>229</v>
      </c>
      <c r="B38" s="473"/>
      <c r="C38" s="455"/>
      <c r="D38" s="872">
        <f t="shared" si="0"/>
        <v>0</v>
      </c>
      <c r="E38" s="473"/>
      <c r="F38" s="455"/>
      <c r="G38" s="872">
        <f t="shared" si="1"/>
        <v>0</v>
      </c>
      <c r="H38" s="473"/>
      <c r="I38" s="455"/>
      <c r="J38" s="872">
        <f t="shared" si="2"/>
        <v>0</v>
      </c>
    </row>
    <row r="39" spans="1:10" ht="16.5" thickBot="1">
      <c r="A39" s="855" t="s">
        <v>230</v>
      </c>
      <c r="B39" s="912"/>
      <c r="C39" s="913"/>
      <c r="D39" s="880">
        <f t="shared" si="0"/>
        <v>0</v>
      </c>
      <c r="E39" s="912"/>
      <c r="F39" s="913"/>
      <c r="G39" s="880">
        <f t="shared" si="1"/>
        <v>0</v>
      </c>
      <c r="H39" s="912"/>
      <c r="I39" s="913"/>
      <c r="J39" s="880">
        <f t="shared" si="2"/>
        <v>0</v>
      </c>
    </row>
    <row r="40" spans="1:10" ht="15.75">
      <c r="A40" s="881" t="s">
        <v>263</v>
      </c>
      <c r="B40" s="882">
        <f>SUM(B33:B39)</f>
        <v>0</v>
      </c>
      <c r="C40" s="882"/>
      <c r="D40" s="882">
        <f>SUM(D33:D39)</f>
        <v>0</v>
      </c>
      <c r="E40" s="882">
        <f>SUM(E33:E39)</f>
        <v>0</v>
      </c>
      <c r="F40" s="882"/>
      <c r="G40" s="882">
        <f>SUM(G33:G39)</f>
        <v>0</v>
      </c>
      <c r="H40" s="882">
        <f>SUM(H33:H39)</f>
        <v>0</v>
      </c>
      <c r="I40" s="882"/>
      <c r="J40" s="882">
        <f>SUM(J33:J39)</f>
        <v>0</v>
      </c>
    </row>
    <row r="41" spans="1:10" ht="16.5" thickBot="1">
      <c r="A41" s="883" t="s">
        <v>231</v>
      </c>
      <c r="B41" s="884"/>
      <c r="C41" s="874"/>
      <c r="D41" s="874"/>
      <c r="E41" s="884"/>
      <c r="F41" s="874"/>
      <c r="G41" s="874"/>
      <c r="H41" s="884"/>
      <c r="I41" s="874"/>
      <c r="J41" s="874"/>
    </row>
    <row r="42" spans="1:10" ht="15.75">
      <c r="A42" s="855" t="s">
        <v>232</v>
      </c>
      <c r="B42" s="914"/>
      <c r="C42" s="909"/>
      <c r="D42" s="869">
        <f>B42*C42</f>
        <v>0</v>
      </c>
      <c r="E42" s="914"/>
      <c r="F42" s="909"/>
      <c r="G42" s="869">
        <f>E42*F42</f>
        <v>0</v>
      </c>
      <c r="H42" s="914"/>
      <c r="I42" s="909"/>
      <c r="J42" s="869">
        <f>H42*I42</f>
        <v>0</v>
      </c>
    </row>
    <row r="43" spans="1:10" ht="15.75">
      <c r="A43" s="855" t="s">
        <v>233</v>
      </c>
      <c r="B43" s="473"/>
      <c r="C43" s="455"/>
      <c r="D43" s="872">
        <f t="shared" ref="D43:D81" si="3">B43*C43</f>
        <v>0</v>
      </c>
      <c r="E43" s="473"/>
      <c r="F43" s="455"/>
      <c r="G43" s="872">
        <f>E43*F43</f>
        <v>0</v>
      </c>
      <c r="H43" s="473"/>
      <c r="I43" s="455"/>
      <c r="J43" s="872">
        <f>H43*I43</f>
        <v>0</v>
      </c>
    </row>
    <row r="44" spans="1:10" ht="15.75">
      <c r="A44" s="855" t="s">
        <v>234</v>
      </c>
      <c r="B44" s="473"/>
      <c r="C44" s="455"/>
      <c r="D44" s="872">
        <f t="shared" si="3"/>
        <v>0</v>
      </c>
      <c r="E44" s="473"/>
      <c r="F44" s="455"/>
      <c r="G44" s="872">
        <f>E44*F44</f>
        <v>0</v>
      </c>
      <c r="H44" s="473"/>
      <c r="I44" s="455"/>
      <c r="J44" s="872">
        <f>H44*I44</f>
        <v>0</v>
      </c>
    </row>
    <row r="45" spans="1:10" ht="15.75">
      <c r="A45" s="855" t="s">
        <v>235</v>
      </c>
      <c r="B45" s="473"/>
      <c r="C45" s="455"/>
      <c r="D45" s="872">
        <f t="shared" si="3"/>
        <v>0</v>
      </c>
      <c r="E45" s="473"/>
      <c r="F45" s="455"/>
      <c r="G45" s="872">
        <f>E45*F45</f>
        <v>0</v>
      </c>
      <c r="H45" s="473"/>
      <c r="I45" s="455"/>
      <c r="J45" s="872">
        <f>H45*I45</f>
        <v>0</v>
      </c>
    </row>
    <row r="46" spans="1:10" ht="16.5" thickBot="1">
      <c r="A46" s="855" t="s">
        <v>236</v>
      </c>
      <c r="B46" s="912"/>
      <c r="C46" s="913"/>
      <c r="D46" s="880">
        <f t="shared" si="3"/>
        <v>0</v>
      </c>
      <c r="E46" s="912"/>
      <c r="F46" s="913"/>
      <c r="G46" s="880">
        <f>E46*F46</f>
        <v>0</v>
      </c>
      <c r="H46" s="912"/>
      <c r="I46" s="913"/>
      <c r="J46" s="872">
        <f>H46*I46</f>
        <v>0</v>
      </c>
    </row>
    <row r="47" spans="1:10" ht="15.75">
      <c r="A47" s="881" t="s">
        <v>265</v>
      </c>
      <c r="B47" s="882">
        <f>SUM(B42:B46)</f>
        <v>0</v>
      </c>
      <c r="C47" s="882"/>
      <c r="D47" s="882">
        <f>SUM(D42:D46)</f>
        <v>0</v>
      </c>
      <c r="E47" s="882">
        <f>SUM(E42:E46)</f>
        <v>0</v>
      </c>
      <c r="F47" s="882"/>
      <c r="G47" s="882">
        <f>SUM(G42:G46)</f>
        <v>0</v>
      </c>
      <c r="H47" s="882">
        <f>SUM(H42:H46)</f>
        <v>0</v>
      </c>
      <c r="I47" s="882"/>
      <c r="J47" s="882">
        <f>SUM(J42:J46)</f>
        <v>0</v>
      </c>
    </row>
    <row r="48" spans="1:10" ht="16.5" thickBot="1">
      <c r="A48" s="883" t="s">
        <v>203</v>
      </c>
      <c r="B48" s="884"/>
      <c r="C48" s="874"/>
      <c r="D48" s="874"/>
      <c r="E48" s="884"/>
      <c r="F48" s="874"/>
      <c r="G48" s="874"/>
      <c r="H48" s="884"/>
      <c r="I48" s="874"/>
      <c r="J48" s="874"/>
    </row>
    <row r="49" spans="1:10" ht="15.75">
      <c r="A49" s="855" t="s">
        <v>237</v>
      </c>
      <c r="B49" s="914"/>
      <c r="C49" s="909"/>
      <c r="D49" s="869">
        <f t="shared" si="3"/>
        <v>0</v>
      </c>
      <c r="E49" s="914"/>
      <c r="F49" s="909"/>
      <c r="G49" s="869">
        <f>E49*F49</f>
        <v>0</v>
      </c>
      <c r="H49" s="914"/>
      <c r="I49" s="909"/>
      <c r="J49" s="869">
        <f>H49*I49</f>
        <v>0</v>
      </c>
    </row>
    <row r="50" spans="1:10" ht="16.5" thickBot="1">
      <c r="A50" s="855" t="s">
        <v>238</v>
      </c>
      <c r="B50" s="912"/>
      <c r="C50" s="913"/>
      <c r="D50" s="880">
        <f t="shared" si="3"/>
        <v>0</v>
      </c>
      <c r="E50" s="912"/>
      <c r="F50" s="913"/>
      <c r="G50" s="880">
        <f>E50*F50</f>
        <v>0</v>
      </c>
      <c r="H50" s="912"/>
      <c r="I50" s="913"/>
      <c r="J50" s="880">
        <f>H50*I50</f>
        <v>0</v>
      </c>
    </row>
    <row r="51" spans="1:10" ht="15.75">
      <c r="A51" s="881" t="s">
        <v>266</v>
      </c>
      <c r="B51" s="882">
        <f>SUM(B49:B50)</f>
        <v>0</v>
      </c>
      <c r="C51" s="885"/>
      <c r="D51" s="882">
        <f>SUM(D49:D50)</f>
        <v>0</v>
      </c>
      <c r="E51" s="882">
        <f>SUM(E49:E50)</f>
        <v>0</v>
      </c>
      <c r="F51" s="885"/>
      <c r="G51" s="882">
        <f>SUM(G49:G50)</f>
        <v>0</v>
      </c>
      <c r="H51" s="882">
        <f>SUM(H49:H50)</f>
        <v>0</v>
      </c>
      <c r="I51" s="885"/>
      <c r="J51" s="882">
        <f>SUM(J49:J50)</f>
        <v>0</v>
      </c>
    </row>
    <row r="52" spans="1:10" ht="16.5" thickBot="1">
      <c r="A52" s="883" t="s">
        <v>530</v>
      </c>
      <c r="B52" s="884"/>
      <c r="C52" s="874"/>
      <c r="D52" s="874"/>
      <c r="E52" s="884"/>
      <c r="F52" s="874"/>
      <c r="G52" s="874"/>
      <c r="H52" s="884"/>
      <c r="I52" s="874"/>
      <c r="J52" s="874"/>
    </row>
    <row r="53" spans="1:10" ht="15.75">
      <c r="A53" s="855" t="s">
        <v>531</v>
      </c>
      <c r="B53" s="914"/>
      <c r="C53" s="909"/>
      <c r="D53" s="869">
        <f>B53*C53</f>
        <v>0</v>
      </c>
      <c r="E53" s="914"/>
      <c r="F53" s="909"/>
      <c r="G53" s="869">
        <f>E53*F53</f>
        <v>0</v>
      </c>
      <c r="H53" s="914"/>
      <c r="I53" s="909"/>
      <c r="J53" s="869">
        <f>H53*I53</f>
        <v>0</v>
      </c>
    </row>
    <row r="54" spans="1:10" ht="15.75">
      <c r="A54" s="855" t="s">
        <v>532</v>
      </c>
      <c r="B54" s="473"/>
      <c r="C54" s="455"/>
      <c r="D54" s="872">
        <f>B54*C54</f>
        <v>0</v>
      </c>
      <c r="E54" s="473"/>
      <c r="F54" s="455"/>
      <c r="G54" s="872">
        <f>E54*F54</f>
        <v>0</v>
      </c>
      <c r="H54" s="473"/>
      <c r="I54" s="455"/>
      <c r="J54" s="872">
        <f>H54*I54</f>
        <v>0</v>
      </c>
    </row>
    <row r="55" spans="1:10" ht="16.5" thickBot="1">
      <c r="A55" s="855" t="s">
        <v>533</v>
      </c>
      <c r="B55" s="912"/>
      <c r="C55" s="913"/>
      <c r="D55" s="880">
        <f>B55*C55</f>
        <v>0</v>
      </c>
      <c r="E55" s="912"/>
      <c r="F55" s="913"/>
      <c r="G55" s="880">
        <f>E55*F55</f>
        <v>0</v>
      </c>
      <c r="H55" s="912"/>
      <c r="I55" s="913"/>
      <c r="J55" s="880">
        <f>H55*I55</f>
        <v>0</v>
      </c>
    </row>
    <row r="56" spans="1:10" ht="15.75">
      <c r="A56" s="881" t="s">
        <v>534</v>
      </c>
      <c r="B56" s="882">
        <f>SUM(B53:B55)</f>
        <v>0</v>
      </c>
      <c r="C56" s="882"/>
      <c r="D56" s="882">
        <f>SUM(D53:D55)</f>
        <v>0</v>
      </c>
      <c r="E56" s="882">
        <f>SUM(E53:E55)</f>
        <v>0</v>
      </c>
      <c r="F56" s="882"/>
      <c r="G56" s="882">
        <f>SUM(G53:G55)</f>
        <v>0</v>
      </c>
      <c r="H56" s="882">
        <f>SUM(H53:H55)</f>
        <v>0</v>
      </c>
      <c r="I56" s="882"/>
      <c r="J56" s="882">
        <f>SUM(J53:J55)</f>
        <v>0</v>
      </c>
    </row>
    <row r="57" spans="1:10" ht="16.5" thickBot="1">
      <c r="A57" s="883" t="s">
        <v>239</v>
      </c>
      <c r="B57" s="884"/>
      <c r="C57" s="874"/>
      <c r="D57" s="874"/>
      <c r="E57" s="884"/>
      <c r="F57" s="874"/>
      <c r="G57" s="874"/>
      <c r="H57" s="884"/>
      <c r="I57" s="874"/>
      <c r="J57" s="874"/>
    </row>
    <row r="58" spans="1:10" ht="15.75">
      <c r="A58" s="855" t="s">
        <v>240</v>
      </c>
      <c r="B58" s="914"/>
      <c r="C58" s="909"/>
      <c r="D58" s="869">
        <f t="shared" si="3"/>
        <v>0</v>
      </c>
      <c r="E58" s="914"/>
      <c r="F58" s="909"/>
      <c r="G58" s="869">
        <f>E58*F58</f>
        <v>0</v>
      </c>
      <c r="H58" s="914"/>
      <c r="I58" s="909"/>
      <c r="J58" s="869">
        <f>H58*I58</f>
        <v>0</v>
      </c>
    </row>
    <row r="59" spans="1:10" ht="15.75">
      <c r="A59" s="855" t="s">
        <v>241</v>
      </c>
      <c r="B59" s="473"/>
      <c r="C59" s="455"/>
      <c r="D59" s="872">
        <f t="shared" si="3"/>
        <v>0</v>
      </c>
      <c r="E59" s="473"/>
      <c r="F59" s="455"/>
      <c r="G59" s="872">
        <f>E59*F59</f>
        <v>0</v>
      </c>
      <c r="H59" s="473"/>
      <c r="I59" s="455"/>
      <c r="J59" s="872">
        <f>H59*I59</f>
        <v>0</v>
      </c>
    </row>
    <row r="60" spans="1:10" ht="16.5" thickBot="1">
      <c r="A60" s="855" t="s">
        <v>242</v>
      </c>
      <c r="B60" s="912"/>
      <c r="C60" s="913"/>
      <c r="D60" s="880">
        <f t="shared" si="3"/>
        <v>0</v>
      </c>
      <c r="E60" s="912"/>
      <c r="F60" s="913"/>
      <c r="G60" s="880">
        <f>E60*F60</f>
        <v>0</v>
      </c>
      <c r="H60" s="912"/>
      <c r="I60" s="913"/>
      <c r="J60" s="880">
        <f>H60*I60</f>
        <v>0</v>
      </c>
    </row>
    <row r="61" spans="1:10" ht="15.75">
      <c r="A61" s="881" t="s">
        <v>267</v>
      </c>
      <c r="B61" s="882">
        <f>SUM(B58:B60)</f>
        <v>0</v>
      </c>
      <c r="C61" s="882"/>
      <c r="D61" s="882">
        <f>SUM(D58:D60)</f>
        <v>0</v>
      </c>
      <c r="E61" s="882">
        <f>SUM(E58:E60)</f>
        <v>0</v>
      </c>
      <c r="F61" s="882"/>
      <c r="G61" s="882">
        <f>SUM(G58:G60)</f>
        <v>0</v>
      </c>
      <c r="H61" s="882">
        <f>SUM(H58:H60)</f>
        <v>0</v>
      </c>
      <c r="I61" s="882"/>
      <c r="J61" s="882">
        <f>SUM(J58:J60)</f>
        <v>0</v>
      </c>
    </row>
    <row r="62" spans="1:10" ht="16.5" thickBot="1">
      <c r="A62" s="886"/>
      <c r="B62" s="884"/>
      <c r="C62" s="874"/>
      <c r="D62" s="874"/>
      <c r="E62" s="884"/>
      <c r="F62" s="874"/>
      <c r="G62" s="874"/>
      <c r="H62" s="884"/>
      <c r="I62" s="874"/>
      <c r="J62" s="874"/>
    </row>
    <row r="63" spans="1:10" ht="16.5" thickBot="1">
      <c r="A63" s="887" t="s">
        <v>243</v>
      </c>
      <c r="B63" s="861">
        <f>B40+B47+B51+B61+B56</f>
        <v>0</v>
      </c>
      <c r="C63" s="862"/>
      <c r="D63" s="861">
        <f>D40+D47+D51+D61+D56</f>
        <v>0</v>
      </c>
      <c r="E63" s="861">
        <f>E40+E47+E51+E61+E56</f>
        <v>0</v>
      </c>
      <c r="F63" s="862"/>
      <c r="G63" s="861">
        <f>G40+G47+G51+G61+G56</f>
        <v>0</v>
      </c>
      <c r="H63" s="861">
        <f>H40+H47+H51+H61+H56</f>
        <v>0</v>
      </c>
      <c r="I63" s="862"/>
      <c r="J63" s="861">
        <f>J40+J47+J51+J61+J56</f>
        <v>0</v>
      </c>
    </row>
    <row r="64" spans="1:10" ht="15.75">
      <c r="A64" s="888"/>
      <c r="B64" s="889"/>
      <c r="C64" s="889"/>
      <c r="D64" s="889"/>
      <c r="E64" s="889"/>
      <c r="F64" s="889"/>
      <c r="G64" s="889"/>
      <c r="H64" s="889"/>
      <c r="I64" s="889"/>
      <c r="J64" s="889"/>
    </row>
    <row r="65" spans="1:10" ht="15.75">
      <c r="A65" s="864"/>
      <c r="B65" s="865"/>
      <c r="C65" s="865"/>
      <c r="D65" s="865"/>
      <c r="E65" s="865"/>
      <c r="F65" s="865"/>
      <c r="G65" s="865"/>
      <c r="H65" s="865"/>
      <c r="I65" s="865"/>
      <c r="J65" s="865"/>
    </row>
    <row r="66" spans="1:10" ht="15.75">
      <c r="A66" s="864"/>
      <c r="B66" s="865"/>
      <c r="C66" s="865"/>
      <c r="D66" s="865"/>
      <c r="E66" s="865"/>
      <c r="F66" s="865"/>
      <c r="G66" s="865"/>
      <c r="H66" s="865"/>
      <c r="I66" s="865"/>
      <c r="J66" s="865"/>
    </row>
    <row r="67" spans="1:10" ht="16.5" thickBot="1">
      <c r="A67" s="890" t="s">
        <v>244</v>
      </c>
      <c r="B67" s="865"/>
      <c r="C67" s="865"/>
      <c r="D67" s="865"/>
      <c r="E67" s="865"/>
      <c r="F67" s="865"/>
      <c r="G67" s="865"/>
      <c r="H67" s="865"/>
      <c r="I67" s="865"/>
      <c r="J67" s="865"/>
    </row>
    <row r="68" spans="1:10" ht="15.75">
      <c r="A68" s="891" t="s">
        <v>245</v>
      </c>
      <c r="B68" s="455"/>
      <c r="C68" s="455"/>
      <c r="D68" s="871">
        <f t="shared" si="3"/>
        <v>0</v>
      </c>
      <c r="E68" s="455"/>
      <c r="F68" s="455"/>
      <c r="G68" s="871">
        <f t="shared" ref="G68:G74" si="4">E68*F68</f>
        <v>0</v>
      </c>
      <c r="H68" s="455"/>
      <c r="I68" s="455"/>
      <c r="J68" s="871">
        <f t="shared" ref="J68:J74" si="5">H68*I68</f>
        <v>0</v>
      </c>
    </row>
    <row r="69" spans="1:10" ht="15.75">
      <c r="A69" s="891" t="s">
        <v>246</v>
      </c>
      <c r="B69" s="455"/>
      <c r="C69" s="455"/>
      <c r="D69" s="871">
        <f t="shared" si="3"/>
        <v>0</v>
      </c>
      <c r="E69" s="455"/>
      <c r="F69" s="455"/>
      <c r="G69" s="871">
        <f t="shared" si="4"/>
        <v>0</v>
      </c>
      <c r="H69" s="455"/>
      <c r="I69" s="455"/>
      <c r="J69" s="871">
        <f t="shared" si="5"/>
        <v>0</v>
      </c>
    </row>
    <row r="70" spans="1:10" ht="15.75">
      <c r="A70" s="891" t="s">
        <v>247</v>
      </c>
      <c r="B70" s="455"/>
      <c r="C70" s="455"/>
      <c r="D70" s="871">
        <f t="shared" si="3"/>
        <v>0</v>
      </c>
      <c r="E70" s="455"/>
      <c r="F70" s="455"/>
      <c r="G70" s="871">
        <f t="shared" si="4"/>
        <v>0</v>
      </c>
      <c r="H70" s="455"/>
      <c r="I70" s="455"/>
      <c r="J70" s="871">
        <f t="shared" si="5"/>
        <v>0</v>
      </c>
    </row>
    <row r="71" spans="1:10" ht="15.75">
      <c r="A71" s="891" t="s">
        <v>248</v>
      </c>
      <c r="B71" s="455"/>
      <c r="C71" s="455"/>
      <c r="D71" s="871">
        <f t="shared" si="3"/>
        <v>0</v>
      </c>
      <c r="E71" s="455"/>
      <c r="F71" s="455"/>
      <c r="G71" s="871">
        <f t="shared" si="4"/>
        <v>0</v>
      </c>
      <c r="H71" s="455"/>
      <c r="I71" s="455"/>
      <c r="J71" s="871">
        <f t="shared" si="5"/>
        <v>0</v>
      </c>
    </row>
    <row r="72" spans="1:10" ht="15.75">
      <c r="A72" s="891" t="s">
        <v>249</v>
      </c>
      <c r="B72" s="455"/>
      <c r="C72" s="455"/>
      <c r="D72" s="871">
        <f t="shared" si="3"/>
        <v>0</v>
      </c>
      <c r="E72" s="455"/>
      <c r="F72" s="455"/>
      <c r="G72" s="871">
        <f t="shared" si="4"/>
        <v>0</v>
      </c>
      <c r="H72" s="455"/>
      <c r="I72" s="455"/>
      <c r="J72" s="871">
        <f t="shared" si="5"/>
        <v>0</v>
      </c>
    </row>
    <row r="73" spans="1:10" ht="15.75">
      <c r="A73" s="891" t="s">
        <v>250</v>
      </c>
      <c r="B73" s="455"/>
      <c r="C73" s="455"/>
      <c r="D73" s="871">
        <f t="shared" si="3"/>
        <v>0</v>
      </c>
      <c r="E73" s="455"/>
      <c r="F73" s="455"/>
      <c r="G73" s="871">
        <f t="shared" si="4"/>
        <v>0</v>
      </c>
      <c r="H73" s="455"/>
      <c r="I73" s="455"/>
      <c r="J73" s="871">
        <f t="shared" si="5"/>
        <v>0</v>
      </c>
    </row>
    <row r="74" spans="1:10" ht="15.75">
      <c r="A74" s="891" t="s">
        <v>251</v>
      </c>
      <c r="B74" s="455"/>
      <c r="C74" s="455"/>
      <c r="D74" s="871">
        <f t="shared" si="3"/>
        <v>0</v>
      </c>
      <c r="E74" s="455"/>
      <c r="F74" s="455"/>
      <c r="G74" s="871">
        <f t="shared" si="4"/>
        <v>0</v>
      </c>
      <c r="H74" s="455"/>
      <c r="I74" s="455"/>
      <c r="J74" s="871">
        <f t="shared" si="5"/>
        <v>0</v>
      </c>
    </row>
    <row r="75" spans="1:10" ht="15.75">
      <c r="A75" s="881" t="s">
        <v>252</v>
      </c>
      <c r="B75" s="892">
        <f>SUM(B68:B74)</f>
        <v>0</v>
      </c>
      <c r="C75" s="892"/>
      <c r="D75" s="892">
        <f>SUM(D68:D74)</f>
        <v>0</v>
      </c>
      <c r="E75" s="892">
        <f>SUM(E68:E74)</f>
        <v>0</v>
      </c>
      <c r="F75" s="892"/>
      <c r="G75" s="892">
        <f>SUM(G68:G74)</f>
        <v>0</v>
      </c>
      <c r="H75" s="892">
        <f>SUM(H68:H74)</f>
        <v>0</v>
      </c>
      <c r="I75" s="892"/>
      <c r="J75" s="892">
        <f>SUM(J68:J74)</f>
        <v>0</v>
      </c>
    </row>
    <row r="76" spans="1:10" ht="15.75">
      <c r="A76" s="893"/>
      <c r="B76" s="894"/>
      <c r="C76" s="871"/>
      <c r="D76" s="871"/>
      <c r="E76" s="894"/>
      <c r="F76" s="871"/>
      <c r="G76" s="871"/>
      <c r="H76" s="894"/>
      <c r="I76" s="871"/>
      <c r="J76" s="871"/>
    </row>
    <row r="77" spans="1:10" ht="15.75">
      <c r="A77" s="895" t="s">
        <v>253</v>
      </c>
      <c r="B77" s="894"/>
      <c r="C77" s="871"/>
      <c r="D77" s="871"/>
      <c r="E77" s="894"/>
      <c r="F77" s="871"/>
      <c r="G77" s="871"/>
      <c r="H77" s="894"/>
      <c r="I77" s="871"/>
      <c r="J77" s="871"/>
    </row>
    <row r="78" spans="1:10" ht="15.75">
      <c r="A78" s="891" t="s">
        <v>254</v>
      </c>
      <c r="B78" s="455"/>
      <c r="C78" s="455"/>
      <c r="D78" s="871">
        <f t="shared" si="3"/>
        <v>0</v>
      </c>
      <c r="E78" s="455"/>
      <c r="F78" s="455"/>
      <c r="G78" s="871">
        <f>E78*F78</f>
        <v>0</v>
      </c>
      <c r="H78" s="455"/>
      <c r="I78" s="455"/>
      <c r="J78" s="871">
        <f>H78*I78</f>
        <v>0</v>
      </c>
    </row>
    <row r="79" spans="1:10" ht="15.75">
      <c r="A79" s="891" t="s">
        <v>255</v>
      </c>
      <c r="B79" s="455"/>
      <c r="C79" s="455"/>
      <c r="D79" s="871">
        <f t="shared" si="3"/>
        <v>0</v>
      </c>
      <c r="E79" s="455"/>
      <c r="F79" s="455"/>
      <c r="G79" s="871">
        <f>E79*F79</f>
        <v>0</v>
      </c>
      <c r="H79" s="455"/>
      <c r="I79" s="455"/>
      <c r="J79" s="871">
        <f>H79*I79</f>
        <v>0</v>
      </c>
    </row>
    <row r="80" spans="1:10" ht="15.75">
      <c r="A80" s="891" t="s">
        <v>256</v>
      </c>
      <c r="B80" s="455"/>
      <c r="C80" s="455"/>
      <c r="D80" s="871">
        <f t="shared" si="3"/>
        <v>0</v>
      </c>
      <c r="E80" s="455"/>
      <c r="F80" s="455"/>
      <c r="G80" s="871">
        <f>E80*F80</f>
        <v>0</v>
      </c>
      <c r="H80" s="455"/>
      <c r="I80" s="455"/>
      <c r="J80" s="871">
        <f>H80*I80</f>
        <v>0</v>
      </c>
    </row>
    <row r="81" spans="1:10" ht="15.75">
      <c r="A81" s="891" t="s">
        <v>257</v>
      </c>
      <c r="B81" s="455"/>
      <c r="C81" s="455"/>
      <c r="D81" s="871">
        <f t="shared" si="3"/>
        <v>0</v>
      </c>
      <c r="E81" s="455"/>
      <c r="F81" s="455"/>
      <c r="G81" s="871">
        <f>E81*F81</f>
        <v>0</v>
      </c>
      <c r="H81" s="455"/>
      <c r="I81" s="455"/>
      <c r="J81" s="871">
        <f>H81*I81</f>
        <v>0</v>
      </c>
    </row>
    <row r="82" spans="1:10" ht="15.75">
      <c r="A82" s="881" t="s">
        <v>329</v>
      </c>
      <c r="B82" s="892">
        <f>SUM(B78:B81)</f>
        <v>0</v>
      </c>
      <c r="C82" s="892"/>
      <c r="D82" s="892">
        <f>SUM(D78:D81)</f>
        <v>0</v>
      </c>
      <c r="E82" s="892">
        <f>SUM(E78:E81)</f>
        <v>0</v>
      </c>
      <c r="F82" s="892"/>
      <c r="G82" s="892">
        <f>SUM(G78:G81)</f>
        <v>0</v>
      </c>
      <c r="H82" s="892">
        <f>SUM(H78:H81)</f>
        <v>0</v>
      </c>
      <c r="I82" s="892"/>
      <c r="J82" s="892">
        <f>SUM(J78:J81)</f>
        <v>0</v>
      </c>
    </row>
    <row r="83" spans="1:10" ht="15.75">
      <c r="A83" s="893"/>
      <c r="B83" s="894"/>
      <c r="C83" s="871"/>
      <c r="D83" s="871"/>
      <c r="E83" s="894"/>
      <c r="F83" s="871"/>
      <c r="G83" s="871"/>
      <c r="H83" s="894"/>
      <c r="I83" s="871"/>
      <c r="J83" s="871"/>
    </row>
    <row r="84" spans="1:10" ht="15.75">
      <c r="A84" s="893" t="s">
        <v>258</v>
      </c>
      <c r="B84" s="894">
        <f>B75+B82</f>
        <v>0</v>
      </c>
      <c r="C84" s="894"/>
      <c r="D84" s="894">
        <f>D75+D82</f>
        <v>0</v>
      </c>
      <c r="E84" s="894">
        <f>E75+E82</f>
        <v>0</v>
      </c>
      <c r="F84" s="894"/>
      <c r="G84" s="894">
        <f>G75+G82</f>
        <v>0</v>
      </c>
      <c r="H84" s="894">
        <f>H75+H82</f>
        <v>0</v>
      </c>
      <c r="I84" s="894"/>
      <c r="J84" s="894">
        <f>J75+J82</f>
        <v>0</v>
      </c>
    </row>
    <row r="85" spans="1:10" ht="15.75">
      <c r="A85" s="896"/>
      <c r="B85" s="897"/>
      <c r="C85" s="897"/>
      <c r="D85" s="897"/>
      <c r="E85" s="897"/>
      <c r="F85" s="897"/>
      <c r="G85" s="897"/>
      <c r="H85" s="897"/>
      <c r="I85" s="897"/>
      <c r="J85" s="897"/>
    </row>
    <row r="86" spans="1:10" ht="15.75">
      <c r="A86" s="898"/>
      <c r="B86" s="865"/>
      <c r="C86" s="865"/>
      <c r="D86" s="865"/>
      <c r="E86" s="865"/>
      <c r="F86" s="865"/>
      <c r="G86" s="865"/>
      <c r="H86" s="865"/>
      <c r="I86" s="865"/>
      <c r="J86" s="865"/>
    </row>
    <row r="87" spans="1:10" ht="16.5">
      <c r="A87" s="899" t="s">
        <v>259</v>
      </c>
      <c r="B87" s="882">
        <f t="shared" ref="B87:J87" si="6">B84+B63+B29+B22</f>
        <v>0</v>
      </c>
      <c r="C87" s="882">
        <f t="shared" si="6"/>
        <v>0</v>
      </c>
      <c r="D87" s="882">
        <f t="shared" si="6"/>
        <v>0</v>
      </c>
      <c r="E87" s="882">
        <f>E84+E63+E29+E22</f>
        <v>0</v>
      </c>
      <c r="F87" s="882">
        <f>F84+F63+F29+F22</f>
        <v>0</v>
      </c>
      <c r="G87" s="882">
        <f t="shared" si="6"/>
        <v>0</v>
      </c>
      <c r="H87" s="882">
        <f t="shared" si="6"/>
        <v>0</v>
      </c>
      <c r="I87" s="882">
        <f t="shared" si="6"/>
        <v>0</v>
      </c>
      <c r="J87" s="882">
        <f t="shared" si="6"/>
        <v>0</v>
      </c>
    </row>
    <row r="88" spans="1:10" ht="16.5">
      <c r="A88" s="900" t="s">
        <v>272</v>
      </c>
      <c r="B88" s="901"/>
      <c r="C88" s="901"/>
      <c r="D88" s="901"/>
      <c r="E88" s="901"/>
      <c r="F88" s="901"/>
      <c r="G88" s="901"/>
      <c r="H88" s="901"/>
      <c r="I88" s="901"/>
      <c r="J88" s="901"/>
    </row>
    <row r="89" spans="1:10" ht="16.5">
      <c r="A89" s="902" t="s">
        <v>270</v>
      </c>
      <c r="B89" s="892"/>
      <c r="C89" s="892"/>
      <c r="D89" s="892" t="e">
        <f>D87/B87</f>
        <v>#DIV/0!</v>
      </c>
      <c r="E89" s="892"/>
      <c r="F89" s="892"/>
      <c r="G89" s="892" t="e">
        <f>G87/E87</f>
        <v>#DIV/0!</v>
      </c>
      <c r="H89" s="892"/>
      <c r="I89" s="892"/>
      <c r="J89" s="892" t="e">
        <f>J87/H87</f>
        <v>#DIV/0!</v>
      </c>
    </row>
    <row r="90" spans="1:10" ht="16.5">
      <c r="A90" s="902" t="s">
        <v>268</v>
      </c>
      <c r="B90" s="892"/>
      <c r="C90" s="892"/>
      <c r="D90" s="892" t="e">
        <f>(D87-D22)/(B87-B22)</f>
        <v>#DIV/0!</v>
      </c>
      <c r="E90" s="892"/>
      <c r="F90" s="892"/>
      <c r="G90" s="892" t="e">
        <f>(G87-G22)/(E87-E22)</f>
        <v>#DIV/0!</v>
      </c>
      <c r="H90" s="892"/>
      <c r="I90" s="892"/>
      <c r="J90" s="892" t="e">
        <f>(J87-J22)/(H87-H22)</f>
        <v>#DIV/0!</v>
      </c>
    </row>
    <row r="91" spans="1:10" ht="16.5">
      <c r="A91" s="902" t="s">
        <v>269</v>
      </c>
      <c r="B91" s="892"/>
      <c r="C91" s="892"/>
      <c r="D91" s="892" t="e">
        <f>(D87-D78-D68-D58-D49-D42-D34-D33-D26-D19-D15)/(B87-B78-B68-B58-B49-B42-B33-B26-B19-B15)</f>
        <v>#DIV/0!</v>
      </c>
      <c r="E91" s="892"/>
      <c r="F91" s="892"/>
      <c r="G91" s="892" t="e">
        <f>(G87-G78-G68-G58-G49-G42-G34-G33-G26-G19-G15)/(E87-E78-E68-E58-E49-E42-E33-E26-E19-E15)</f>
        <v>#DIV/0!</v>
      </c>
      <c r="H91" s="892"/>
      <c r="I91" s="892"/>
      <c r="J91" s="892" t="e">
        <f>(J87-J78-J68-J58-J49-J42-J34-J33-J26-J19-J15)/(H87-H78-H68-H58-H49-H42-H33-H26-H19-H15)</f>
        <v>#DIV/0!</v>
      </c>
    </row>
    <row r="92" spans="1:10" ht="16.5">
      <c r="A92" s="902" t="s">
        <v>393</v>
      </c>
      <c r="B92" s="892"/>
      <c r="C92" s="892"/>
      <c r="D92" s="903" t="e">
        <f>B87/'נ.בסיס לינה'!$B$11</f>
        <v>#DIV/0!</v>
      </c>
      <c r="E92" s="892"/>
      <c r="F92" s="892"/>
      <c r="G92" s="903" t="e">
        <f>E87/'נ.בסיס לינה'!$B$11</f>
        <v>#DIV/0!</v>
      </c>
      <c r="H92" s="892"/>
      <c r="I92" s="892"/>
      <c r="J92" s="903" t="e">
        <f>H87/'נ.בסיס לינה'!$B$11</f>
        <v>#DIV/0!</v>
      </c>
    </row>
    <row r="93" spans="1:10" ht="15">
      <c r="A93" s="904"/>
      <c r="B93" s="905"/>
      <c r="C93" s="905"/>
      <c r="D93" s="905"/>
      <c r="E93" s="905"/>
      <c r="F93" s="905"/>
      <c r="G93" s="905"/>
      <c r="H93" s="905"/>
      <c r="I93" s="905"/>
      <c r="J93" s="905"/>
    </row>
    <row r="94" spans="1:10" ht="19.5">
      <c r="A94" s="906" t="s">
        <v>260</v>
      </c>
      <c r="B94" s="907"/>
      <c r="C94" s="907"/>
      <c r="D94" s="907">
        <f>D87*12</f>
        <v>0</v>
      </c>
      <c r="E94" s="907"/>
      <c r="F94" s="907"/>
      <c r="G94" s="907">
        <f>G87*12</f>
        <v>0</v>
      </c>
      <c r="H94" s="907"/>
      <c r="I94" s="907"/>
      <c r="J94" s="907">
        <f>J87*12</f>
        <v>0</v>
      </c>
    </row>
    <row r="95" spans="1:10"/>
    <row r="96" spans="1:10" ht="19.5">
      <c r="A96" s="906" t="s">
        <v>271</v>
      </c>
      <c r="B96" s="908">
        <v>0.2</v>
      </c>
      <c r="C96" s="907"/>
      <c r="D96" s="907">
        <f>D94*(1+B96)</f>
        <v>0</v>
      </c>
      <c r="E96" s="908">
        <v>0.2</v>
      </c>
      <c r="F96" s="907"/>
      <c r="G96" s="907">
        <f>G94*(1+E96)</f>
        <v>0</v>
      </c>
      <c r="H96" s="908">
        <v>0.2</v>
      </c>
      <c r="I96" s="907"/>
      <c r="J96" s="907">
        <f>J94*(1+H96)</f>
        <v>0</v>
      </c>
    </row>
    <row r="97"/>
    <row r="98"/>
    <row r="164"/>
    <row r="165"/>
    <row r="166"/>
    <row r="167"/>
    <row r="168"/>
    <row r="169"/>
    <row r="170"/>
    <row r="171"/>
    <row r="172"/>
    <row r="173"/>
    <row r="174"/>
    <row r="175"/>
    <row r="176"/>
    <row r="177"/>
  </sheetData>
  <sheetProtection algorithmName="SHA-512" hashValue="YHr9ck+m9ag2nbbMcbIgnNwS/FU8sh21ykDKoevKHQw8orf7gY+h4XFg27FxzWuudIxZHBSxmrE9QHI4CH8j6A==" saltValue="LMdK5OFe4CGA9FERSbjgvg==" spinCount="100000" sheet="1" objects="1" scenarios="1" selectLockedCells="1"/>
  <mergeCells count="6">
    <mergeCell ref="A2:I2"/>
    <mergeCell ref="A3:I3"/>
    <mergeCell ref="A4:I4"/>
    <mergeCell ref="B12:D12"/>
    <mergeCell ref="E12:G12"/>
    <mergeCell ref="H12:J12"/>
  </mergeCells>
  <printOptions horizontalCentered="1"/>
  <pageMargins left="0" right="0" top="0.74803149606299213" bottom="0.74803149606299213" header="0.31496062992125984" footer="0.31496062992125984"/>
  <pageSetup scale="90" orientation="landscape" r:id="rId1"/>
  <headerFooter>
    <oddHeader xml:space="preserve">&amp;C&amp;"-,מודגש"&amp;14&amp;Eתוכנה לסקר כלכלי
טבלאות כח אדם
</oddHeader>
    <oddFooter>&amp;L&amp;F&amp;C&amp;D</oddFooter>
  </headerFooter>
  <rowBreaks count="2" manualBreakCount="2">
    <brk id="29" max="16383" man="1"/>
    <brk id="6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גיליון12"/>
  <dimension ref="A1:I32"/>
  <sheetViews>
    <sheetView showGridLines="0" rightToLeft="1" zoomScaleNormal="100" zoomScaleSheetLayoutView="100" workbookViewId="0">
      <selection activeCell="B12" sqref="B12"/>
    </sheetView>
  </sheetViews>
  <sheetFormatPr defaultColWidth="0" defaultRowHeight="14.25" zeroHeight="1"/>
  <cols>
    <col min="1" max="1" width="23.125" customWidth="1"/>
    <col min="2" max="2" width="12.375" bestFit="1" customWidth="1"/>
    <col min="3" max="3" width="10.875" bestFit="1" customWidth="1"/>
    <col min="4" max="4" width="11.75" bestFit="1" customWidth="1"/>
    <col min="5" max="5" width="13.25" customWidth="1"/>
    <col min="6" max="6" width="9.875" bestFit="1" customWidth="1"/>
    <col min="7" max="7" width="14" bestFit="1" customWidth="1"/>
    <col min="8" max="8" width="10.875" bestFit="1" customWidth="1"/>
    <col min="9" max="9" width="12.25" hidden="1" customWidth="1"/>
    <col min="10" max="16384" width="9" hidden="1"/>
  </cols>
  <sheetData>
    <row r="1" spans="1:8" ht="15.75">
      <c r="A1" s="950" t="s">
        <v>193</v>
      </c>
      <c r="B1" s="951" t="s">
        <v>510</v>
      </c>
    </row>
    <row r="2" spans="1:8" ht="15.75" customHeight="1">
      <c r="A2" s="952" t="s">
        <v>194</v>
      </c>
      <c r="B2" s="953">
        <f>C15</f>
        <v>0</v>
      </c>
    </row>
    <row r="3" spans="1:8" ht="15.75" customHeight="1">
      <c r="A3" s="952" t="s">
        <v>195</v>
      </c>
      <c r="B3" s="953">
        <f>C23</f>
        <v>0</v>
      </c>
    </row>
    <row r="4" spans="1:8" ht="15.75" customHeight="1">
      <c r="A4" s="952" t="s">
        <v>196</v>
      </c>
      <c r="B4" s="953">
        <f>C28</f>
        <v>0</v>
      </c>
    </row>
    <row r="5" spans="1:8" ht="15.75" customHeight="1">
      <c r="A5" s="952" t="s">
        <v>197</v>
      </c>
      <c r="B5" s="953">
        <f>H14</f>
        <v>0</v>
      </c>
    </row>
    <row r="6" spans="1:8" ht="15.75" customHeight="1">
      <c r="A6" s="952" t="s">
        <v>198</v>
      </c>
      <c r="B6" s="953">
        <f>H19</f>
        <v>0</v>
      </c>
    </row>
    <row r="7" spans="1:8" ht="15.75" customHeight="1">
      <c r="A7" s="952" t="s">
        <v>200</v>
      </c>
      <c r="B7" s="953">
        <f>G27</f>
        <v>0</v>
      </c>
    </row>
    <row r="8" spans="1:8" ht="16.5" thickBot="1">
      <c r="A8" s="954" t="s">
        <v>201</v>
      </c>
      <c r="B8" s="955">
        <f>SUM(B2:B7)</f>
        <v>0</v>
      </c>
    </row>
    <row r="9" spans="1:8" ht="15" thickTop="1"/>
    <row r="10" spans="1:8"/>
    <row r="11" spans="1:8" ht="15">
      <c r="A11" s="183" t="s">
        <v>194</v>
      </c>
      <c r="B11" s="183" t="s">
        <v>290</v>
      </c>
      <c r="C11" t="s">
        <v>291</v>
      </c>
      <c r="E11" s="183" t="s">
        <v>197</v>
      </c>
      <c r="F11" s="183" t="s">
        <v>294</v>
      </c>
      <c r="G11" t="s">
        <v>295</v>
      </c>
      <c r="H11" t="s">
        <v>293</v>
      </c>
    </row>
    <row r="12" spans="1:8" ht="15">
      <c r="A12" t="s">
        <v>285</v>
      </c>
      <c r="B12" s="441"/>
      <c r="C12" s="194">
        <f>B12*12</f>
        <v>0</v>
      </c>
      <c r="E12" s="183" t="s">
        <v>296</v>
      </c>
      <c r="F12" s="442"/>
      <c r="G12" s="194">
        <f>'נתוני הקמה'!B24</f>
        <v>0</v>
      </c>
      <c r="H12" s="194">
        <f>F12*G12</f>
        <v>0</v>
      </c>
    </row>
    <row r="13" spans="1:8">
      <c r="A13" t="s">
        <v>286</v>
      </c>
      <c r="B13" s="441"/>
      <c r="C13" s="194">
        <f>B13*12</f>
        <v>0</v>
      </c>
      <c r="E13" s="336" t="s">
        <v>297</v>
      </c>
      <c r="F13" s="181"/>
      <c r="G13" s="194"/>
      <c r="H13" s="441"/>
    </row>
    <row r="14" spans="1:8" ht="15" thickBot="1">
      <c r="A14" t="s">
        <v>287</v>
      </c>
      <c r="B14" s="441"/>
      <c r="C14" s="194">
        <f>B14*12</f>
        <v>0</v>
      </c>
      <c r="E14" s="182" t="s">
        <v>280</v>
      </c>
      <c r="F14" s="195">
        <f>SUBTOTAL(109,F13:F13)</f>
        <v>0</v>
      </c>
      <c r="G14" s="195">
        <f>SUBTOTAL(109,G13:G13)</f>
        <v>0</v>
      </c>
      <c r="H14" s="195">
        <f>SUBTOTAL(109,H12:H13)</f>
        <v>0</v>
      </c>
    </row>
    <row r="15" spans="1:8" ht="15.75" thickTop="1" thickBot="1">
      <c r="A15" s="182" t="s">
        <v>280</v>
      </c>
      <c r="B15" s="195">
        <f>SUBTOTAL(109,B12:B14)</f>
        <v>0</v>
      </c>
      <c r="C15" s="195">
        <f>SUBTOTAL(109,C12:C14)</f>
        <v>0</v>
      </c>
    </row>
    <row r="16" spans="1:8" ht="15.75" thickTop="1">
      <c r="E16" s="183" t="s">
        <v>198</v>
      </c>
      <c r="F16" s="183" t="s">
        <v>298</v>
      </c>
      <c r="G16" t="s">
        <v>299</v>
      </c>
      <c r="H16" t="s">
        <v>293</v>
      </c>
    </row>
    <row r="17" spans="1:8" ht="15">
      <c r="A17" s="183" t="s">
        <v>195</v>
      </c>
      <c r="B17" s="183" t="s">
        <v>290</v>
      </c>
      <c r="C17" t="s">
        <v>291</v>
      </c>
      <c r="E17" s="183" t="s">
        <v>105</v>
      </c>
      <c r="F17" s="109">
        <f>'נתוני הקמה'!B5</f>
        <v>0</v>
      </c>
      <c r="G17" s="441"/>
      <c r="H17" s="194">
        <f>F17*G17</f>
        <v>0</v>
      </c>
    </row>
    <row r="18" spans="1:8">
      <c r="A18" t="s">
        <v>288</v>
      </c>
      <c r="B18" s="441"/>
      <c r="C18" s="194">
        <f>B18*12</f>
        <v>0</v>
      </c>
      <c r="F18" s="181"/>
      <c r="G18" s="194"/>
      <c r="H18" s="194"/>
    </row>
    <row r="19" spans="1:8" ht="15" thickBot="1">
      <c r="A19" t="s">
        <v>289</v>
      </c>
      <c r="B19" s="441"/>
      <c r="C19" s="194">
        <f>B19*12</f>
        <v>0</v>
      </c>
      <c r="E19" s="182" t="s">
        <v>280</v>
      </c>
      <c r="F19" s="195">
        <f>SUBTOTAL(109,F18:F18)</f>
        <v>0</v>
      </c>
      <c r="G19" s="195">
        <f>SUBTOTAL(109,G18:G18)</f>
        <v>0</v>
      </c>
      <c r="H19" s="195">
        <f>SUBTOTAL(109,H17:H18)</f>
        <v>0</v>
      </c>
    </row>
    <row r="20" spans="1:8" ht="15" thickTop="1">
      <c r="A20" t="s">
        <v>292</v>
      </c>
      <c r="B20" s="441"/>
      <c r="C20" s="194">
        <f>B20*12</f>
        <v>0</v>
      </c>
    </row>
    <row r="21" spans="1:8">
      <c r="A21" t="s">
        <v>327</v>
      </c>
      <c r="B21" s="441"/>
      <c r="C21" s="194">
        <f>B21*12</f>
        <v>0</v>
      </c>
    </row>
    <row r="22" spans="1:8" ht="15">
      <c r="A22" t="s">
        <v>287</v>
      </c>
      <c r="B22" s="441"/>
      <c r="C22" s="194">
        <f>B22*12</f>
        <v>0</v>
      </c>
      <c r="E22" s="183" t="s">
        <v>200</v>
      </c>
      <c r="F22" s="183" t="s">
        <v>290</v>
      </c>
      <c r="G22" t="s">
        <v>291</v>
      </c>
    </row>
    <row r="23" spans="1:8" ht="15" thickBot="1">
      <c r="A23" s="182" t="s">
        <v>280</v>
      </c>
      <c r="B23" s="195">
        <f>SUBTOTAL(109,B18:B22)</f>
        <v>0</v>
      </c>
      <c r="C23" s="195">
        <f>SUBTOTAL(109,C18:C22)</f>
        <v>0</v>
      </c>
      <c r="E23" t="s">
        <v>301</v>
      </c>
      <c r="F23" s="441"/>
      <c r="G23" s="194">
        <f>F23*12</f>
        <v>0</v>
      </c>
    </row>
    <row r="24" spans="1:8" ht="15" thickTop="1">
      <c r="E24" t="s">
        <v>302</v>
      </c>
      <c r="F24" s="441"/>
      <c r="G24" s="194">
        <f>F24*12</f>
        <v>0</v>
      </c>
    </row>
    <row r="25" spans="1:8" ht="15">
      <c r="A25" s="183" t="s">
        <v>421</v>
      </c>
      <c r="B25" s="183" t="s">
        <v>290</v>
      </c>
      <c r="C25" t="s">
        <v>291</v>
      </c>
      <c r="E25" t="s">
        <v>303</v>
      </c>
      <c r="F25" s="441"/>
      <c r="G25" s="194">
        <f>F25*12</f>
        <v>0</v>
      </c>
    </row>
    <row r="26" spans="1:8">
      <c r="A26" s="410"/>
      <c r="B26" s="441"/>
      <c r="C26" s="194">
        <f>B26*12</f>
        <v>0</v>
      </c>
      <c r="E26" t="s">
        <v>279</v>
      </c>
      <c r="F26" s="441"/>
      <c r="G26" s="194">
        <f>F26*12</f>
        <v>0</v>
      </c>
    </row>
    <row r="27" spans="1:8" ht="15" thickBot="1">
      <c r="A27" s="410"/>
      <c r="B27" s="441"/>
      <c r="C27" s="194">
        <f>B27*12</f>
        <v>0</v>
      </c>
      <c r="E27" s="182" t="s">
        <v>280</v>
      </c>
      <c r="F27" s="195">
        <f>SUBTOTAL(109,F23:F26)</f>
        <v>0</v>
      </c>
      <c r="G27" s="195">
        <f>SUBTOTAL(109,G23:G26)</f>
        <v>0</v>
      </c>
    </row>
    <row r="28" spans="1:8" ht="15.75" thickTop="1" thickBot="1">
      <c r="A28" s="182" t="s">
        <v>280</v>
      </c>
      <c r="B28" s="195">
        <f>SUBTOTAL(109,B26:B27)</f>
        <v>0</v>
      </c>
      <c r="C28" s="195">
        <f>SUBTOTAL(109,C26:C27)</f>
        <v>0</v>
      </c>
    </row>
    <row r="29" spans="1:8" ht="15" thickTop="1"/>
    <row r="30" spans="1:8"/>
    <row r="31" spans="1:8"/>
    <row r="32" spans="1:8">
      <c r="H32">
        <f>IF(AND(B2&gt;0,B3&gt;0,B4&gt;0,B5&gt;0,B6&gt;0,B7&gt;0),1,0)</f>
        <v>0</v>
      </c>
    </row>
  </sheetData>
  <sheetProtection algorithmName="SHA-512" hashValue="k7sudA+e7RM8xhOgzxGPUiES5vNx6yq87aHxWfjsP0Gb6bo20vcBWxNzMmKxzqrVfQywrtR7To0+uLONcTsSjQ==" saltValue="RpvCf6VJaCDLDN5fpoGCrA==" spinCount="100000" sheet="1" objects="1" scenarios="1" selectLockedCells="1"/>
  <printOptions horizontalCentered="1"/>
  <pageMargins left="0.70866141732283472" right="0.70866141732283472" top="0.74803149606299213" bottom="0.74803149606299213" header="0.31496062992125984" footer="0.31496062992125984"/>
  <pageSetup scale="96" orientation="landscape" r:id="rId1"/>
  <headerFooter>
    <oddHeader xml:space="preserve">&amp;C&amp;"-,מודגש"&amp;14&amp;Eתוכנה לסקר כלכלי
נתוני הוצאות קבועות
</oddHeader>
  </headerFooter>
  <rowBreaks count="1" manualBreakCount="1">
    <brk id="30" max="16383" man="1"/>
  </rowBreaks>
  <drawing r:id="rId2"/>
  <tableParts count="7">
    <tablePart r:id="rId3"/>
    <tablePart r:id="rId4"/>
    <tablePart r:id="rId5"/>
    <tablePart r:id="rId6"/>
    <tablePart r:id="rId7"/>
    <tablePart r:id="rId8"/>
    <tablePart r:id="rId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גיליון13"/>
  <dimension ref="A1:AA64"/>
  <sheetViews>
    <sheetView showGridLines="0" rightToLeft="1" zoomScale="80" zoomScaleNormal="80" workbookViewId="0">
      <pane xSplit="2" ySplit="1" topLeftCell="C2" activePane="bottomRight" state="frozen"/>
      <selection pane="topRight" activeCell="C1" sqref="C1"/>
      <selection pane="bottomLeft" activeCell="A2" sqref="A2"/>
      <selection pane="bottomRight" activeCell="A55" sqref="A55:XFD61"/>
    </sheetView>
  </sheetViews>
  <sheetFormatPr defaultColWidth="4.625" defaultRowHeight="14.25" zeroHeight="1"/>
  <cols>
    <col min="1" max="1" width="22" bestFit="1" customWidth="1"/>
    <col min="2" max="2" width="5.375" bestFit="1" customWidth="1"/>
    <col min="3" max="27" width="12.25" bestFit="1" customWidth="1"/>
  </cols>
  <sheetData>
    <row r="1" spans="1:27">
      <c r="C1">
        <f>'נתוני חברה'!B15</f>
        <v>0</v>
      </c>
      <c r="D1">
        <f>C1+1</f>
        <v>1</v>
      </c>
      <c r="E1">
        <f t="shared" ref="E1:AA1" si="0">D1+1</f>
        <v>2</v>
      </c>
      <c r="F1">
        <f t="shared" si="0"/>
        <v>3</v>
      </c>
      <c r="G1">
        <f t="shared" si="0"/>
        <v>4</v>
      </c>
      <c r="H1">
        <f t="shared" si="0"/>
        <v>5</v>
      </c>
      <c r="I1">
        <f t="shared" si="0"/>
        <v>6</v>
      </c>
      <c r="J1">
        <f t="shared" si="0"/>
        <v>7</v>
      </c>
      <c r="K1">
        <f t="shared" si="0"/>
        <v>8</v>
      </c>
      <c r="L1">
        <f t="shared" si="0"/>
        <v>9</v>
      </c>
      <c r="M1">
        <f t="shared" si="0"/>
        <v>10</v>
      </c>
      <c r="N1">
        <f t="shared" si="0"/>
        <v>11</v>
      </c>
      <c r="O1">
        <f t="shared" si="0"/>
        <v>12</v>
      </c>
      <c r="P1">
        <f t="shared" si="0"/>
        <v>13</v>
      </c>
      <c r="Q1">
        <f t="shared" si="0"/>
        <v>14</v>
      </c>
      <c r="R1">
        <f t="shared" si="0"/>
        <v>15</v>
      </c>
      <c r="S1">
        <f t="shared" si="0"/>
        <v>16</v>
      </c>
      <c r="T1">
        <f t="shared" si="0"/>
        <v>17</v>
      </c>
      <c r="U1">
        <f t="shared" si="0"/>
        <v>18</v>
      </c>
      <c r="V1">
        <f t="shared" si="0"/>
        <v>19</v>
      </c>
      <c r="W1">
        <f t="shared" si="0"/>
        <v>20</v>
      </c>
      <c r="X1">
        <f t="shared" si="0"/>
        <v>21</v>
      </c>
      <c r="Y1">
        <f t="shared" si="0"/>
        <v>22</v>
      </c>
      <c r="Z1">
        <f t="shared" si="0"/>
        <v>23</v>
      </c>
      <c r="AA1">
        <f t="shared" si="0"/>
        <v>24</v>
      </c>
    </row>
    <row r="2" spans="1:27" ht="15">
      <c r="A2" s="183" t="s">
        <v>136</v>
      </c>
      <c r="B2" s="183"/>
    </row>
    <row r="3" spans="1:27">
      <c r="A3" t="s">
        <v>135</v>
      </c>
      <c r="C3" s="104" t="e">
        <f>'הכנסות לינה'!E18</f>
        <v>#N/A</v>
      </c>
      <c r="D3" s="104" t="e">
        <f>'הכנסות לינה'!G18</f>
        <v>#N/A</v>
      </c>
      <c r="E3" s="104" t="e">
        <f>'הכנסות לינה'!I18</f>
        <v>#N/A</v>
      </c>
      <c r="F3" s="104" t="e">
        <f t="shared" ref="F3:F9" si="1">E3</f>
        <v>#N/A</v>
      </c>
      <c r="G3" s="104" t="e">
        <f t="shared" ref="G3:AA3" si="2">F3</f>
        <v>#N/A</v>
      </c>
      <c r="H3" s="104" t="e">
        <f t="shared" si="2"/>
        <v>#N/A</v>
      </c>
      <c r="I3" s="104" t="e">
        <f t="shared" si="2"/>
        <v>#N/A</v>
      </c>
      <c r="J3" s="104" t="e">
        <f t="shared" si="2"/>
        <v>#N/A</v>
      </c>
      <c r="K3" s="104" t="e">
        <f t="shared" si="2"/>
        <v>#N/A</v>
      </c>
      <c r="L3" s="104" t="e">
        <f t="shared" si="2"/>
        <v>#N/A</v>
      </c>
      <c r="M3" s="104" t="e">
        <f t="shared" si="2"/>
        <v>#N/A</v>
      </c>
      <c r="N3" s="104" t="e">
        <f t="shared" si="2"/>
        <v>#N/A</v>
      </c>
      <c r="O3" s="104" t="e">
        <f t="shared" si="2"/>
        <v>#N/A</v>
      </c>
      <c r="P3" s="104" t="e">
        <f t="shared" si="2"/>
        <v>#N/A</v>
      </c>
      <c r="Q3" s="104" t="e">
        <f t="shared" si="2"/>
        <v>#N/A</v>
      </c>
      <c r="R3" s="104" t="e">
        <f t="shared" si="2"/>
        <v>#N/A</v>
      </c>
      <c r="S3" s="104" t="e">
        <f t="shared" si="2"/>
        <v>#N/A</v>
      </c>
      <c r="T3" s="104" t="e">
        <f t="shared" si="2"/>
        <v>#N/A</v>
      </c>
      <c r="U3" s="104" t="e">
        <f t="shared" si="2"/>
        <v>#N/A</v>
      </c>
      <c r="V3" s="104" t="e">
        <f t="shared" si="2"/>
        <v>#N/A</v>
      </c>
      <c r="W3" s="104" t="e">
        <f t="shared" si="2"/>
        <v>#N/A</v>
      </c>
      <c r="X3" s="104" t="e">
        <f t="shared" si="2"/>
        <v>#N/A</v>
      </c>
      <c r="Y3" s="104" t="e">
        <f t="shared" si="2"/>
        <v>#N/A</v>
      </c>
      <c r="Z3" s="104" t="e">
        <f t="shared" si="2"/>
        <v>#N/A</v>
      </c>
      <c r="AA3" s="104" t="e">
        <f t="shared" si="2"/>
        <v>#N/A</v>
      </c>
    </row>
    <row r="4" spans="1:27">
      <c r="A4" t="s">
        <v>304</v>
      </c>
      <c r="C4" s="104" t="e">
        <f>'מזון ומשקאות'!D33</f>
        <v>#N/A</v>
      </c>
      <c r="D4" s="104" t="e">
        <f>'מזון ומשקאות'!E33</f>
        <v>#N/A</v>
      </c>
      <c r="E4" s="104" t="e">
        <f>'מזון ומשקאות'!F33</f>
        <v>#N/A</v>
      </c>
      <c r="F4" s="104" t="e">
        <f t="shared" si="1"/>
        <v>#N/A</v>
      </c>
      <c r="G4" s="104" t="e">
        <f t="shared" ref="G4:AA4" si="3">F4</f>
        <v>#N/A</v>
      </c>
      <c r="H4" s="104" t="e">
        <f t="shared" si="3"/>
        <v>#N/A</v>
      </c>
      <c r="I4" s="104" t="e">
        <f t="shared" si="3"/>
        <v>#N/A</v>
      </c>
      <c r="J4" s="104" t="e">
        <f t="shared" si="3"/>
        <v>#N/A</v>
      </c>
      <c r="K4" s="104" t="e">
        <f t="shared" si="3"/>
        <v>#N/A</v>
      </c>
      <c r="L4" s="104" t="e">
        <f t="shared" si="3"/>
        <v>#N/A</v>
      </c>
      <c r="M4" s="104" t="e">
        <f t="shared" si="3"/>
        <v>#N/A</v>
      </c>
      <c r="N4" s="104" t="e">
        <f t="shared" si="3"/>
        <v>#N/A</v>
      </c>
      <c r="O4" s="104" t="e">
        <f t="shared" si="3"/>
        <v>#N/A</v>
      </c>
      <c r="P4" s="104" t="e">
        <f t="shared" si="3"/>
        <v>#N/A</v>
      </c>
      <c r="Q4" s="104" t="e">
        <f t="shared" si="3"/>
        <v>#N/A</v>
      </c>
      <c r="R4" s="104" t="e">
        <f t="shared" si="3"/>
        <v>#N/A</v>
      </c>
      <c r="S4" s="104" t="e">
        <f t="shared" si="3"/>
        <v>#N/A</v>
      </c>
      <c r="T4" s="104" t="e">
        <f t="shared" si="3"/>
        <v>#N/A</v>
      </c>
      <c r="U4" s="104" t="e">
        <f t="shared" si="3"/>
        <v>#N/A</v>
      </c>
      <c r="V4" s="104" t="e">
        <f t="shared" si="3"/>
        <v>#N/A</v>
      </c>
      <c r="W4" s="104" t="e">
        <f t="shared" si="3"/>
        <v>#N/A</v>
      </c>
      <c r="X4" s="104" t="e">
        <f t="shared" si="3"/>
        <v>#N/A</v>
      </c>
      <c r="Y4" s="104" t="e">
        <f t="shared" si="3"/>
        <v>#N/A</v>
      </c>
      <c r="Z4" s="104" t="e">
        <f t="shared" si="3"/>
        <v>#N/A</v>
      </c>
      <c r="AA4" s="104" t="e">
        <f t="shared" si="3"/>
        <v>#N/A</v>
      </c>
    </row>
    <row r="5" spans="1:27">
      <c r="A5" t="s">
        <v>306</v>
      </c>
      <c r="C5" s="104" t="e">
        <f>'הכנסות נוספות'!E6</f>
        <v>#N/A</v>
      </c>
      <c r="D5" s="104" t="e">
        <f>C5</f>
        <v>#N/A</v>
      </c>
      <c r="E5" s="104" t="e">
        <f>D5</f>
        <v>#N/A</v>
      </c>
      <c r="F5" s="104" t="e">
        <f t="shared" si="1"/>
        <v>#N/A</v>
      </c>
      <c r="G5" s="104" t="e">
        <f t="shared" ref="G5:AA5" si="4">F5</f>
        <v>#N/A</v>
      </c>
      <c r="H5" s="104" t="e">
        <f t="shared" si="4"/>
        <v>#N/A</v>
      </c>
      <c r="I5" s="104" t="e">
        <f t="shared" si="4"/>
        <v>#N/A</v>
      </c>
      <c r="J5" s="104" t="e">
        <f t="shared" si="4"/>
        <v>#N/A</v>
      </c>
      <c r="K5" s="104" t="e">
        <f t="shared" si="4"/>
        <v>#N/A</v>
      </c>
      <c r="L5" s="104" t="e">
        <f t="shared" si="4"/>
        <v>#N/A</v>
      </c>
      <c r="M5" s="104" t="e">
        <f t="shared" si="4"/>
        <v>#N/A</v>
      </c>
      <c r="N5" s="104" t="e">
        <f t="shared" si="4"/>
        <v>#N/A</v>
      </c>
      <c r="O5" s="104" t="e">
        <f t="shared" si="4"/>
        <v>#N/A</v>
      </c>
      <c r="P5" s="104" t="e">
        <f t="shared" si="4"/>
        <v>#N/A</v>
      </c>
      <c r="Q5" s="104" t="e">
        <f t="shared" si="4"/>
        <v>#N/A</v>
      </c>
      <c r="R5" s="104" t="e">
        <f t="shared" si="4"/>
        <v>#N/A</v>
      </c>
      <c r="S5" s="104" t="e">
        <f t="shared" si="4"/>
        <v>#N/A</v>
      </c>
      <c r="T5" s="104" t="e">
        <f t="shared" si="4"/>
        <v>#N/A</v>
      </c>
      <c r="U5" s="104" t="e">
        <f t="shared" si="4"/>
        <v>#N/A</v>
      </c>
      <c r="V5" s="104" t="e">
        <f t="shared" si="4"/>
        <v>#N/A</v>
      </c>
      <c r="W5" s="104" t="e">
        <f t="shared" si="4"/>
        <v>#N/A</v>
      </c>
      <c r="X5" s="104" t="e">
        <f t="shared" si="4"/>
        <v>#N/A</v>
      </c>
      <c r="Y5" s="104" t="e">
        <f t="shared" si="4"/>
        <v>#N/A</v>
      </c>
      <c r="Z5" s="104" t="e">
        <f t="shared" si="4"/>
        <v>#N/A</v>
      </c>
      <c r="AA5" s="104" t="e">
        <f t="shared" si="4"/>
        <v>#N/A</v>
      </c>
    </row>
    <row r="6" spans="1:27">
      <c r="A6" s="179" t="s">
        <v>157</v>
      </c>
      <c r="B6" s="179"/>
      <c r="C6" s="104" t="e">
        <f>'הכנסות נוספות'!B13</f>
        <v>#DIV/0!</v>
      </c>
      <c r="D6" s="104" t="e">
        <f>'הכנסות נוספות'!C13</f>
        <v>#DIV/0!</v>
      </c>
      <c r="E6" s="104" t="e">
        <f>'הכנסות נוספות'!D13</f>
        <v>#DIV/0!</v>
      </c>
      <c r="F6" s="180" t="e">
        <f t="shared" si="1"/>
        <v>#DIV/0!</v>
      </c>
      <c r="G6" s="180" t="e">
        <f t="shared" ref="G6:AA6" si="5">F6</f>
        <v>#DIV/0!</v>
      </c>
      <c r="H6" s="180" t="e">
        <f t="shared" si="5"/>
        <v>#DIV/0!</v>
      </c>
      <c r="I6" s="180" t="e">
        <f t="shared" si="5"/>
        <v>#DIV/0!</v>
      </c>
      <c r="J6" s="180" t="e">
        <f t="shared" si="5"/>
        <v>#DIV/0!</v>
      </c>
      <c r="K6" s="180" t="e">
        <f t="shared" si="5"/>
        <v>#DIV/0!</v>
      </c>
      <c r="L6" s="180" t="e">
        <f t="shared" si="5"/>
        <v>#DIV/0!</v>
      </c>
      <c r="M6" s="180" t="e">
        <f t="shared" si="5"/>
        <v>#DIV/0!</v>
      </c>
      <c r="N6" s="180" t="e">
        <f t="shared" si="5"/>
        <v>#DIV/0!</v>
      </c>
      <c r="O6" s="180" t="e">
        <f t="shared" si="5"/>
        <v>#DIV/0!</v>
      </c>
      <c r="P6" s="180" t="e">
        <f t="shared" si="5"/>
        <v>#DIV/0!</v>
      </c>
      <c r="Q6" s="180" t="e">
        <f t="shared" si="5"/>
        <v>#DIV/0!</v>
      </c>
      <c r="R6" s="180" t="e">
        <f t="shared" si="5"/>
        <v>#DIV/0!</v>
      </c>
      <c r="S6" s="180" t="e">
        <f t="shared" si="5"/>
        <v>#DIV/0!</v>
      </c>
      <c r="T6" s="180" t="e">
        <f t="shared" si="5"/>
        <v>#DIV/0!</v>
      </c>
      <c r="U6" s="180" t="e">
        <f t="shared" si="5"/>
        <v>#DIV/0!</v>
      </c>
      <c r="V6" s="180" t="e">
        <f t="shared" si="5"/>
        <v>#DIV/0!</v>
      </c>
      <c r="W6" s="180" t="e">
        <f t="shared" si="5"/>
        <v>#DIV/0!</v>
      </c>
      <c r="X6" s="180" t="e">
        <f t="shared" si="5"/>
        <v>#DIV/0!</v>
      </c>
      <c r="Y6" s="180" t="e">
        <f t="shared" si="5"/>
        <v>#DIV/0!</v>
      </c>
      <c r="Z6" s="180" t="e">
        <f t="shared" si="5"/>
        <v>#DIV/0!</v>
      </c>
      <c r="AA6" s="180" t="e">
        <f t="shared" si="5"/>
        <v>#DIV/0!</v>
      </c>
    </row>
    <row r="7" spans="1:27">
      <c r="A7" s="179" t="s">
        <v>169</v>
      </c>
      <c r="B7" s="179"/>
      <c r="C7" s="104">
        <f>'הכנסות נוספות'!B20</f>
        <v>0</v>
      </c>
      <c r="D7" s="104">
        <f>'הכנסות נוספות'!C20</f>
        <v>0</v>
      </c>
      <c r="E7" s="104">
        <f>'הכנסות נוספות'!D20</f>
        <v>0</v>
      </c>
      <c r="F7" s="180">
        <f t="shared" si="1"/>
        <v>0</v>
      </c>
      <c r="G7" s="180">
        <f t="shared" ref="G7:AA7" si="6">F7</f>
        <v>0</v>
      </c>
      <c r="H7" s="180">
        <f t="shared" si="6"/>
        <v>0</v>
      </c>
      <c r="I7" s="180">
        <f t="shared" si="6"/>
        <v>0</v>
      </c>
      <c r="J7" s="180">
        <f t="shared" si="6"/>
        <v>0</v>
      </c>
      <c r="K7" s="180">
        <f t="shared" si="6"/>
        <v>0</v>
      </c>
      <c r="L7" s="180">
        <f t="shared" si="6"/>
        <v>0</v>
      </c>
      <c r="M7" s="180">
        <f t="shared" si="6"/>
        <v>0</v>
      </c>
      <c r="N7" s="180">
        <f t="shared" si="6"/>
        <v>0</v>
      </c>
      <c r="O7" s="180">
        <f t="shared" si="6"/>
        <v>0</v>
      </c>
      <c r="P7" s="180">
        <f t="shared" si="6"/>
        <v>0</v>
      </c>
      <c r="Q7" s="180">
        <f t="shared" si="6"/>
        <v>0</v>
      </c>
      <c r="R7" s="180">
        <f t="shared" si="6"/>
        <v>0</v>
      </c>
      <c r="S7" s="180">
        <f t="shared" si="6"/>
        <v>0</v>
      </c>
      <c r="T7" s="180">
        <f t="shared" si="6"/>
        <v>0</v>
      </c>
      <c r="U7" s="180">
        <f t="shared" si="6"/>
        <v>0</v>
      </c>
      <c r="V7" s="180">
        <f t="shared" si="6"/>
        <v>0</v>
      </c>
      <c r="W7" s="180">
        <f t="shared" si="6"/>
        <v>0</v>
      </c>
      <c r="X7" s="180">
        <f t="shared" si="6"/>
        <v>0</v>
      </c>
      <c r="Y7" s="180">
        <f t="shared" si="6"/>
        <v>0</v>
      </c>
      <c r="Z7" s="180">
        <f t="shared" si="6"/>
        <v>0</v>
      </c>
      <c r="AA7" s="180">
        <f t="shared" si="6"/>
        <v>0</v>
      </c>
    </row>
    <row r="8" spans="1:27">
      <c r="A8" t="s">
        <v>305</v>
      </c>
      <c r="C8" s="104">
        <f>'הכנסות נוספות'!E26</f>
        <v>0</v>
      </c>
      <c r="D8" s="104">
        <f>C8</f>
        <v>0</v>
      </c>
      <c r="E8" s="104">
        <f>D8</f>
        <v>0</v>
      </c>
      <c r="F8" s="180">
        <f t="shared" si="1"/>
        <v>0</v>
      </c>
      <c r="G8" s="180">
        <f t="shared" ref="G8:AA8" si="7">F8</f>
        <v>0</v>
      </c>
      <c r="H8" s="180">
        <f t="shared" si="7"/>
        <v>0</v>
      </c>
      <c r="I8" s="180">
        <f t="shared" si="7"/>
        <v>0</v>
      </c>
      <c r="J8" s="180">
        <f t="shared" si="7"/>
        <v>0</v>
      </c>
      <c r="K8" s="180">
        <f t="shared" si="7"/>
        <v>0</v>
      </c>
      <c r="L8" s="180">
        <f t="shared" si="7"/>
        <v>0</v>
      </c>
      <c r="M8" s="180">
        <f t="shared" si="7"/>
        <v>0</v>
      </c>
      <c r="N8" s="180">
        <f t="shared" si="7"/>
        <v>0</v>
      </c>
      <c r="O8" s="180">
        <f t="shared" si="7"/>
        <v>0</v>
      </c>
      <c r="P8" s="180">
        <f t="shared" si="7"/>
        <v>0</v>
      </c>
      <c r="Q8" s="180">
        <f t="shared" si="7"/>
        <v>0</v>
      </c>
      <c r="R8" s="180">
        <f t="shared" si="7"/>
        <v>0</v>
      </c>
      <c r="S8" s="180">
        <f t="shared" si="7"/>
        <v>0</v>
      </c>
      <c r="T8" s="180">
        <f t="shared" si="7"/>
        <v>0</v>
      </c>
      <c r="U8" s="180">
        <f t="shared" si="7"/>
        <v>0</v>
      </c>
      <c r="V8" s="180">
        <f t="shared" si="7"/>
        <v>0</v>
      </c>
      <c r="W8" s="180">
        <f t="shared" si="7"/>
        <v>0</v>
      </c>
      <c r="X8" s="180">
        <f t="shared" si="7"/>
        <v>0</v>
      </c>
      <c r="Y8" s="180">
        <f t="shared" si="7"/>
        <v>0</v>
      </c>
      <c r="Z8" s="180">
        <f t="shared" si="7"/>
        <v>0</v>
      </c>
      <c r="AA8" s="180">
        <f t="shared" si="7"/>
        <v>0</v>
      </c>
    </row>
    <row r="9" spans="1:27">
      <c r="A9" t="s">
        <v>300</v>
      </c>
      <c r="C9" s="104">
        <f>'הכנסות נוספות'!B34</f>
        <v>0</v>
      </c>
      <c r="D9" s="104">
        <f>C9</f>
        <v>0</v>
      </c>
      <c r="E9" s="104">
        <f>D9</f>
        <v>0</v>
      </c>
      <c r="F9" s="180">
        <f t="shared" si="1"/>
        <v>0</v>
      </c>
      <c r="G9" s="180">
        <f t="shared" ref="G9:AA9" si="8">F9</f>
        <v>0</v>
      </c>
      <c r="H9" s="180">
        <f t="shared" si="8"/>
        <v>0</v>
      </c>
      <c r="I9" s="180">
        <f t="shared" si="8"/>
        <v>0</v>
      </c>
      <c r="J9" s="180">
        <f t="shared" si="8"/>
        <v>0</v>
      </c>
      <c r="K9" s="180">
        <f t="shared" si="8"/>
        <v>0</v>
      </c>
      <c r="L9" s="180">
        <f t="shared" si="8"/>
        <v>0</v>
      </c>
      <c r="M9" s="180">
        <f t="shared" si="8"/>
        <v>0</v>
      </c>
      <c r="N9" s="180">
        <f t="shared" si="8"/>
        <v>0</v>
      </c>
      <c r="O9" s="180">
        <f t="shared" si="8"/>
        <v>0</v>
      </c>
      <c r="P9" s="180">
        <f t="shared" si="8"/>
        <v>0</v>
      </c>
      <c r="Q9" s="180">
        <f t="shared" si="8"/>
        <v>0</v>
      </c>
      <c r="R9" s="180">
        <f t="shared" si="8"/>
        <v>0</v>
      </c>
      <c r="S9" s="180">
        <f t="shared" si="8"/>
        <v>0</v>
      </c>
      <c r="T9" s="180">
        <f t="shared" si="8"/>
        <v>0</v>
      </c>
      <c r="U9" s="180">
        <f t="shared" si="8"/>
        <v>0</v>
      </c>
      <c r="V9" s="180">
        <f t="shared" si="8"/>
        <v>0</v>
      </c>
      <c r="W9" s="180">
        <f t="shared" si="8"/>
        <v>0</v>
      </c>
      <c r="X9" s="180">
        <f t="shared" si="8"/>
        <v>0</v>
      </c>
      <c r="Y9" s="180">
        <f t="shared" si="8"/>
        <v>0</v>
      </c>
      <c r="Z9" s="180">
        <f t="shared" si="8"/>
        <v>0</v>
      </c>
      <c r="AA9" s="180">
        <f t="shared" si="8"/>
        <v>0</v>
      </c>
    </row>
    <row r="10" spans="1:27" ht="15.75" thickBot="1">
      <c r="A10" s="197" t="s">
        <v>307</v>
      </c>
      <c r="B10" s="197"/>
      <c r="C10" s="198" t="e">
        <f>SUM(C3:C9)</f>
        <v>#N/A</v>
      </c>
      <c r="D10" s="198" t="e">
        <f t="shared" ref="D10:AA10" si="9">SUM(D3:D9)</f>
        <v>#N/A</v>
      </c>
      <c r="E10" s="198" t="e">
        <f t="shared" si="9"/>
        <v>#N/A</v>
      </c>
      <c r="F10" s="198" t="e">
        <f t="shared" si="9"/>
        <v>#N/A</v>
      </c>
      <c r="G10" s="198" t="e">
        <f t="shared" si="9"/>
        <v>#N/A</v>
      </c>
      <c r="H10" s="198" t="e">
        <f t="shared" si="9"/>
        <v>#N/A</v>
      </c>
      <c r="I10" s="198" t="e">
        <f t="shared" si="9"/>
        <v>#N/A</v>
      </c>
      <c r="J10" s="198" t="e">
        <f t="shared" si="9"/>
        <v>#N/A</v>
      </c>
      <c r="K10" s="198" t="e">
        <f t="shared" si="9"/>
        <v>#N/A</v>
      </c>
      <c r="L10" s="198" t="e">
        <f t="shared" si="9"/>
        <v>#N/A</v>
      </c>
      <c r="M10" s="198" t="e">
        <f t="shared" si="9"/>
        <v>#N/A</v>
      </c>
      <c r="N10" s="198" t="e">
        <f t="shared" si="9"/>
        <v>#N/A</v>
      </c>
      <c r="O10" s="198" t="e">
        <f t="shared" si="9"/>
        <v>#N/A</v>
      </c>
      <c r="P10" s="198" t="e">
        <f t="shared" si="9"/>
        <v>#N/A</v>
      </c>
      <c r="Q10" s="198" t="e">
        <f t="shared" si="9"/>
        <v>#N/A</v>
      </c>
      <c r="R10" s="198" t="e">
        <f t="shared" si="9"/>
        <v>#N/A</v>
      </c>
      <c r="S10" s="198" t="e">
        <f t="shared" si="9"/>
        <v>#N/A</v>
      </c>
      <c r="T10" s="198" t="e">
        <f t="shared" si="9"/>
        <v>#N/A</v>
      </c>
      <c r="U10" s="198" t="e">
        <f t="shared" si="9"/>
        <v>#N/A</v>
      </c>
      <c r="V10" s="198" t="e">
        <f t="shared" si="9"/>
        <v>#N/A</v>
      </c>
      <c r="W10" s="198" t="e">
        <f t="shared" si="9"/>
        <v>#N/A</v>
      </c>
      <c r="X10" s="198" t="e">
        <f t="shared" si="9"/>
        <v>#N/A</v>
      </c>
      <c r="Y10" s="198" t="e">
        <f t="shared" si="9"/>
        <v>#N/A</v>
      </c>
      <c r="Z10" s="198" t="e">
        <f t="shared" si="9"/>
        <v>#N/A</v>
      </c>
      <c r="AA10" s="198" t="e">
        <f t="shared" si="9"/>
        <v>#N/A</v>
      </c>
    </row>
    <row r="11" spans="1:27" ht="15.75" thickTop="1">
      <c r="A11" s="1" t="s">
        <v>309</v>
      </c>
      <c r="B11" s="1"/>
    </row>
    <row r="12" spans="1:27" ht="15.75">
      <c r="A12" s="199" t="s">
        <v>308</v>
      </c>
      <c r="B12" s="420" t="e">
        <f>+HLOOKUP(הוצאות!$C$14,הוצאות!$D$1:$G$12,3)</f>
        <v>#N/A</v>
      </c>
      <c r="C12" s="104" t="e">
        <f>$B$12*רגישות!$C$7*'רווח והפסד'!C3</f>
        <v>#N/A</v>
      </c>
      <c r="D12" s="104" t="e">
        <f>$B$12*רגישות!$C$7*'רווח והפסד'!D3</f>
        <v>#N/A</v>
      </c>
      <c r="E12" s="104" t="e">
        <f>$B$12*רגישות!$C$7*'רווח והפסד'!E3</f>
        <v>#N/A</v>
      </c>
      <c r="F12" s="104" t="e">
        <f>$B$12*רגישות!$C$7*'רווח והפסד'!F3</f>
        <v>#N/A</v>
      </c>
      <c r="G12" s="104" t="e">
        <f>$B$12*רגישות!$C$7*'רווח והפסד'!G3</f>
        <v>#N/A</v>
      </c>
      <c r="H12" s="104" t="e">
        <f>$B$12*רגישות!$C$7*'רווח והפסד'!H3</f>
        <v>#N/A</v>
      </c>
      <c r="I12" s="104" t="e">
        <f>$B$12*רגישות!$C$7*'רווח והפסד'!I3</f>
        <v>#N/A</v>
      </c>
      <c r="J12" s="104" t="e">
        <f>$B$12*רגישות!$C$7*'רווח והפסד'!J3</f>
        <v>#N/A</v>
      </c>
      <c r="K12" s="104" t="e">
        <f>$B$12*רגישות!$C$7*'רווח והפסד'!K3</f>
        <v>#N/A</v>
      </c>
      <c r="L12" s="104" t="e">
        <f>$B$12*רגישות!$C$7*'רווח והפסד'!L3</f>
        <v>#N/A</v>
      </c>
      <c r="M12" s="104" t="e">
        <f>$B$12*רגישות!$C$7*'רווח והפסד'!M3</f>
        <v>#N/A</v>
      </c>
      <c r="N12" s="104" t="e">
        <f>$B$12*רגישות!$C$7*'רווח והפסד'!N3</f>
        <v>#N/A</v>
      </c>
      <c r="O12" s="104" t="e">
        <f>$B$12*רגישות!$C$7*'רווח והפסד'!O3</f>
        <v>#N/A</v>
      </c>
      <c r="P12" s="104" t="e">
        <f>$B$12*רגישות!$C$7*'רווח והפסד'!P3</f>
        <v>#N/A</v>
      </c>
      <c r="Q12" s="104" t="e">
        <f>$B$12*רגישות!$C$7*'רווח והפסד'!Q3</f>
        <v>#N/A</v>
      </c>
      <c r="R12" s="104" t="e">
        <f>$B$12*רגישות!$C$7*'רווח והפסד'!R3</f>
        <v>#N/A</v>
      </c>
      <c r="S12" s="104" t="e">
        <f>$B$12*רגישות!$C$7*'רווח והפסד'!S3</f>
        <v>#N/A</v>
      </c>
      <c r="T12" s="104" t="e">
        <f>$B$12*רגישות!$C$7*'רווח והפסד'!T3</f>
        <v>#N/A</v>
      </c>
      <c r="U12" s="104" t="e">
        <f>$B$12*רגישות!$C$7*'רווח והפסד'!U3</f>
        <v>#N/A</v>
      </c>
      <c r="V12" s="104" t="e">
        <f>$B$12*רגישות!$C$7*'רווח והפסד'!V3</f>
        <v>#N/A</v>
      </c>
      <c r="W12" s="104" t="e">
        <f>$B$12*רגישות!$C$7*'רווח והפסד'!W3</f>
        <v>#N/A</v>
      </c>
      <c r="X12" s="104" t="e">
        <f>$B$12*רגישות!$C$7*'רווח והפסד'!X3</f>
        <v>#N/A</v>
      </c>
      <c r="Y12" s="104" t="e">
        <f>$B$12*רגישות!$C$7*'רווח והפסד'!Y3</f>
        <v>#N/A</v>
      </c>
      <c r="Z12" s="104" t="e">
        <f>$B$12*רגישות!$C$7*'רווח והפסד'!Z3</f>
        <v>#N/A</v>
      </c>
      <c r="AA12" s="104" t="e">
        <f>$B$12*רגישות!$C$7*'רווח והפסד'!AA3</f>
        <v>#N/A</v>
      </c>
    </row>
    <row r="13" spans="1:27" ht="15.75">
      <c r="A13" s="199" t="s">
        <v>188</v>
      </c>
      <c r="B13" s="420" t="e">
        <f>+HLOOKUP(הוצאות!$C$14,הוצאות!$D$1:$G$12,4)</f>
        <v>#N/A</v>
      </c>
      <c r="C13" s="180" t="e">
        <f>$B$13*C9*רגישות!$C$7</f>
        <v>#N/A</v>
      </c>
      <c r="D13" s="180" t="e">
        <f>$B$13*D9*רגישות!$C$7</f>
        <v>#N/A</v>
      </c>
      <c r="E13" s="180" t="e">
        <f>$B$13*E9*רגישות!$C$7</f>
        <v>#N/A</v>
      </c>
      <c r="F13" s="180" t="e">
        <f>$B$13*F9*רגישות!$C$7</f>
        <v>#N/A</v>
      </c>
      <c r="G13" s="180" t="e">
        <f>$B$13*G9*רגישות!$C$7</f>
        <v>#N/A</v>
      </c>
      <c r="H13" s="180" t="e">
        <f>$B$13*H9*רגישות!$C$7</f>
        <v>#N/A</v>
      </c>
      <c r="I13" s="180" t="e">
        <f>$B$13*I9*רגישות!$C$7</f>
        <v>#N/A</v>
      </c>
      <c r="J13" s="180" t="e">
        <f>$B$13*J9*רגישות!$C$7</f>
        <v>#N/A</v>
      </c>
      <c r="K13" s="180" t="e">
        <f>$B$13*K9*רגישות!$C$7</f>
        <v>#N/A</v>
      </c>
      <c r="L13" s="180" t="e">
        <f>$B$13*L9*רגישות!$C$7</f>
        <v>#N/A</v>
      </c>
      <c r="M13" s="180" t="e">
        <f>$B$13*M9*רגישות!$C$7</f>
        <v>#N/A</v>
      </c>
      <c r="N13" s="180" t="e">
        <f>$B$13*N9*רגישות!$C$7</f>
        <v>#N/A</v>
      </c>
      <c r="O13" s="180" t="e">
        <f>$B$13*O9*רגישות!$C$7</f>
        <v>#N/A</v>
      </c>
      <c r="P13" s="180" t="e">
        <f>$B$13*P9*רגישות!$C$7</f>
        <v>#N/A</v>
      </c>
      <c r="Q13" s="180" t="e">
        <f>$B$13*Q9*רגישות!$C$7</f>
        <v>#N/A</v>
      </c>
      <c r="R13" s="180" t="e">
        <f>$B$13*R9*רגישות!$C$7</f>
        <v>#N/A</v>
      </c>
      <c r="S13" s="180" t="e">
        <f>$B$13*S9*רגישות!$C$7</f>
        <v>#N/A</v>
      </c>
      <c r="T13" s="180" t="e">
        <f>$B$13*T9*רגישות!$C$7</f>
        <v>#N/A</v>
      </c>
      <c r="U13" s="180" t="e">
        <f>$B$13*U9*רגישות!$C$7</f>
        <v>#N/A</v>
      </c>
      <c r="V13" s="180" t="e">
        <f>$B$13*V9*רגישות!$C$7</f>
        <v>#N/A</v>
      </c>
      <c r="W13" s="180" t="e">
        <f>$B$13*W9*רגישות!$C$7</f>
        <v>#N/A</v>
      </c>
      <c r="X13" s="180" t="e">
        <f>$B$13*X9*רגישות!$C$7</f>
        <v>#N/A</v>
      </c>
      <c r="Y13" s="180" t="e">
        <f>$B$13*Y9*רגישות!$C$7</f>
        <v>#N/A</v>
      </c>
      <c r="Z13" s="180" t="e">
        <f>$B$13*Z9*רגישות!$C$7</f>
        <v>#N/A</v>
      </c>
      <c r="AA13" s="180" t="e">
        <f>$B$13*AA9*רגישות!$C$7</f>
        <v>#N/A</v>
      </c>
    </row>
    <row r="14" spans="1:27" ht="15.75">
      <c r="A14" s="199" t="s">
        <v>304</v>
      </c>
      <c r="B14" s="420" t="e">
        <f>+HLOOKUP(הוצאות!$C$14,הוצאות!$D$1:$G$12,5)</f>
        <v>#N/A</v>
      </c>
      <c r="C14" s="104" t="e">
        <f>$B$14*(C5+C4+C7)*רגישות!$C$7</f>
        <v>#N/A</v>
      </c>
      <c r="D14" s="104" t="e">
        <f>$B$14*(D5+D4+D7)*רגישות!$C$7</f>
        <v>#N/A</v>
      </c>
      <c r="E14" s="104" t="e">
        <f>$B$14*(E5+E4+E7)*רגישות!$C$7</f>
        <v>#N/A</v>
      </c>
      <c r="F14" s="104" t="e">
        <f>$B$14*(F5+F4+F7)*רגישות!$C$7</f>
        <v>#N/A</v>
      </c>
      <c r="G14" s="104" t="e">
        <f>$B$14*(G5+G4+G7)*רגישות!$C$7</f>
        <v>#N/A</v>
      </c>
      <c r="H14" s="104" t="e">
        <f>$B$14*(H5+H4+H7)*רגישות!$C$7</f>
        <v>#N/A</v>
      </c>
      <c r="I14" s="104" t="e">
        <f>$B$14*(I5+I4+I7)*רגישות!$C$7</f>
        <v>#N/A</v>
      </c>
      <c r="J14" s="104" t="e">
        <f>$B$14*(J5+J4+J7)*רגישות!$C$7</f>
        <v>#N/A</v>
      </c>
      <c r="K14" s="104" t="e">
        <f>$B$14*(K5+K4+K7)*רגישות!$C$7</f>
        <v>#N/A</v>
      </c>
      <c r="L14" s="104" t="e">
        <f>$B$14*(L5+L4+L7)*רגישות!$C$7</f>
        <v>#N/A</v>
      </c>
      <c r="M14" s="104" t="e">
        <f>$B$14*(M5+M4+M7)*רגישות!$C$7</f>
        <v>#N/A</v>
      </c>
      <c r="N14" s="104" t="e">
        <f>$B$14*(N5+N4+N7)*רגישות!$C$7</f>
        <v>#N/A</v>
      </c>
      <c r="O14" s="104" t="e">
        <f>$B$14*(O5+O4+O7)*רגישות!$C$7</f>
        <v>#N/A</v>
      </c>
      <c r="P14" s="104" t="e">
        <f>$B$14*(P5+P4+P7)*רגישות!$C$7</f>
        <v>#N/A</v>
      </c>
      <c r="Q14" s="104" t="e">
        <f>$B$14*(Q5+Q4+Q7)*רגישות!$C$7</f>
        <v>#N/A</v>
      </c>
      <c r="R14" s="104" t="e">
        <f>$B$14*(R5+R4+R7)*רגישות!$C$7</f>
        <v>#N/A</v>
      </c>
      <c r="S14" s="104" t="e">
        <f>$B$14*(S5+S4+S7)*רגישות!$C$7</f>
        <v>#N/A</v>
      </c>
      <c r="T14" s="104" t="e">
        <f>$B$14*(T5+T4+T7)*רגישות!$C$7</f>
        <v>#N/A</v>
      </c>
      <c r="U14" s="104" t="e">
        <f>$B$14*(U5+U4+U7)*רגישות!$C$7</f>
        <v>#N/A</v>
      </c>
      <c r="V14" s="104" t="e">
        <f>$B$14*(V5+V4+V7)*רגישות!$C$7</f>
        <v>#N/A</v>
      </c>
      <c r="W14" s="104" t="e">
        <f>$B$14*(W5+W4+W7)*רגישות!$C$7</f>
        <v>#N/A</v>
      </c>
      <c r="X14" s="104" t="e">
        <f>$B$14*(X5+X4+X7)*רגישות!$C$7</f>
        <v>#N/A</v>
      </c>
      <c r="Y14" s="104" t="e">
        <f>$B$14*(Y5+Y4+Y7)*רגישות!$C$7</f>
        <v>#N/A</v>
      </c>
      <c r="Z14" s="104" t="e">
        <f>$B$14*(Z5+Z4+Z7)*רגישות!$C$7</f>
        <v>#N/A</v>
      </c>
      <c r="AA14" s="104" t="e">
        <f>$B$14*(AA5+AA4+AA7)*רגישות!$C$7</f>
        <v>#N/A</v>
      </c>
    </row>
    <row r="15" spans="1:27" ht="15.75">
      <c r="A15" s="199" t="s">
        <v>355</v>
      </c>
      <c r="B15" s="420" t="e">
        <f>+HLOOKUP(הוצאות!$C$14,הוצאות!$D$1:$G$12,6)</f>
        <v>#N/A</v>
      </c>
      <c r="C15" s="180" t="e">
        <f>$B$15*C10*רגישות!$C$7</f>
        <v>#N/A</v>
      </c>
      <c r="D15" s="180" t="e">
        <f>$B$15*D10*רגישות!$C$7</f>
        <v>#N/A</v>
      </c>
      <c r="E15" s="180" t="e">
        <f>$B$15*E10*רגישות!$C$7</f>
        <v>#N/A</v>
      </c>
      <c r="F15" s="180" t="e">
        <f>$B$15*F10*רגישות!$C$7</f>
        <v>#N/A</v>
      </c>
      <c r="G15" s="180" t="e">
        <f>$B$15*G10*רגישות!$C$7</f>
        <v>#N/A</v>
      </c>
      <c r="H15" s="180" t="e">
        <f>$B$15*H10*רגישות!$C$7</f>
        <v>#N/A</v>
      </c>
      <c r="I15" s="180" t="e">
        <f>$B$15*I10*רגישות!$C$7</f>
        <v>#N/A</v>
      </c>
      <c r="J15" s="180" t="e">
        <f>$B$15*J10*רגישות!$C$7</f>
        <v>#N/A</v>
      </c>
      <c r="K15" s="180" t="e">
        <f>$B$15*K10*רגישות!$C$7</f>
        <v>#N/A</v>
      </c>
      <c r="L15" s="180" t="e">
        <f>$B$15*L10*רגישות!$C$7</f>
        <v>#N/A</v>
      </c>
      <c r="M15" s="180" t="e">
        <f>$B$15*M10*רגישות!$C$7</f>
        <v>#N/A</v>
      </c>
      <c r="N15" s="180" t="e">
        <f>$B$15*N10*רגישות!$C$7</f>
        <v>#N/A</v>
      </c>
      <c r="O15" s="180" t="e">
        <f>$B$15*O10*רגישות!$C$7</f>
        <v>#N/A</v>
      </c>
      <c r="P15" s="180" t="e">
        <f>$B$15*P10*רגישות!$C$7</f>
        <v>#N/A</v>
      </c>
      <c r="Q15" s="180" t="e">
        <f>$B$15*Q10*רגישות!$C$7</f>
        <v>#N/A</v>
      </c>
      <c r="R15" s="180" t="e">
        <f>$B$15*R10*רגישות!$C$7</f>
        <v>#N/A</v>
      </c>
      <c r="S15" s="180" t="e">
        <f>$B$15*S10*רגישות!$C$7</f>
        <v>#N/A</v>
      </c>
      <c r="T15" s="180" t="e">
        <f>$B$15*T10*רגישות!$C$7</f>
        <v>#N/A</v>
      </c>
      <c r="U15" s="180" t="e">
        <f>$B$15*U10*רגישות!$C$7</f>
        <v>#N/A</v>
      </c>
      <c r="V15" s="180" t="e">
        <f>$B$15*V10*רגישות!$C$7</f>
        <v>#N/A</v>
      </c>
      <c r="W15" s="180" t="e">
        <f>$B$15*W10*רגישות!$C$7</f>
        <v>#N/A</v>
      </c>
      <c r="X15" s="180" t="e">
        <f>$B$15*X10*רגישות!$C$7</f>
        <v>#N/A</v>
      </c>
      <c r="Y15" s="180" t="e">
        <f>$B$15*Y10*רגישות!$C$7</f>
        <v>#N/A</v>
      </c>
      <c r="Z15" s="180" t="e">
        <f>$B$15*Z10*רגישות!$C$7</f>
        <v>#N/A</v>
      </c>
      <c r="AA15" s="180" t="e">
        <f>$B$15*AA10*רגישות!$C$7</f>
        <v>#N/A</v>
      </c>
    </row>
    <row r="16" spans="1:27" ht="15.75">
      <c r="A16" s="201" t="s">
        <v>192</v>
      </c>
      <c r="B16" s="201"/>
      <c r="C16" s="104">
        <f>'כח אדם'!D96</f>
        <v>0</v>
      </c>
      <c r="D16" s="180">
        <f>'כח אדם'!G96</f>
        <v>0</v>
      </c>
      <c r="E16" s="180">
        <f>'כח אדם'!J96</f>
        <v>0</v>
      </c>
      <c r="F16" s="180">
        <f t="shared" ref="F16:AA16" si="10">E16</f>
        <v>0</v>
      </c>
      <c r="G16" s="180">
        <f t="shared" si="10"/>
        <v>0</v>
      </c>
      <c r="H16" s="180">
        <f t="shared" si="10"/>
        <v>0</v>
      </c>
      <c r="I16" s="180">
        <f t="shared" si="10"/>
        <v>0</v>
      </c>
      <c r="J16" s="180">
        <f t="shared" si="10"/>
        <v>0</v>
      </c>
      <c r="K16" s="180">
        <f t="shared" si="10"/>
        <v>0</v>
      </c>
      <c r="L16" s="180">
        <f t="shared" si="10"/>
        <v>0</v>
      </c>
      <c r="M16" s="180">
        <f t="shared" si="10"/>
        <v>0</v>
      </c>
      <c r="N16" s="180">
        <f t="shared" si="10"/>
        <v>0</v>
      </c>
      <c r="O16" s="180">
        <f t="shared" si="10"/>
        <v>0</v>
      </c>
      <c r="P16" s="180">
        <f t="shared" si="10"/>
        <v>0</v>
      </c>
      <c r="Q16" s="180">
        <f t="shared" si="10"/>
        <v>0</v>
      </c>
      <c r="R16" s="180">
        <f t="shared" si="10"/>
        <v>0</v>
      </c>
      <c r="S16" s="180">
        <f t="shared" si="10"/>
        <v>0</v>
      </c>
      <c r="T16" s="180">
        <f t="shared" si="10"/>
        <v>0</v>
      </c>
      <c r="U16" s="180">
        <f t="shared" si="10"/>
        <v>0</v>
      </c>
      <c r="V16" s="180">
        <f t="shared" si="10"/>
        <v>0</v>
      </c>
      <c r="W16" s="180">
        <f t="shared" si="10"/>
        <v>0</v>
      </c>
      <c r="X16" s="180">
        <f t="shared" si="10"/>
        <v>0</v>
      </c>
      <c r="Y16" s="180">
        <f t="shared" si="10"/>
        <v>0</v>
      </c>
      <c r="Z16" s="180">
        <f t="shared" si="10"/>
        <v>0</v>
      </c>
      <c r="AA16" s="180">
        <f t="shared" si="10"/>
        <v>0</v>
      </c>
    </row>
    <row r="17" spans="1:27" ht="15.75">
      <c r="A17" s="202" t="s">
        <v>311</v>
      </c>
      <c r="B17" s="202"/>
      <c r="C17" s="203" t="e">
        <f>SUM(C12:C16)</f>
        <v>#N/A</v>
      </c>
      <c r="D17" s="203" t="e">
        <f t="shared" ref="D17:AA17" si="11">SUM(D12:D16)</f>
        <v>#N/A</v>
      </c>
      <c r="E17" s="203" t="e">
        <f t="shared" si="11"/>
        <v>#N/A</v>
      </c>
      <c r="F17" s="203" t="e">
        <f t="shared" si="11"/>
        <v>#N/A</v>
      </c>
      <c r="G17" s="203" t="e">
        <f t="shared" si="11"/>
        <v>#N/A</v>
      </c>
      <c r="H17" s="203" t="e">
        <f t="shared" si="11"/>
        <v>#N/A</v>
      </c>
      <c r="I17" s="203" t="e">
        <f t="shared" si="11"/>
        <v>#N/A</v>
      </c>
      <c r="J17" s="203" t="e">
        <f t="shared" si="11"/>
        <v>#N/A</v>
      </c>
      <c r="K17" s="203" t="e">
        <f t="shared" si="11"/>
        <v>#N/A</v>
      </c>
      <c r="L17" s="203" t="e">
        <f t="shared" si="11"/>
        <v>#N/A</v>
      </c>
      <c r="M17" s="203" t="e">
        <f t="shared" si="11"/>
        <v>#N/A</v>
      </c>
      <c r="N17" s="203" t="e">
        <f t="shared" si="11"/>
        <v>#N/A</v>
      </c>
      <c r="O17" s="203" t="e">
        <f t="shared" si="11"/>
        <v>#N/A</v>
      </c>
      <c r="P17" s="203" t="e">
        <f t="shared" si="11"/>
        <v>#N/A</v>
      </c>
      <c r="Q17" s="203" t="e">
        <f t="shared" si="11"/>
        <v>#N/A</v>
      </c>
      <c r="R17" s="203" t="e">
        <f t="shared" si="11"/>
        <v>#N/A</v>
      </c>
      <c r="S17" s="203" t="e">
        <f t="shared" si="11"/>
        <v>#N/A</v>
      </c>
      <c r="T17" s="203" t="e">
        <f t="shared" si="11"/>
        <v>#N/A</v>
      </c>
      <c r="U17" s="203" t="e">
        <f t="shared" si="11"/>
        <v>#N/A</v>
      </c>
      <c r="V17" s="203" t="e">
        <f t="shared" si="11"/>
        <v>#N/A</v>
      </c>
      <c r="W17" s="203" t="e">
        <f t="shared" si="11"/>
        <v>#N/A</v>
      </c>
      <c r="X17" s="203" t="e">
        <f t="shared" si="11"/>
        <v>#N/A</v>
      </c>
      <c r="Y17" s="203" t="e">
        <f t="shared" si="11"/>
        <v>#N/A</v>
      </c>
      <c r="Z17" s="203" t="e">
        <f t="shared" si="11"/>
        <v>#N/A</v>
      </c>
      <c r="AA17" s="203" t="e">
        <f t="shared" si="11"/>
        <v>#N/A</v>
      </c>
    </row>
    <row r="18" spans="1:27">
      <c r="C18" s="209" t="e">
        <f t="shared" ref="C18:AA18" si="12">C17/C10</f>
        <v>#N/A</v>
      </c>
      <c r="D18" s="209" t="e">
        <f t="shared" si="12"/>
        <v>#N/A</v>
      </c>
      <c r="E18" s="209" t="e">
        <f t="shared" si="12"/>
        <v>#N/A</v>
      </c>
      <c r="F18" s="209" t="e">
        <f t="shared" si="12"/>
        <v>#N/A</v>
      </c>
      <c r="G18" s="209" t="e">
        <f t="shared" si="12"/>
        <v>#N/A</v>
      </c>
      <c r="H18" s="209" t="e">
        <f t="shared" si="12"/>
        <v>#N/A</v>
      </c>
      <c r="I18" s="209" t="e">
        <f t="shared" si="12"/>
        <v>#N/A</v>
      </c>
      <c r="J18" s="209" t="e">
        <f t="shared" si="12"/>
        <v>#N/A</v>
      </c>
      <c r="K18" s="209" t="e">
        <f t="shared" si="12"/>
        <v>#N/A</v>
      </c>
      <c r="L18" s="209" t="e">
        <f t="shared" si="12"/>
        <v>#N/A</v>
      </c>
      <c r="M18" s="209" t="e">
        <f t="shared" si="12"/>
        <v>#N/A</v>
      </c>
      <c r="N18" s="209" t="e">
        <f t="shared" si="12"/>
        <v>#N/A</v>
      </c>
      <c r="O18" s="209" t="e">
        <f t="shared" si="12"/>
        <v>#N/A</v>
      </c>
      <c r="P18" s="209" t="e">
        <f t="shared" si="12"/>
        <v>#N/A</v>
      </c>
      <c r="Q18" s="209" t="e">
        <f t="shared" si="12"/>
        <v>#N/A</v>
      </c>
      <c r="R18" s="209" t="e">
        <f t="shared" si="12"/>
        <v>#N/A</v>
      </c>
      <c r="S18" s="209" t="e">
        <f t="shared" si="12"/>
        <v>#N/A</v>
      </c>
      <c r="T18" s="209" t="e">
        <f t="shared" si="12"/>
        <v>#N/A</v>
      </c>
      <c r="U18" s="209" t="e">
        <f t="shared" si="12"/>
        <v>#N/A</v>
      </c>
      <c r="V18" s="209" t="e">
        <f t="shared" si="12"/>
        <v>#N/A</v>
      </c>
      <c r="W18" s="209" t="e">
        <f t="shared" si="12"/>
        <v>#N/A</v>
      </c>
      <c r="X18" s="209" t="e">
        <f t="shared" si="12"/>
        <v>#N/A</v>
      </c>
      <c r="Y18" s="209" t="e">
        <f t="shared" si="12"/>
        <v>#N/A</v>
      </c>
      <c r="Z18" s="209" t="e">
        <f t="shared" si="12"/>
        <v>#N/A</v>
      </c>
      <c r="AA18" s="209" t="e">
        <f t="shared" si="12"/>
        <v>#N/A</v>
      </c>
    </row>
    <row r="19" spans="1:27" ht="15.75">
      <c r="A19" s="200" t="s">
        <v>193</v>
      </c>
    </row>
    <row r="20" spans="1:27" ht="15.75">
      <c r="A20" s="199" t="s">
        <v>194</v>
      </c>
      <c r="C20" s="104">
        <f>קבועות!B2*רגישות!$C$8</f>
        <v>0</v>
      </c>
      <c r="D20" s="180">
        <f t="shared" ref="D20:D27" si="13">C20</f>
        <v>0</v>
      </c>
      <c r="E20" s="180">
        <f t="shared" ref="E20:AA27" si="14">D20</f>
        <v>0</v>
      </c>
      <c r="F20" s="180">
        <f t="shared" si="14"/>
        <v>0</v>
      </c>
      <c r="G20" s="180">
        <f t="shared" si="14"/>
        <v>0</v>
      </c>
      <c r="H20" s="180">
        <f t="shared" si="14"/>
        <v>0</v>
      </c>
      <c r="I20" s="180">
        <f t="shared" si="14"/>
        <v>0</v>
      </c>
      <c r="J20" s="180">
        <f t="shared" si="14"/>
        <v>0</v>
      </c>
      <c r="K20" s="180">
        <f t="shared" si="14"/>
        <v>0</v>
      </c>
      <c r="L20" s="180">
        <f t="shared" si="14"/>
        <v>0</v>
      </c>
      <c r="M20" s="180">
        <f t="shared" si="14"/>
        <v>0</v>
      </c>
      <c r="N20" s="180">
        <f t="shared" si="14"/>
        <v>0</v>
      </c>
      <c r="O20" s="180">
        <f t="shared" si="14"/>
        <v>0</v>
      </c>
      <c r="P20" s="180">
        <f t="shared" si="14"/>
        <v>0</v>
      </c>
      <c r="Q20" s="180">
        <f t="shared" si="14"/>
        <v>0</v>
      </c>
      <c r="R20" s="180">
        <f t="shared" si="14"/>
        <v>0</v>
      </c>
      <c r="S20" s="180">
        <f t="shared" si="14"/>
        <v>0</v>
      </c>
      <c r="T20" s="180">
        <f t="shared" si="14"/>
        <v>0</v>
      </c>
      <c r="U20" s="180">
        <f t="shared" si="14"/>
        <v>0</v>
      </c>
      <c r="V20" s="180">
        <f t="shared" si="14"/>
        <v>0</v>
      </c>
      <c r="W20" s="180">
        <f t="shared" si="14"/>
        <v>0</v>
      </c>
      <c r="X20" s="180">
        <f t="shared" si="14"/>
        <v>0</v>
      </c>
      <c r="Y20" s="180">
        <f t="shared" si="14"/>
        <v>0</v>
      </c>
      <c r="Z20" s="180">
        <f t="shared" si="14"/>
        <v>0</v>
      </c>
      <c r="AA20" s="180">
        <f t="shared" si="14"/>
        <v>0</v>
      </c>
    </row>
    <row r="21" spans="1:27" ht="15.75">
      <c r="A21" s="199" t="s">
        <v>195</v>
      </c>
      <c r="C21" s="104">
        <f>קבועות!B3*רגישות!$C$8</f>
        <v>0</v>
      </c>
      <c r="D21" s="180">
        <f t="shared" si="13"/>
        <v>0</v>
      </c>
      <c r="E21" s="180">
        <f t="shared" ref="E21:S21" si="15">D21</f>
        <v>0</v>
      </c>
      <c r="F21" s="180">
        <f t="shared" si="15"/>
        <v>0</v>
      </c>
      <c r="G21" s="180">
        <f t="shared" si="15"/>
        <v>0</v>
      </c>
      <c r="H21" s="180">
        <f t="shared" si="15"/>
        <v>0</v>
      </c>
      <c r="I21" s="180">
        <f t="shared" si="15"/>
        <v>0</v>
      </c>
      <c r="J21" s="180">
        <f t="shared" si="15"/>
        <v>0</v>
      </c>
      <c r="K21" s="180">
        <f t="shared" si="15"/>
        <v>0</v>
      </c>
      <c r="L21" s="180">
        <f t="shared" si="15"/>
        <v>0</v>
      </c>
      <c r="M21" s="180">
        <f t="shared" si="15"/>
        <v>0</v>
      </c>
      <c r="N21" s="180">
        <f t="shared" si="15"/>
        <v>0</v>
      </c>
      <c r="O21" s="180">
        <f t="shared" si="15"/>
        <v>0</v>
      </c>
      <c r="P21" s="180">
        <f t="shared" si="15"/>
        <v>0</v>
      </c>
      <c r="Q21" s="180">
        <f t="shared" si="15"/>
        <v>0</v>
      </c>
      <c r="R21" s="180">
        <f t="shared" si="15"/>
        <v>0</v>
      </c>
      <c r="S21" s="180">
        <f t="shared" si="15"/>
        <v>0</v>
      </c>
      <c r="T21" s="180">
        <f t="shared" si="14"/>
        <v>0</v>
      </c>
      <c r="U21" s="180">
        <f t="shared" si="14"/>
        <v>0</v>
      </c>
      <c r="V21" s="180">
        <f t="shared" si="14"/>
        <v>0</v>
      </c>
      <c r="W21" s="180">
        <f t="shared" si="14"/>
        <v>0</v>
      </c>
      <c r="X21" s="180">
        <f t="shared" si="14"/>
        <v>0</v>
      </c>
      <c r="Y21" s="180">
        <f t="shared" si="14"/>
        <v>0</v>
      </c>
      <c r="Z21" s="180">
        <f t="shared" si="14"/>
        <v>0</v>
      </c>
      <c r="AA21" s="180">
        <f t="shared" si="14"/>
        <v>0</v>
      </c>
    </row>
    <row r="22" spans="1:27" ht="15.75">
      <c r="A22" s="199" t="s">
        <v>196</v>
      </c>
      <c r="C22" s="104">
        <f>קבועות!B4*רגישות!$C$8</f>
        <v>0</v>
      </c>
      <c r="D22" s="180">
        <f t="shared" si="13"/>
        <v>0</v>
      </c>
      <c r="E22" s="180">
        <f t="shared" si="14"/>
        <v>0</v>
      </c>
      <c r="F22" s="180">
        <f t="shared" si="14"/>
        <v>0</v>
      </c>
      <c r="G22" s="180">
        <f t="shared" si="14"/>
        <v>0</v>
      </c>
      <c r="H22" s="180">
        <f t="shared" si="14"/>
        <v>0</v>
      </c>
      <c r="I22" s="180">
        <f t="shared" si="14"/>
        <v>0</v>
      </c>
      <c r="J22" s="180">
        <f t="shared" si="14"/>
        <v>0</v>
      </c>
      <c r="K22" s="180">
        <f t="shared" si="14"/>
        <v>0</v>
      </c>
      <c r="L22" s="180">
        <f t="shared" si="14"/>
        <v>0</v>
      </c>
      <c r="M22" s="180">
        <f t="shared" si="14"/>
        <v>0</v>
      </c>
      <c r="N22" s="180">
        <f t="shared" si="14"/>
        <v>0</v>
      </c>
      <c r="O22" s="180">
        <f t="shared" si="14"/>
        <v>0</v>
      </c>
      <c r="P22" s="180">
        <f t="shared" si="14"/>
        <v>0</v>
      </c>
      <c r="Q22" s="180">
        <f t="shared" si="14"/>
        <v>0</v>
      </c>
      <c r="R22" s="180">
        <f t="shared" si="14"/>
        <v>0</v>
      </c>
      <c r="S22" s="180">
        <f t="shared" si="14"/>
        <v>0</v>
      </c>
      <c r="T22" s="180">
        <f t="shared" si="14"/>
        <v>0</v>
      </c>
      <c r="U22" s="180">
        <f t="shared" si="14"/>
        <v>0</v>
      </c>
      <c r="V22" s="180">
        <f t="shared" si="14"/>
        <v>0</v>
      </c>
      <c r="W22" s="180">
        <f t="shared" si="14"/>
        <v>0</v>
      </c>
      <c r="X22" s="180">
        <f t="shared" si="14"/>
        <v>0</v>
      </c>
      <c r="Y22" s="180">
        <f t="shared" si="14"/>
        <v>0</v>
      </c>
      <c r="Z22" s="180">
        <f t="shared" si="14"/>
        <v>0</v>
      </c>
      <c r="AA22" s="180">
        <f t="shared" si="14"/>
        <v>0</v>
      </c>
    </row>
    <row r="23" spans="1:27" ht="15.75">
      <c r="A23" s="199" t="s">
        <v>355</v>
      </c>
      <c r="C23" s="104"/>
      <c r="D23" s="180"/>
      <c r="E23" s="180"/>
      <c r="F23" s="180"/>
      <c r="G23" s="180"/>
      <c r="H23" s="180"/>
      <c r="I23" s="180"/>
      <c r="J23" s="180"/>
      <c r="K23" s="180"/>
      <c r="L23" s="180"/>
      <c r="M23" s="180"/>
      <c r="N23" s="180"/>
      <c r="O23" s="180"/>
      <c r="P23" s="180"/>
      <c r="Q23" s="180"/>
      <c r="R23" s="180"/>
      <c r="S23" s="180"/>
      <c r="T23" s="180"/>
      <c r="U23" s="180"/>
      <c r="V23" s="180"/>
      <c r="W23" s="180"/>
      <c r="X23" s="180"/>
      <c r="Y23" s="180"/>
      <c r="Z23" s="180"/>
      <c r="AA23" s="180"/>
    </row>
    <row r="24" spans="1:27" ht="15.75">
      <c r="A24" s="199" t="s">
        <v>197</v>
      </c>
      <c r="C24" s="104">
        <f>קבועות!B5*רגישות!$C$8</f>
        <v>0</v>
      </c>
      <c r="D24" s="180">
        <f t="shared" si="13"/>
        <v>0</v>
      </c>
      <c r="E24" s="180">
        <f t="shared" si="14"/>
        <v>0</v>
      </c>
      <c r="F24" s="180">
        <f t="shared" si="14"/>
        <v>0</v>
      </c>
      <c r="G24" s="180">
        <f t="shared" si="14"/>
        <v>0</v>
      </c>
      <c r="H24" s="180">
        <f t="shared" si="14"/>
        <v>0</v>
      </c>
      <c r="I24" s="180">
        <f t="shared" si="14"/>
        <v>0</v>
      </c>
      <c r="J24" s="180">
        <f t="shared" si="14"/>
        <v>0</v>
      </c>
      <c r="K24" s="180">
        <f t="shared" si="14"/>
        <v>0</v>
      </c>
      <c r="L24" s="180">
        <f t="shared" si="14"/>
        <v>0</v>
      </c>
      <c r="M24" s="180">
        <f t="shared" si="14"/>
        <v>0</v>
      </c>
      <c r="N24" s="180">
        <f t="shared" si="14"/>
        <v>0</v>
      </c>
      <c r="O24" s="180">
        <f t="shared" si="14"/>
        <v>0</v>
      </c>
      <c r="P24" s="180">
        <f t="shared" si="14"/>
        <v>0</v>
      </c>
      <c r="Q24" s="180">
        <f t="shared" si="14"/>
        <v>0</v>
      </c>
      <c r="R24" s="180">
        <f t="shared" si="14"/>
        <v>0</v>
      </c>
      <c r="S24" s="180">
        <f t="shared" si="14"/>
        <v>0</v>
      </c>
      <c r="T24" s="180">
        <f t="shared" si="14"/>
        <v>0</v>
      </c>
      <c r="U24" s="180">
        <f t="shared" si="14"/>
        <v>0</v>
      </c>
      <c r="V24" s="180">
        <f t="shared" si="14"/>
        <v>0</v>
      </c>
      <c r="W24" s="180">
        <f t="shared" si="14"/>
        <v>0</v>
      </c>
      <c r="X24" s="180">
        <f t="shared" si="14"/>
        <v>0</v>
      </c>
      <c r="Y24" s="180">
        <f t="shared" si="14"/>
        <v>0</v>
      </c>
      <c r="Z24" s="180">
        <f t="shared" si="14"/>
        <v>0</v>
      </c>
      <c r="AA24" s="180">
        <f t="shared" si="14"/>
        <v>0</v>
      </c>
    </row>
    <row r="25" spans="1:27" ht="15.75">
      <c r="A25" s="199" t="s">
        <v>198</v>
      </c>
      <c r="C25" s="104">
        <f>קבועות!B6*רגישות!$C$8</f>
        <v>0</v>
      </c>
      <c r="D25" s="180">
        <f t="shared" si="13"/>
        <v>0</v>
      </c>
      <c r="E25" s="180">
        <f t="shared" si="14"/>
        <v>0</v>
      </c>
      <c r="F25" s="180">
        <f t="shared" si="14"/>
        <v>0</v>
      </c>
      <c r="G25" s="180">
        <f t="shared" si="14"/>
        <v>0</v>
      </c>
      <c r="H25" s="180">
        <f t="shared" si="14"/>
        <v>0</v>
      </c>
      <c r="I25" s="180">
        <f t="shared" si="14"/>
        <v>0</v>
      </c>
      <c r="J25" s="180">
        <f t="shared" si="14"/>
        <v>0</v>
      </c>
      <c r="K25" s="180">
        <f t="shared" si="14"/>
        <v>0</v>
      </c>
      <c r="L25" s="180">
        <f t="shared" si="14"/>
        <v>0</v>
      </c>
      <c r="M25" s="180">
        <f t="shared" si="14"/>
        <v>0</v>
      </c>
      <c r="N25" s="180">
        <f t="shared" si="14"/>
        <v>0</v>
      </c>
      <c r="O25" s="180">
        <f t="shared" si="14"/>
        <v>0</v>
      </c>
      <c r="P25" s="180">
        <f t="shared" si="14"/>
        <v>0</v>
      </c>
      <c r="Q25" s="180">
        <f t="shared" si="14"/>
        <v>0</v>
      </c>
      <c r="R25" s="180">
        <f t="shared" si="14"/>
        <v>0</v>
      </c>
      <c r="S25" s="180">
        <f t="shared" si="14"/>
        <v>0</v>
      </c>
      <c r="T25" s="180">
        <f t="shared" si="14"/>
        <v>0</v>
      </c>
      <c r="U25" s="180">
        <f t="shared" si="14"/>
        <v>0</v>
      </c>
      <c r="V25" s="180">
        <f t="shared" si="14"/>
        <v>0</v>
      </c>
      <c r="W25" s="180">
        <f t="shared" si="14"/>
        <v>0</v>
      </c>
      <c r="X25" s="180">
        <f t="shared" si="14"/>
        <v>0</v>
      </c>
      <c r="Y25" s="180">
        <f t="shared" si="14"/>
        <v>0</v>
      </c>
      <c r="Z25" s="180">
        <f t="shared" si="14"/>
        <v>0</v>
      </c>
      <c r="AA25" s="180">
        <f t="shared" si="14"/>
        <v>0</v>
      </c>
    </row>
    <row r="26" spans="1:27" ht="15.75">
      <c r="A26" s="199" t="s">
        <v>199</v>
      </c>
      <c r="C26" s="104" t="e">
        <f>פחת!B20</f>
        <v>#N/A</v>
      </c>
      <c r="D26" s="104" t="e">
        <f>פחת!C20</f>
        <v>#N/A</v>
      </c>
      <c r="E26" s="104" t="e">
        <f>פחת!D20</f>
        <v>#N/A</v>
      </c>
      <c r="F26" s="104" t="e">
        <f>פחת!E20</f>
        <v>#N/A</v>
      </c>
      <c r="G26" s="104" t="e">
        <f>פחת!F20</f>
        <v>#N/A</v>
      </c>
      <c r="H26" s="104" t="e">
        <f>פחת!G20</f>
        <v>#N/A</v>
      </c>
      <c r="I26" s="104" t="e">
        <f>פחת!H20</f>
        <v>#N/A</v>
      </c>
      <c r="J26" s="104" t="e">
        <f>פחת!I20</f>
        <v>#N/A</v>
      </c>
      <c r="K26" s="104" t="e">
        <f>פחת!J20</f>
        <v>#N/A</v>
      </c>
      <c r="L26" s="104" t="e">
        <f>פחת!K20</f>
        <v>#N/A</v>
      </c>
      <c r="M26" s="104" t="e">
        <f>פחת!B29</f>
        <v>#N/A</v>
      </c>
      <c r="N26" s="104" t="e">
        <f>פחת!C29</f>
        <v>#N/A</v>
      </c>
      <c r="O26" s="104" t="e">
        <f>פחת!D29</f>
        <v>#N/A</v>
      </c>
      <c r="P26" s="104" t="e">
        <f>פחת!E29</f>
        <v>#N/A</v>
      </c>
      <c r="Q26" s="104" t="e">
        <f>פחת!F29</f>
        <v>#N/A</v>
      </c>
      <c r="R26" s="104" t="e">
        <f>פחת!G29</f>
        <v>#N/A</v>
      </c>
      <c r="S26" s="104" t="e">
        <f>פחת!H29</f>
        <v>#N/A</v>
      </c>
      <c r="T26" s="104" t="e">
        <f>פחת!I29</f>
        <v>#N/A</v>
      </c>
      <c r="U26" s="104" t="e">
        <f>פחת!J29</f>
        <v>#N/A</v>
      </c>
      <c r="V26" s="104" t="e">
        <f>פחת!K29</f>
        <v>#N/A</v>
      </c>
      <c r="W26" s="104" t="e">
        <f>פחת!B38</f>
        <v>#N/A</v>
      </c>
      <c r="X26" s="104" t="e">
        <f>פחת!C38</f>
        <v>#N/A</v>
      </c>
      <c r="Y26" s="104" t="e">
        <f>פחת!D38</f>
        <v>#N/A</v>
      </c>
      <c r="Z26" s="104" t="e">
        <f>פחת!E38</f>
        <v>#N/A</v>
      </c>
      <c r="AA26" s="104" t="e">
        <f>פחת!F38</f>
        <v>#N/A</v>
      </c>
    </row>
    <row r="27" spans="1:27" ht="15.75">
      <c r="A27" s="199" t="s">
        <v>200</v>
      </c>
      <c r="C27" s="104">
        <f>קבועות!B7*רגישות!$C$8</f>
        <v>0</v>
      </c>
      <c r="D27" s="180">
        <f t="shared" si="13"/>
        <v>0</v>
      </c>
      <c r="E27" s="180">
        <f t="shared" si="14"/>
        <v>0</v>
      </c>
      <c r="F27" s="180">
        <f t="shared" si="14"/>
        <v>0</v>
      </c>
      <c r="G27" s="180">
        <f t="shared" si="14"/>
        <v>0</v>
      </c>
      <c r="H27" s="180">
        <f t="shared" si="14"/>
        <v>0</v>
      </c>
      <c r="I27" s="180">
        <f t="shared" si="14"/>
        <v>0</v>
      </c>
      <c r="J27" s="180">
        <f t="shared" si="14"/>
        <v>0</v>
      </c>
      <c r="K27" s="180">
        <f t="shared" si="14"/>
        <v>0</v>
      </c>
      <c r="L27" s="180">
        <f t="shared" si="14"/>
        <v>0</v>
      </c>
      <c r="M27" s="180">
        <f t="shared" si="14"/>
        <v>0</v>
      </c>
      <c r="N27" s="180">
        <f t="shared" si="14"/>
        <v>0</v>
      </c>
      <c r="O27" s="180">
        <f t="shared" si="14"/>
        <v>0</v>
      </c>
      <c r="P27" s="180">
        <f t="shared" si="14"/>
        <v>0</v>
      </c>
      <c r="Q27" s="180">
        <f t="shared" si="14"/>
        <v>0</v>
      </c>
      <c r="R27" s="180">
        <f t="shared" si="14"/>
        <v>0</v>
      </c>
      <c r="S27" s="180">
        <f t="shared" si="14"/>
        <v>0</v>
      </c>
      <c r="T27" s="180">
        <f t="shared" si="14"/>
        <v>0</v>
      </c>
      <c r="U27" s="180">
        <f t="shared" si="14"/>
        <v>0</v>
      </c>
      <c r="V27" s="180">
        <f t="shared" si="14"/>
        <v>0</v>
      </c>
      <c r="W27" s="180">
        <f t="shared" si="14"/>
        <v>0</v>
      </c>
      <c r="X27" s="180">
        <f t="shared" si="14"/>
        <v>0</v>
      </c>
      <c r="Y27" s="180">
        <f t="shared" si="14"/>
        <v>0</v>
      </c>
      <c r="Z27" s="180">
        <f t="shared" si="14"/>
        <v>0</v>
      </c>
      <c r="AA27" s="180">
        <f t="shared" si="14"/>
        <v>0</v>
      </c>
    </row>
    <row r="28" spans="1:27" ht="15.75">
      <c r="A28" s="202" t="s">
        <v>201</v>
      </c>
      <c r="B28" s="202"/>
      <c r="C28" s="203" t="e">
        <f>SUM(C20:C27)</f>
        <v>#N/A</v>
      </c>
      <c r="D28" s="203" t="e">
        <f>SUM(D20:D27)</f>
        <v>#N/A</v>
      </c>
      <c r="E28" s="203" t="e">
        <f t="shared" ref="E28:AA28" si="16">SUM(E20:E27)</f>
        <v>#N/A</v>
      </c>
      <c r="F28" s="203" t="e">
        <f t="shared" si="16"/>
        <v>#N/A</v>
      </c>
      <c r="G28" s="203" t="e">
        <f t="shared" si="16"/>
        <v>#N/A</v>
      </c>
      <c r="H28" s="203" t="e">
        <f t="shared" si="16"/>
        <v>#N/A</v>
      </c>
      <c r="I28" s="203" t="e">
        <f t="shared" si="16"/>
        <v>#N/A</v>
      </c>
      <c r="J28" s="203" t="e">
        <f t="shared" si="16"/>
        <v>#N/A</v>
      </c>
      <c r="K28" s="203" t="e">
        <f t="shared" si="16"/>
        <v>#N/A</v>
      </c>
      <c r="L28" s="203" t="e">
        <f t="shared" si="16"/>
        <v>#N/A</v>
      </c>
      <c r="M28" s="203" t="e">
        <f t="shared" si="16"/>
        <v>#N/A</v>
      </c>
      <c r="N28" s="203" t="e">
        <f t="shared" si="16"/>
        <v>#N/A</v>
      </c>
      <c r="O28" s="203" t="e">
        <f t="shared" si="16"/>
        <v>#N/A</v>
      </c>
      <c r="P28" s="203" t="e">
        <f t="shared" si="16"/>
        <v>#N/A</v>
      </c>
      <c r="Q28" s="203" t="e">
        <f t="shared" si="16"/>
        <v>#N/A</v>
      </c>
      <c r="R28" s="203" t="e">
        <f t="shared" si="16"/>
        <v>#N/A</v>
      </c>
      <c r="S28" s="203" t="e">
        <f t="shared" si="16"/>
        <v>#N/A</v>
      </c>
      <c r="T28" s="203" t="e">
        <f t="shared" si="16"/>
        <v>#N/A</v>
      </c>
      <c r="U28" s="203" t="e">
        <f t="shared" si="16"/>
        <v>#N/A</v>
      </c>
      <c r="V28" s="203" t="e">
        <f t="shared" si="16"/>
        <v>#N/A</v>
      </c>
      <c r="W28" s="203" t="e">
        <f t="shared" si="16"/>
        <v>#N/A</v>
      </c>
      <c r="X28" s="203" t="e">
        <f t="shared" si="16"/>
        <v>#N/A</v>
      </c>
      <c r="Y28" s="203" t="e">
        <f t="shared" si="16"/>
        <v>#N/A</v>
      </c>
      <c r="Z28" s="203" t="e">
        <f t="shared" si="16"/>
        <v>#N/A</v>
      </c>
      <c r="AA28" s="203" t="e">
        <f t="shared" si="16"/>
        <v>#N/A</v>
      </c>
    </row>
    <row r="29" spans="1:27">
      <c r="C29" s="209" t="e">
        <f t="shared" ref="C29:AA29" si="17">C28/C10</f>
        <v>#N/A</v>
      </c>
      <c r="D29" s="209" t="e">
        <f t="shared" si="17"/>
        <v>#N/A</v>
      </c>
      <c r="E29" s="209" t="e">
        <f t="shared" si="17"/>
        <v>#N/A</v>
      </c>
      <c r="F29" s="209" t="e">
        <f t="shared" si="17"/>
        <v>#N/A</v>
      </c>
      <c r="G29" s="209" t="e">
        <f t="shared" si="17"/>
        <v>#N/A</v>
      </c>
      <c r="H29" s="209" t="e">
        <f t="shared" si="17"/>
        <v>#N/A</v>
      </c>
      <c r="I29" s="209" t="e">
        <f t="shared" si="17"/>
        <v>#N/A</v>
      </c>
      <c r="J29" s="209" t="e">
        <f t="shared" si="17"/>
        <v>#N/A</v>
      </c>
      <c r="K29" s="209" t="e">
        <f t="shared" si="17"/>
        <v>#N/A</v>
      </c>
      <c r="L29" s="209" t="e">
        <f t="shared" si="17"/>
        <v>#N/A</v>
      </c>
      <c r="M29" s="209" t="e">
        <f t="shared" si="17"/>
        <v>#N/A</v>
      </c>
      <c r="N29" s="209" t="e">
        <f t="shared" si="17"/>
        <v>#N/A</v>
      </c>
      <c r="O29" s="209" t="e">
        <f t="shared" si="17"/>
        <v>#N/A</v>
      </c>
      <c r="P29" s="209" t="e">
        <f t="shared" si="17"/>
        <v>#N/A</v>
      </c>
      <c r="Q29" s="209" t="e">
        <f t="shared" si="17"/>
        <v>#N/A</v>
      </c>
      <c r="R29" s="209" t="e">
        <f t="shared" si="17"/>
        <v>#N/A</v>
      </c>
      <c r="S29" s="209" t="e">
        <f t="shared" si="17"/>
        <v>#N/A</v>
      </c>
      <c r="T29" s="209" t="e">
        <f t="shared" si="17"/>
        <v>#N/A</v>
      </c>
      <c r="U29" s="209" t="e">
        <f t="shared" si="17"/>
        <v>#N/A</v>
      </c>
      <c r="V29" s="209" t="e">
        <f t="shared" si="17"/>
        <v>#N/A</v>
      </c>
      <c r="W29" s="209" t="e">
        <f t="shared" si="17"/>
        <v>#N/A</v>
      </c>
      <c r="X29" s="209" t="e">
        <f t="shared" si="17"/>
        <v>#N/A</v>
      </c>
      <c r="Y29" s="209" t="e">
        <f t="shared" si="17"/>
        <v>#N/A</v>
      </c>
      <c r="Z29" s="209" t="e">
        <f t="shared" si="17"/>
        <v>#N/A</v>
      </c>
      <c r="AA29" s="209" t="e">
        <f t="shared" si="17"/>
        <v>#N/A</v>
      </c>
    </row>
    <row r="30" spans="1:27" ht="15.75">
      <c r="A30" s="200" t="s">
        <v>202</v>
      </c>
    </row>
    <row r="31" spans="1:27" ht="15.75">
      <c r="A31" s="199" t="s">
        <v>203</v>
      </c>
      <c r="B31" s="420" t="e">
        <f>+HLOOKUP(הוצאות!$C$14,הוצאות!$D$1:$G$12,8)</f>
        <v>#N/A</v>
      </c>
      <c r="C31" s="180" t="e">
        <f>$B31*C$10*רגישות!$C$9</f>
        <v>#N/A</v>
      </c>
      <c r="D31" s="180" t="e">
        <f>$B31*D$10*רגישות!$C$9</f>
        <v>#N/A</v>
      </c>
      <c r="E31" s="180" t="e">
        <f>$B31*E$10*רגישות!$C$9</f>
        <v>#N/A</v>
      </c>
      <c r="F31" s="180" t="e">
        <f>$B31*F$10*רגישות!$C$9</f>
        <v>#N/A</v>
      </c>
      <c r="G31" s="180" t="e">
        <f>$B31*G$10*רגישות!$C$9</f>
        <v>#N/A</v>
      </c>
      <c r="H31" s="180" t="e">
        <f>$B31*H$10*רגישות!$C$9</f>
        <v>#N/A</v>
      </c>
      <c r="I31" s="180" t="e">
        <f>$B31*I$10*רגישות!$C$9</f>
        <v>#N/A</v>
      </c>
      <c r="J31" s="180" t="e">
        <f>$B31*J$10*רגישות!$C$9</f>
        <v>#N/A</v>
      </c>
      <c r="K31" s="180" t="e">
        <f>$B31*K$10*רגישות!$C$9</f>
        <v>#N/A</v>
      </c>
      <c r="L31" s="180" t="e">
        <f>$B31*L$10*רגישות!$C$9</f>
        <v>#N/A</v>
      </c>
      <c r="M31" s="180" t="e">
        <f>$B31*M$10*רגישות!$C$9</f>
        <v>#N/A</v>
      </c>
      <c r="N31" s="180" t="e">
        <f>$B31*N$10*רגישות!$C$9</f>
        <v>#N/A</v>
      </c>
      <c r="O31" s="180" t="e">
        <f>$B31*O$10*רגישות!$C$9</f>
        <v>#N/A</v>
      </c>
      <c r="P31" s="180" t="e">
        <f>$B31*P$10*רגישות!$C$9</f>
        <v>#N/A</v>
      </c>
      <c r="Q31" s="180" t="e">
        <f>$B31*Q$10*רגישות!$C$9</f>
        <v>#N/A</v>
      </c>
      <c r="R31" s="180" t="e">
        <f>$B31*R$10*רגישות!$C$9</f>
        <v>#N/A</v>
      </c>
      <c r="S31" s="180" t="e">
        <f>$B31*S$10*רגישות!$C$9</f>
        <v>#N/A</v>
      </c>
      <c r="T31" s="180" t="e">
        <f>$B31*T$10*רגישות!$C$9</f>
        <v>#N/A</v>
      </c>
      <c r="U31" s="180" t="e">
        <f>$B31*U$10*רגישות!$C$9</f>
        <v>#N/A</v>
      </c>
      <c r="V31" s="180" t="e">
        <f>$B31*V$10*רגישות!$C$9</f>
        <v>#N/A</v>
      </c>
      <c r="W31" s="180" t="e">
        <f>$B31*W$10*רגישות!$C$9</f>
        <v>#N/A</v>
      </c>
      <c r="X31" s="180" t="e">
        <f>$B31*X$10*רגישות!$C$9</f>
        <v>#N/A</v>
      </c>
      <c r="Y31" s="180" t="e">
        <f>$B31*Y$10*רגישות!$C$9</f>
        <v>#N/A</v>
      </c>
      <c r="Z31" s="180" t="e">
        <f>$B31*Z$10*רגישות!$C$9</f>
        <v>#N/A</v>
      </c>
      <c r="AA31" s="180" t="e">
        <f>$B31*AA$10*רגישות!$C$9</f>
        <v>#N/A</v>
      </c>
    </row>
    <row r="32" spans="1:27" ht="15.75">
      <c r="A32" s="199" t="s">
        <v>200</v>
      </c>
      <c r="B32" s="420" t="e">
        <f>+HLOOKUP(הוצאות!$C$14,הוצאות!$D$1:$G$12,9)</f>
        <v>#N/A</v>
      </c>
      <c r="C32" s="180" t="e">
        <f>$B32*C$10*רגישות!$C$9</f>
        <v>#N/A</v>
      </c>
      <c r="D32" s="180" t="e">
        <f>$B32*D$10*רגישות!$C$9</f>
        <v>#N/A</v>
      </c>
      <c r="E32" s="180" t="e">
        <f>$B32*E$10*רגישות!$C$9</f>
        <v>#N/A</v>
      </c>
      <c r="F32" s="180" t="e">
        <f>$B32*F$10*רגישות!$C$9</f>
        <v>#N/A</v>
      </c>
      <c r="G32" s="180" t="e">
        <f>$B32*G$10*רגישות!$C$9</f>
        <v>#N/A</v>
      </c>
      <c r="H32" s="180" t="e">
        <f>$B32*H$10*רגישות!$C$9</f>
        <v>#N/A</v>
      </c>
      <c r="I32" s="180" t="e">
        <f>$B32*I$10*רגישות!$C$9</f>
        <v>#N/A</v>
      </c>
      <c r="J32" s="180" t="e">
        <f>$B32*J$10*רגישות!$C$9</f>
        <v>#N/A</v>
      </c>
      <c r="K32" s="180" t="e">
        <f>$B32*K$10*רגישות!$C$9</f>
        <v>#N/A</v>
      </c>
      <c r="L32" s="180" t="e">
        <f>$B32*L$10*רגישות!$C$9</f>
        <v>#N/A</v>
      </c>
      <c r="M32" s="180" t="e">
        <f>$B32*M$10*רגישות!$C$9</f>
        <v>#N/A</v>
      </c>
      <c r="N32" s="180" t="e">
        <f>$B32*N$10*רגישות!$C$9</f>
        <v>#N/A</v>
      </c>
      <c r="O32" s="180" t="e">
        <f>$B32*O$10*רגישות!$C$9</f>
        <v>#N/A</v>
      </c>
      <c r="P32" s="180" t="e">
        <f>$B32*P$10*רגישות!$C$9</f>
        <v>#N/A</v>
      </c>
      <c r="Q32" s="180" t="e">
        <f>$B32*Q$10*רגישות!$C$9</f>
        <v>#N/A</v>
      </c>
      <c r="R32" s="180" t="e">
        <f>$B32*R$10*רגישות!$C$9</f>
        <v>#N/A</v>
      </c>
      <c r="S32" s="180" t="e">
        <f>$B32*S$10*רגישות!$C$9</f>
        <v>#N/A</v>
      </c>
      <c r="T32" s="180" t="e">
        <f>$B32*T$10*רגישות!$C$9</f>
        <v>#N/A</v>
      </c>
      <c r="U32" s="180" t="e">
        <f>$B32*U$10*רגישות!$C$9</f>
        <v>#N/A</v>
      </c>
      <c r="V32" s="180" t="e">
        <f>$B32*V$10*רגישות!$C$9</f>
        <v>#N/A</v>
      </c>
      <c r="W32" s="180" t="e">
        <f>$B32*W$10*רגישות!$C$9</f>
        <v>#N/A</v>
      </c>
      <c r="X32" s="180" t="e">
        <f>$B32*X$10*רגישות!$C$9</f>
        <v>#N/A</v>
      </c>
      <c r="Y32" s="180" t="e">
        <f>$B32*Y$10*רגישות!$C$9</f>
        <v>#N/A</v>
      </c>
      <c r="Z32" s="180" t="e">
        <f>$B32*Z$10*רגישות!$C$9</f>
        <v>#N/A</v>
      </c>
      <c r="AA32" s="180" t="e">
        <f>$B32*AA$10*רגישות!$C$9</f>
        <v>#N/A</v>
      </c>
    </row>
    <row r="33" spans="1:27" ht="15.75">
      <c r="A33" s="199" t="s">
        <v>194</v>
      </c>
      <c r="B33" s="420" t="e">
        <f>+HLOOKUP(הוצאות!$C$14,הוצאות!$D$1:$G$12,10)</f>
        <v>#N/A</v>
      </c>
      <c r="C33" s="180" t="e">
        <f>$B33*C$10*רגישות!$C$9</f>
        <v>#N/A</v>
      </c>
      <c r="D33" s="180" t="e">
        <f>$B33*D$10*רגישות!$C$9</f>
        <v>#N/A</v>
      </c>
      <c r="E33" s="180" t="e">
        <f>$B33*E$10*רגישות!$C$9</f>
        <v>#N/A</v>
      </c>
      <c r="F33" s="180" t="e">
        <f>$B33*F$10*רגישות!$C$9</f>
        <v>#N/A</v>
      </c>
      <c r="G33" s="180" t="e">
        <f>$B33*G$10*רגישות!$C$9</f>
        <v>#N/A</v>
      </c>
      <c r="H33" s="180" t="e">
        <f>$B33*H$10*רגישות!$C$9</f>
        <v>#N/A</v>
      </c>
      <c r="I33" s="180" t="e">
        <f>$B33*I$10*רגישות!$C$9</f>
        <v>#N/A</v>
      </c>
      <c r="J33" s="180" t="e">
        <f>$B33*J$10*רגישות!$C$9</f>
        <v>#N/A</v>
      </c>
      <c r="K33" s="180" t="e">
        <f>$B33*K$10*רגישות!$C$9</f>
        <v>#N/A</v>
      </c>
      <c r="L33" s="180" t="e">
        <f>$B33*L$10*רגישות!$C$9</f>
        <v>#N/A</v>
      </c>
      <c r="M33" s="180" t="e">
        <f>$B33*M$10*רגישות!$C$9</f>
        <v>#N/A</v>
      </c>
      <c r="N33" s="180" t="e">
        <f>$B33*N$10*רגישות!$C$9</f>
        <v>#N/A</v>
      </c>
      <c r="O33" s="180" t="e">
        <f>$B33*O$10*רגישות!$C$9</f>
        <v>#N/A</v>
      </c>
      <c r="P33" s="180" t="e">
        <f>$B33*P$10*רגישות!$C$9</f>
        <v>#N/A</v>
      </c>
      <c r="Q33" s="180" t="e">
        <f>$B33*Q$10*רגישות!$C$9</f>
        <v>#N/A</v>
      </c>
      <c r="R33" s="180" t="e">
        <f>$B33*R$10*רגישות!$C$9</f>
        <v>#N/A</v>
      </c>
      <c r="S33" s="180" t="e">
        <f>$B33*S$10*רגישות!$C$9</f>
        <v>#N/A</v>
      </c>
      <c r="T33" s="180" t="e">
        <f>$B33*T$10*רגישות!$C$9</f>
        <v>#N/A</v>
      </c>
      <c r="U33" s="180" t="e">
        <f>$B33*U$10*רגישות!$C$9</f>
        <v>#N/A</v>
      </c>
      <c r="V33" s="180" t="e">
        <f>$B33*V$10*רגישות!$C$9</f>
        <v>#N/A</v>
      </c>
      <c r="W33" s="180" t="e">
        <f>$B33*W$10*רגישות!$C$9</f>
        <v>#N/A</v>
      </c>
      <c r="X33" s="180" t="e">
        <f>$B33*X$10*רגישות!$C$9</f>
        <v>#N/A</v>
      </c>
      <c r="Y33" s="180" t="e">
        <f>$B33*Y$10*רגישות!$C$9</f>
        <v>#N/A</v>
      </c>
      <c r="Z33" s="180" t="e">
        <f>$B33*Z$10*רגישות!$C$9</f>
        <v>#N/A</v>
      </c>
      <c r="AA33" s="180" t="e">
        <f>$B33*AA$10*רגישות!$C$9</f>
        <v>#N/A</v>
      </c>
    </row>
    <row r="34" spans="1:27" ht="15.75">
      <c r="A34" s="199" t="s">
        <v>205</v>
      </c>
      <c r="B34" s="420" t="e">
        <f>+HLOOKUP(הוצאות!$C$14,הוצאות!$D$1:$G$12,11)</f>
        <v>#N/A</v>
      </c>
      <c r="C34" s="180" t="e">
        <f>$B34*C$10*רגישות!$C$9</f>
        <v>#N/A</v>
      </c>
      <c r="D34" s="180" t="e">
        <f>$B34*D$10*רגישות!$C$9</f>
        <v>#N/A</v>
      </c>
      <c r="E34" s="180" t="e">
        <f>$B34*E$10*רגישות!$C$9</f>
        <v>#N/A</v>
      </c>
      <c r="F34" s="180" t="e">
        <f>$B34*F$10*רגישות!$C$9</f>
        <v>#N/A</v>
      </c>
      <c r="G34" s="180" t="e">
        <f>$B34*G$10*רגישות!$C$9</f>
        <v>#N/A</v>
      </c>
      <c r="H34" s="180" t="e">
        <f>$B34*H$10*רגישות!$C$9</f>
        <v>#N/A</v>
      </c>
      <c r="I34" s="180" t="e">
        <f>$B34*I$10*רגישות!$C$9</f>
        <v>#N/A</v>
      </c>
      <c r="J34" s="180" t="e">
        <f>$B34*J$10*רגישות!$C$9</f>
        <v>#N/A</v>
      </c>
      <c r="K34" s="180" t="e">
        <f>$B34*K$10*רגישות!$C$9</f>
        <v>#N/A</v>
      </c>
      <c r="L34" s="180" t="e">
        <f>$B34*L$10*רגישות!$C$9</f>
        <v>#N/A</v>
      </c>
      <c r="M34" s="180" t="e">
        <f>$B34*M$10*רגישות!$C$9</f>
        <v>#N/A</v>
      </c>
      <c r="N34" s="180" t="e">
        <f>$B34*N$10*רגישות!$C$9</f>
        <v>#N/A</v>
      </c>
      <c r="O34" s="180" t="e">
        <f>$B34*O$10*רגישות!$C$9</f>
        <v>#N/A</v>
      </c>
      <c r="P34" s="180" t="e">
        <f>$B34*P$10*רגישות!$C$9</f>
        <v>#N/A</v>
      </c>
      <c r="Q34" s="180" t="e">
        <f>$B34*Q$10*רגישות!$C$9</f>
        <v>#N/A</v>
      </c>
      <c r="R34" s="180" t="e">
        <f>$B34*R$10*רגישות!$C$9</f>
        <v>#N/A</v>
      </c>
      <c r="S34" s="180" t="e">
        <f>$B34*S$10*רגישות!$C$9</f>
        <v>#N/A</v>
      </c>
      <c r="T34" s="180" t="e">
        <f>$B34*T$10*רגישות!$C$9</f>
        <v>#N/A</v>
      </c>
      <c r="U34" s="180" t="e">
        <f>$B34*U$10*רגישות!$C$9</f>
        <v>#N/A</v>
      </c>
      <c r="V34" s="180" t="e">
        <f>$B34*V$10*רגישות!$C$9</f>
        <v>#N/A</v>
      </c>
      <c r="W34" s="180" t="e">
        <f>$B34*W$10*רגישות!$C$9</f>
        <v>#N/A</v>
      </c>
      <c r="X34" s="180" t="e">
        <f>$B34*X$10*רגישות!$C$9</f>
        <v>#N/A</v>
      </c>
      <c r="Y34" s="180" t="e">
        <f>$B34*Y$10*רגישות!$C$9</f>
        <v>#N/A</v>
      </c>
      <c r="Z34" s="180" t="e">
        <f>$B34*Z$10*רגישות!$C$9</f>
        <v>#N/A</v>
      </c>
      <c r="AA34" s="180" t="e">
        <f>$B34*AA$10*רגישות!$C$9</f>
        <v>#N/A</v>
      </c>
    </row>
    <row r="35" spans="1:27" ht="15.75">
      <c r="A35" s="202" t="s">
        <v>206</v>
      </c>
      <c r="B35" s="210" t="e">
        <f>SUM(B31:B34)</f>
        <v>#N/A</v>
      </c>
      <c r="C35" s="203" t="e">
        <f>SUM(C31:C34)</f>
        <v>#N/A</v>
      </c>
      <c r="D35" s="203" t="e">
        <f>SUM(D31:D34)</f>
        <v>#N/A</v>
      </c>
      <c r="E35" s="203" t="e">
        <f t="shared" ref="E35:AA35" si="18">SUM(E31:E34)</f>
        <v>#N/A</v>
      </c>
      <c r="F35" s="203" t="e">
        <f t="shared" si="18"/>
        <v>#N/A</v>
      </c>
      <c r="G35" s="203" t="e">
        <f t="shared" si="18"/>
        <v>#N/A</v>
      </c>
      <c r="H35" s="203" t="e">
        <f t="shared" si="18"/>
        <v>#N/A</v>
      </c>
      <c r="I35" s="203" t="e">
        <f t="shared" si="18"/>
        <v>#N/A</v>
      </c>
      <c r="J35" s="203" t="e">
        <f t="shared" si="18"/>
        <v>#N/A</v>
      </c>
      <c r="K35" s="203" t="e">
        <f t="shared" si="18"/>
        <v>#N/A</v>
      </c>
      <c r="L35" s="203" t="e">
        <f t="shared" si="18"/>
        <v>#N/A</v>
      </c>
      <c r="M35" s="203" t="e">
        <f t="shared" si="18"/>
        <v>#N/A</v>
      </c>
      <c r="N35" s="203" t="e">
        <f t="shared" si="18"/>
        <v>#N/A</v>
      </c>
      <c r="O35" s="203" t="e">
        <f t="shared" si="18"/>
        <v>#N/A</v>
      </c>
      <c r="P35" s="203" t="e">
        <f t="shared" si="18"/>
        <v>#N/A</v>
      </c>
      <c r="Q35" s="203" t="e">
        <f t="shared" si="18"/>
        <v>#N/A</v>
      </c>
      <c r="R35" s="203" t="e">
        <f t="shared" si="18"/>
        <v>#N/A</v>
      </c>
      <c r="S35" s="203" t="e">
        <f t="shared" si="18"/>
        <v>#N/A</v>
      </c>
      <c r="T35" s="203" t="e">
        <f t="shared" si="18"/>
        <v>#N/A</v>
      </c>
      <c r="U35" s="203" t="e">
        <f t="shared" si="18"/>
        <v>#N/A</v>
      </c>
      <c r="V35" s="203" t="e">
        <f t="shared" si="18"/>
        <v>#N/A</v>
      </c>
      <c r="W35" s="203" t="e">
        <f t="shared" si="18"/>
        <v>#N/A</v>
      </c>
      <c r="X35" s="203" t="e">
        <f t="shared" si="18"/>
        <v>#N/A</v>
      </c>
      <c r="Y35" s="203" t="e">
        <f t="shared" si="18"/>
        <v>#N/A</v>
      </c>
      <c r="Z35" s="203" t="e">
        <f t="shared" si="18"/>
        <v>#N/A</v>
      </c>
      <c r="AA35" s="203" t="e">
        <f t="shared" si="18"/>
        <v>#N/A</v>
      </c>
    </row>
    <row r="36" spans="1:27">
      <c r="C36" s="209" t="e">
        <f t="shared" ref="C36:AA36" si="19">C35/C10</f>
        <v>#N/A</v>
      </c>
      <c r="D36" s="209" t="e">
        <f t="shared" si="19"/>
        <v>#N/A</v>
      </c>
      <c r="E36" s="209" t="e">
        <f t="shared" si="19"/>
        <v>#N/A</v>
      </c>
      <c r="F36" s="209" t="e">
        <f t="shared" si="19"/>
        <v>#N/A</v>
      </c>
      <c r="G36" s="209" t="e">
        <f t="shared" si="19"/>
        <v>#N/A</v>
      </c>
      <c r="H36" s="209" t="e">
        <f t="shared" si="19"/>
        <v>#N/A</v>
      </c>
      <c r="I36" s="209" t="e">
        <f t="shared" si="19"/>
        <v>#N/A</v>
      </c>
      <c r="J36" s="209" t="e">
        <f t="shared" si="19"/>
        <v>#N/A</v>
      </c>
      <c r="K36" s="209" t="e">
        <f t="shared" si="19"/>
        <v>#N/A</v>
      </c>
      <c r="L36" s="209" t="e">
        <f t="shared" si="19"/>
        <v>#N/A</v>
      </c>
      <c r="M36" s="209" t="e">
        <f t="shared" si="19"/>
        <v>#N/A</v>
      </c>
      <c r="N36" s="209" t="e">
        <f t="shared" si="19"/>
        <v>#N/A</v>
      </c>
      <c r="O36" s="209" t="e">
        <f t="shared" si="19"/>
        <v>#N/A</v>
      </c>
      <c r="P36" s="209" t="e">
        <f t="shared" si="19"/>
        <v>#N/A</v>
      </c>
      <c r="Q36" s="209" t="e">
        <f t="shared" si="19"/>
        <v>#N/A</v>
      </c>
      <c r="R36" s="209" t="e">
        <f t="shared" si="19"/>
        <v>#N/A</v>
      </c>
      <c r="S36" s="209" t="e">
        <f t="shared" si="19"/>
        <v>#N/A</v>
      </c>
      <c r="T36" s="209" t="e">
        <f t="shared" si="19"/>
        <v>#N/A</v>
      </c>
      <c r="U36" s="209" t="e">
        <f t="shared" si="19"/>
        <v>#N/A</v>
      </c>
      <c r="V36" s="209" t="e">
        <f t="shared" si="19"/>
        <v>#N/A</v>
      </c>
      <c r="W36" s="209" t="e">
        <f t="shared" si="19"/>
        <v>#N/A</v>
      </c>
      <c r="X36" s="209" t="e">
        <f t="shared" si="19"/>
        <v>#N/A</v>
      </c>
      <c r="Y36" s="209" t="e">
        <f t="shared" si="19"/>
        <v>#N/A</v>
      </c>
      <c r="Z36" s="209" t="e">
        <f t="shared" si="19"/>
        <v>#N/A</v>
      </c>
      <c r="AA36" s="209" t="e">
        <f t="shared" si="19"/>
        <v>#N/A</v>
      </c>
    </row>
    <row r="37" spans="1:27"/>
    <row r="38" spans="1:27" ht="15.75">
      <c r="A38" s="199" t="s">
        <v>314</v>
      </c>
      <c r="C38" s="180" t="e">
        <f>C17+C28+C35</f>
        <v>#N/A</v>
      </c>
      <c r="D38" s="180" t="e">
        <f t="shared" ref="D38:AA38" si="20">D17+D28+D35</f>
        <v>#N/A</v>
      </c>
      <c r="E38" s="180" t="e">
        <f t="shared" si="20"/>
        <v>#N/A</v>
      </c>
      <c r="F38" s="180" t="e">
        <f t="shared" si="20"/>
        <v>#N/A</v>
      </c>
      <c r="G38" s="180" t="e">
        <f t="shared" si="20"/>
        <v>#N/A</v>
      </c>
      <c r="H38" s="180" t="e">
        <f t="shared" si="20"/>
        <v>#N/A</v>
      </c>
      <c r="I38" s="180" t="e">
        <f t="shared" si="20"/>
        <v>#N/A</v>
      </c>
      <c r="J38" s="180" t="e">
        <f t="shared" si="20"/>
        <v>#N/A</v>
      </c>
      <c r="K38" s="180" t="e">
        <f t="shared" si="20"/>
        <v>#N/A</v>
      </c>
      <c r="L38" s="180" t="e">
        <f t="shared" si="20"/>
        <v>#N/A</v>
      </c>
      <c r="M38" s="180" t="e">
        <f t="shared" si="20"/>
        <v>#N/A</v>
      </c>
      <c r="N38" s="180" t="e">
        <f t="shared" si="20"/>
        <v>#N/A</v>
      </c>
      <c r="O38" s="180" t="e">
        <f t="shared" si="20"/>
        <v>#N/A</v>
      </c>
      <c r="P38" s="180" t="e">
        <f t="shared" si="20"/>
        <v>#N/A</v>
      </c>
      <c r="Q38" s="180" t="e">
        <f t="shared" si="20"/>
        <v>#N/A</v>
      </c>
      <c r="R38" s="180" t="e">
        <f t="shared" si="20"/>
        <v>#N/A</v>
      </c>
      <c r="S38" s="180" t="e">
        <f t="shared" si="20"/>
        <v>#N/A</v>
      </c>
      <c r="T38" s="180" t="e">
        <f t="shared" si="20"/>
        <v>#N/A</v>
      </c>
      <c r="U38" s="180" t="e">
        <f t="shared" si="20"/>
        <v>#N/A</v>
      </c>
      <c r="V38" s="180" t="e">
        <f t="shared" si="20"/>
        <v>#N/A</v>
      </c>
      <c r="W38" s="180" t="e">
        <f t="shared" si="20"/>
        <v>#N/A</v>
      </c>
      <c r="X38" s="180" t="e">
        <f t="shared" si="20"/>
        <v>#N/A</v>
      </c>
      <c r="Y38" s="180" t="e">
        <f t="shared" si="20"/>
        <v>#N/A</v>
      </c>
      <c r="Z38" s="180" t="e">
        <f t="shared" si="20"/>
        <v>#N/A</v>
      </c>
      <c r="AA38" s="180" t="e">
        <f t="shared" si="20"/>
        <v>#N/A</v>
      </c>
    </row>
    <row r="39" spans="1:27">
      <c r="C39" s="478" t="e">
        <f t="shared" ref="C39:AA39" si="21">C38/C10</f>
        <v>#N/A</v>
      </c>
      <c r="D39" s="478" t="e">
        <f t="shared" si="21"/>
        <v>#N/A</v>
      </c>
      <c r="E39" s="478" t="e">
        <f t="shared" si="21"/>
        <v>#N/A</v>
      </c>
      <c r="F39" s="478" t="e">
        <f t="shared" si="21"/>
        <v>#N/A</v>
      </c>
      <c r="G39" s="478" t="e">
        <f t="shared" si="21"/>
        <v>#N/A</v>
      </c>
      <c r="H39" s="478" t="e">
        <f t="shared" si="21"/>
        <v>#N/A</v>
      </c>
      <c r="I39" s="478" t="e">
        <f t="shared" si="21"/>
        <v>#N/A</v>
      </c>
      <c r="J39" s="478" t="e">
        <f t="shared" si="21"/>
        <v>#N/A</v>
      </c>
      <c r="K39" s="478" t="e">
        <f t="shared" si="21"/>
        <v>#N/A</v>
      </c>
      <c r="L39" s="478" t="e">
        <f t="shared" si="21"/>
        <v>#N/A</v>
      </c>
      <c r="M39" s="478" t="e">
        <f t="shared" si="21"/>
        <v>#N/A</v>
      </c>
      <c r="N39" s="478" t="e">
        <f t="shared" si="21"/>
        <v>#N/A</v>
      </c>
      <c r="O39" s="478" t="e">
        <f t="shared" si="21"/>
        <v>#N/A</v>
      </c>
      <c r="P39" s="478" t="e">
        <f t="shared" si="21"/>
        <v>#N/A</v>
      </c>
      <c r="Q39" s="478" t="e">
        <f t="shared" si="21"/>
        <v>#N/A</v>
      </c>
      <c r="R39" s="478" t="e">
        <f t="shared" si="21"/>
        <v>#N/A</v>
      </c>
      <c r="S39" s="478" t="e">
        <f t="shared" si="21"/>
        <v>#N/A</v>
      </c>
      <c r="T39" s="478" t="e">
        <f t="shared" si="21"/>
        <v>#N/A</v>
      </c>
      <c r="U39" s="478" t="e">
        <f t="shared" si="21"/>
        <v>#N/A</v>
      </c>
      <c r="V39" s="478" t="e">
        <f t="shared" si="21"/>
        <v>#N/A</v>
      </c>
      <c r="W39" s="478" t="e">
        <f t="shared" si="21"/>
        <v>#N/A</v>
      </c>
      <c r="X39" s="478" t="e">
        <f t="shared" si="21"/>
        <v>#N/A</v>
      </c>
      <c r="Y39" s="478" t="e">
        <f t="shared" si="21"/>
        <v>#N/A</v>
      </c>
      <c r="Z39" s="478" t="e">
        <f t="shared" si="21"/>
        <v>#N/A</v>
      </c>
      <c r="AA39" s="478" t="e">
        <f t="shared" si="21"/>
        <v>#N/A</v>
      </c>
    </row>
    <row r="40" spans="1:27" s="183" customFormat="1" ht="15">
      <c r="A40" s="183" t="s">
        <v>315</v>
      </c>
      <c r="C40" s="477" t="e">
        <f t="shared" ref="C40:AA40" si="22">C10-C38</f>
        <v>#N/A</v>
      </c>
      <c r="D40" s="477" t="e">
        <f t="shared" si="22"/>
        <v>#N/A</v>
      </c>
      <c r="E40" s="477" t="e">
        <f t="shared" si="22"/>
        <v>#N/A</v>
      </c>
      <c r="F40" s="477" t="e">
        <f t="shared" si="22"/>
        <v>#N/A</v>
      </c>
      <c r="G40" s="477" t="e">
        <f t="shared" si="22"/>
        <v>#N/A</v>
      </c>
      <c r="H40" s="477" t="e">
        <f t="shared" si="22"/>
        <v>#N/A</v>
      </c>
      <c r="I40" s="477" t="e">
        <f t="shared" si="22"/>
        <v>#N/A</v>
      </c>
      <c r="J40" s="477" t="e">
        <f t="shared" si="22"/>
        <v>#N/A</v>
      </c>
      <c r="K40" s="477" t="e">
        <f t="shared" si="22"/>
        <v>#N/A</v>
      </c>
      <c r="L40" s="477" t="e">
        <f t="shared" si="22"/>
        <v>#N/A</v>
      </c>
      <c r="M40" s="477" t="e">
        <f t="shared" si="22"/>
        <v>#N/A</v>
      </c>
      <c r="N40" s="477" t="e">
        <f t="shared" si="22"/>
        <v>#N/A</v>
      </c>
      <c r="O40" s="477" t="e">
        <f t="shared" si="22"/>
        <v>#N/A</v>
      </c>
      <c r="P40" s="477" t="e">
        <f t="shared" si="22"/>
        <v>#N/A</v>
      </c>
      <c r="Q40" s="477" t="e">
        <f t="shared" si="22"/>
        <v>#N/A</v>
      </c>
      <c r="R40" s="477" t="e">
        <f t="shared" si="22"/>
        <v>#N/A</v>
      </c>
      <c r="S40" s="477" t="e">
        <f t="shared" si="22"/>
        <v>#N/A</v>
      </c>
      <c r="T40" s="477" t="e">
        <f t="shared" si="22"/>
        <v>#N/A</v>
      </c>
      <c r="U40" s="477" t="e">
        <f t="shared" si="22"/>
        <v>#N/A</v>
      </c>
      <c r="V40" s="477" t="e">
        <f t="shared" si="22"/>
        <v>#N/A</v>
      </c>
      <c r="W40" s="477" t="e">
        <f t="shared" si="22"/>
        <v>#N/A</v>
      </c>
      <c r="X40" s="477" t="e">
        <f t="shared" si="22"/>
        <v>#N/A</v>
      </c>
      <c r="Y40" s="477" t="e">
        <f t="shared" si="22"/>
        <v>#N/A</v>
      </c>
      <c r="Z40" s="477" t="e">
        <f t="shared" si="22"/>
        <v>#N/A</v>
      </c>
      <c r="AA40" s="477" t="e">
        <f t="shared" si="22"/>
        <v>#N/A</v>
      </c>
    </row>
    <row r="41" spans="1:27">
      <c r="A41" t="s">
        <v>328</v>
      </c>
      <c r="C41" s="209" t="e">
        <f t="shared" ref="C41:AA41" si="23">C40/C10</f>
        <v>#N/A</v>
      </c>
      <c r="D41" s="209" t="e">
        <f t="shared" si="23"/>
        <v>#N/A</v>
      </c>
      <c r="E41" s="209" t="e">
        <f t="shared" si="23"/>
        <v>#N/A</v>
      </c>
      <c r="F41" s="209" t="e">
        <f t="shared" si="23"/>
        <v>#N/A</v>
      </c>
      <c r="G41" s="209" t="e">
        <f t="shared" si="23"/>
        <v>#N/A</v>
      </c>
      <c r="H41" s="209" t="e">
        <f t="shared" si="23"/>
        <v>#N/A</v>
      </c>
      <c r="I41" s="209" t="e">
        <f t="shared" si="23"/>
        <v>#N/A</v>
      </c>
      <c r="J41" s="209" t="e">
        <f t="shared" si="23"/>
        <v>#N/A</v>
      </c>
      <c r="K41" s="209" t="e">
        <f t="shared" si="23"/>
        <v>#N/A</v>
      </c>
      <c r="L41" s="209" t="e">
        <f t="shared" si="23"/>
        <v>#N/A</v>
      </c>
      <c r="M41" s="209" t="e">
        <f t="shared" si="23"/>
        <v>#N/A</v>
      </c>
      <c r="N41" s="209" t="e">
        <f t="shared" si="23"/>
        <v>#N/A</v>
      </c>
      <c r="O41" s="209" t="e">
        <f t="shared" si="23"/>
        <v>#N/A</v>
      </c>
      <c r="P41" s="209" t="e">
        <f t="shared" si="23"/>
        <v>#N/A</v>
      </c>
      <c r="Q41" s="209" t="e">
        <f t="shared" si="23"/>
        <v>#N/A</v>
      </c>
      <c r="R41" s="209" t="e">
        <f t="shared" si="23"/>
        <v>#N/A</v>
      </c>
      <c r="S41" s="209" t="e">
        <f t="shared" si="23"/>
        <v>#N/A</v>
      </c>
      <c r="T41" s="209" t="e">
        <f t="shared" si="23"/>
        <v>#N/A</v>
      </c>
      <c r="U41" s="209" t="e">
        <f t="shared" si="23"/>
        <v>#N/A</v>
      </c>
      <c r="V41" s="209" t="e">
        <f t="shared" si="23"/>
        <v>#N/A</v>
      </c>
      <c r="W41" s="209" t="e">
        <f t="shared" si="23"/>
        <v>#N/A</v>
      </c>
      <c r="X41" s="209" t="e">
        <f t="shared" si="23"/>
        <v>#N/A</v>
      </c>
      <c r="Y41" s="209" t="e">
        <f t="shared" si="23"/>
        <v>#N/A</v>
      </c>
      <c r="Z41" s="209" t="e">
        <f t="shared" si="23"/>
        <v>#N/A</v>
      </c>
      <c r="AA41" s="209" t="e">
        <f t="shared" si="23"/>
        <v>#N/A</v>
      </c>
    </row>
    <row r="42" spans="1:27">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c r="AA42" s="209"/>
    </row>
    <row r="43" spans="1:27" ht="15.75">
      <c r="A43" s="199" t="s">
        <v>207</v>
      </c>
      <c r="B43" s="420"/>
      <c r="C43" s="180" t="e">
        <f ca="1">'חישוב הלוואה'!J21</f>
        <v>#N/A</v>
      </c>
      <c r="D43" s="180" t="e">
        <f ca="1">'חישוב הלוואה'!J25</f>
        <v>#N/A</v>
      </c>
      <c r="E43" s="180" t="e">
        <f ca="1">'חישוב הלוואה'!J29</f>
        <v>#N/A</v>
      </c>
      <c r="F43" s="180" t="e">
        <f ca="1">'חישוב הלוואה'!J33</f>
        <v>#N/A</v>
      </c>
      <c r="G43" s="180" t="e">
        <f ca="1">'חישוב הלוואה'!J37</f>
        <v>#N/A</v>
      </c>
      <c r="H43" s="180" t="e">
        <f ca="1">'חישוב הלוואה'!J41</f>
        <v>#N/A</v>
      </c>
      <c r="I43" s="180" t="e">
        <f ca="1">'חישוב הלוואה'!J45</f>
        <v>#N/A</v>
      </c>
      <c r="J43" s="180" t="e">
        <f ca="1">'חישוב הלוואה'!J49</f>
        <v>#N/A</v>
      </c>
      <c r="K43" s="180" t="e">
        <f ca="1">'חישוב הלוואה'!J53</f>
        <v>#N/A</v>
      </c>
      <c r="L43" s="180" t="e">
        <f ca="1">'חישוב הלוואה'!J57</f>
        <v>#N/A</v>
      </c>
      <c r="M43" s="180" t="e">
        <f ca="1">'חישוב הלוואה'!J61</f>
        <v>#N/A</v>
      </c>
      <c r="N43" s="180" t="e">
        <f ca="1">'חישוב הלוואה'!J65</f>
        <v>#N/A</v>
      </c>
      <c r="O43" s="180" t="e">
        <f ca="1">'חישוב הלוואה'!J69</f>
        <v>#N/A</v>
      </c>
      <c r="P43" s="180" t="e">
        <f ca="1">'חישוב הלוואה'!J73</f>
        <v>#N/A</v>
      </c>
      <c r="Q43" s="180" t="e">
        <f ca="1">'חישוב הלוואה'!J77</f>
        <v>#N/A</v>
      </c>
      <c r="R43" s="180" t="e">
        <f ca="1">'חישוב הלוואה'!J81</f>
        <v>#N/A</v>
      </c>
      <c r="S43" s="180" t="e">
        <f ca="1">'חישוב הלוואה'!$J85</f>
        <v>#N/A</v>
      </c>
      <c r="T43" s="180" t="e">
        <f ca="1">'חישוב הלוואה'!$J89</f>
        <v>#N/A</v>
      </c>
      <c r="U43" s="180" t="e">
        <f ca="1">'חישוב הלוואה'!$J93</f>
        <v>#N/A</v>
      </c>
      <c r="V43" s="180" t="e">
        <f ca="1">'חישוב הלוואה'!$J97</f>
        <v>#N/A</v>
      </c>
      <c r="W43" s="180" t="e">
        <f ca="1">'חישוב הלוואה'!$J101</f>
        <v>#N/A</v>
      </c>
      <c r="X43" s="180" t="e">
        <f ca="1">'חישוב הלוואה'!$J105</f>
        <v>#N/A</v>
      </c>
      <c r="Y43" s="180" t="e">
        <f ca="1">'חישוב הלוואה'!$J109</f>
        <v>#N/A</v>
      </c>
      <c r="Z43" s="180" t="e">
        <f ca="1">'חישוב הלוואה'!$J113</f>
        <v>#N/A</v>
      </c>
      <c r="AA43" s="180" t="e">
        <f ca="1">'חישוב הלוואה'!$J117</f>
        <v>#N/A</v>
      </c>
    </row>
    <row r="44" spans="1:27" ht="15.75">
      <c r="A44" s="202" t="s">
        <v>362</v>
      </c>
      <c r="B44" s="210"/>
      <c r="C44" s="203" t="e">
        <f t="shared" ref="C44:AA44" ca="1" si="24">C40-C43</f>
        <v>#N/A</v>
      </c>
      <c r="D44" s="203" t="e">
        <f t="shared" ca="1" si="24"/>
        <v>#N/A</v>
      </c>
      <c r="E44" s="203" t="e">
        <f t="shared" ca="1" si="24"/>
        <v>#N/A</v>
      </c>
      <c r="F44" s="203" t="e">
        <f t="shared" ca="1" si="24"/>
        <v>#N/A</v>
      </c>
      <c r="G44" s="203" t="e">
        <f t="shared" ca="1" si="24"/>
        <v>#N/A</v>
      </c>
      <c r="H44" s="203" t="e">
        <f t="shared" ca="1" si="24"/>
        <v>#N/A</v>
      </c>
      <c r="I44" s="203" t="e">
        <f t="shared" ca="1" si="24"/>
        <v>#N/A</v>
      </c>
      <c r="J44" s="203" t="e">
        <f t="shared" ca="1" si="24"/>
        <v>#N/A</v>
      </c>
      <c r="K44" s="203" t="e">
        <f t="shared" ca="1" si="24"/>
        <v>#N/A</v>
      </c>
      <c r="L44" s="203" t="e">
        <f t="shared" ca="1" si="24"/>
        <v>#N/A</v>
      </c>
      <c r="M44" s="203" t="e">
        <f t="shared" ca="1" si="24"/>
        <v>#N/A</v>
      </c>
      <c r="N44" s="203" t="e">
        <f t="shared" ca="1" si="24"/>
        <v>#N/A</v>
      </c>
      <c r="O44" s="203" t="e">
        <f t="shared" ca="1" si="24"/>
        <v>#N/A</v>
      </c>
      <c r="P44" s="203" t="e">
        <f t="shared" ca="1" si="24"/>
        <v>#N/A</v>
      </c>
      <c r="Q44" s="203" t="e">
        <f t="shared" ca="1" si="24"/>
        <v>#N/A</v>
      </c>
      <c r="R44" s="203" t="e">
        <f t="shared" ca="1" si="24"/>
        <v>#N/A</v>
      </c>
      <c r="S44" s="203" t="e">
        <f t="shared" ca="1" si="24"/>
        <v>#N/A</v>
      </c>
      <c r="T44" s="203" t="e">
        <f t="shared" ca="1" si="24"/>
        <v>#N/A</v>
      </c>
      <c r="U44" s="203" t="e">
        <f t="shared" ca="1" si="24"/>
        <v>#N/A</v>
      </c>
      <c r="V44" s="203" t="e">
        <f t="shared" ca="1" si="24"/>
        <v>#N/A</v>
      </c>
      <c r="W44" s="203" t="e">
        <f t="shared" ca="1" si="24"/>
        <v>#N/A</v>
      </c>
      <c r="X44" s="203" t="e">
        <f t="shared" ca="1" si="24"/>
        <v>#N/A</v>
      </c>
      <c r="Y44" s="203" t="e">
        <f t="shared" ca="1" si="24"/>
        <v>#N/A</v>
      </c>
      <c r="Z44" s="203" t="e">
        <f t="shared" ca="1" si="24"/>
        <v>#N/A</v>
      </c>
      <c r="AA44" s="203" t="e">
        <f t="shared" ca="1" si="24"/>
        <v>#N/A</v>
      </c>
    </row>
    <row r="45" spans="1:27" ht="15.75">
      <c r="A45" s="199" t="s">
        <v>316</v>
      </c>
      <c r="C45" s="180" t="e">
        <f ca="1">C44</f>
        <v>#N/A</v>
      </c>
      <c r="D45" s="180" t="e">
        <f ca="1">C45+D44</f>
        <v>#N/A</v>
      </c>
      <c r="E45" s="180" t="e">
        <f t="shared" ref="E45:AA45" ca="1" si="25">D45+E44</f>
        <v>#N/A</v>
      </c>
      <c r="F45" s="180" t="e">
        <f t="shared" ca="1" si="25"/>
        <v>#N/A</v>
      </c>
      <c r="G45" s="180" t="e">
        <f t="shared" ca="1" si="25"/>
        <v>#N/A</v>
      </c>
      <c r="H45" s="180" t="e">
        <f t="shared" ca="1" si="25"/>
        <v>#N/A</v>
      </c>
      <c r="I45" s="180" t="e">
        <f t="shared" ca="1" si="25"/>
        <v>#N/A</v>
      </c>
      <c r="J45" s="180" t="e">
        <f t="shared" ca="1" si="25"/>
        <v>#N/A</v>
      </c>
      <c r="K45" s="180" t="e">
        <f t="shared" ca="1" si="25"/>
        <v>#N/A</v>
      </c>
      <c r="L45" s="180" t="e">
        <f t="shared" ca="1" si="25"/>
        <v>#N/A</v>
      </c>
      <c r="M45" s="180" t="e">
        <f t="shared" ca="1" si="25"/>
        <v>#N/A</v>
      </c>
      <c r="N45" s="180" t="e">
        <f t="shared" ca="1" si="25"/>
        <v>#N/A</v>
      </c>
      <c r="O45" s="180" t="e">
        <f t="shared" ca="1" si="25"/>
        <v>#N/A</v>
      </c>
      <c r="P45" s="180" t="e">
        <f t="shared" ca="1" si="25"/>
        <v>#N/A</v>
      </c>
      <c r="Q45" s="180" t="e">
        <f t="shared" ca="1" si="25"/>
        <v>#N/A</v>
      </c>
      <c r="R45" s="180" t="e">
        <f t="shared" ca="1" si="25"/>
        <v>#N/A</v>
      </c>
      <c r="S45" s="180" t="e">
        <f t="shared" ca="1" si="25"/>
        <v>#N/A</v>
      </c>
      <c r="T45" s="180" t="e">
        <f t="shared" ca="1" si="25"/>
        <v>#N/A</v>
      </c>
      <c r="U45" s="180" t="e">
        <f t="shared" ca="1" si="25"/>
        <v>#N/A</v>
      </c>
      <c r="V45" s="180" t="e">
        <f t="shared" ca="1" si="25"/>
        <v>#N/A</v>
      </c>
      <c r="W45" s="180" t="e">
        <f t="shared" ca="1" si="25"/>
        <v>#N/A</v>
      </c>
      <c r="X45" s="180" t="e">
        <f t="shared" ca="1" si="25"/>
        <v>#N/A</v>
      </c>
      <c r="Y45" s="180" t="e">
        <f t="shared" ca="1" si="25"/>
        <v>#N/A</v>
      </c>
      <c r="Z45" s="180" t="e">
        <f t="shared" ca="1" si="25"/>
        <v>#N/A</v>
      </c>
      <c r="AA45" s="180" t="e">
        <f t="shared" ca="1" si="25"/>
        <v>#N/A</v>
      </c>
    </row>
    <row r="46" spans="1:27" ht="15.75">
      <c r="A46" s="199"/>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row>
    <row r="47" spans="1:27" ht="15.75">
      <c r="A47" s="199" t="s">
        <v>373</v>
      </c>
      <c r="C47" s="209" t="e">
        <f ca="1">IF(C45&lt;0,0%,IF(C57&lt;3,0%,IF(AND('נתוני חברה'!$B$12="כן",C59&lt;10),C60,C58)))</f>
        <v>#N/A</v>
      </c>
      <c r="D47" s="209" t="e">
        <f ca="1">IF(D45&lt;0,0%,IF(D57&lt;3,0%,IF(AND('נתוני חברה'!$B$12="כן",D59&lt;10),D60,D58)))</f>
        <v>#N/A</v>
      </c>
      <c r="E47" s="209" t="e">
        <f ca="1">IF(E45&lt;0,0%,IF(E57&lt;3,0%,IF(AND('נתוני חברה'!$B$12="כן",E59&lt;10),E60,E58)))</f>
        <v>#N/A</v>
      </c>
      <c r="F47" s="209" t="e">
        <f ca="1">IF(F45&lt;0,0%,IF(F57&lt;3,0%,IF(AND('נתוני חברה'!$B$12="כן",F59&lt;10),F60,F58)))</f>
        <v>#N/A</v>
      </c>
      <c r="G47" s="209" t="e">
        <f ca="1">IF(G45&lt;0,0%,IF(G57&lt;3,0%,IF(AND('נתוני חברה'!$B$12="כן",G59&lt;10),G60,G58)))</f>
        <v>#N/A</v>
      </c>
      <c r="H47" s="209" t="e">
        <f ca="1">IF(H45&lt;0,0%,IF(H57&lt;3,0%,IF(AND('נתוני חברה'!$B$12="כן",H59&lt;10),H60,H58)))</f>
        <v>#N/A</v>
      </c>
      <c r="I47" s="209" t="e">
        <f ca="1">IF(I45&lt;0,0%,IF(I57&lt;3,0%,IF(AND('נתוני חברה'!$B$12="כן",I59&lt;10),I60,I58)))</f>
        <v>#N/A</v>
      </c>
      <c r="J47" s="209" t="e">
        <f ca="1">IF(J45&lt;0,0%,IF(J57&lt;3,0%,IF(AND('נתוני חברה'!$B$12="כן",J59&lt;10),J60,J58)))</f>
        <v>#N/A</v>
      </c>
      <c r="K47" s="209" t="e">
        <f ca="1">IF(K45&lt;0,0%,IF(K57&lt;3,0%,IF(AND('נתוני חברה'!$B$12="כן",K59&lt;10),K60,K58)))</f>
        <v>#N/A</v>
      </c>
      <c r="L47" s="209" t="e">
        <f ca="1">IF(L45&lt;0,0%,IF(L57&lt;3,0%,IF(AND('נתוני חברה'!$B$12="כן",L59&lt;10),L60,L58)))</f>
        <v>#N/A</v>
      </c>
      <c r="M47" s="209" t="e">
        <f ca="1">IF(M45&lt;0,0%,IF(M57&lt;3,0%,IF(AND('נתוני חברה'!$B$12="כן",M59&lt;10),M60,M58)))</f>
        <v>#N/A</v>
      </c>
      <c r="N47" s="209" t="e">
        <f ca="1">IF(N45&lt;0,0%,IF(N57&lt;3,0%,IF(AND('נתוני חברה'!$B$12="כן",N59&lt;10),N60,N58)))</f>
        <v>#N/A</v>
      </c>
      <c r="O47" s="209" t="e">
        <f ca="1">IF(O45&lt;0,0%,IF(O57&lt;3,0%,IF(AND('נתוני חברה'!$B$12="כן",O59&lt;10),O60,O58)))</f>
        <v>#N/A</v>
      </c>
      <c r="P47" s="209" t="e">
        <f ca="1">IF(P45&lt;0,0%,IF(P57&lt;3,0%,IF(AND('נתוני חברה'!$B$12="כן",P59&lt;10),P60,P58)))</f>
        <v>#N/A</v>
      </c>
      <c r="Q47" s="209" t="e">
        <f ca="1">IF(Q45&lt;0,0%,IF(Q57&lt;3,0%,IF(AND('נתוני חברה'!$B$12="כן",Q59&lt;10),Q60,Q58)))</f>
        <v>#N/A</v>
      </c>
      <c r="R47" s="209" t="e">
        <f ca="1">IF(R45&lt;0,0%,IF(R57&lt;3,0%,IF(AND('נתוני חברה'!$B$12="כן",R59&lt;10),R60,R58)))</f>
        <v>#N/A</v>
      </c>
      <c r="S47" s="209" t="e">
        <f ca="1">IF(S45&lt;0,0%,IF(S57&lt;3,0%,IF(AND('נתוני חברה'!$B$12="כן",S59&lt;10),S60,S58)))</f>
        <v>#N/A</v>
      </c>
      <c r="T47" s="209" t="e">
        <f ca="1">IF(T45&lt;0,0%,IF(T57&lt;3,0%,IF(AND('נתוני חברה'!$B$12="כן",T59&lt;10),T60,T58)))</f>
        <v>#N/A</v>
      </c>
      <c r="U47" s="209" t="e">
        <f ca="1">IF(U45&lt;0,0%,IF(U57&lt;3,0%,IF(AND('נתוני חברה'!$B$12="כן",U59&lt;10),U60,U58)))</f>
        <v>#N/A</v>
      </c>
      <c r="V47" s="209" t="e">
        <f ca="1">IF(V45&lt;0,0%,IF(V57&lt;3,0%,IF(AND('נתוני חברה'!$B$12="כן",V59&lt;10),V60,V58)))</f>
        <v>#N/A</v>
      </c>
      <c r="W47" s="209" t="e">
        <f ca="1">IF(W45&lt;0,0%,IF(W57&lt;3,0%,IF(AND('נתוני חברה'!$B$12="כן",W59&lt;10),W60,W58)))</f>
        <v>#N/A</v>
      </c>
      <c r="X47" s="209" t="e">
        <f ca="1">IF(X45&lt;0,0%,IF(X57&lt;3,0%,IF(AND('נתוני חברה'!$B$12="כן",X59&lt;10),X60,X58)))</f>
        <v>#N/A</v>
      </c>
      <c r="Y47" s="209" t="e">
        <f ca="1">IF(Y45&lt;0,0%,IF(Y57&lt;3,0%,IF(AND('נתוני חברה'!$B$12="כן",Y59&lt;10),Y60,Y58)))</f>
        <v>#N/A</v>
      </c>
      <c r="Z47" s="209" t="e">
        <f ca="1">IF(Z45&lt;0,0%,IF(Z57&lt;3,0%,IF(AND('נתוני חברה'!$B$12="כן",Z59&lt;10),Z60,Z58)))</f>
        <v>#N/A</v>
      </c>
      <c r="AA47" s="209" t="e">
        <f ca="1">IF(AA45&lt;0,0%,IF(AA57&lt;3,0%,IF(AND('נתוני חברה'!$B$12="כן",AA59&lt;10),AA60,AA58)))</f>
        <v>#N/A</v>
      </c>
    </row>
    <row r="48" spans="1:27" ht="15.75">
      <c r="A48" s="199" t="s">
        <v>208</v>
      </c>
      <c r="B48" s="420"/>
      <c r="C48" s="180" t="e">
        <f t="shared" ref="C48:AA48" ca="1" si="26">C47*C44</f>
        <v>#N/A</v>
      </c>
      <c r="D48" s="180" t="e">
        <f t="shared" ca="1" si="26"/>
        <v>#N/A</v>
      </c>
      <c r="E48" s="180" t="e">
        <f t="shared" ca="1" si="26"/>
        <v>#N/A</v>
      </c>
      <c r="F48" s="180" t="e">
        <f t="shared" ca="1" si="26"/>
        <v>#N/A</v>
      </c>
      <c r="G48" s="180" t="e">
        <f t="shared" ca="1" si="26"/>
        <v>#N/A</v>
      </c>
      <c r="H48" s="180" t="e">
        <f t="shared" ca="1" si="26"/>
        <v>#N/A</v>
      </c>
      <c r="I48" s="180" t="e">
        <f t="shared" ca="1" si="26"/>
        <v>#N/A</v>
      </c>
      <c r="J48" s="180" t="e">
        <f t="shared" ca="1" si="26"/>
        <v>#N/A</v>
      </c>
      <c r="K48" s="180" t="e">
        <f t="shared" ca="1" si="26"/>
        <v>#N/A</v>
      </c>
      <c r="L48" s="180" t="e">
        <f t="shared" ca="1" si="26"/>
        <v>#N/A</v>
      </c>
      <c r="M48" s="180" t="e">
        <f t="shared" ca="1" si="26"/>
        <v>#N/A</v>
      </c>
      <c r="N48" s="180" t="e">
        <f t="shared" ca="1" si="26"/>
        <v>#N/A</v>
      </c>
      <c r="O48" s="180" t="e">
        <f t="shared" ca="1" si="26"/>
        <v>#N/A</v>
      </c>
      <c r="P48" s="180" t="e">
        <f t="shared" ca="1" si="26"/>
        <v>#N/A</v>
      </c>
      <c r="Q48" s="180" t="e">
        <f t="shared" ca="1" si="26"/>
        <v>#N/A</v>
      </c>
      <c r="R48" s="180" t="e">
        <f t="shared" ca="1" si="26"/>
        <v>#N/A</v>
      </c>
      <c r="S48" s="180" t="e">
        <f t="shared" ca="1" si="26"/>
        <v>#N/A</v>
      </c>
      <c r="T48" s="180" t="e">
        <f t="shared" ca="1" si="26"/>
        <v>#N/A</v>
      </c>
      <c r="U48" s="180" t="e">
        <f t="shared" ca="1" si="26"/>
        <v>#N/A</v>
      </c>
      <c r="V48" s="180" t="e">
        <f t="shared" ca="1" si="26"/>
        <v>#N/A</v>
      </c>
      <c r="W48" s="180" t="e">
        <f t="shared" ca="1" si="26"/>
        <v>#N/A</v>
      </c>
      <c r="X48" s="180" t="e">
        <f t="shared" ca="1" si="26"/>
        <v>#N/A</v>
      </c>
      <c r="Y48" s="180" t="e">
        <f t="shared" ca="1" si="26"/>
        <v>#N/A</v>
      </c>
      <c r="Z48" s="180" t="e">
        <f t="shared" ca="1" si="26"/>
        <v>#N/A</v>
      </c>
      <c r="AA48" s="180" t="e">
        <f t="shared" ca="1" si="26"/>
        <v>#N/A</v>
      </c>
    </row>
    <row r="49" spans="1:27" ht="15.75">
      <c r="A49" s="202" t="s">
        <v>363</v>
      </c>
      <c r="B49" s="210"/>
      <c r="C49" s="203" t="e">
        <f t="shared" ref="C49:AA49" ca="1" si="27">C44-C48</f>
        <v>#N/A</v>
      </c>
      <c r="D49" s="203" t="e">
        <f t="shared" ca="1" si="27"/>
        <v>#N/A</v>
      </c>
      <c r="E49" s="203" t="e">
        <f t="shared" ca="1" si="27"/>
        <v>#N/A</v>
      </c>
      <c r="F49" s="203" t="e">
        <f t="shared" ca="1" si="27"/>
        <v>#N/A</v>
      </c>
      <c r="G49" s="203" t="e">
        <f t="shared" ca="1" si="27"/>
        <v>#N/A</v>
      </c>
      <c r="H49" s="203" t="e">
        <f t="shared" ca="1" si="27"/>
        <v>#N/A</v>
      </c>
      <c r="I49" s="203" t="e">
        <f t="shared" ca="1" si="27"/>
        <v>#N/A</v>
      </c>
      <c r="J49" s="203" t="e">
        <f t="shared" ca="1" si="27"/>
        <v>#N/A</v>
      </c>
      <c r="K49" s="203" t="e">
        <f t="shared" ca="1" si="27"/>
        <v>#N/A</v>
      </c>
      <c r="L49" s="203" t="e">
        <f t="shared" ca="1" si="27"/>
        <v>#N/A</v>
      </c>
      <c r="M49" s="203" t="e">
        <f t="shared" ca="1" si="27"/>
        <v>#N/A</v>
      </c>
      <c r="N49" s="203" t="e">
        <f t="shared" ca="1" si="27"/>
        <v>#N/A</v>
      </c>
      <c r="O49" s="203" t="e">
        <f t="shared" ca="1" si="27"/>
        <v>#N/A</v>
      </c>
      <c r="P49" s="203" t="e">
        <f t="shared" ca="1" si="27"/>
        <v>#N/A</v>
      </c>
      <c r="Q49" s="203" t="e">
        <f t="shared" ca="1" si="27"/>
        <v>#N/A</v>
      </c>
      <c r="R49" s="203" t="e">
        <f t="shared" ca="1" si="27"/>
        <v>#N/A</v>
      </c>
      <c r="S49" s="203" t="e">
        <f t="shared" ca="1" si="27"/>
        <v>#N/A</v>
      </c>
      <c r="T49" s="203" t="e">
        <f t="shared" ca="1" si="27"/>
        <v>#N/A</v>
      </c>
      <c r="U49" s="203" t="e">
        <f t="shared" ca="1" si="27"/>
        <v>#N/A</v>
      </c>
      <c r="V49" s="203" t="e">
        <f t="shared" ca="1" si="27"/>
        <v>#N/A</v>
      </c>
      <c r="W49" s="203" t="e">
        <f t="shared" ca="1" si="27"/>
        <v>#N/A</v>
      </c>
      <c r="X49" s="203" t="e">
        <f t="shared" ca="1" si="27"/>
        <v>#N/A</v>
      </c>
      <c r="Y49" s="203" t="e">
        <f t="shared" ca="1" si="27"/>
        <v>#N/A</v>
      </c>
      <c r="Z49" s="203" t="e">
        <f t="shared" ca="1" si="27"/>
        <v>#N/A</v>
      </c>
      <c r="AA49" s="203" t="e">
        <f t="shared" ca="1" si="27"/>
        <v>#N/A</v>
      </c>
    </row>
    <row r="50" spans="1:27" ht="15.75">
      <c r="A50" s="199"/>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row>
    <row r="51" spans="1:27"/>
    <row r="52" spans="1:27"/>
    <row r="53" spans="1:27"/>
    <row r="54" spans="1:27"/>
    <row r="56" spans="1:27" hidden="1">
      <c r="B56" t="s">
        <v>497</v>
      </c>
      <c r="C56" t="e">
        <f ca="1">IF(C45&gt;0,1,0)</f>
        <v>#N/A</v>
      </c>
      <c r="D56" t="e">
        <f ca="1">IF(AND(D45&gt;0,D45&gt;C45),1,0)</f>
        <v>#N/A</v>
      </c>
      <c r="E56" t="e">
        <f t="shared" ref="E56:AA56" ca="1" si="28">IF(AND(E45&gt;0,E45&gt;D45),1,0)</f>
        <v>#N/A</v>
      </c>
      <c r="F56" t="e">
        <f t="shared" ca="1" si="28"/>
        <v>#N/A</v>
      </c>
      <c r="G56" t="e">
        <f t="shared" ca="1" si="28"/>
        <v>#N/A</v>
      </c>
      <c r="H56" t="e">
        <f t="shared" ca="1" si="28"/>
        <v>#N/A</v>
      </c>
      <c r="I56" t="e">
        <f t="shared" ca="1" si="28"/>
        <v>#N/A</v>
      </c>
      <c r="J56" t="e">
        <f t="shared" ca="1" si="28"/>
        <v>#N/A</v>
      </c>
      <c r="K56" t="e">
        <f t="shared" ca="1" si="28"/>
        <v>#N/A</v>
      </c>
      <c r="L56" t="e">
        <f t="shared" ca="1" si="28"/>
        <v>#N/A</v>
      </c>
      <c r="M56" t="e">
        <f t="shared" ca="1" si="28"/>
        <v>#N/A</v>
      </c>
      <c r="N56" t="e">
        <f t="shared" ca="1" si="28"/>
        <v>#N/A</v>
      </c>
      <c r="O56" t="e">
        <f t="shared" ca="1" si="28"/>
        <v>#N/A</v>
      </c>
      <c r="P56" t="e">
        <f t="shared" ca="1" si="28"/>
        <v>#N/A</v>
      </c>
      <c r="Q56" t="e">
        <f t="shared" ca="1" si="28"/>
        <v>#N/A</v>
      </c>
      <c r="R56" t="e">
        <f t="shared" ca="1" si="28"/>
        <v>#N/A</v>
      </c>
      <c r="S56" t="e">
        <f t="shared" ca="1" si="28"/>
        <v>#N/A</v>
      </c>
      <c r="T56" t="e">
        <f t="shared" ca="1" si="28"/>
        <v>#N/A</v>
      </c>
      <c r="U56" t="e">
        <f t="shared" ca="1" si="28"/>
        <v>#N/A</v>
      </c>
      <c r="V56" t="e">
        <f t="shared" ca="1" si="28"/>
        <v>#N/A</v>
      </c>
      <c r="W56" t="e">
        <f t="shared" ca="1" si="28"/>
        <v>#N/A</v>
      </c>
      <c r="X56" t="e">
        <f t="shared" ca="1" si="28"/>
        <v>#N/A</v>
      </c>
      <c r="Y56" t="e">
        <f t="shared" ca="1" si="28"/>
        <v>#N/A</v>
      </c>
      <c r="Z56" t="e">
        <f t="shared" ca="1" si="28"/>
        <v>#N/A</v>
      </c>
      <c r="AA56" t="e">
        <f t="shared" ca="1" si="28"/>
        <v>#N/A</v>
      </c>
    </row>
    <row r="57" spans="1:27" hidden="1">
      <c r="B57" t="s">
        <v>498</v>
      </c>
      <c r="C57" t="e">
        <f ca="1">C56</f>
        <v>#N/A</v>
      </c>
      <c r="D57" t="e">
        <f ca="1">C57+D56</f>
        <v>#N/A</v>
      </c>
      <c r="E57" t="e">
        <f t="shared" ref="E57:AA57" ca="1" si="29">D57+E56</f>
        <v>#N/A</v>
      </c>
      <c r="F57" t="e">
        <f t="shared" ca="1" si="29"/>
        <v>#N/A</v>
      </c>
      <c r="G57" t="e">
        <f t="shared" ca="1" si="29"/>
        <v>#N/A</v>
      </c>
      <c r="H57" t="e">
        <f t="shared" ca="1" si="29"/>
        <v>#N/A</v>
      </c>
      <c r="I57" t="e">
        <f t="shared" ca="1" si="29"/>
        <v>#N/A</v>
      </c>
      <c r="J57" t="e">
        <f t="shared" ca="1" si="29"/>
        <v>#N/A</v>
      </c>
      <c r="K57" t="e">
        <f t="shared" ca="1" si="29"/>
        <v>#N/A</v>
      </c>
      <c r="L57" t="e">
        <f t="shared" ca="1" si="29"/>
        <v>#N/A</v>
      </c>
      <c r="M57" t="e">
        <f t="shared" ca="1" si="29"/>
        <v>#N/A</v>
      </c>
      <c r="N57" t="e">
        <f t="shared" ca="1" si="29"/>
        <v>#N/A</v>
      </c>
      <c r="O57" t="e">
        <f t="shared" ca="1" si="29"/>
        <v>#N/A</v>
      </c>
      <c r="P57" t="e">
        <f t="shared" ca="1" si="29"/>
        <v>#N/A</v>
      </c>
      <c r="Q57" t="e">
        <f t="shared" ca="1" si="29"/>
        <v>#N/A</v>
      </c>
      <c r="R57" t="e">
        <f t="shared" ca="1" si="29"/>
        <v>#N/A</v>
      </c>
      <c r="S57" t="e">
        <f t="shared" ca="1" si="29"/>
        <v>#N/A</v>
      </c>
      <c r="T57" t="e">
        <f t="shared" ca="1" si="29"/>
        <v>#N/A</v>
      </c>
      <c r="U57" t="e">
        <f t="shared" ca="1" si="29"/>
        <v>#N/A</v>
      </c>
      <c r="V57" t="e">
        <f t="shared" ca="1" si="29"/>
        <v>#N/A</v>
      </c>
      <c r="W57" t="e">
        <f t="shared" ca="1" si="29"/>
        <v>#N/A</v>
      </c>
      <c r="X57" t="e">
        <f t="shared" ca="1" si="29"/>
        <v>#N/A</v>
      </c>
      <c r="Y57" t="e">
        <f t="shared" ca="1" si="29"/>
        <v>#N/A</v>
      </c>
      <c r="Z57" t="e">
        <f t="shared" ca="1" si="29"/>
        <v>#N/A</v>
      </c>
      <c r="AA57" t="e">
        <f t="shared" ca="1" si="29"/>
        <v>#N/A</v>
      </c>
    </row>
    <row r="58" spans="1:27" hidden="1">
      <c r="B58" t="s">
        <v>491</v>
      </c>
      <c r="C58" s="209" t="e">
        <f>VLOOKUP(C1,טבלה1[],2)</f>
        <v>#N/A</v>
      </c>
      <c r="D58" s="209" t="e">
        <f>VLOOKUP(D1,טבלה1[],2)</f>
        <v>#N/A</v>
      </c>
      <c r="E58" s="209" t="e">
        <f>VLOOKUP(E1,טבלה1[],2)</f>
        <v>#N/A</v>
      </c>
      <c r="F58" s="209" t="e">
        <f>VLOOKUP(F1,טבלה1[],2)</f>
        <v>#N/A</v>
      </c>
      <c r="G58" s="209" t="e">
        <f>VLOOKUP(G1,טבלה1[],2)</f>
        <v>#N/A</v>
      </c>
      <c r="H58" s="209" t="e">
        <f>VLOOKUP(H1,טבלה1[],2)</f>
        <v>#N/A</v>
      </c>
      <c r="I58" s="209" t="e">
        <f>VLOOKUP(I1,טבלה1[],2)</f>
        <v>#N/A</v>
      </c>
      <c r="J58" s="209" t="e">
        <f>VLOOKUP(J1,טבלה1[],2)</f>
        <v>#N/A</v>
      </c>
      <c r="K58" s="209" t="e">
        <f>VLOOKUP(K1,טבלה1[],2)</f>
        <v>#N/A</v>
      </c>
      <c r="L58" s="209" t="e">
        <f>VLOOKUP(L1,טבלה1[],2)</f>
        <v>#N/A</v>
      </c>
      <c r="M58" s="209" t="e">
        <f>VLOOKUP(M1,טבלה1[],2)</f>
        <v>#N/A</v>
      </c>
      <c r="N58" s="209" t="e">
        <f>VLOOKUP(N1,טבלה1[],2)</f>
        <v>#N/A</v>
      </c>
      <c r="O58" s="209" t="e">
        <f>VLOOKUP(O1,טבלה1[],2)</f>
        <v>#N/A</v>
      </c>
      <c r="P58" s="209" t="e">
        <f>VLOOKUP(P1,טבלה1[],2)</f>
        <v>#N/A</v>
      </c>
      <c r="Q58" s="209" t="e">
        <f>VLOOKUP(Q1,טבלה1[],2)</f>
        <v>#N/A</v>
      </c>
      <c r="R58" s="209" t="e">
        <f>VLOOKUP(R1,טבלה1[],2)</f>
        <v>#N/A</v>
      </c>
      <c r="S58" s="209" t="e">
        <f>VLOOKUP(S1,טבלה1[],2)</f>
        <v>#N/A</v>
      </c>
      <c r="T58" s="209" t="e">
        <f>VLOOKUP(T1,טבלה1[],2)</f>
        <v>#N/A</v>
      </c>
      <c r="U58" s="209" t="e">
        <f>VLOOKUP(U1,טבלה1[],2)</f>
        <v>#N/A</v>
      </c>
      <c r="V58" s="209" t="e">
        <f>VLOOKUP(V1,טבלה1[],2)</f>
        <v>#N/A</v>
      </c>
      <c r="W58" s="209" t="e">
        <f>VLOOKUP(W1,טבלה1[],2)</f>
        <v>#N/A</v>
      </c>
      <c r="X58" s="209" t="e">
        <f>VLOOKUP(X1,טבלה1[],2)</f>
        <v>#N/A</v>
      </c>
      <c r="Y58" s="209" t="e">
        <f>VLOOKUP(Y1,טבלה1[],2)</f>
        <v>#N/A</v>
      </c>
      <c r="Z58" s="209" t="e">
        <f>VLOOKUP(Z1,טבלה1[],2)</f>
        <v>#N/A</v>
      </c>
      <c r="AA58" s="209" t="e">
        <f>VLOOKUP(AA1,טבלה1[],2)</f>
        <v>#N/A</v>
      </c>
    </row>
    <row r="59" spans="1:27" hidden="1">
      <c r="B59" t="s">
        <v>419</v>
      </c>
      <c r="C59">
        <v>1</v>
      </c>
      <c r="D59">
        <v>2</v>
      </c>
      <c r="E59">
        <v>3</v>
      </c>
      <c r="F59">
        <v>4</v>
      </c>
      <c r="G59">
        <v>5</v>
      </c>
      <c r="H59">
        <v>6</v>
      </c>
      <c r="I59">
        <v>7</v>
      </c>
      <c r="J59">
        <v>8</v>
      </c>
      <c r="K59">
        <v>9</v>
      </c>
      <c r="L59">
        <v>10</v>
      </c>
      <c r="M59">
        <v>11</v>
      </c>
      <c r="N59">
        <v>12</v>
      </c>
      <c r="O59">
        <v>13</v>
      </c>
      <c r="P59">
        <v>14</v>
      </c>
      <c r="Q59">
        <v>15</v>
      </c>
      <c r="R59">
        <v>16</v>
      </c>
      <c r="S59">
        <v>17</v>
      </c>
      <c r="T59">
        <v>18</v>
      </c>
      <c r="U59">
        <v>19</v>
      </c>
      <c r="V59">
        <v>20</v>
      </c>
      <c r="W59">
        <v>21</v>
      </c>
      <c r="X59">
        <v>22</v>
      </c>
      <c r="Y59">
        <v>23</v>
      </c>
      <c r="Z59">
        <v>24</v>
      </c>
      <c r="AA59">
        <v>25</v>
      </c>
    </row>
    <row r="60" spans="1:27" hidden="1">
      <c r="B60" t="s">
        <v>608</v>
      </c>
      <c r="C60" t="e">
        <f>IF('נתוני חברה'!$F$30&lt;מנהל!$B$119,C58,IF(AND('נתוני חברה'!$F$30&gt;מנהל!$B$119,'נתוני חברה'!$F$30&lt;מנהל!$B$120,C58&gt;מנהל!$C$120),מנהל!$C$120,IF(AND('נתוני חברה'!$F$30&gt;מנהל!$B$120,'נתוני חברה'!$F$30&lt;מנהל!$B$121),מנהל!$C$121,IF('נתוני חברה'!$F$30&gt;מנהל!$B$121,מנהל!$C$122,C58))))</f>
        <v>#N/A</v>
      </c>
      <c r="D60" t="e">
        <f>IF('נתוני חברה'!$F$30&lt;מנהל!$B$119,D58,IF(AND('נתוני חברה'!$F$30&gt;מנהל!$B$119,'נתוני חברה'!$F$30&lt;מנהל!$B$120,D58&gt;מנהל!$C$120),מנהל!$C$120,IF(AND('נתוני חברה'!$F$30&gt;מנהל!$B$120,'נתוני חברה'!$F$30&lt;מנהל!$B$121),מנהל!$C$121,IF('נתוני חברה'!$F$30&gt;מנהל!$B$121,מנהל!$C$122,D58))))</f>
        <v>#N/A</v>
      </c>
      <c r="E60" t="e">
        <f>IF('נתוני חברה'!$F$30&lt;מנהל!$B$119,E58,IF(AND('נתוני חברה'!$F$30&gt;מנהל!$B$119,'נתוני חברה'!$F$30&lt;מנהל!$B$120,E58&gt;מנהל!$C$120),מנהל!$C$120,IF(AND('נתוני חברה'!$F$30&gt;מנהל!$B$120,'נתוני חברה'!$F$30&lt;מנהל!$B$121),מנהל!$C$121,IF('נתוני חברה'!$F$30&gt;מנהל!$B$121,מנהל!$C$122,E58))))</f>
        <v>#N/A</v>
      </c>
      <c r="F60" t="e">
        <f>IF('נתוני חברה'!$F$30&lt;מנהל!$B$119,F58,IF(AND('נתוני חברה'!$F$30&gt;מנהל!$B$119,'נתוני חברה'!$F$30&lt;מנהל!$B$120,F58&gt;מנהל!$C$120),מנהל!$C$120,IF(AND('נתוני חברה'!$F$30&gt;מנהל!$B$120,'נתוני חברה'!$F$30&lt;מנהל!$B$121),מנהל!$C$121,IF('נתוני חברה'!$F$30&gt;מנהל!$B$121,מנהל!$C$122,F58))))</f>
        <v>#N/A</v>
      </c>
      <c r="G60" t="e">
        <f>IF('נתוני חברה'!$F$30&lt;מנהל!$B$119,G58,IF(AND('נתוני חברה'!$F$30&gt;מנהל!$B$119,'נתוני חברה'!$F$30&lt;מנהל!$B$120,G58&gt;מנהל!$C$120),מנהל!$C$120,IF(AND('נתוני חברה'!$F$30&gt;מנהל!$B$120,'נתוני חברה'!$F$30&lt;מנהל!$B$121),מנהל!$C$121,IF('נתוני חברה'!$F$30&gt;מנהל!$B$121,מנהל!$C$122,G58))))</f>
        <v>#N/A</v>
      </c>
      <c r="H60" t="e">
        <f>IF('נתוני חברה'!$F$30&lt;מנהל!$B$119,H58,IF(AND('נתוני חברה'!$F$30&gt;מנהל!$B$119,'נתוני חברה'!$F$30&lt;מנהל!$B$120,H58&gt;מנהל!$C$120),מנהל!$C$120,IF(AND('נתוני חברה'!$F$30&gt;מנהל!$B$120,'נתוני חברה'!$F$30&lt;מנהל!$B$121),מנהל!$C$121,IF('נתוני חברה'!$F$30&gt;מנהל!$B$121,מנהל!$C$122,H58))))</f>
        <v>#N/A</v>
      </c>
      <c r="I60" t="e">
        <f>IF('נתוני חברה'!$F$30&lt;מנהל!$B$119,I58,IF(AND('נתוני חברה'!$F$30&gt;מנהל!$B$119,'נתוני חברה'!$F$30&lt;מנהל!$B$120,I58&gt;מנהל!$C$120),מנהל!$C$120,IF(AND('נתוני חברה'!$F$30&gt;מנהל!$B$120,'נתוני חברה'!$F$30&lt;מנהל!$B$121),מנהל!$C$121,IF('נתוני חברה'!$F$30&gt;מנהל!$B$121,מנהל!$C$122,I58))))</f>
        <v>#N/A</v>
      </c>
      <c r="J60" t="e">
        <f>IF('נתוני חברה'!$F$30&lt;מנהל!$B$119,J58,IF(AND('נתוני חברה'!$F$30&gt;מנהל!$B$119,'נתוני חברה'!$F$30&lt;מנהל!$B$120,J58&gt;מנהל!$C$120),מנהל!$C$120,IF(AND('נתוני חברה'!$F$30&gt;מנהל!$B$120,'נתוני חברה'!$F$30&lt;מנהל!$B$121),מנהל!$C$121,IF('נתוני חברה'!$F$30&gt;מנהל!$B$121,מנהל!$C$122,J58))))</f>
        <v>#N/A</v>
      </c>
      <c r="K60" t="e">
        <f>IF('נתוני חברה'!$F$30&lt;מנהל!$B$119,K58,IF(AND('נתוני חברה'!$F$30&gt;מנהל!$B$119,'נתוני חברה'!$F$30&lt;מנהל!$B$120,K58&gt;מנהל!$C$120),מנהל!$C$120,IF(AND('נתוני חברה'!$F$30&gt;מנהל!$B$120,'נתוני חברה'!$F$30&lt;מנהל!$B$121),מנהל!$C$121,IF('נתוני חברה'!$F$30&gt;מנהל!$B$121,מנהל!$C$122,K58))))</f>
        <v>#N/A</v>
      </c>
      <c r="L60" t="e">
        <f>IF('נתוני חברה'!$F$30&lt;מנהל!$B$119,L58,IF(AND('נתוני חברה'!$F$30&gt;מנהל!$B$119,'נתוני חברה'!$F$30&lt;מנהל!$B$120,L58&gt;מנהל!$C$120),מנהל!$C$120,IF(AND('נתוני חברה'!$F$30&gt;מנהל!$B$120,'נתוני חברה'!$F$30&lt;מנהל!$B$121),מנהל!$C$121,IF('נתוני חברה'!$F$30&gt;מנהל!$B$121,מנהל!$C$122,L58))))</f>
        <v>#N/A</v>
      </c>
      <c r="M60" t="e">
        <f>IF('נתוני חברה'!$F$30&lt;מנהל!$B$119,M58,IF(AND('נתוני חברה'!$F$30&gt;מנהל!$B$119,'נתוני חברה'!$F$30&lt;מנהל!$B$120,M58&gt;מנהל!$C$120),מנהל!$C$120,IF(AND('נתוני חברה'!$F$30&gt;מנהל!$B$120,'נתוני חברה'!$F$30&lt;מנהל!$B$121),מנהל!$C$121,IF('נתוני חברה'!$F$30&gt;מנהל!$B$121,מנהל!$C$122,M58))))</f>
        <v>#N/A</v>
      </c>
      <c r="N60" t="e">
        <f>IF('נתוני חברה'!$F$30&lt;מנהל!$B$119,N58,IF(AND('נתוני חברה'!$F$30&gt;מנהל!$B$119,'נתוני חברה'!$F$30&lt;מנהל!$B$120,N58&gt;מנהל!$C$120),מנהל!$C$120,IF(AND('נתוני חברה'!$F$30&gt;מנהל!$B$120,'נתוני חברה'!$F$30&lt;מנהל!$B$121),מנהל!$C$121,IF('נתוני חברה'!$F$30&gt;מנהל!$B$121,מנהל!$C$122,N58))))</f>
        <v>#N/A</v>
      </c>
      <c r="O60" t="e">
        <f>IF('נתוני חברה'!$F$30&lt;מנהל!$B$119,O58,IF(AND('נתוני חברה'!$F$30&gt;מנהל!$B$119,'נתוני חברה'!$F$30&lt;מנהל!$B$120,O58&gt;מנהל!$C$120),מנהל!$C$120,IF(AND('נתוני חברה'!$F$30&gt;מנהל!$B$120,'נתוני חברה'!$F$30&lt;מנהל!$B$121),מנהל!$C$121,IF('נתוני חברה'!$F$30&gt;מנהל!$B$121,מנהל!$C$122,O58))))</f>
        <v>#N/A</v>
      </c>
      <c r="P60" t="e">
        <f>IF('נתוני חברה'!$F$30&lt;מנהל!$B$119,P58,IF(AND('נתוני חברה'!$F$30&gt;מנהל!$B$119,'נתוני חברה'!$F$30&lt;מנהל!$B$120,P58&gt;מנהל!$C$120),מנהל!$C$120,IF(AND('נתוני חברה'!$F$30&gt;מנהל!$B$120,'נתוני חברה'!$F$30&lt;מנהל!$B$121),מנהל!$C$121,IF('נתוני חברה'!$F$30&gt;מנהל!$B$121,מנהל!$C$122,P58))))</f>
        <v>#N/A</v>
      </c>
      <c r="Q60" t="e">
        <f>IF('נתוני חברה'!$F$30&lt;מנהל!$B$119,Q58,IF(AND('נתוני חברה'!$F$30&gt;מנהל!$B$119,'נתוני חברה'!$F$30&lt;מנהל!$B$120,Q58&gt;מנהל!$C$120),מנהל!$C$120,IF(AND('נתוני חברה'!$F$30&gt;מנהל!$B$120,'נתוני חברה'!$F$30&lt;מנהל!$B$121),מנהל!$C$121,IF('נתוני חברה'!$F$30&gt;מנהל!$B$121,מנהל!$C$122,Q58))))</f>
        <v>#N/A</v>
      </c>
      <c r="R60" t="e">
        <f>IF('נתוני חברה'!$F$30&lt;מנהל!$B$119,R58,IF(AND('נתוני חברה'!$F$30&gt;מנהל!$B$119,'נתוני חברה'!$F$30&lt;מנהל!$B$120,R58&gt;מנהל!$C$120),מנהל!$C$120,IF(AND('נתוני חברה'!$F$30&gt;מנהל!$B$120,'נתוני חברה'!$F$30&lt;מנהל!$B$121),מנהל!$C$121,IF('נתוני חברה'!$F$30&gt;מנהל!$B$121,מנהל!$C$122,R58))))</f>
        <v>#N/A</v>
      </c>
      <c r="S60" t="e">
        <f>IF('נתוני חברה'!$F$30&lt;מנהל!$B$119,S58,IF(AND('נתוני חברה'!$F$30&gt;מנהל!$B$119,'נתוני חברה'!$F$30&lt;מנהל!$B$120,S58&gt;מנהל!$C$120),מנהל!$C$120,IF(AND('נתוני חברה'!$F$30&gt;מנהל!$B$120,'נתוני חברה'!$F$30&lt;מנהל!$B$121),מנהל!$C$121,IF('נתוני חברה'!$F$30&gt;מנהל!$B$121,מנהל!$C$122,S58))))</f>
        <v>#N/A</v>
      </c>
      <c r="T60" t="e">
        <f>IF('נתוני חברה'!$F$30&lt;מנהל!$B$119,T58,IF(AND('נתוני חברה'!$F$30&gt;מנהל!$B$119,'נתוני חברה'!$F$30&lt;מנהל!$B$120,T58&gt;מנהל!$C$120),מנהל!$C$120,IF(AND('נתוני חברה'!$F$30&gt;מנהל!$B$120,'נתוני חברה'!$F$30&lt;מנהל!$B$121),מנהל!$C$121,IF('נתוני חברה'!$F$30&gt;מנהל!$B$121,מנהל!$C$122,T58))))</f>
        <v>#N/A</v>
      </c>
      <c r="U60" t="e">
        <f>IF('נתוני חברה'!$F$30&lt;מנהל!$B$119,U58,IF(AND('נתוני חברה'!$F$30&gt;מנהל!$B$119,'נתוני חברה'!$F$30&lt;מנהל!$B$120,U58&gt;מנהל!$C$120),מנהל!$C$120,IF(AND('נתוני חברה'!$F$30&gt;מנהל!$B$120,'נתוני חברה'!$F$30&lt;מנהל!$B$121),מנהל!$C$121,IF('נתוני חברה'!$F$30&gt;מנהל!$B$121,מנהל!$C$122,U58))))</f>
        <v>#N/A</v>
      </c>
      <c r="V60" t="e">
        <f>IF('נתוני חברה'!$F$30&lt;מנהל!$B$119,V58,IF(AND('נתוני חברה'!$F$30&gt;מנהל!$B$119,'נתוני חברה'!$F$30&lt;מנהל!$B$120,V58&gt;מנהל!$C$120),מנהל!$C$120,IF(AND('נתוני חברה'!$F$30&gt;מנהל!$B$120,'נתוני חברה'!$F$30&lt;מנהל!$B$121),מנהל!$C$121,IF('נתוני חברה'!$F$30&gt;מנהל!$B$121,מנהל!$C$122,V58))))</f>
        <v>#N/A</v>
      </c>
      <c r="W60" t="e">
        <f>IF('נתוני חברה'!$F$30&lt;מנהל!$B$119,W58,IF(AND('נתוני חברה'!$F$30&gt;מנהל!$B$119,'נתוני חברה'!$F$30&lt;מנהל!$B$120,W58&gt;מנהל!$C$120),מנהל!$C$120,IF(AND('נתוני חברה'!$F$30&gt;מנהל!$B$120,'נתוני חברה'!$F$30&lt;מנהל!$B$121),מנהל!$C$121,IF('נתוני חברה'!$F$30&gt;מנהל!$B$121,מנהל!$C$122,W58))))</f>
        <v>#N/A</v>
      </c>
      <c r="X60" t="e">
        <f>IF('נתוני חברה'!$F$30&lt;מנהל!$B$119,X58,IF(AND('נתוני חברה'!$F$30&gt;מנהל!$B$119,'נתוני חברה'!$F$30&lt;מנהל!$B$120,X58&gt;מנהל!$C$120),מנהל!$C$120,IF(AND('נתוני חברה'!$F$30&gt;מנהל!$B$120,'נתוני חברה'!$F$30&lt;מנהל!$B$121),מנהל!$C$121,IF('נתוני חברה'!$F$30&gt;מנהל!$B$121,מנהל!$C$122,X58))))</f>
        <v>#N/A</v>
      </c>
      <c r="Y60" t="e">
        <f>IF('נתוני חברה'!$F$30&lt;מנהל!$B$119,Y58,IF(AND('נתוני חברה'!$F$30&gt;מנהל!$B$119,'נתוני חברה'!$F$30&lt;מנהל!$B$120,Y58&gt;מנהל!$C$120),מנהל!$C$120,IF(AND('נתוני חברה'!$F$30&gt;מנהל!$B$120,'נתוני חברה'!$F$30&lt;מנהל!$B$121),מנהל!$C$121,IF('נתוני חברה'!$F$30&gt;מנהל!$B$121,מנהל!$C$122,Y58))))</f>
        <v>#N/A</v>
      </c>
      <c r="Z60" t="e">
        <f>IF('נתוני חברה'!$F$30&lt;מנהל!$B$119,Z58,IF(AND('נתוני חברה'!$F$30&gt;מנהל!$B$119,'נתוני חברה'!$F$30&lt;מנהל!$B$120,Z58&gt;מנהל!$C$120),מנהל!$C$120,IF(AND('נתוני חברה'!$F$30&gt;מנהל!$B$120,'נתוני חברה'!$F$30&lt;מנהל!$B$121),מנהל!$C$121,IF('נתוני חברה'!$F$30&gt;מנהל!$B$121,מנהל!$C$122,Z58))))</f>
        <v>#N/A</v>
      </c>
      <c r="AA60" t="e">
        <f>IF('נתוני חברה'!$F$30&lt;מנהל!$B$119,AA58,IF(AND('נתוני חברה'!$F$30&gt;מנהל!$B$119,'נתוני חברה'!$F$30&lt;מנהל!$B$120,AA58&gt;מנהל!$C$120),מנהל!$C$120,IF(AND('נתוני חברה'!$F$30&gt;מנהל!$B$120,'נתוני חברה'!$F$30&lt;מנהל!$B$121),מנהל!$C$121,IF('נתוני חברה'!$F$30&gt;מנהל!$B$121,מנהל!$C$122,AA58))))</f>
        <v>#N/A</v>
      </c>
    </row>
    <row r="62" spans="1:27"/>
    <row r="63" spans="1:27"/>
    <row r="64" spans="1:27"/>
  </sheetData>
  <sheetProtection algorithmName="SHA-512" hashValue="9BR67v0VbYrR9T9+PyKyR+g9CukLTzTdJYBO6Ul5tUjDSJF+A09BcmmujumGQYE1qYL2gM2AUdWUG4qUHHUNlw==" saltValue="S/JJiBNrUWhzpwLmnVSKeA==" spinCount="100000" sheet="1" objects="1" scenarios="1" selectLockedCells="1" selectUnlockedCells="1"/>
  <printOptions horizontalCentered="1"/>
  <pageMargins left="0.70866141732283472" right="0.70866141732283472" top="0.74803149606299213" bottom="0" header="0.31496062992125984" footer="0.31496062992125984"/>
  <pageSetup scale="60" orientation="landscape" verticalDpi="0" r:id="rId1"/>
  <headerFooter>
    <oddHeader xml:space="preserve">&amp;C&amp;"-,מודגש"&amp;14&amp;Eתוכנה לסקר כלכלי
דוח רווח והפסד
</oddHeader>
    <oddFooter>&amp;L&amp;F&amp;C&amp;D</oddFooter>
  </headerFooter>
  <colBreaks count="1" manualBreakCount="1">
    <brk id="14" max="1048575"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גיליון16"/>
  <dimension ref="A1:E96"/>
  <sheetViews>
    <sheetView showGridLines="0" rightToLeft="1" zoomScale="90" zoomScaleNormal="90" workbookViewId="0">
      <selection activeCell="B8" sqref="B8"/>
    </sheetView>
  </sheetViews>
  <sheetFormatPr defaultColWidth="0" defaultRowHeight="14.25" zeroHeight="1"/>
  <cols>
    <col min="1" max="1" width="18.375" bestFit="1" customWidth="1"/>
    <col min="2" max="2" width="15.375" bestFit="1" customWidth="1"/>
    <col min="3" max="3" width="15.125" customWidth="1"/>
    <col min="4" max="4" width="12.375" bestFit="1" customWidth="1"/>
    <col min="5" max="5" width="13" bestFit="1" customWidth="1"/>
    <col min="6" max="16384" width="9.125" hidden="1"/>
  </cols>
  <sheetData>
    <row r="1" spans="1:5" ht="16.5" thickBot="1">
      <c r="A1" s="190" t="s">
        <v>275</v>
      </c>
      <c r="B1" s="191" t="s">
        <v>276</v>
      </c>
      <c r="C1" s="191" t="s">
        <v>281</v>
      </c>
      <c r="D1" s="204" t="s">
        <v>282</v>
      </c>
      <c r="E1" s="192" t="s">
        <v>283</v>
      </c>
    </row>
    <row r="2" spans="1:5" ht="15">
      <c r="A2" s="187" t="str">
        <f>'מקורות מימון'!A4</f>
        <v>הון מניות נפרע</v>
      </c>
      <c r="B2" s="187">
        <f>'מקורות מימון'!B4</f>
        <v>0</v>
      </c>
      <c r="C2" s="188" t="e">
        <f>'מקורות מימון'!C4</f>
        <v>#DIV/0!</v>
      </c>
      <c r="D2" s="205">
        <f>'מקורות מימון'!D4</f>
        <v>0.12</v>
      </c>
      <c r="E2" s="189" t="e">
        <f>C2*D2</f>
        <v>#DIV/0!</v>
      </c>
    </row>
    <row r="3" spans="1:5" ht="15">
      <c r="A3" s="187" t="str">
        <f>'מקורות מימון'!A5</f>
        <v>הלוואות בעלים</v>
      </c>
      <c r="B3" s="187">
        <f>'מקורות מימון'!B5</f>
        <v>0</v>
      </c>
      <c r="C3" s="188" t="e">
        <f>'מקורות מימון'!C5</f>
        <v>#DIV/0!</v>
      </c>
      <c r="D3" s="205">
        <f>'מקורות מימון'!D5</f>
        <v>0.08</v>
      </c>
      <c r="E3" s="189" t="e">
        <f t="shared" ref="E3:E8" si="0">C3*D3</f>
        <v>#DIV/0!</v>
      </c>
    </row>
    <row r="4" spans="1:5" ht="15">
      <c r="A4" s="187" t="str">
        <f>'מקורות מימון'!A6</f>
        <v>מענק השקעה</v>
      </c>
      <c r="B4" s="187" t="e">
        <f>'מקורות מימון'!B6</f>
        <v>#N/A</v>
      </c>
      <c r="C4" s="188" t="e">
        <f>'מקורות מימון'!C6</f>
        <v>#N/A</v>
      </c>
      <c r="D4" s="205">
        <f>'מקורות מימון'!D6</f>
        <v>0</v>
      </c>
      <c r="E4" s="189" t="e">
        <f t="shared" si="0"/>
        <v>#N/A</v>
      </c>
    </row>
    <row r="5" spans="1:5" ht="15">
      <c r="A5" s="187" t="str">
        <f>'מקורות מימון'!A7</f>
        <v>מענק הון</v>
      </c>
      <c r="B5" s="187">
        <f>'מקורות מימון'!B7</f>
        <v>0</v>
      </c>
      <c r="C5" s="188" t="e">
        <f>'מקורות מימון'!C7</f>
        <v>#DIV/0!</v>
      </c>
      <c r="D5" s="205">
        <f>'מקורות מימון'!D7</f>
        <v>0</v>
      </c>
      <c r="E5" s="189" t="e">
        <f t="shared" si="0"/>
        <v>#DIV/0!</v>
      </c>
    </row>
    <row r="6" spans="1:5" ht="15">
      <c r="A6" s="187" t="str">
        <f>'מקורות מימון'!A8</f>
        <v>הלוואות בנקאיות</v>
      </c>
      <c r="B6" s="187" t="e">
        <f>'מקורות מימון'!B8</f>
        <v>#N/A</v>
      </c>
      <c r="C6" s="188" t="e">
        <f>'מקורות מימון'!C8</f>
        <v>#N/A</v>
      </c>
      <c r="D6" s="205">
        <f>'מקורות מימון'!D8</f>
        <v>5.5E-2</v>
      </c>
      <c r="E6" s="189" t="e">
        <f t="shared" si="0"/>
        <v>#N/A</v>
      </c>
    </row>
    <row r="7" spans="1:5" ht="15">
      <c r="A7" s="187" t="str">
        <f>'מקורות מימון'!A9</f>
        <v>הלוואות בערבות מדינה</v>
      </c>
      <c r="B7" s="187">
        <f>'מקורות מימון'!B9</f>
        <v>0</v>
      </c>
      <c r="C7" s="188" t="e">
        <f>'מקורות מימון'!C9</f>
        <v>#DIV/0!</v>
      </c>
      <c r="D7" s="205">
        <f>'מקורות מימון'!D9</f>
        <v>0.05</v>
      </c>
      <c r="E7" s="189" t="e">
        <f t="shared" si="0"/>
        <v>#DIV/0!</v>
      </c>
    </row>
    <row r="8" spans="1:5" ht="15">
      <c r="A8" s="187" t="str">
        <f>'מקורות מימון'!A10</f>
        <v>אחר</v>
      </c>
      <c r="B8" s="187">
        <f>'מקורות מימון'!B10</f>
        <v>0</v>
      </c>
      <c r="C8" s="188">
        <f>'מקורות מימון'!C10</f>
        <v>0</v>
      </c>
      <c r="D8" s="205">
        <f>'מקורות מימון'!D10</f>
        <v>0</v>
      </c>
      <c r="E8" s="189">
        <f t="shared" si="0"/>
        <v>0</v>
      </c>
    </row>
    <row r="9" spans="1:5" ht="15.75" thickBot="1">
      <c r="A9" s="184" t="s">
        <v>280</v>
      </c>
      <c r="B9" s="185" t="e">
        <f>SUM(B2:B8)</f>
        <v>#N/A</v>
      </c>
      <c r="C9" s="193" t="e">
        <f>SUM(C2:C8)</f>
        <v>#DIV/0!</v>
      </c>
      <c r="D9" s="185"/>
      <c r="E9" s="186" t="e">
        <f>SUM(E2:E8)</f>
        <v>#DIV/0!</v>
      </c>
    </row>
    <row r="10" spans="1:5" ht="15" thickTop="1"/>
    <row r="11" spans="1:5"/>
    <row r="12" spans="1:5">
      <c r="A12" t="s">
        <v>330</v>
      </c>
      <c r="B12" s="211" t="e">
        <f>B6</f>
        <v>#N/A</v>
      </c>
    </row>
    <row r="13" spans="1:5">
      <c r="A13" t="s">
        <v>331</v>
      </c>
      <c r="B13">
        <v>2</v>
      </c>
    </row>
    <row r="14" spans="1:5">
      <c r="A14" t="s">
        <v>335</v>
      </c>
      <c r="B14">
        <v>4</v>
      </c>
    </row>
    <row r="15" spans="1:5">
      <c r="A15" t="s">
        <v>332</v>
      </c>
      <c r="B15" s="105">
        <f>D6</f>
        <v>5.5E-2</v>
      </c>
    </row>
    <row r="16" spans="1:5">
      <c r="B16" s="105"/>
    </row>
    <row r="17" spans="1:5">
      <c r="B17" s="105" t="s">
        <v>333</v>
      </c>
      <c r="C17" t="s">
        <v>316</v>
      </c>
      <c r="D17" t="s">
        <v>334</v>
      </c>
    </row>
    <row r="18" spans="1:5">
      <c r="A18">
        <v>1</v>
      </c>
      <c r="B18" s="211" t="e">
        <f>$B$12/8</f>
        <v>#N/A</v>
      </c>
      <c r="C18" s="211" t="e">
        <f>B18</f>
        <v>#N/A</v>
      </c>
      <c r="D18" s="211" t="e">
        <f>C18*$B$15/$B$14</f>
        <v>#N/A</v>
      </c>
    </row>
    <row r="19" spans="1:5">
      <c r="A19">
        <v>2</v>
      </c>
      <c r="B19" s="211" t="e">
        <f t="shared" ref="B19:B25" si="1">$B$12/8</f>
        <v>#N/A</v>
      </c>
      <c r="C19" s="211" t="e">
        <f>C18+B19</f>
        <v>#N/A</v>
      </c>
      <c r="D19" s="211" t="e">
        <f t="shared" ref="D19:D25" si="2">C19*$B$15/$B$14</f>
        <v>#N/A</v>
      </c>
    </row>
    <row r="20" spans="1:5">
      <c r="A20">
        <v>3</v>
      </c>
      <c r="B20" s="211" t="e">
        <f t="shared" si="1"/>
        <v>#N/A</v>
      </c>
      <c r="C20" s="211" t="e">
        <f t="shared" ref="C20:C25" si="3">C19+B20</f>
        <v>#N/A</v>
      </c>
      <c r="D20" s="211" t="e">
        <f t="shared" si="2"/>
        <v>#N/A</v>
      </c>
    </row>
    <row r="21" spans="1:5">
      <c r="A21">
        <v>4</v>
      </c>
      <c r="B21" s="211" t="e">
        <f t="shared" si="1"/>
        <v>#N/A</v>
      </c>
      <c r="C21" s="211" t="e">
        <f t="shared" si="3"/>
        <v>#N/A</v>
      </c>
      <c r="D21" s="211" t="e">
        <f t="shared" si="2"/>
        <v>#N/A</v>
      </c>
      <c r="E21" s="211" t="e">
        <f>SUM(D18:D21)</f>
        <v>#N/A</v>
      </c>
    </row>
    <row r="22" spans="1:5">
      <c r="A22">
        <v>5</v>
      </c>
      <c r="B22" s="211" t="e">
        <f t="shared" si="1"/>
        <v>#N/A</v>
      </c>
      <c r="C22" s="211" t="e">
        <f t="shared" si="3"/>
        <v>#N/A</v>
      </c>
      <c r="D22" s="211" t="e">
        <f t="shared" si="2"/>
        <v>#N/A</v>
      </c>
    </row>
    <row r="23" spans="1:5">
      <c r="A23">
        <v>6</v>
      </c>
      <c r="B23" s="211" t="e">
        <f t="shared" si="1"/>
        <v>#N/A</v>
      </c>
      <c r="C23" s="211" t="e">
        <f t="shared" si="3"/>
        <v>#N/A</v>
      </c>
      <c r="D23" s="211" t="e">
        <f t="shared" si="2"/>
        <v>#N/A</v>
      </c>
    </row>
    <row r="24" spans="1:5">
      <c r="A24">
        <v>7</v>
      </c>
      <c r="B24" s="211" t="e">
        <f t="shared" si="1"/>
        <v>#N/A</v>
      </c>
      <c r="C24" s="211" t="e">
        <f t="shared" si="3"/>
        <v>#N/A</v>
      </c>
      <c r="D24" s="211" t="e">
        <f t="shared" si="2"/>
        <v>#N/A</v>
      </c>
    </row>
    <row r="25" spans="1:5">
      <c r="A25">
        <v>8</v>
      </c>
      <c r="B25" s="211" t="e">
        <f t="shared" si="1"/>
        <v>#N/A</v>
      </c>
      <c r="C25" s="211" t="e">
        <f t="shared" si="3"/>
        <v>#N/A</v>
      </c>
      <c r="D25" s="211" t="e">
        <f t="shared" si="2"/>
        <v>#N/A</v>
      </c>
      <c r="E25" s="211" t="e">
        <f>SUM(D22:D25)</f>
        <v>#N/A</v>
      </c>
    </row>
    <row r="26" spans="1:5">
      <c r="B26" s="211"/>
      <c r="C26" s="211"/>
      <c r="D26" s="211"/>
      <c r="E26" s="211"/>
    </row>
    <row r="27" spans="1:5">
      <c r="B27" s="211"/>
      <c r="C27" s="211"/>
      <c r="D27" s="211"/>
      <c r="E27" s="211"/>
    </row>
    <row r="28" spans="1:5">
      <c r="B28" s="211"/>
      <c r="C28" s="211"/>
      <c r="D28" s="211"/>
      <c r="E28" s="211"/>
    </row>
    <row r="29" spans="1:5">
      <c r="B29" s="211"/>
      <c r="C29" s="211"/>
      <c r="D29" s="211"/>
      <c r="E29" s="211"/>
    </row>
    <row r="30" spans="1:5">
      <c r="B30" s="211"/>
      <c r="C30" s="211"/>
      <c r="D30" s="211"/>
      <c r="E30" s="211"/>
    </row>
    <row r="31" spans="1:5">
      <c r="B31" s="211"/>
      <c r="C31" s="211"/>
      <c r="D31" s="211"/>
      <c r="E31" s="211"/>
    </row>
    <row r="32" spans="1:5">
      <c r="B32" s="211"/>
      <c r="C32" s="211"/>
      <c r="D32" s="211"/>
      <c r="E32" s="211"/>
    </row>
    <row r="33" spans="2:5">
      <c r="B33" s="211"/>
      <c r="C33" s="211"/>
      <c r="D33" s="211"/>
      <c r="E33" s="211"/>
    </row>
    <row r="34" spans="2:5" hidden="1">
      <c r="B34" s="211"/>
      <c r="C34" s="211"/>
      <c r="D34" s="211"/>
      <c r="E34" s="211"/>
    </row>
    <row r="35" spans="2:5" hidden="1">
      <c r="B35" s="211"/>
      <c r="C35" s="211"/>
      <c r="D35" s="211"/>
      <c r="E35" s="211"/>
    </row>
    <row r="36" spans="2:5" hidden="1">
      <c r="B36" s="211"/>
      <c r="C36" s="211"/>
      <c r="D36" s="211"/>
      <c r="E36" s="211"/>
    </row>
    <row r="37" spans="2:5" hidden="1">
      <c r="B37" s="211"/>
      <c r="C37" s="211"/>
      <c r="D37" s="211"/>
      <c r="E37" s="211"/>
    </row>
    <row r="38" spans="2:5" hidden="1">
      <c r="B38" s="211"/>
      <c r="C38" s="211"/>
      <c r="D38" s="211"/>
      <c r="E38" s="211"/>
    </row>
    <row r="39" spans="2:5" hidden="1">
      <c r="B39" s="211"/>
      <c r="C39" s="211"/>
      <c r="D39" s="211"/>
      <c r="E39" s="211"/>
    </row>
    <row r="40" spans="2:5" hidden="1">
      <c r="B40" s="211"/>
      <c r="C40" s="211"/>
      <c r="D40" s="211"/>
      <c r="E40" s="211"/>
    </row>
    <row r="41" spans="2:5" hidden="1">
      <c r="B41" s="211"/>
      <c r="C41" s="211"/>
      <c r="D41" s="211"/>
      <c r="E41" s="211"/>
    </row>
    <row r="42" spans="2:5" hidden="1">
      <c r="B42" s="211"/>
      <c r="C42" s="211"/>
      <c r="D42" s="211"/>
      <c r="E42" s="211"/>
    </row>
    <row r="43" spans="2:5" hidden="1">
      <c r="B43" s="211"/>
      <c r="C43" s="211"/>
      <c r="D43" s="211"/>
      <c r="E43" s="211"/>
    </row>
    <row r="44" spans="2:5" hidden="1">
      <c r="B44" s="211"/>
      <c r="C44" s="211"/>
      <c r="D44" s="211"/>
      <c r="E44" s="211"/>
    </row>
    <row r="45" spans="2:5" hidden="1">
      <c r="B45" s="211"/>
      <c r="C45" s="211"/>
      <c r="D45" s="211"/>
      <c r="E45" s="211"/>
    </row>
    <row r="46" spans="2:5" hidden="1">
      <c r="B46" s="211"/>
      <c r="C46" s="211"/>
      <c r="D46" s="211"/>
      <c r="E46" s="211"/>
    </row>
    <row r="47" spans="2:5" hidden="1">
      <c r="B47" s="211"/>
      <c r="C47" s="211"/>
      <c r="D47" s="211"/>
      <c r="E47" s="211"/>
    </row>
    <row r="48" spans="2:5" hidden="1">
      <c r="B48" s="211"/>
      <c r="C48" s="211"/>
      <c r="D48" s="211"/>
      <c r="E48" s="211"/>
    </row>
    <row r="49" spans="2:5" hidden="1">
      <c r="B49" s="211"/>
      <c r="C49" s="211"/>
      <c r="D49" s="211"/>
      <c r="E49" s="211"/>
    </row>
    <row r="50" spans="2:5" hidden="1">
      <c r="B50" s="211"/>
      <c r="C50" s="211"/>
      <c r="D50" s="211"/>
      <c r="E50" s="211"/>
    </row>
    <row r="51" spans="2:5" hidden="1">
      <c r="B51" s="211"/>
      <c r="C51" s="211"/>
      <c r="D51" s="211"/>
      <c r="E51" s="211"/>
    </row>
    <row r="52" spans="2:5" hidden="1">
      <c r="B52" s="211"/>
      <c r="C52" s="211"/>
      <c r="D52" s="211"/>
      <c r="E52" s="211"/>
    </row>
    <row r="53" spans="2:5" hidden="1">
      <c r="B53" s="211"/>
      <c r="C53" s="211"/>
      <c r="D53" s="211"/>
      <c r="E53" s="211"/>
    </row>
    <row r="54" spans="2:5" hidden="1">
      <c r="B54" s="211"/>
      <c r="C54" s="211"/>
      <c r="D54" s="211"/>
      <c r="E54" s="211"/>
    </row>
    <row r="55" spans="2:5" hidden="1">
      <c r="B55" s="211"/>
      <c r="C55" s="211"/>
      <c r="D55" s="211"/>
      <c r="E55" s="211"/>
    </row>
    <row r="56" spans="2:5" hidden="1">
      <c r="B56" s="211"/>
      <c r="C56" s="211"/>
      <c r="D56" s="211"/>
      <c r="E56" s="211"/>
    </row>
    <row r="57" spans="2:5" hidden="1">
      <c r="B57" s="211"/>
      <c r="C57" s="211"/>
      <c r="D57" s="211"/>
      <c r="E57" s="211"/>
    </row>
    <row r="58" spans="2:5" hidden="1">
      <c r="B58" s="211"/>
      <c r="C58" s="211"/>
      <c r="D58" s="211"/>
      <c r="E58" s="211"/>
    </row>
    <row r="59" spans="2:5" hidden="1">
      <c r="B59" s="211"/>
      <c r="C59" s="211"/>
      <c r="D59" s="211"/>
      <c r="E59" s="211"/>
    </row>
    <row r="60" spans="2:5" hidden="1">
      <c r="B60" s="211"/>
      <c r="C60" s="211"/>
      <c r="D60" s="211"/>
      <c r="E60" s="211"/>
    </row>
    <row r="61" spans="2:5" hidden="1">
      <c r="B61" s="211"/>
      <c r="C61" s="211"/>
      <c r="D61" s="211"/>
      <c r="E61" s="211"/>
    </row>
    <row r="62" spans="2:5" hidden="1">
      <c r="B62" s="211"/>
      <c r="C62" s="211"/>
      <c r="D62" s="211"/>
      <c r="E62" s="211"/>
    </row>
    <row r="63" spans="2:5" hidden="1">
      <c r="B63" s="211"/>
      <c r="C63" s="211"/>
      <c r="D63" s="211"/>
      <c r="E63" s="211"/>
    </row>
    <row r="64" spans="2:5" hidden="1">
      <c r="B64" s="211"/>
      <c r="C64" s="211"/>
      <c r="D64" s="211"/>
      <c r="E64" s="211"/>
    </row>
    <row r="65" spans="2:5" hidden="1">
      <c r="B65" s="211"/>
      <c r="C65" s="211"/>
      <c r="D65" s="211"/>
      <c r="E65" s="211"/>
    </row>
    <row r="66" spans="2:5" hidden="1">
      <c r="B66" s="211"/>
      <c r="C66" s="211"/>
      <c r="D66" s="211"/>
      <c r="E66" s="211"/>
    </row>
    <row r="67" spans="2:5" hidden="1">
      <c r="B67" s="211"/>
      <c r="C67" s="211"/>
      <c r="D67" s="211"/>
      <c r="E67" s="211"/>
    </row>
    <row r="68" spans="2:5" hidden="1">
      <c r="B68" s="211"/>
      <c r="C68" s="211"/>
      <c r="D68" s="211"/>
      <c r="E68" s="211"/>
    </row>
    <row r="69" spans="2:5" hidden="1">
      <c r="B69" s="211"/>
      <c r="C69" s="211"/>
      <c r="D69" s="211"/>
      <c r="E69" s="211"/>
    </row>
    <row r="70" spans="2:5" hidden="1">
      <c r="B70" s="211"/>
      <c r="C70" s="211"/>
      <c r="D70" s="211"/>
      <c r="E70" s="211"/>
    </row>
    <row r="71" spans="2:5" hidden="1">
      <c r="B71" s="211"/>
      <c r="C71" s="211"/>
      <c r="D71" s="211"/>
      <c r="E71" s="211"/>
    </row>
    <row r="72" spans="2:5" hidden="1">
      <c r="B72" s="211"/>
      <c r="C72" s="211"/>
      <c r="D72" s="211"/>
      <c r="E72" s="211"/>
    </row>
    <row r="73" spans="2:5" hidden="1">
      <c r="B73" s="211"/>
      <c r="C73" s="211"/>
      <c r="D73" s="211"/>
      <c r="E73" s="211"/>
    </row>
    <row r="74" spans="2:5" hidden="1">
      <c r="B74" s="211"/>
      <c r="C74" s="211"/>
      <c r="D74" s="211"/>
      <c r="E74" s="211"/>
    </row>
    <row r="75" spans="2:5" hidden="1">
      <c r="B75" s="211"/>
      <c r="C75" s="211"/>
      <c r="D75" s="211"/>
      <c r="E75" s="211"/>
    </row>
    <row r="76" spans="2:5" hidden="1">
      <c r="B76" s="211"/>
      <c r="C76" s="211"/>
      <c r="D76" s="211"/>
      <c r="E76" s="211"/>
    </row>
    <row r="77" spans="2:5" hidden="1">
      <c r="B77" s="211"/>
      <c r="C77" s="211"/>
      <c r="D77" s="211"/>
      <c r="E77" s="211"/>
    </row>
    <row r="78" spans="2:5" hidden="1">
      <c r="B78" s="211"/>
      <c r="C78" s="211"/>
      <c r="D78" s="211"/>
      <c r="E78" s="211"/>
    </row>
    <row r="79" spans="2:5" hidden="1">
      <c r="B79" s="211"/>
      <c r="C79" s="211"/>
      <c r="D79" s="211"/>
      <c r="E79" s="211"/>
    </row>
    <row r="80" spans="2:5" hidden="1">
      <c r="B80" s="211"/>
      <c r="C80" s="211"/>
      <c r="D80" s="211"/>
      <c r="E80" s="211"/>
    </row>
    <row r="81" spans="2:5" hidden="1">
      <c r="B81" s="211"/>
      <c r="C81" s="211"/>
      <c r="D81" s="211"/>
      <c r="E81" s="211"/>
    </row>
    <row r="82" spans="2:5" hidden="1">
      <c r="B82" s="211"/>
      <c r="C82" s="211"/>
      <c r="D82" s="211"/>
      <c r="E82" s="211"/>
    </row>
    <row r="83" spans="2:5" hidden="1">
      <c r="B83" s="211"/>
      <c r="C83" s="211"/>
      <c r="D83" s="211"/>
      <c r="E83" s="211"/>
    </row>
    <row r="84" spans="2:5" hidden="1">
      <c r="B84" s="211"/>
      <c r="C84" s="211"/>
      <c r="D84" s="211"/>
      <c r="E84" s="211"/>
    </row>
    <row r="85" spans="2:5" hidden="1">
      <c r="B85" s="211"/>
      <c r="C85" s="211"/>
      <c r="D85" s="211"/>
      <c r="E85" s="211"/>
    </row>
    <row r="86" spans="2:5" hidden="1">
      <c r="B86" s="211"/>
      <c r="C86" s="211"/>
      <c r="D86" s="211"/>
      <c r="E86" s="211"/>
    </row>
    <row r="87" spans="2:5" hidden="1">
      <c r="B87" s="211"/>
      <c r="C87" s="211"/>
    </row>
    <row r="88" spans="2:5" hidden="1">
      <c r="B88" s="211"/>
      <c r="C88" s="211"/>
    </row>
    <row r="89" spans="2:5" hidden="1">
      <c r="B89" s="211"/>
      <c r="C89" s="211"/>
    </row>
    <row r="90" spans="2:5" hidden="1">
      <c r="B90" s="211"/>
      <c r="C90" s="211"/>
    </row>
    <row r="91" spans="2:5" hidden="1">
      <c r="B91" s="211"/>
      <c r="C91" s="211"/>
    </row>
    <row r="92" spans="2:5" hidden="1">
      <c r="B92" s="211"/>
      <c r="C92" s="211"/>
    </row>
    <row r="93" spans="2:5" hidden="1">
      <c r="B93" s="211"/>
      <c r="C93" s="211"/>
    </row>
    <row r="94" spans="2:5" hidden="1">
      <c r="B94" s="211"/>
      <c r="C94" s="211"/>
    </row>
    <row r="95" spans="2:5" hidden="1">
      <c r="B95" s="211"/>
      <c r="C95" s="211"/>
    </row>
    <row r="96" spans="2:5" hidden="1">
      <c r="B96" s="211"/>
      <c r="C96" s="211"/>
    </row>
  </sheetData>
  <sheetProtection algorithmName="SHA-512" hashValue="06BW0f2r4UWz0LnBtYf+RkodweAvCx2m/goGbdvAhjDuRDV/dYQELtGZUvc27dhAiYmmBdzZ+3OuJj+m1+UiBw==" saltValue="QjBrYDrMe9dkJfGsWNQoSg==" spinCount="100000" sheet="1" objects="1" scenarios="1" selectLockedCells="1" selectUnlockedCells="1"/>
  <printOptions horizontalCentered="1"/>
  <pageMargins left="0.70866141732283472" right="0.70866141732283472" top="1.1417322834645669" bottom="0" header="0.31496062992125984" footer="0.31496062992125984"/>
  <pageSetup orientation="landscape" verticalDpi="0" r:id="rId1"/>
  <headerFooter>
    <oddHeader xml:space="preserve">&amp;C&amp;"-,מודגש"&amp;14&amp;Eתוכנה לסקר כלכלי
חישוב הלוואה בזמן הקמה
</oddHeader>
    <oddFooter>&amp;L&amp;F&amp;C&amp;D</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גיליון15"/>
  <dimension ref="A1:WVT377"/>
  <sheetViews>
    <sheetView showGridLines="0" rightToLeft="1" zoomScale="90" zoomScaleNormal="90" workbookViewId="0">
      <selection activeCell="C13" sqref="C13:D13"/>
    </sheetView>
  </sheetViews>
  <sheetFormatPr defaultColWidth="0" defaultRowHeight="12.75" zeroHeight="1"/>
  <cols>
    <col min="1" max="1" width="3.875" style="246" bestFit="1" customWidth="1"/>
    <col min="2" max="2" width="9.625" style="246" bestFit="1" customWidth="1"/>
    <col min="3" max="3" width="15.125" style="246" bestFit="1" customWidth="1"/>
    <col min="4" max="4" width="12.125" style="246" bestFit="1" customWidth="1"/>
    <col min="5" max="5" width="6" style="246" bestFit="1" customWidth="1"/>
    <col min="6" max="8" width="11.125" style="246" bestFit="1" customWidth="1"/>
    <col min="9" max="9" width="12.125" style="246" bestFit="1" customWidth="1"/>
    <col min="10" max="11" width="11.125" style="246" bestFit="1" customWidth="1"/>
    <col min="12" max="12" width="13.375" style="246" hidden="1"/>
    <col min="13" max="256" width="9" style="246" hidden="1"/>
    <col min="257" max="257" width="4.125" style="246" hidden="1"/>
    <col min="258" max="258" width="11.625" style="246" hidden="1"/>
    <col min="259" max="259" width="13.375" style="246" hidden="1"/>
    <col min="260" max="260" width="12.25" style="246" hidden="1"/>
    <col min="261" max="261" width="11.375" style="246" hidden="1"/>
    <col min="262" max="262" width="12" style="246" hidden="1"/>
    <col min="263" max="263" width="11.375" style="246" hidden="1"/>
    <col min="264" max="264" width="11.875" style="246" hidden="1"/>
    <col min="265" max="265" width="13.375" style="246" hidden="1"/>
    <col min="266" max="266" width="5.375" style="246" hidden="1"/>
    <col min="267" max="267" width="9" style="246" hidden="1"/>
    <col min="268" max="268" width="13.375" style="246" hidden="1"/>
    <col min="269" max="512" width="9" style="246" hidden="1"/>
    <col min="513" max="513" width="4.125" style="246" hidden="1"/>
    <col min="514" max="514" width="11.625" style="246" hidden="1"/>
    <col min="515" max="515" width="13.375" style="246" hidden="1"/>
    <col min="516" max="516" width="12.25" style="246" hidden="1"/>
    <col min="517" max="517" width="11.375" style="246" hidden="1"/>
    <col min="518" max="518" width="12" style="246" hidden="1"/>
    <col min="519" max="519" width="11.375" style="246" hidden="1"/>
    <col min="520" max="520" width="11.875" style="246" hidden="1"/>
    <col min="521" max="521" width="13.375" style="246" hidden="1"/>
    <col min="522" max="522" width="5.375" style="246" hidden="1"/>
    <col min="523" max="523" width="9" style="246" hidden="1"/>
    <col min="524" max="524" width="13.375" style="246" hidden="1"/>
    <col min="525" max="768" width="9" style="246" hidden="1"/>
    <col min="769" max="769" width="4.125" style="246" hidden="1"/>
    <col min="770" max="770" width="11.625" style="246" hidden="1"/>
    <col min="771" max="771" width="13.375" style="246" hidden="1"/>
    <col min="772" max="772" width="12.25" style="246" hidden="1"/>
    <col min="773" max="773" width="11.375" style="246" hidden="1"/>
    <col min="774" max="774" width="12" style="246" hidden="1"/>
    <col min="775" max="775" width="11.375" style="246" hidden="1"/>
    <col min="776" max="776" width="11.875" style="246" hidden="1"/>
    <col min="777" max="777" width="13.375" style="246" hidden="1"/>
    <col min="778" max="778" width="5.375" style="246" hidden="1"/>
    <col min="779" max="779" width="9" style="246" hidden="1"/>
    <col min="780" max="780" width="13.375" style="246" hidden="1"/>
    <col min="781" max="1024" width="9" style="246" hidden="1"/>
    <col min="1025" max="1025" width="4.125" style="246" hidden="1"/>
    <col min="1026" max="1026" width="11.625" style="246" hidden="1"/>
    <col min="1027" max="1027" width="13.375" style="246" hidden="1"/>
    <col min="1028" max="1028" width="12.25" style="246" hidden="1"/>
    <col min="1029" max="1029" width="11.375" style="246" hidden="1"/>
    <col min="1030" max="1030" width="12" style="246" hidden="1"/>
    <col min="1031" max="1031" width="11.375" style="246" hidden="1"/>
    <col min="1032" max="1032" width="11.875" style="246" hidden="1"/>
    <col min="1033" max="1033" width="13.375" style="246" hidden="1"/>
    <col min="1034" max="1034" width="5.375" style="246" hidden="1"/>
    <col min="1035" max="1035" width="9" style="246" hidden="1"/>
    <col min="1036" max="1036" width="13.375" style="246" hidden="1"/>
    <col min="1037" max="1280" width="9" style="246" hidden="1"/>
    <col min="1281" max="1281" width="4.125" style="246" hidden="1"/>
    <col min="1282" max="1282" width="11.625" style="246" hidden="1"/>
    <col min="1283" max="1283" width="13.375" style="246" hidden="1"/>
    <col min="1284" max="1284" width="12.25" style="246" hidden="1"/>
    <col min="1285" max="1285" width="11.375" style="246" hidden="1"/>
    <col min="1286" max="1286" width="12" style="246" hidden="1"/>
    <col min="1287" max="1287" width="11.375" style="246" hidden="1"/>
    <col min="1288" max="1288" width="11.875" style="246" hidden="1"/>
    <col min="1289" max="1289" width="13.375" style="246" hidden="1"/>
    <col min="1290" max="1290" width="5.375" style="246" hidden="1"/>
    <col min="1291" max="1291" width="9" style="246" hidden="1"/>
    <col min="1292" max="1292" width="13.375" style="246" hidden="1"/>
    <col min="1293" max="1536" width="9" style="246" hidden="1"/>
    <col min="1537" max="1537" width="4.125" style="246" hidden="1"/>
    <col min="1538" max="1538" width="11.625" style="246" hidden="1"/>
    <col min="1539" max="1539" width="13.375" style="246" hidden="1"/>
    <col min="1540" max="1540" width="12.25" style="246" hidden="1"/>
    <col min="1541" max="1541" width="11.375" style="246" hidden="1"/>
    <col min="1542" max="1542" width="12" style="246" hidden="1"/>
    <col min="1543" max="1543" width="11.375" style="246" hidden="1"/>
    <col min="1544" max="1544" width="11.875" style="246" hidden="1"/>
    <col min="1545" max="1545" width="13.375" style="246" hidden="1"/>
    <col min="1546" max="1546" width="5.375" style="246" hidden="1"/>
    <col min="1547" max="1547" width="9" style="246" hidden="1"/>
    <col min="1548" max="1548" width="13.375" style="246" hidden="1"/>
    <col min="1549" max="1792" width="9" style="246" hidden="1"/>
    <col min="1793" max="1793" width="4.125" style="246" hidden="1"/>
    <col min="1794" max="1794" width="11.625" style="246" hidden="1"/>
    <col min="1795" max="1795" width="13.375" style="246" hidden="1"/>
    <col min="1796" max="1796" width="12.25" style="246" hidden="1"/>
    <col min="1797" max="1797" width="11.375" style="246" hidden="1"/>
    <col min="1798" max="1798" width="12" style="246" hidden="1"/>
    <col min="1799" max="1799" width="11.375" style="246" hidden="1"/>
    <col min="1800" max="1800" width="11.875" style="246" hidden="1"/>
    <col min="1801" max="1801" width="13.375" style="246" hidden="1"/>
    <col min="1802" max="1802" width="5.375" style="246" hidden="1"/>
    <col min="1803" max="1803" width="9" style="246" hidden="1"/>
    <col min="1804" max="1804" width="13.375" style="246" hidden="1"/>
    <col min="1805" max="2048" width="9" style="246" hidden="1"/>
    <col min="2049" max="2049" width="4.125" style="246" hidden="1"/>
    <col min="2050" max="2050" width="11.625" style="246" hidden="1"/>
    <col min="2051" max="2051" width="13.375" style="246" hidden="1"/>
    <col min="2052" max="2052" width="12.25" style="246" hidden="1"/>
    <col min="2053" max="2053" width="11.375" style="246" hidden="1"/>
    <col min="2054" max="2054" width="12" style="246" hidden="1"/>
    <col min="2055" max="2055" width="11.375" style="246" hidden="1"/>
    <col min="2056" max="2056" width="11.875" style="246" hidden="1"/>
    <col min="2057" max="2057" width="13.375" style="246" hidden="1"/>
    <col min="2058" max="2058" width="5.375" style="246" hidden="1"/>
    <col min="2059" max="2059" width="9" style="246" hidden="1"/>
    <col min="2060" max="2060" width="13.375" style="246" hidden="1"/>
    <col min="2061" max="2304" width="9" style="246" hidden="1"/>
    <col min="2305" max="2305" width="4.125" style="246" hidden="1"/>
    <col min="2306" max="2306" width="11.625" style="246" hidden="1"/>
    <col min="2307" max="2307" width="13.375" style="246" hidden="1"/>
    <col min="2308" max="2308" width="12.25" style="246" hidden="1"/>
    <col min="2309" max="2309" width="11.375" style="246" hidden="1"/>
    <col min="2310" max="2310" width="12" style="246" hidden="1"/>
    <col min="2311" max="2311" width="11.375" style="246" hidden="1"/>
    <col min="2312" max="2312" width="11.875" style="246" hidden="1"/>
    <col min="2313" max="2313" width="13.375" style="246" hidden="1"/>
    <col min="2314" max="2314" width="5.375" style="246" hidden="1"/>
    <col min="2315" max="2315" width="9" style="246" hidden="1"/>
    <col min="2316" max="2316" width="13.375" style="246" hidden="1"/>
    <col min="2317" max="2560" width="9" style="246" hidden="1"/>
    <col min="2561" max="2561" width="4.125" style="246" hidden="1"/>
    <col min="2562" max="2562" width="11.625" style="246" hidden="1"/>
    <col min="2563" max="2563" width="13.375" style="246" hidden="1"/>
    <col min="2564" max="2564" width="12.25" style="246" hidden="1"/>
    <col min="2565" max="2565" width="11.375" style="246" hidden="1"/>
    <col min="2566" max="2566" width="12" style="246" hidden="1"/>
    <col min="2567" max="2567" width="11.375" style="246" hidden="1"/>
    <col min="2568" max="2568" width="11.875" style="246" hidden="1"/>
    <col min="2569" max="2569" width="13.375" style="246" hidden="1"/>
    <col min="2570" max="2570" width="5.375" style="246" hidden="1"/>
    <col min="2571" max="2571" width="9" style="246" hidden="1"/>
    <col min="2572" max="2572" width="13.375" style="246" hidden="1"/>
    <col min="2573" max="2816" width="9" style="246" hidden="1"/>
    <col min="2817" max="2817" width="4.125" style="246" hidden="1"/>
    <col min="2818" max="2818" width="11.625" style="246" hidden="1"/>
    <col min="2819" max="2819" width="13.375" style="246" hidden="1"/>
    <col min="2820" max="2820" width="12.25" style="246" hidden="1"/>
    <col min="2821" max="2821" width="11.375" style="246" hidden="1"/>
    <col min="2822" max="2822" width="12" style="246" hidden="1"/>
    <col min="2823" max="2823" width="11.375" style="246" hidden="1"/>
    <col min="2824" max="2824" width="11.875" style="246" hidden="1"/>
    <col min="2825" max="2825" width="13.375" style="246" hidden="1"/>
    <col min="2826" max="2826" width="5.375" style="246" hidden="1"/>
    <col min="2827" max="2827" width="9" style="246" hidden="1"/>
    <col min="2828" max="2828" width="13.375" style="246" hidden="1"/>
    <col min="2829" max="3072" width="9" style="246" hidden="1"/>
    <col min="3073" max="3073" width="4.125" style="246" hidden="1"/>
    <col min="3074" max="3074" width="11.625" style="246" hidden="1"/>
    <col min="3075" max="3075" width="13.375" style="246" hidden="1"/>
    <col min="3076" max="3076" width="12.25" style="246" hidden="1"/>
    <col min="3077" max="3077" width="11.375" style="246" hidden="1"/>
    <col min="3078" max="3078" width="12" style="246" hidden="1"/>
    <col min="3079" max="3079" width="11.375" style="246" hidden="1"/>
    <col min="3080" max="3080" width="11.875" style="246" hidden="1"/>
    <col min="3081" max="3081" width="13.375" style="246" hidden="1"/>
    <col min="3082" max="3082" width="5.375" style="246" hidden="1"/>
    <col min="3083" max="3083" width="9" style="246" hidden="1"/>
    <col min="3084" max="3084" width="13.375" style="246" hidden="1"/>
    <col min="3085" max="3328" width="9" style="246" hidden="1"/>
    <col min="3329" max="3329" width="4.125" style="246" hidden="1"/>
    <col min="3330" max="3330" width="11.625" style="246" hidden="1"/>
    <col min="3331" max="3331" width="13.375" style="246" hidden="1"/>
    <col min="3332" max="3332" width="12.25" style="246" hidden="1"/>
    <col min="3333" max="3333" width="11.375" style="246" hidden="1"/>
    <col min="3334" max="3334" width="12" style="246" hidden="1"/>
    <col min="3335" max="3335" width="11.375" style="246" hidden="1"/>
    <col min="3336" max="3336" width="11.875" style="246" hidden="1"/>
    <col min="3337" max="3337" width="13.375" style="246" hidden="1"/>
    <col min="3338" max="3338" width="5.375" style="246" hidden="1"/>
    <col min="3339" max="3339" width="9" style="246" hidden="1"/>
    <col min="3340" max="3340" width="13.375" style="246" hidden="1"/>
    <col min="3341" max="3584" width="9" style="246" hidden="1"/>
    <col min="3585" max="3585" width="4.125" style="246" hidden="1"/>
    <col min="3586" max="3586" width="11.625" style="246" hidden="1"/>
    <col min="3587" max="3587" width="13.375" style="246" hidden="1"/>
    <col min="3588" max="3588" width="12.25" style="246" hidden="1"/>
    <col min="3589" max="3589" width="11.375" style="246" hidden="1"/>
    <col min="3590" max="3590" width="12" style="246" hidden="1"/>
    <col min="3591" max="3591" width="11.375" style="246" hidden="1"/>
    <col min="3592" max="3592" width="11.875" style="246" hidden="1"/>
    <col min="3593" max="3593" width="13.375" style="246" hidden="1"/>
    <col min="3594" max="3594" width="5.375" style="246" hidden="1"/>
    <col min="3595" max="3595" width="9" style="246" hidden="1"/>
    <col min="3596" max="3596" width="13.375" style="246" hidden="1"/>
    <col min="3597" max="3840" width="9" style="246" hidden="1"/>
    <col min="3841" max="3841" width="4.125" style="246" hidden="1"/>
    <col min="3842" max="3842" width="11.625" style="246" hidden="1"/>
    <col min="3843" max="3843" width="13.375" style="246" hidden="1"/>
    <col min="3844" max="3844" width="12.25" style="246" hidden="1"/>
    <col min="3845" max="3845" width="11.375" style="246" hidden="1"/>
    <col min="3846" max="3846" width="12" style="246" hidden="1"/>
    <col min="3847" max="3847" width="11.375" style="246" hidden="1"/>
    <col min="3848" max="3848" width="11.875" style="246" hidden="1"/>
    <col min="3849" max="3849" width="13.375" style="246" hidden="1"/>
    <col min="3850" max="3850" width="5.375" style="246" hidden="1"/>
    <col min="3851" max="3851" width="9" style="246" hidden="1"/>
    <col min="3852" max="3852" width="13.375" style="246" hidden="1"/>
    <col min="3853" max="4096" width="9" style="246" hidden="1"/>
    <col min="4097" max="4097" width="4.125" style="246" hidden="1"/>
    <col min="4098" max="4098" width="11.625" style="246" hidden="1"/>
    <col min="4099" max="4099" width="13.375" style="246" hidden="1"/>
    <col min="4100" max="4100" width="12.25" style="246" hidden="1"/>
    <col min="4101" max="4101" width="11.375" style="246" hidden="1"/>
    <col min="4102" max="4102" width="12" style="246" hidden="1"/>
    <col min="4103" max="4103" width="11.375" style="246" hidden="1"/>
    <col min="4104" max="4104" width="11.875" style="246" hidden="1"/>
    <col min="4105" max="4105" width="13.375" style="246" hidden="1"/>
    <col min="4106" max="4106" width="5.375" style="246" hidden="1"/>
    <col min="4107" max="4107" width="9" style="246" hidden="1"/>
    <col min="4108" max="4108" width="13.375" style="246" hidden="1"/>
    <col min="4109" max="4352" width="9" style="246" hidden="1"/>
    <col min="4353" max="4353" width="4.125" style="246" hidden="1"/>
    <col min="4354" max="4354" width="11.625" style="246" hidden="1"/>
    <col min="4355" max="4355" width="13.375" style="246" hidden="1"/>
    <col min="4356" max="4356" width="12.25" style="246" hidden="1"/>
    <col min="4357" max="4357" width="11.375" style="246" hidden="1"/>
    <col min="4358" max="4358" width="12" style="246" hidden="1"/>
    <col min="4359" max="4359" width="11.375" style="246" hidden="1"/>
    <col min="4360" max="4360" width="11.875" style="246" hidden="1"/>
    <col min="4361" max="4361" width="13.375" style="246" hidden="1"/>
    <col min="4362" max="4362" width="5.375" style="246" hidden="1"/>
    <col min="4363" max="4363" width="9" style="246" hidden="1"/>
    <col min="4364" max="4364" width="13.375" style="246" hidden="1"/>
    <col min="4365" max="4608" width="9" style="246" hidden="1"/>
    <col min="4609" max="4609" width="4.125" style="246" hidden="1"/>
    <col min="4610" max="4610" width="11.625" style="246" hidden="1"/>
    <col min="4611" max="4611" width="13.375" style="246" hidden="1"/>
    <col min="4612" max="4612" width="12.25" style="246" hidden="1"/>
    <col min="4613" max="4613" width="11.375" style="246" hidden="1"/>
    <col min="4614" max="4614" width="12" style="246" hidden="1"/>
    <col min="4615" max="4615" width="11.375" style="246" hidden="1"/>
    <col min="4616" max="4616" width="11.875" style="246" hidden="1"/>
    <col min="4617" max="4617" width="13.375" style="246" hidden="1"/>
    <col min="4618" max="4618" width="5.375" style="246" hidden="1"/>
    <col min="4619" max="4619" width="9" style="246" hidden="1"/>
    <col min="4620" max="4620" width="13.375" style="246" hidden="1"/>
    <col min="4621" max="4864" width="9" style="246" hidden="1"/>
    <col min="4865" max="4865" width="4.125" style="246" hidden="1"/>
    <col min="4866" max="4866" width="11.625" style="246" hidden="1"/>
    <col min="4867" max="4867" width="13.375" style="246" hidden="1"/>
    <col min="4868" max="4868" width="12.25" style="246" hidden="1"/>
    <col min="4869" max="4869" width="11.375" style="246" hidden="1"/>
    <col min="4870" max="4870" width="12" style="246" hidden="1"/>
    <col min="4871" max="4871" width="11.375" style="246" hidden="1"/>
    <col min="4872" max="4872" width="11.875" style="246" hidden="1"/>
    <col min="4873" max="4873" width="13.375" style="246" hidden="1"/>
    <col min="4874" max="4874" width="5.375" style="246" hidden="1"/>
    <col min="4875" max="4875" width="9" style="246" hidden="1"/>
    <col min="4876" max="4876" width="13.375" style="246" hidden="1"/>
    <col min="4877" max="5120" width="9" style="246" hidden="1"/>
    <col min="5121" max="5121" width="4.125" style="246" hidden="1"/>
    <col min="5122" max="5122" width="11.625" style="246" hidden="1"/>
    <col min="5123" max="5123" width="13.375" style="246" hidden="1"/>
    <col min="5124" max="5124" width="12.25" style="246" hidden="1"/>
    <col min="5125" max="5125" width="11.375" style="246" hidden="1"/>
    <col min="5126" max="5126" width="12" style="246" hidden="1"/>
    <col min="5127" max="5127" width="11.375" style="246" hidden="1"/>
    <col min="5128" max="5128" width="11.875" style="246" hidden="1"/>
    <col min="5129" max="5129" width="13.375" style="246" hidden="1"/>
    <col min="5130" max="5130" width="5.375" style="246" hidden="1"/>
    <col min="5131" max="5131" width="9" style="246" hidden="1"/>
    <col min="5132" max="5132" width="13.375" style="246" hidden="1"/>
    <col min="5133" max="5376" width="9" style="246" hidden="1"/>
    <col min="5377" max="5377" width="4.125" style="246" hidden="1"/>
    <col min="5378" max="5378" width="11.625" style="246" hidden="1"/>
    <col min="5379" max="5379" width="13.375" style="246" hidden="1"/>
    <col min="5380" max="5380" width="12.25" style="246" hidden="1"/>
    <col min="5381" max="5381" width="11.375" style="246" hidden="1"/>
    <col min="5382" max="5382" width="12" style="246" hidden="1"/>
    <col min="5383" max="5383" width="11.375" style="246" hidden="1"/>
    <col min="5384" max="5384" width="11.875" style="246" hidden="1"/>
    <col min="5385" max="5385" width="13.375" style="246" hidden="1"/>
    <col min="5386" max="5386" width="5.375" style="246" hidden="1"/>
    <col min="5387" max="5387" width="9" style="246" hidden="1"/>
    <col min="5388" max="5388" width="13.375" style="246" hidden="1"/>
    <col min="5389" max="5632" width="9" style="246" hidden="1"/>
    <col min="5633" max="5633" width="4.125" style="246" hidden="1"/>
    <col min="5634" max="5634" width="11.625" style="246" hidden="1"/>
    <col min="5635" max="5635" width="13.375" style="246" hidden="1"/>
    <col min="5636" max="5636" width="12.25" style="246" hidden="1"/>
    <col min="5637" max="5637" width="11.375" style="246" hidden="1"/>
    <col min="5638" max="5638" width="12" style="246" hidden="1"/>
    <col min="5639" max="5639" width="11.375" style="246" hidden="1"/>
    <col min="5640" max="5640" width="11.875" style="246" hidden="1"/>
    <col min="5641" max="5641" width="13.375" style="246" hidden="1"/>
    <col min="5642" max="5642" width="5.375" style="246" hidden="1"/>
    <col min="5643" max="5643" width="9" style="246" hidden="1"/>
    <col min="5644" max="5644" width="13.375" style="246" hidden="1"/>
    <col min="5645" max="5888" width="9" style="246" hidden="1"/>
    <col min="5889" max="5889" width="4.125" style="246" hidden="1"/>
    <col min="5890" max="5890" width="11.625" style="246" hidden="1"/>
    <col min="5891" max="5891" width="13.375" style="246" hidden="1"/>
    <col min="5892" max="5892" width="12.25" style="246" hidden="1"/>
    <col min="5893" max="5893" width="11.375" style="246" hidden="1"/>
    <col min="5894" max="5894" width="12" style="246" hidden="1"/>
    <col min="5895" max="5895" width="11.375" style="246" hidden="1"/>
    <col min="5896" max="5896" width="11.875" style="246" hidden="1"/>
    <col min="5897" max="5897" width="13.375" style="246" hidden="1"/>
    <col min="5898" max="5898" width="5.375" style="246" hidden="1"/>
    <col min="5899" max="5899" width="9" style="246" hidden="1"/>
    <col min="5900" max="5900" width="13.375" style="246" hidden="1"/>
    <col min="5901" max="6144" width="9" style="246" hidden="1"/>
    <col min="6145" max="6145" width="4.125" style="246" hidden="1"/>
    <col min="6146" max="6146" width="11.625" style="246" hidden="1"/>
    <col min="6147" max="6147" width="13.375" style="246" hidden="1"/>
    <col min="6148" max="6148" width="12.25" style="246" hidden="1"/>
    <col min="6149" max="6149" width="11.375" style="246" hidden="1"/>
    <col min="6150" max="6150" width="12" style="246" hidden="1"/>
    <col min="6151" max="6151" width="11.375" style="246" hidden="1"/>
    <col min="6152" max="6152" width="11.875" style="246" hidden="1"/>
    <col min="6153" max="6153" width="13.375" style="246" hidden="1"/>
    <col min="6154" max="6154" width="5.375" style="246" hidden="1"/>
    <col min="6155" max="6155" width="9" style="246" hidden="1"/>
    <col min="6156" max="6156" width="13.375" style="246" hidden="1"/>
    <col min="6157" max="6400" width="9" style="246" hidden="1"/>
    <col min="6401" max="6401" width="4.125" style="246" hidden="1"/>
    <col min="6402" max="6402" width="11.625" style="246" hidden="1"/>
    <col min="6403" max="6403" width="13.375" style="246" hidden="1"/>
    <col min="6404" max="6404" width="12.25" style="246" hidden="1"/>
    <col min="6405" max="6405" width="11.375" style="246" hidden="1"/>
    <col min="6406" max="6406" width="12" style="246" hidden="1"/>
    <col min="6407" max="6407" width="11.375" style="246" hidden="1"/>
    <col min="6408" max="6408" width="11.875" style="246" hidden="1"/>
    <col min="6409" max="6409" width="13.375" style="246" hidden="1"/>
    <col min="6410" max="6410" width="5.375" style="246" hidden="1"/>
    <col min="6411" max="6411" width="9" style="246" hidden="1"/>
    <col min="6412" max="6412" width="13.375" style="246" hidden="1"/>
    <col min="6413" max="6656" width="9" style="246" hidden="1"/>
    <col min="6657" max="6657" width="4.125" style="246" hidden="1"/>
    <col min="6658" max="6658" width="11.625" style="246" hidden="1"/>
    <col min="6659" max="6659" width="13.375" style="246" hidden="1"/>
    <col min="6660" max="6660" width="12.25" style="246" hidden="1"/>
    <col min="6661" max="6661" width="11.375" style="246" hidden="1"/>
    <col min="6662" max="6662" width="12" style="246" hidden="1"/>
    <col min="6663" max="6663" width="11.375" style="246" hidden="1"/>
    <col min="6664" max="6664" width="11.875" style="246" hidden="1"/>
    <col min="6665" max="6665" width="13.375" style="246" hidden="1"/>
    <col min="6666" max="6666" width="5.375" style="246" hidden="1"/>
    <col min="6667" max="6667" width="9" style="246" hidden="1"/>
    <col min="6668" max="6668" width="13.375" style="246" hidden="1"/>
    <col min="6669" max="6912" width="9" style="246" hidden="1"/>
    <col min="6913" max="6913" width="4.125" style="246" hidden="1"/>
    <col min="6914" max="6914" width="11.625" style="246" hidden="1"/>
    <col min="6915" max="6915" width="13.375" style="246" hidden="1"/>
    <col min="6916" max="6916" width="12.25" style="246" hidden="1"/>
    <col min="6917" max="6917" width="11.375" style="246" hidden="1"/>
    <col min="6918" max="6918" width="12" style="246" hidden="1"/>
    <col min="6919" max="6919" width="11.375" style="246" hidden="1"/>
    <col min="6920" max="6920" width="11.875" style="246" hidden="1"/>
    <col min="6921" max="6921" width="13.375" style="246" hidden="1"/>
    <col min="6922" max="6922" width="5.375" style="246" hidden="1"/>
    <col min="6923" max="6923" width="9" style="246" hidden="1"/>
    <col min="6924" max="6924" width="13.375" style="246" hidden="1"/>
    <col min="6925" max="7168" width="9" style="246" hidden="1"/>
    <col min="7169" max="7169" width="4.125" style="246" hidden="1"/>
    <col min="7170" max="7170" width="11.625" style="246" hidden="1"/>
    <col min="7171" max="7171" width="13.375" style="246" hidden="1"/>
    <col min="7172" max="7172" width="12.25" style="246" hidden="1"/>
    <col min="7173" max="7173" width="11.375" style="246" hidden="1"/>
    <col min="7174" max="7174" width="12" style="246" hidden="1"/>
    <col min="7175" max="7175" width="11.375" style="246" hidden="1"/>
    <col min="7176" max="7176" width="11.875" style="246" hidden="1"/>
    <col min="7177" max="7177" width="13.375" style="246" hidden="1"/>
    <col min="7178" max="7178" width="5.375" style="246" hidden="1"/>
    <col min="7179" max="7179" width="9" style="246" hidden="1"/>
    <col min="7180" max="7180" width="13.375" style="246" hidden="1"/>
    <col min="7181" max="7424" width="9" style="246" hidden="1"/>
    <col min="7425" max="7425" width="4.125" style="246" hidden="1"/>
    <col min="7426" max="7426" width="11.625" style="246" hidden="1"/>
    <col min="7427" max="7427" width="13.375" style="246" hidden="1"/>
    <col min="7428" max="7428" width="12.25" style="246" hidden="1"/>
    <col min="7429" max="7429" width="11.375" style="246" hidden="1"/>
    <col min="7430" max="7430" width="12" style="246" hidden="1"/>
    <col min="7431" max="7431" width="11.375" style="246" hidden="1"/>
    <col min="7432" max="7432" width="11.875" style="246" hidden="1"/>
    <col min="7433" max="7433" width="13.375" style="246" hidden="1"/>
    <col min="7434" max="7434" width="5.375" style="246" hidden="1"/>
    <col min="7435" max="7435" width="9" style="246" hidden="1"/>
    <col min="7436" max="7436" width="13.375" style="246" hidden="1"/>
    <col min="7437" max="7680" width="9" style="246" hidden="1"/>
    <col min="7681" max="7681" width="4.125" style="246" hidden="1"/>
    <col min="7682" max="7682" width="11.625" style="246" hidden="1"/>
    <col min="7683" max="7683" width="13.375" style="246" hidden="1"/>
    <col min="7684" max="7684" width="12.25" style="246" hidden="1"/>
    <col min="7685" max="7685" width="11.375" style="246" hidden="1"/>
    <col min="7686" max="7686" width="12" style="246" hidden="1"/>
    <col min="7687" max="7687" width="11.375" style="246" hidden="1"/>
    <col min="7688" max="7688" width="11.875" style="246" hidden="1"/>
    <col min="7689" max="7689" width="13.375" style="246" hidden="1"/>
    <col min="7690" max="7690" width="5.375" style="246" hidden="1"/>
    <col min="7691" max="7691" width="9" style="246" hidden="1"/>
    <col min="7692" max="7692" width="13.375" style="246" hidden="1"/>
    <col min="7693" max="7936" width="9" style="246" hidden="1"/>
    <col min="7937" max="7937" width="4.125" style="246" hidden="1"/>
    <col min="7938" max="7938" width="11.625" style="246" hidden="1"/>
    <col min="7939" max="7939" width="13.375" style="246" hidden="1"/>
    <col min="7940" max="7940" width="12.25" style="246" hidden="1"/>
    <col min="7941" max="7941" width="11.375" style="246" hidden="1"/>
    <col min="7942" max="7942" width="12" style="246" hidden="1"/>
    <col min="7943" max="7943" width="11.375" style="246" hidden="1"/>
    <col min="7944" max="7944" width="11.875" style="246" hidden="1"/>
    <col min="7945" max="7945" width="13.375" style="246" hidden="1"/>
    <col min="7946" max="7946" width="5.375" style="246" hidden="1"/>
    <col min="7947" max="7947" width="9" style="246" hidden="1"/>
    <col min="7948" max="7948" width="13.375" style="246" hidden="1"/>
    <col min="7949" max="8192" width="9" style="246" hidden="1"/>
    <col min="8193" max="8193" width="4.125" style="246" hidden="1"/>
    <col min="8194" max="8194" width="11.625" style="246" hidden="1"/>
    <col min="8195" max="8195" width="13.375" style="246" hidden="1"/>
    <col min="8196" max="8196" width="12.25" style="246" hidden="1"/>
    <col min="8197" max="8197" width="11.375" style="246" hidden="1"/>
    <col min="8198" max="8198" width="12" style="246" hidden="1"/>
    <col min="8199" max="8199" width="11.375" style="246" hidden="1"/>
    <col min="8200" max="8200" width="11.875" style="246" hidden="1"/>
    <col min="8201" max="8201" width="13.375" style="246" hidden="1"/>
    <col min="8202" max="8202" width="5.375" style="246" hidden="1"/>
    <col min="8203" max="8203" width="9" style="246" hidden="1"/>
    <col min="8204" max="8204" width="13.375" style="246" hidden="1"/>
    <col min="8205" max="8448" width="9" style="246" hidden="1"/>
    <col min="8449" max="8449" width="4.125" style="246" hidden="1"/>
    <col min="8450" max="8450" width="11.625" style="246" hidden="1"/>
    <col min="8451" max="8451" width="13.375" style="246" hidden="1"/>
    <col min="8452" max="8452" width="12.25" style="246" hidden="1"/>
    <col min="8453" max="8453" width="11.375" style="246" hidden="1"/>
    <col min="8454" max="8454" width="12" style="246" hidden="1"/>
    <col min="8455" max="8455" width="11.375" style="246" hidden="1"/>
    <col min="8456" max="8456" width="11.875" style="246" hidden="1"/>
    <col min="8457" max="8457" width="13.375" style="246" hidden="1"/>
    <col min="8458" max="8458" width="5.375" style="246" hidden="1"/>
    <col min="8459" max="8459" width="9" style="246" hidden="1"/>
    <col min="8460" max="8460" width="13.375" style="246" hidden="1"/>
    <col min="8461" max="8704" width="9" style="246" hidden="1"/>
    <col min="8705" max="8705" width="4.125" style="246" hidden="1"/>
    <col min="8706" max="8706" width="11.625" style="246" hidden="1"/>
    <col min="8707" max="8707" width="13.375" style="246" hidden="1"/>
    <col min="8708" max="8708" width="12.25" style="246" hidden="1"/>
    <col min="8709" max="8709" width="11.375" style="246" hidden="1"/>
    <col min="8710" max="8710" width="12" style="246" hidden="1"/>
    <col min="8711" max="8711" width="11.375" style="246" hidden="1"/>
    <col min="8712" max="8712" width="11.875" style="246" hidden="1"/>
    <col min="8713" max="8713" width="13.375" style="246" hidden="1"/>
    <col min="8714" max="8714" width="5.375" style="246" hidden="1"/>
    <col min="8715" max="8715" width="9" style="246" hidden="1"/>
    <col min="8716" max="8716" width="13.375" style="246" hidden="1"/>
    <col min="8717" max="8960" width="9" style="246" hidden="1"/>
    <col min="8961" max="8961" width="4.125" style="246" hidden="1"/>
    <col min="8962" max="8962" width="11.625" style="246" hidden="1"/>
    <col min="8963" max="8963" width="13.375" style="246" hidden="1"/>
    <col min="8964" max="8964" width="12.25" style="246" hidden="1"/>
    <col min="8965" max="8965" width="11.375" style="246" hidden="1"/>
    <col min="8966" max="8966" width="12" style="246" hidden="1"/>
    <col min="8967" max="8967" width="11.375" style="246" hidden="1"/>
    <col min="8968" max="8968" width="11.875" style="246" hidden="1"/>
    <col min="8969" max="8969" width="13.375" style="246" hidden="1"/>
    <col min="8970" max="8970" width="5.375" style="246" hidden="1"/>
    <col min="8971" max="8971" width="9" style="246" hidden="1"/>
    <col min="8972" max="8972" width="13.375" style="246" hidden="1"/>
    <col min="8973" max="9216" width="9" style="246" hidden="1"/>
    <col min="9217" max="9217" width="4.125" style="246" hidden="1"/>
    <col min="9218" max="9218" width="11.625" style="246" hidden="1"/>
    <col min="9219" max="9219" width="13.375" style="246" hidden="1"/>
    <col min="9220" max="9220" width="12.25" style="246" hidden="1"/>
    <col min="9221" max="9221" width="11.375" style="246" hidden="1"/>
    <col min="9222" max="9222" width="12" style="246" hidden="1"/>
    <col min="9223" max="9223" width="11.375" style="246" hidden="1"/>
    <col min="9224" max="9224" width="11.875" style="246" hidden="1"/>
    <col min="9225" max="9225" width="13.375" style="246" hidden="1"/>
    <col min="9226" max="9226" width="5.375" style="246" hidden="1"/>
    <col min="9227" max="9227" width="9" style="246" hidden="1"/>
    <col min="9228" max="9228" width="13.375" style="246" hidden="1"/>
    <col min="9229" max="9472" width="9" style="246" hidden="1"/>
    <col min="9473" max="9473" width="4.125" style="246" hidden="1"/>
    <col min="9474" max="9474" width="11.625" style="246" hidden="1"/>
    <col min="9475" max="9475" width="13.375" style="246" hidden="1"/>
    <col min="9476" max="9476" width="12.25" style="246" hidden="1"/>
    <col min="9477" max="9477" width="11.375" style="246" hidden="1"/>
    <col min="9478" max="9478" width="12" style="246" hidden="1"/>
    <col min="9479" max="9479" width="11.375" style="246" hidden="1"/>
    <col min="9480" max="9480" width="11.875" style="246" hidden="1"/>
    <col min="9481" max="9481" width="13.375" style="246" hidden="1"/>
    <col min="9482" max="9482" width="5.375" style="246" hidden="1"/>
    <col min="9483" max="9483" width="9" style="246" hidden="1"/>
    <col min="9484" max="9484" width="13.375" style="246" hidden="1"/>
    <col min="9485" max="9728" width="9" style="246" hidden="1"/>
    <col min="9729" max="9729" width="4.125" style="246" hidden="1"/>
    <col min="9730" max="9730" width="11.625" style="246" hidden="1"/>
    <col min="9731" max="9731" width="13.375" style="246" hidden="1"/>
    <col min="9732" max="9732" width="12.25" style="246" hidden="1"/>
    <col min="9733" max="9733" width="11.375" style="246" hidden="1"/>
    <col min="9734" max="9734" width="12" style="246" hidden="1"/>
    <col min="9735" max="9735" width="11.375" style="246" hidden="1"/>
    <col min="9736" max="9736" width="11.875" style="246" hidden="1"/>
    <col min="9737" max="9737" width="13.375" style="246" hidden="1"/>
    <col min="9738" max="9738" width="5.375" style="246" hidden="1"/>
    <col min="9739" max="9739" width="9" style="246" hidden="1"/>
    <col min="9740" max="9740" width="13.375" style="246" hidden="1"/>
    <col min="9741" max="9984" width="9" style="246" hidden="1"/>
    <col min="9985" max="9985" width="4.125" style="246" hidden="1"/>
    <col min="9986" max="9986" width="11.625" style="246" hidden="1"/>
    <col min="9987" max="9987" width="13.375" style="246" hidden="1"/>
    <col min="9988" max="9988" width="12.25" style="246" hidden="1"/>
    <col min="9989" max="9989" width="11.375" style="246" hidden="1"/>
    <col min="9990" max="9990" width="12" style="246" hidden="1"/>
    <col min="9991" max="9991" width="11.375" style="246" hidden="1"/>
    <col min="9992" max="9992" width="11.875" style="246" hidden="1"/>
    <col min="9993" max="9993" width="13.375" style="246" hidden="1"/>
    <col min="9994" max="9994" width="5.375" style="246" hidden="1"/>
    <col min="9995" max="9995" width="9" style="246" hidden="1"/>
    <col min="9996" max="9996" width="13.375" style="246" hidden="1"/>
    <col min="9997" max="10240" width="9" style="246" hidden="1"/>
    <col min="10241" max="10241" width="4.125" style="246" hidden="1"/>
    <col min="10242" max="10242" width="11.625" style="246" hidden="1"/>
    <col min="10243" max="10243" width="13.375" style="246" hidden="1"/>
    <col min="10244" max="10244" width="12.25" style="246" hidden="1"/>
    <col min="10245" max="10245" width="11.375" style="246" hidden="1"/>
    <col min="10246" max="10246" width="12" style="246" hidden="1"/>
    <col min="10247" max="10247" width="11.375" style="246" hidden="1"/>
    <col min="10248" max="10248" width="11.875" style="246" hidden="1"/>
    <col min="10249" max="10249" width="13.375" style="246" hidden="1"/>
    <col min="10250" max="10250" width="5.375" style="246" hidden="1"/>
    <col min="10251" max="10251" width="9" style="246" hidden="1"/>
    <col min="10252" max="10252" width="13.375" style="246" hidden="1"/>
    <col min="10253" max="10496" width="9" style="246" hidden="1"/>
    <col min="10497" max="10497" width="4.125" style="246" hidden="1"/>
    <col min="10498" max="10498" width="11.625" style="246" hidden="1"/>
    <col min="10499" max="10499" width="13.375" style="246" hidden="1"/>
    <col min="10500" max="10500" width="12.25" style="246" hidden="1"/>
    <col min="10501" max="10501" width="11.375" style="246" hidden="1"/>
    <col min="10502" max="10502" width="12" style="246" hidden="1"/>
    <col min="10503" max="10503" width="11.375" style="246" hidden="1"/>
    <col min="10504" max="10504" width="11.875" style="246" hidden="1"/>
    <col min="10505" max="10505" width="13.375" style="246" hidden="1"/>
    <col min="10506" max="10506" width="5.375" style="246" hidden="1"/>
    <col min="10507" max="10507" width="9" style="246" hidden="1"/>
    <col min="10508" max="10508" width="13.375" style="246" hidden="1"/>
    <col min="10509" max="10752" width="9" style="246" hidden="1"/>
    <col min="10753" max="10753" width="4.125" style="246" hidden="1"/>
    <col min="10754" max="10754" width="11.625" style="246" hidden="1"/>
    <col min="10755" max="10755" width="13.375" style="246" hidden="1"/>
    <col min="10756" max="10756" width="12.25" style="246" hidden="1"/>
    <col min="10757" max="10757" width="11.375" style="246" hidden="1"/>
    <col min="10758" max="10758" width="12" style="246" hidden="1"/>
    <col min="10759" max="10759" width="11.375" style="246" hidden="1"/>
    <col min="10760" max="10760" width="11.875" style="246" hidden="1"/>
    <col min="10761" max="10761" width="13.375" style="246" hidden="1"/>
    <col min="10762" max="10762" width="5.375" style="246" hidden="1"/>
    <col min="10763" max="10763" width="9" style="246" hidden="1"/>
    <col min="10764" max="10764" width="13.375" style="246" hidden="1"/>
    <col min="10765" max="11008" width="9" style="246" hidden="1"/>
    <col min="11009" max="11009" width="4.125" style="246" hidden="1"/>
    <col min="11010" max="11010" width="11.625" style="246" hidden="1"/>
    <col min="11011" max="11011" width="13.375" style="246" hidden="1"/>
    <col min="11012" max="11012" width="12.25" style="246" hidden="1"/>
    <col min="11013" max="11013" width="11.375" style="246" hidden="1"/>
    <col min="11014" max="11014" width="12" style="246" hidden="1"/>
    <col min="11015" max="11015" width="11.375" style="246" hidden="1"/>
    <col min="11016" max="11016" width="11.875" style="246" hidden="1"/>
    <col min="11017" max="11017" width="13.375" style="246" hidden="1"/>
    <col min="11018" max="11018" width="5.375" style="246" hidden="1"/>
    <col min="11019" max="11019" width="9" style="246" hidden="1"/>
    <col min="11020" max="11020" width="13.375" style="246" hidden="1"/>
    <col min="11021" max="11264" width="9" style="246" hidden="1"/>
    <col min="11265" max="11265" width="4.125" style="246" hidden="1"/>
    <col min="11266" max="11266" width="11.625" style="246" hidden="1"/>
    <col min="11267" max="11267" width="13.375" style="246" hidden="1"/>
    <col min="11268" max="11268" width="12.25" style="246" hidden="1"/>
    <col min="11269" max="11269" width="11.375" style="246" hidden="1"/>
    <col min="11270" max="11270" width="12" style="246" hidden="1"/>
    <col min="11271" max="11271" width="11.375" style="246" hidden="1"/>
    <col min="11272" max="11272" width="11.875" style="246" hidden="1"/>
    <col min="11273" max="11273" width="13.375" style="246" hidden="1"/>
    <col min="11274" max="11274" width="5.375" style="246" hidden="1"/>
    <col min="11275" max="11275" width="9" style="246" hidden="1"/>
    <col min="11276" max="11276" width="13.375" style="246" hidden="1"/>
    <col min="11277" max="11520" width="9" style="246" hidden="1"/>
    <col min="11521" max="11521" width="4.125" style="246" hidden="1"/>
    <col min="11522" max="11522" width="11.625" style="246" hidden="1"/>
    <col min="11523" max="11523" width="13.375" style="246" hidden="1"/>
    <col min="11524" max="11524" width="12.25" style="246" hidden="1"/>
    <col min="11525" max="11525" width="11.375" style="246" hidden="1"/>
    <col min="11526" max="11526" width="12" style="246" hidden="1"/>
    <col min="11527" max="11527" width="11.375" style="246" hidden="1"/>
    <col min="11528" max="11528" width="11.875" style="246" hidden="1"/>
    <col min="11529" max="11529" width="13.375" style="246" hidden="1"/>
    <col min="11530" max="11530" width="5.375" style="246" hidden="1"/>
    <col min="11531" max="11531" width="9" style="246" hidden="1"/>
    <col min="11532" max="11532" width="13.375" style="246" hidden="1"/>
    <col min="11533" max="11776" width="9" style="246" hidden="1"/>
    <col min="11777" max="11777" width="4.125" style="246" hidden="1"/>
    <col min="11778" max="11778" width="11.625" style="246" hidden="1"/>
    <col min="11779" max="11779" width="13.375" style="246" hidden="1"/>
    <col min="11780" max="11780" width="12.25" style="246" hidden="1"/>
    <col min="11781" max="11781" width="11.375" style="246" hidden="1"/>
    <col min="11782" max="11782" width="12" style="246" hidden="1"/>
    <col min="11783" max="11783" width="11.375" style="246" hidden="1"/>
    <col min="11784" max="11784" width="11.875" style="246" hidden="1"/>
    <col min="11785" max="11785" width="13.375" style="246" hidden="1"/>
    <col min="11786" max="11786" width="5.375" style="246" hidden="1"/>
    <col min="11787" max="11787" width="9" style="246" hidden="1"/>
    <col min="11788" max="11788" width="13.375" style="246" hidden="1"/>
    <col min="11789" max="12032" width="9" style="246" hidden="1"/>
    <col min="12033" max="12033" width="4.125" style="246" hidden="1"/>
    <col min="12034" max="12034" width="11.625" style="246" hidden="1"/>
    <col min="12035" max="12035" width="13.375" style="246" hidden="1"/>
    <col min="12036" max="12036" width="12.25" style="246" hidden="1"/>
    <col min="12037" max="12037" width="11.375" style="246" hidden="1"/>
    <col min="12038" max="12038" width="12" style="246" hidden="1"/>
    <col min="12039" max="12039" width="11.375" style="246" hidden="1"/>
    <col min="12040" max="12040" width="11.875" style="246" hidden="1"/>
    <col min="12041" max="12041" width="13.375" style="246" hidden="1"/>
    <col min="12042" max="12042" width="5.375" style="246" hidden="1"/>
    <col min="12043" max="12043" width="9" style="246" hidden="1"/>
    <col min="12044" max="12044" width="13.375" style="246" hidden="1"/>
    <col min="12045" max="12288" width="9" style="246" hidden="1"/>
    <col min="12289" max="12289" width="4.125" style="246" hidden="1"/>
    <col min="12290" max="12290" width="11.625" style="246" hidden="1"/>
    <col min="12291" max="12291" width="13.375" style="246" hidden="1"/>
    <col min="12292" max="12292" width="12.25" style="246" hidden="1"/>
    <col min="12293" max="12293" width="11.375" style="246" hidden="1"/>
    <col min="12294" max="12294" width="12" style="246" hidden="1"/>
    <col min="12295" max="12295" width="11.375" style="246" hidden="1"/>
    <col min="12296" max="12296" width="11.875" style="246" hidden="1"/>
    <col min="12297" max="12297" width="13.375" style="246" hidden="1"/>
    <col min="12298" max="12298" width="5.375" style="246" hidden="1"/>
    <col min="12299" max="12299" width="9" style="246" hidden="1"/>
    <col min="12300" max="12300" width="13.375" style="246" hidden="1"/>
    <col min="12301" max="12544" width="9" style="246" hidden="1"/>
    <col min="12545" max="12545" width="4.125" style="246" hidden="1"/>
    <col min="12546" max="12546" width="11.625" style="246" hidden="1"/>
    <col min="12547" max="12547" width="13.375" style="246" hidden="1"/>
    <col min="12548" max="12548" width="12.25" style="246" hidden="1"/>
    <col min="12549" max="12549" width="11.375" style="246" hidden="1"/>
    <col min="12550" max="12550" width="12" style="246" hidden="1"/>
    <col min="12551" max="12551" width="11.375" style="246" hidden="1"/>
    <col min="12552" max="12552" width="11.875" style="246" hidden="1"/>
    <col min="12553" max="12553" width="13.375" style="246" hidden="1"/>
    <col min="12554" max="12554" width="5.375" style="246" hidden="1"/>
    <col min="12555" max="12555" width="9" style="246" hidden="1"/>
    <col min="12556" max="12556" width="13.375" style="246" hidden="1"/>
    <col min="12557" max="12800" width="9" style="246" hidden="1"/>
    <col min="12801" max="12801" width="4.125" style="246" hidden="1"/>
    <col min="12802" max="12802" width="11.625" style="246" hidden="1"/>
    <col min="12803" max="12803" width="13.375" style="246" hidden="1"/>
    <col min="12804" max="12804" width="12.25" style="246" hidden="1"/>
    <col min="12805" max="12805" width="11.375" style="246" hidden="1"/>
    <col min="12806" max="12806" width="12" style="246" hidden="1"/>
    <col min="12807" max="12807" width="11.375" style="246" hidden="1"/>
    <col min="12808" max="12808" width="11.875" style="246" hidden="1"/>
    <col min="12809" max="12809" width="13.375" style="246" hidden="1"/>
    <col min="12810" max="12810" width="5.375" style="246" hidden="1"/>
    <col min="12811" max="12811" width="9" style="246" hidden="1"/>
    <col min="12812" max="12812" width="13.375" style="246" hidden="1"/>
    <col min="12813" max="13056" width="9" style="246" hidden="1"/>
    <col min="13057" max="13057" width="4.125" style="246" hidden="1"/>
    <col min="13058" max="13058" width="11.625" style="246" hidden="1"/>
    <col min="13059" max="13059" width="13.375" style="246" hidden="1"/>
    <col min="13060" max="13060" width="12.25" style="246" hidden="1"/>
    <col min="13061" max="13061" width="11.375" style="246" hidden="1"/>
    <col min="13062" max="13062" width="12" style="246" hidden="1"/>
    <col min="13063" max="13063" width="11.375" style="246" hidden="1"/>
    <col min="13064" max="13064" width="11.875" style="246" hidden="1"/>
    <col min="13065" max="13065" width="13.375" style="246" hidden="1"/>
    <col min="13066" max="13066" width="5.375" style="246" hidden="1"/>
    <col min="13067" max="13067" width="9" style="246" hidden="1"/>
    <col min="13068" max="13068" width="13.375" style="246" hidden="1"/>
    <col min="13069" max="13312" width="9" style="246" hidden="1"/>
    <col min="13313" max="13313" width="4.125" style="246" hidden="1"/>
    <col min="13314" max="13314" width="11.625" style="246" hidden="1"/>
    <col min="13315" max="13315" width="13.375" style="246" hidden="1"/>
    <col min="13316" max="13316" width="12.25" style="246" hidden="1"/>
    <col min="13317" max="13317" width="11.375" style="246" hidden="1"/>
    <col min="13318" max="13318" width="12" style="246" hidden="1"/>
    <col min="13319" max="13319" width="11.375" style="246" hidden="1"/>
    <col min="13320" max="13320" width="11.875" style="246" hidden="1"/>
    <col min="13321" max="13321" width="13.375" style="246" hidden="1"/>
    <col min="13322" max="13322" width="5.375" style="246" hidden="1"/>
    <col min="13323" max="13323" width="9" style="246" hidden="1"/>
    <col min="13324" max="13324" width="13.375" style="246" hidden="1"/>
    <col min="13325" max="13568" width="9" style="246" hidden="1"/>
    <col min="13569" max="13569" width="4.125" style="246" hidden="1"/>
    <col min="13570" max="13570" width="11.625" style="246" hidden="1"/>
    <col min="13571" max="13571" width="13.375" style="246" hidden="1"/>
    <col min="13572" max="13572" width="12.25" style="246" hidden="1"/>
    <col min="13573" max="13573" width="11.375" style="246" hidden="1"/>
    <col min="13574" max="13574" width="12" style="246" hidden="1"/>
    <col min="13575" max="13575" width="11.375" style="246" hidden="1"/>
    <col min="13576" max="13576" width="11.875" style="246" hidden="1"/>
    <col min="13577" max="13577" width="13.375" style="246" hidden="1"/>
    <col min="13578" max="13578" width="5.375" style="246" hidden="1"/>
    <col min="13579" max="13579" width="9" style="246" hidden="1"/>
    <col min="13580" max="13580" width="13.375" style="246" hidden="1"/>
    <col min="13581" max="13824" width="9" style="246" hidden="1"/>
    <col min="13825" max="13825" width="4.125" style="246" hidden="1"/>
    <col min="13826" max="13826" width="11.625" style="246" hidden="1"/>
    <col min="13827" max="13827" width="13.375" style="246" hidden="1"/>
    <col min="13828" max="13828" width="12.25" style="246" hidden="1"/>
    <col min="13829" max="13829" width="11.375" style="246" hidden="1"/>
    <col min="13830" max="13830" width="12" style="246" hidden="1"/>
    <col min="13831" max="13831" width="11.375" style="246" hidden="1"/>
    <col min="13832" max="13832" width="11.875" style="246" hidden="1"/>
    <col min="13833" max="13833" width="13.375" style="246" hidden="1"/>
    <col min="13834" max="13834" width="5.375" style="246" hidden="1"/>
    <col min="13835" max="13835" width="9" style="246" hidden="1"/>
    <col min="13836" max="13836" width="13.375" style="246" hidden="1"/>
    <col min="13837" max="14080" width="9" style="246" hidden="1"/>
    <col min="14081" max="14081" width="4.125" style="246" hidden="1"/>
    <col min="14082" max="14082" width="11.625" style="246" hidden="1"/>
    <col min="14083" max="14083" width="13.375" style="246" hidden="1"/>
    <col min="14084" max="14084" width="12.25" style="246" hidden="1"/>
    <col min="14085" max="14085" width="11.375" style="246" hidden="1"/>
    <col min="14086" max="14086" width="12" style="246" hidden="1"/>
    <col min="14087" max="14087" width="11.375" style="246" hidden="1"/>
    <col min="14088" max="14088" width="11.875" style="246" hidden="1"/>
    <col min="14089" max="14089" width="13.375" style="246" hidden="1"/>
    <col min="14090" max="14090" width="5.375" style="246" hidden="1"/>
    <col min="14091" max="14091" width="9" style="246" hidden="1"/>
    <col min="14092" max="14092" width="13.375" style="246" hidden="1"/>
    <col min="14093" max="14336" width="9" style="246" hidden="1"/>
    <col min="14337" max="14337" width="4.125" style="246" hidden="1"/>
    <col min="14338" max="14338" width="11.625" style="246" hidden="1"/>
    <col min="14339" max="14339" width="13.375" style="246" hidden="1"/>
    <col min="14340" max="14340" width="12.25" style="246" hidden="1"/>
    <col min="14341" max="14341" width="11.375" style="246" hidden="1"/>
    <col min="14342" max="14342" width="12" style="246" hidden="1"/>
    <col min="14343" max="14343" width="11.375" style="246" hidden="1"/>
    <col min="14344" max="14344" width="11.875" style="246" hidden="1"/>
    <col min="14345" max="14345" width="13.375" style="246" hidden="1"/>
    <col min="14346" max="14346" width="5.375" style="246" hidden="1"/>
    <col min="14347" max="14347" width="9" style="246" hidden="1"/>
    <col min="14348" max="14348" width="13.375" style="246" hidden="1"/>
    <col min="14349" max="14592" width="9" style="246" hidden="1"/>
    <col min="14593" max="14593" width="4.125" style="246" hidden="1"/>
    <col min="14594" max="14594" width="11.625" style="246" hidden="1"/>
    <col min="14595" max="14595" width="13.375" style="246" hidden="1"/>
    <col min="14596" max="14596" width="12.25" style="246" hidden="1"/>
    <col min="14597" max="14597" width="11.375" style="246" hidden="1"/>
    <col min="14598" max="14598" width="12" style="246" hidden="1"/>
    <col min="14599" max="14599" width="11.375" style="246" hidden="1"/>
    <col min="14600" max="14600" width="11.875" style="246" hidden="1"/>
    <col min="14601" max="14601" width="13.375" style="246" hidden="1"/>
    <col min="14602" max="14602" width="5.375" style="246" hidden="1"/>
    <col min="14603" max="14603" width="9" style="246" hidden="1"/>
    <col min="14604" max="14604" width="13.375" style="246" hidden="1"/>
    <col min="14605" max="14848" width="9" style="246" hidden="1"/>
    <col min="14849" max="14849" width="4.125" style="246" hidden="1"/>
    <col min="14850" max="14850" width="11.625" style="246" hidden="1"/>
    <col min="14851" max="14851" width="13.375" style="246" hidden="1"/>
    <col min="14852" max="14852" width="12.25" style="246" hidden="1"/>
    <col min="14853" max="14853" width="11.375" style="246" hidden="1"/>
    <col min="14854" max="14854" width="12" style="246" hidden="1"/>
    <col min="14855" max="14855" width="11.375" style="246" hidden="1"/>
    <col min="14856" max="14856" width="11.875" style="246" hidden="1"/>
    <col min="14857" max="14857" width="13.375" style="246" hidden="1"/>
    <col min="14858" max="14858" width="5.375" style="246" hidden="1"/>
    <col min="14859" max="14859" width="9" style="246" hidden="1"/>
    <col min="14860" max="14860" width="13.375" style="246" hidden="1"/>
    <col min="14861" max="15104" width="9" style="246" hidden="1"/>
    <col min="15105" max="15105" width="4.125" style="246" hidden="1"/>
    <col min="15106" max="15106" width="11.625" style="246" hidden="1"/>
    <col min="15107" max="15107" width="13.375" style="246" hidden="1"/>
    <col min="15108" max="15108" width="12.25" style="246" hidden="1"/>
    <col min="15109" max="15109" width="11.375" style="246" hidden="1"/>
    <col min="15110" max="15110" width="12" style="246" hidden="1"/>
    <col min="15111" max="15111" width="11.375" style="246" hidden="1"/>
    <col min="15112" max="15112" width="11.875" style="246" hidden="1"/>
    <col min="15113" max="15113" width="13.375" style="246" hidden="1"/>
    <col min="15114" max="15114" width="5.375" style="246" hidden="1"/>
    <col min="15115" max="15115" width="9" style="246" hidden="1"/>
    <col min="15116" max="15116" width="13.375" style="246" hidden="1"/>
    <col min="15117" max="15360" width="9" style="246" hidden="1"/>
    <col min="15361" max="15361" width="4.125" style="246" hidden="1"/>
    <col min="15362" max="15362" width="11.625" style="246" hidden="1"/>
    <col min="15363" max="15363" width="13.375" style="246" hidden="1"/>
    <col min="15364" max="15364" width="12.25" style="246" hidden="1"/>
    <col min="15365" max="15365" width="11.375" style="246" hidden="1"/>
    <col min="15366" max="15366" width="12" style="246" hidden="1"/>
    <col min="15367" max="15367" width="11.375" style="246" hidden="1"/>
    <col min="15368" max="15368" width="11.875" style="246" hidden="1"/>
    <col min="15369" max="15369" width="13.375" style="246" hidden="1"/>
    <col min="15370" max="15370" width="5.375" style="246" hidden="1"/>
    <col min="15371" max="15371" width="9" style="246" hidden="1"/>
    <col min="15372" max="15372" width="13.375" style="246" hidden="1"/>
    <col min="15373" max="15616" width="9" style="246" hidden="1"/>
    <col min="15617" max="15617" width="4.125" style="246" hidden="1"/>
    <col min="15618" max="15618" width="11.625" style="246" hidden="1"/>
    <col min="15619" max="15619" width="13.375" style="246" hidden="1"/>
    <col min="15620" max="15620" width="12.25" style="246" hidden="1"/>
    <col min="15621" max="15621" width="11.375" style="246" hidden="1"/>
    <col min="15622" max="15622" width="12" style="246" hidden="1"/>
    <col min="15623" max="15623" width="11.375" style="246" hidden="1"/>
    <col min="15624" max="15624" width="11.875" style="246" hidden="1"/>
    <col min="15625" max="15625" width="13.375" style="246" hidden="1"/>
    <col min="15626" max="15626" width="5.375" style="246" hidden="1"/>
    <col min="15627" max="15627" width="9" style="246" hidden="1"/>
    <col min="15628" max="15628" width="13.375" style="246" hidden="1"/>
    <col min="15629" max="15872" width="9" style="246" hidden="1"/>
    <col min="15873" max="15873" width="4.125" style="246" hidden="1"/>
    <col min="15874" max="15874" width="11.625" style="246" hidden="1"/>
    <col min="15875" max="15875" width="13.375" style="246" hidden="1"/>
    <col min="15876" max="15876" width="12.25" style="246" hidden="1"/>
    <col min="15877" max="15877" width="11.375" style="246" hidden="1"/>
    <col min="15878" max="15878" width="12" style="246" hidden="1"/>
    <col min="15879" max="15879" width="11.375" style="246" hidden="1"/>
    <col min="15880" max="15880" width="11.875" style="246" hidden="1"/>
    <col min="15881" max="15881" width="13.375" style="246" hidden="1"/>
    <col min="15882" max="15882" width="5.375" style="246" hidden="1"/>
    <col min="15883" max="15883" width="9" style="246" hidden="1"/>
    <col min="15884" max="15884" width="13.375" style="246" hidden="1"/>
    <col min="15885" max="16128" width="9" style="246" hidden="1"/>
    <col min="16129" max="16129" width="4.125" style="246" hidden="1"/>
    <col min="16130" max="16130" width="11.625" style="246" hidden="1"/>
    <col min="16131" max="16131" width="13.375" style="246" hidden="1"/>
    <col min="16132" max="16132" width="12.25" style="246" hidden="1"/>
    <col min="16133" max="16133" width="11.375" style="246" hidden="1"/>
    <col min="16134" max="16134" width="12" style="246" hidden="1"/>
    <col min="16135" max="16135" width="11.375" style="246" hidden="1"/>
    <col min="16136" max="16136" width="11.875" style="246" hidden="1"/>
    <col min="16137" max="16137" width="13.375" style="246" hidden="1"/>
    <col min="16138" max="16138" width="5.375" style="246" hidden="1"/>
    <col min="16139" max="16139" width="9" style="246" hidden="1"/>
    <col min="16140" max="16140" width="13.375" style="246" hidden="1"/>
    <col min="16141" max="16384" width="9" style="246" hidden="1"/>
  </cols>
  <sheetData>
    <row r="1" spans="1:11" ht="24" customHeight="1">
      <c r="A1" s="1022" t="s">
        <v>471</v>
      </c>
      <c r="B1" s="1022"/>
      <c r="C1" s="1022"/>
      <c r="D1" s="1022"/>
      <c r="E1" s="1022"/>
      <c r="F1" s="1022"/>
      <c r="G1" s="1022"/>
      <c r="H1" s="1022"/>
      <c r="I1" s="1022"/>
    </row>
    <row r="2" spans="1:11" ht="12.75" customHeight="1" thickBot="1">
      <c r="A2" s="225"/>
      <c r="B2" s="225"/>
      <c r="C2" s="225"/>
      <c r="D2" s="225"/>
      <c r="E2" s="225"/>
      <c r="F2" s="225"/>
      <c r="G2" s="225"/>
      <c r="H2" s="225"/>
      <c r="I2" s="225"/>
    </row>
    <row r="3" spans="1:11" ht="3" customHeight="1" thickTop="1">
      <c r="A3" s="247"/>
      <c r="B3" s="247"/>
      <c r="C3" s="247"/>
      <c r="D3" s="247"/>
      <c r="E3" s="247"/>
      <c r="F3" s="247"/>
      <c r="G3" s="247"/>
      <c r="H3" s="247"/>
      <c r="I3" s="247"/>
    </row>
    <row r="4" spans="1:11" ht="6.75" customHeight="1">
      <c r="A4" s="225"/>
      <c r="B4" s="225"/>
      <c r="C4" s="225"/>
      <c r="D4" s="225"/>
      <c r="E4" s="225"/>
      <c r="F4" s="225"/>
      <c r="G4" s="225"/>
      <c r="H4" s="225"/>
      <c r="I4" s="225"/>
    </row>
    <row r="5" spans="1:11" ht="14.25" customHeight="1">
      <c r="A5" s="225"/>
      <c r="B5" s="1023" t="s">
        <v>390</v>
      </c>
      <c r="C5" s="1024"/>
      <c r="D5" s="1025"/>
      <c r="E5" s="225"/>
      <c r="F5" s="1023" t="s">
        <v>391</v>
      </c>
      <c r="G5" s="1024"/>
      <c r="H5" s="1025"/>
      <c r="I5" s="225"/>
    </row>
    <row r="6" spans="1:11" ht="14.25" customHeight="1">
      <c r="A6" s="225"/>
      <c r="B6" s="248"/>
      <c r="C6" s="225" t="s">
        <v>364</v>
      </c>
      <c r="D6" s="481" t="e">
        <f>מימון!B12</f>
        <v>#N/A</v>
      </c>
      <c r="E6" s="225"/>
      <c r="F6" s="1028" t="s">
        <v>369</v>
      </c>
      <c r="G6" s="1029"/>
      <c r="H6" s="236" t="e">
        <f ca="1">IF(Values_Entered,-PMT(Interest_Rate/Num_Pmt_Per_Year,Loan_Years*Num_Pmt_Per_Year,Loan_Amount),"")</f>
        <v>#N/A</v>
      </c>
      <c r="I6" s="225"/>
    </row>
    <row r="7" spans="1:11" ht="14.25" customHeight="1">
      <c r="A7" s="225"/>
      <c r="B7" s="248"/>
      <c r="C7" s="225" t="s">
        <v>365</v>
      </c>
      <c r="D7" s="482">
        <f>מימון!B15</f>
        <v>5.5E-2</v>
      </c>
      <c r="E7" s="225"/>
      <c r="F7" s="1030" t="s">
        <v>370</v>
      </c>
      <c r="G7" s="1031"/>
      <c r="H7" s="227" t="e">
        <f ca="1">IF(Values_Entered,Loan_Years*Num_Pmt_Per_Year,"")</f>
        <v>#N/A</v>
      </c>
      <c r="I7" s="225"/>
    </row>
    <row r="8" spans="1:11" ht="14.25" customHeight="1">
      <c r="A8" s="225"/>
      <c r="B8" s="248"/>
      <c r="C8" s="225" t="s">
        <v>366</v>
      </c>
      <c r="D8" s="483">
        <f>'מקורות מימון'!F8</f>
        <v>10</v>
      </c>
      <c r="E8" s="225"/>
      <c r="F8" s="1030" t="s">
        <v>371</v>
      </c>
      <c r="G8" s="1031"/>
      <c r="H8" s="227" t="e">
        <f ca="1">IF(Values_Entered,Number_of_Payments,"")</f>
        <v>#N/A</v>
      </c>
      <c r="I8" s="225"/>
    </row>
    <row r="9" spans="1:11" ht="14.25" customHeight="1">
      <c r="A9" s="225"/>
      <c r="B9" s="248"/>
      <c r="C9" s="225" t="s">
        <v>367</v>
      </c>
      <c r="D9" s="483">
        <f>מימון!B14</f>
        <v>4</v>
      </c>
      <c r="E9" s="225"/>
      <c r="F9" s="1030"/>
      <c r="G9" s="1031"/>
      <c r="H9" s="226" t="e">
        <f ca="1">IF(Values_Entered,SUMIF(Beg_Bal,"&gt;0",Extra_Pay),"")</f>
        <v>#N/A</v>
      </c>
      <c r="I9" s="225"/>
    </row>
    <row r="10" spans="1:11" ht="14.25" customHeight="1">
      <c r="A10" s="225"/>
      <c r="B10" s="248"/>
      <c r="C10" s="225" t="s">
        <v>368</v>
      </c>
      <c r="D10" s="484">
        <f ca="1">TODAY()</f>
        <v>45585</v>
      </c>
      <c r="E10" s="225"/>
      <c r="F10" s="1032" t="s">
        <v>372</v>
      </c>
      <c r="G10" s="1033"/>
      <c r="H10" s="237" t="e">
        <f ca="1">IF(Values_Entered,SUMIF(Beg_Bal,"&gt;0",Int),"")</f>
        <v>#N/A</v>
      </c>
      <c r="I10" s="225"/>
    </row>
    <row r="11" spans="1:11">
      <c r="A11" s="225"/>
      <c r="B11" s="249"/>
      <c r="C11" s="228"/>
      <c r="D11" s="485"/>
      <c r="E11" s="225"/>
      <c r="F11" s="225"/>
      <c r="G11" s="225"/>
      <c r="H11" s="225"/>
      <c r="I11" s="225"/>
    </row>
    <row r="12" spans="1:11">
      <c r="A12" s="225"/>
      <c r="B12" s="225"/>
      <c r="C12" s="225"/>
      <c r="D12" s="225"/>
      <c r="E12" s="225"/>
      <c r="F12" s="225"/>
      <c r="G12" s="225"/>
      <c r="H12" s="225"/>
      <c r="I12" s="225"/>
    </row>
    <row r="13" spans="1:11">
      <c r="A13" s="225"/>
      <c r="B13" s="229" t="s">
        <v>469</v>
      </c>
      <c r="C13" s="1026"/>
      <c r="D13" s="1027"/>
      <c r="E13" s="225"/>
      <c r="F13" s="225"/>
      <c r="G13" s="225"/>
      <c r="H13" s="225"/>
      <c r="I13" s="225"/>
    </row>
    <row r="14" spans="1:11" ht="13.5" thickBot="1">
      <c r="A14" s="225"/>
      <c r="B14" s="225"/>
      <c r="C14" s="225"/>
      <c r="D14" s="225"/>
      <c r="E14" s="225"/>
      <c r="F14" s="225"/>
      <c r="G14" s="225"/>
      <c r="H14" s="225"/>
      <c r="I14" s="225"/>
    </row>
    <row r="15" spans="1:11" ht="3" customHeight="1" thickTop="1">
      <c r="A15" s="247"/>
      <c r="B15" s="247"/>
      <c r="C15" s="247"/>
      <c r="D15" s="247"/>
      <c r="E15" s="247"/>
      <c r="F15" s="247"/>
      <c r="G15" s="247"/>
      <c r="H15" s="247"/>
      <c r="I15" s="247"/>
    </row>
    <row r="16" spans="1:11" s="250" customFormat="1" ht="31.5" customHeight="1" thickBot="1">
      <c r="A16" s="451" t="s">
        <v>470</v>
      </c>
      <c r="B16" s="452" t="s">
        <v>376</v>
      </c>
      <c r="C16" s="452" t="s">
        <v>377</v>
      </c>
      <c r="D16" s="452" t="s">
        <v>378</v>
      </c>
      <c r="E16" s="452"/>
      <c r="F16" s="452" t="s">
        <v>379</v>
      </c>
      <c r="G16" s="452" t="s">
        <v>380</v>
      </c>
      <c r="H16" s="452" t="s">
        <v>334</v>
      </c>
      <c r="I16" s="452" t="s">
        <v>381</v>
      </c>
      <c r="J16" s="250" t="s">
        <v>365</v>
      </c>
      <c r="K16" s="250" t="s">
        <v>374</v>
      </c>
    </row>
    <row r="17" spans="1:11" s="250" customFormat="1" ht="3" customHeight="1" thickTop="1">
      <c r="A17" s="247"/>
      <c r="B17" s="251"/>
      <c r="C17" s="251"/>
      <c r="D17" s="251"/>
      <c r="E17" s="251"/>
      <c r="F17" s="251"/>
      <c r="G17" s="251"/>
      <c r="H17" s="251"/>
      <c r="I17" s="252"/>
    </row>
    <row r="18" spans="1:11" s="250" customFormat="1">
      <c r="A18" s="230" t="e">
        <f ca="1">IF(Values_Entered,1,"")</f>
        <v>#N/A</v>
      </c>
      <c r="B18" s="231" t="e">
        <f t="shared" ref="B18:B81" ca="1" si="0">IF(Pay_Num&lt;&gt;"",DATE(YEAR(Loan_Start),MONTH(Loan_Start)+(Pay_Num)*12/Num_Pmt_Per_Year,DAY(Loan_Start)),"")</f>
        <v>#N/A</v>
      </c>
      <c r="C18" s="234" t="e">
        <f ca="1">IF(Values_Entered,Loan_Amount,"")</f>
        <v>#N/A</v>
      </c>
      <c r="D18" s="234" t="e">
        <f ca="1">IF(Pay_Num&lt;&gt;"",Scheduled_Monthly_Payment,"")</f>
        <v>#N/A</v>
      </c>
      <c r="E18" s="480" t="e">
        <f t="shared" ref="E18:E81" ca="1" si="1">IF(AND(Pay_Num&lt;&gt;"",Sched_Pay+Scheduled_Extra_Payments&lt;Beg_Bal),Scheduled_Extra_Payments,IF(AND(Pay_Num&lt;&gt;"",Beg_Bal-Sched_Pay&gt;0),Beg_Bal-Sched_Pay,IF(Pay_Num&lt;&gt;"",0,"")))</f>
        <v>#N/A</v>
      </c>
      <c r="F18" s="234" t="e">
        <f t="shared" ref="F18:F81" ca="1" si="2">IF(AND(Pay_Num&lt;&gt;"",Sched_Pay+Extra_Pay&lt;Beg_Bal),Sched_Pay+Extra_Pay,IF(Pay_Num&lt;&gt;"",Beg_Bal,""))</f>
        <v>#N/A</v>
      </c>
      <c r="G18" s="234" t="e">
        <f ca="1">IF(Pay_Num&lt;&gt;"",Total_Pay-Int,"")</f>
        <v>#N/A</v>
      </c>
      <c r="H18" s="234" t="e">
        <f ca="1">IF(Pay_Num&lt;&gt;"",Beg_Bal*(Interest_Rate/Num_Pmt_Per_Year),"")</f>
        <v>#N/A</v>
      </c>
      <c r="I18" s="234" t="e">
        <f t="shared" ref="I18:I81" ca="1" si="3">IF(AND(Pay_Num&lt;&gt;"",Sched_Pay+Extra_Pay&lt;Beg_Bal),Beg_Bal-Princ,IF(Pay_Num&lt;&gt;"",0,""))</f>
        <v>#N/A</v>
      </c>
    </row>
    <row r="19" spans="1:11" s="250" customFormat="1" ht="12.75" customHeight="1">
      <c r="A19" s="230" t="e">
        <f t="shared" ref="A19:A82" ca="1" si="4">IF(Values_Entered,A18+1,"")</f>
        <v>#N/A</v>
      </c>
      <c r="B19" s="231" t="e">
        <f t="shared" ca="1" si="0"/>
        <v>#N/A</v>
      </c>
      <c r="C19" s="234" t="e">
        <f ca="1">IF(Pay_Num&lt;&gt;"",I18,"")</f>
        <v>#N/A</v>
      </c>
      <c r="D19" s="234" t="e">
        <f ca="1">IF(Pay_Num&lt;&gt;"",Scheduled_Monthly_Payment,"")</f>
        <v>#N/A</v>
      </c>
      <c r="E19" s="480" t="e">
        <f t="shared" ca="1" si="1"/>
        <v>#N/A</v>
      </c>
      <c r="F19" s="234" t="e">
        <f t="shared" ca="1" si="2"/>
        <v>#N/A</v>
      </c>
      <c r="G19" s="234" t="e">
        <f t="shared" ref="G19:G82" ca="1" si="5">IF(Pay_Num&lt;&gt;"",Total_Pay-Int,"")</f>
        <v>#N/A</v>
      </c>
      <c r="H19" s="234" t="e">
        <f t="shared" ref="H19:H82" ca="1" si="6">IF(Pay_Num&lt;&gt;"",Beg_Bal*Interest_Rate/Num_Pmt_Per_Year,"")</f>
        <v>#N/A</v>
      </c>
      <c r="I19" s="234" t="e">
        <f t="shared" ca="1" si="3"/>
        <v>#N/A</v>
      </c>
    </row>
    <row r="20" spans="1:11" s="250" customFormat="1" ht="12.75" customHeight="1">
      <c r="A20" s="230" t="e">
        <f t="shared" ca="1" si="4"/>
        <v>#N/A</v>
      </c>
      <c r="B20" s="231" t="e">
        <f t="shared" ca="1" si="0"/>
        <v>#N/A</v>
      </c>
      <c r="C20" s="234" t="e">
        <f t="shared" ref="C20:C83" ca="1" si="7">IF(Pay_Num&lt;&gt;"",I19,"")</f>
        <v>#N/A</v>
      </c>
      <c r="D20" s="234" t="e">
        <f t="shared" ref="D20:D83" ca="1" si="8">IF(Pay_Num&lt;&gt;"",Scheduled_Monthly_Payment,"")</f>
        <v>#N/A</v>
      </c>
      <c r="E20" s="480" t="e">
        <f t="shared" ca="1" si="1"/>
        <v>#N/A</v>
      </c>
      <c r="F20" s="234" t="e">
        <f t="shared" ca="1" si="2"/>
        <v>#N/A</v>
      </c>
      <c r="G20" s="234" t="e">
        <f t="shared" ca="1" si="5"/>
        <v>#N/A</v>
      </c>
      <c r="H20" s="234" t="e">
        <f t="shared" ca="1" si="6"/>
        <v>#N/A</v>
      </c>
      <c r="I20" s="234" t="e">
        <f t="shared" ca="1" si="3"/>
        <v>#N/A</v>
      </c>
    </row>
    <row r="21" spans="1:11" s="250" customFormat="1">
      <c r="A21" s="230" t="e">
        <f t="shared" ca="1" si="4"/>
        <v>#N/A</v>
      </c>
      <c r="B21" s="231" t="e">
        <f t="shared" ca="1" si="0"/>
        <v>#N/A</v>
      </c>
      <c r="C21" s="234" t="e">
        <f t="shared" ca="1" si="7"/>
        <v>#N/A</v>
      </c>
      <c r="D21" s="234" t="e">
        <f t="shared" ca="1" si="8"/>
        <v>#N/A</v>
      </c>
      <c r="E21" s="480" t="e">
        <f t="shared" ca="1" si="1"/>
        <v>#N/A</v>
      </c>
      <c r="F21" s="234" t="e">
        <f t="shared" ca="1" si="2"/>
        <v>#N/A</v>
      </c>
      <c r="G21" s="234" t="e">
        <f t="shared" ca="1" si="5"/>
        <v>#N/A</v>
      </c>
      <c r="H21" s="234" t="e">
        <f t="shared" ca="1" si="6"/>
        <v>#N/A</v>
      </c>
      <c r="I21" s="234" t="e">
        <f t="shared" ca="1" si="3"/>
        <v>#N/A</v>
      </c>
      <c r="J21" s="253" t="e">
        <f ca="1">SUM(H18:H21)</f>
        <v>#N/A</v>
      </c>
      <c r="K21" s="253" t="e">
        <f ca="1">SUM(G18:G21)</f>
        <v>#N/A</v>
      </c>
    </row>
    <row r="22" spans="1:11" s="250" customFormat="1">
      <c r="A22" s="230" t="e">
        <f t="shared" ca="1" si="4"/>
        <v>#N/A</v>
      </c>
      <c r="B22" s="231" t="e">
        <f t="shared" ca="1" si="0"/>
        <v>#N/A</v>
      </c>
      <c r="C22" s="234" t="e">
        <f t="shared" ca="1" si="7"/>
        <v>#N/A</v>
      </c>
      <c r="D22" s="234" t="e">
        <f t="shared" ca="1" si="8"/>
        <v>#N/A</v>
      </c>
      <c r="E22" s="480" t="e">
        <f t="shared" ca="1" si="1"/>
        <v>#N/A</v>
      </c>
      <c r="F22" s="234" t="e">
        <f t="shared" ca="1" si="2"/>
        <v>#N/A</v>
      </c>
      <c r="G22" s="234" t="e">
        <f t="shared" ca="1" si="5"/>
        <v>#N/A</v>
      </c>
      <c r="H22" s="234" t="e">
        <f t="shared" ca="1" si="6"/>
        <v>#N/A</v>
      </c>
      <c r="I22" s="234" t="e">
        <f t="shared" ca="1" si="3"/>
        <v>#N/A</v>
      </c>
    </row>
    <row r="23" spans="1:11">
      <c r="A23" s="230" t="e">
        <f t="shared" ca="1" si="4"/>
        <v>#N/A</v>
      </c>
      <c r="B23" s="231" t="e">
        <f t="shared" ca="1" si="0"/>
        <v>#N/A</v>
      </c>
      <c r="C23" s="234" t="e">
        <f ca="1">IF(Pay_Num&lt;&gt;"",I22,"")</f>
        <v>#N/A</v>
      </c>
      <c r="D23" s="234" t="e">
        <f t="shared" ca="1" si="8"/>
        <v>#N/A</v>
      </c>
      <c r="E23" s="480" t="e">
        <f t="shared" ca="1" si="1"/>
        <v>#N/A</v>
      </c>
      <c r="F23" s="234" t="e">
        <f t="shared" ca="1" si="2"/>
        <v>#N/A</v>
      </c>
      <c r="G23" s="234" t="e">
        <f t="shared" ca="1" si="5"/>
        <v>#N/A</v>
      </c>
      <c r="H23" s="234" t="e">
        <f t="shared" ca="1" si="6"/>
        <v>#N/A</v>
      </c>
      <c r="I23" s="234" t="e">
        <f t="shared" ca="1" si="3"/>
        <v>#N/A</v>
      </c>
      <c r="J23" s="250"/>
      <c r="K23" s="250"/>
    </row>
    <row r="24" spans="1:11">
      <c r="A24" s="230" t="e">
        <f t="shared" ca="1" si="4"/>
        <v>#N/A</v>
      </c>
      <c r="B24" s="231" t="e">
        <f t="shared" ca="1" si="0"/>
        <v>#N/A</v>
      </c>
      <c r="C24" s="234" t="e">
        <f t="shared" ca="1" si="7"/>
        <v>#N/A</v>
      </c>
      <c r="D24" s="234" t="e">
        <f t="shared" ca="1" si="8"/>
        <v>#N/A</v>
      </c>
      <c r="E24" s="480" t="e">
        <f t="shared" ca="1" si="1"/>
        <v>#N/A</v>
      </c>
      <c r="F24" s="234" t="e">
        <f t="shared" ca="1" si="2"/>
        <v>#N/A</v>
      </c>
      <c r="G24" s="234" t="e">
        <f t="shared" ca="1" si="5"/>
        <v>#N/A</v>
      </c>
      <c r="H24" s="234" t="e">
        <f t="shared" ca="1" si="6"/>
        <v>#N/A</v>
      </c>
      <c r="I24" s="234" t="e">
        <f t="shared" ca="1" si="3"/>
        <v>#N/A</v>
      </c>
      <c r="J24" s="250"/>
      <c r="K24" s="250"/>
    </row>
    <row r="25" spans="1:11">
      <c r="A25" s="230" t="e">
        <f t="shared" ca="1" si="4"/>
        <v>#N/A</v>
      </c>
      <c r="B25" s="231" t="e">
        <f t="shared" ca="1" si="0"/>
        <v>#N/A</v>
      </c>
      <c r="C25" s="234" t="e">
        <f ca="1">IF(Pay_Num&lt;&gt;"",I24,"")</f>
        <v>#N/A</v>
      </c>
      <c r="D25" s="234" t="e">
        <f t="shared" ca="1" si="8"/>
        <v>#N/A</v>
      </c>
      <c r="E25" s="480" t="e">
        <f t="shared" ca="1" si="1"/>
        <v>#N/A</v>
      </c>
      <c r="F25" s="234" t="e">
        <f t="shared" ca="1" si="2"/>
        <v>#N/A</v>
      </c>
      <c r="G25" s="234" t="e">
        <f t="shared" ca="1" si="5"/>
        <v>#N/A</v>
      </c>
      <c r="H25" s="234" t="e">
        <f t="shared" ca="1" si="6"/>
        <v>#N/A</v>
      </c>
      <c r="I25" s="234" t="e">
        <f t="shared" ca="1" si="3"/>
        <v>#N/A</v>
      </c>
      <c r="J25" s="253" t="e">
        <f ca="1">SUM(H22:H25)</f>
        <v>#N/A</v>
      </c>
      <c r="K25" s="253" t="e">
        <f ca="1">SUM(G22:G25)</f>
        <v>#N/A</v>
      </c>
    </row>
    <row r="26" spans="1:11">
      <c r="A26" s="230" t="e">
        <f t="shared" ca="1" si="4"/>
        <v>#N/A</v>
      </c>
      <c r="B26" s="231" t="e">
        <f t="shared" ca="1" si="0"/>
        <v>#N/A</v>
      </c>
      <c r="C26" s="234" t="e">
        <f t="shared" ca="1" si="7"/>
        <v>#N/A</v>
      </c>
      <c r="D26" s="234" t="e">
        <f t="shared" ca="1" si="8"/>
        <v>#N/A</v>
      </c>
      <c r="E26" s="480" t="e">
        <f t="shared" ca="1" si="1"/>
        <v>#N/A</v>
      </c>
      <c r="F26" s="234" t="e">
        <f t="shared" ca="1" si="2"/>
        <v>#N/A</v>
      </c>
      <c r="G26" s="234" t="e">
        <f t="shared" ca="1" si="5"/>
        <v>#N/A</v>
      </c>
      <c r="H26" s="234" t="e">
        <f t="shared" ca="1" si="6"/>
        <v>#N/A</v>
      </c>
      <c r="I26" s="234" t="e">
        <f t="shared" ca="1" si="3"/>
        <v>#N/A</v>
      </c>
      <c r="J26" s="250"/>
      <c r="K26" s="250"/>
    </row>
    <row r="27" spans="1:11">
      <c r="A27" s="230" t="e">
        <f t="shared" ca="1" si="4"/>
        <v>#N/A</v>
      </c>
      <c r="B27" s="231" t="e">
        <f t="shared" ca="1" si="0"/>
        <v>#N/A</v>
      </c>
      <c r="C27" s="234" t="e">
        <f t="shared" ca="1" si="7"/>
        <v>#N/A</v>
      </c>
      <c r="D27" s="234" t="e">
        <f t="shared" ca="1" si="8"/>
        <v>#N/A</v>
      </c>
      <c r="E27" s="480" t="e">
        <f t="shared" ca="1" si="1"/>
        <v>#N/A</v>
      </c>
      <c r="F27" s="234" t="e">
        <f t="shared" ca="1" si="2"/>
        <v>#N/A</v>
      </c>
      <c r="G27" s="234" t="e">
        <f t="shared" ca="1" si="5"/>
        <v>#N/A</v>
      </c>
      <c r="H27" s="234" t="e">
        <f t="shared" ca="1" si="6"/>
        <v>#N/A</v>
      </c>
      <c r="I27" s="234" t="e">
        <f t="shared" ca="1" si="3"/>
        <v>#N/A</v>
      </c>
      <c r="J27" s="250"/>
      <c r="K27" s="250"/>
    </row>
    <row r="28" spans="1:11">
      <c r="A28" s="230" t="e">
        <f t="shared" ca="1" si="4"/>
        <v>#N/A</v>
      </c>
      <c r="B28" s="231" t="e">
        <f t="shared" ca="1" si="0"/>
        <v>#N/A</v>
      </c>
      <c r="C28" s="234" t="e">
        <f t="shared" ca="1" si="7"/>
        <v>#N/A</v>
      </c>
      <c r="D28" s="234" t="e">
        <f t="shared" ca="1" si="8"/>
        <v>#N/A</v>
      </c>
      <c r="E28" s="480" t="e">
        <f t="shared" ca="1" si="1"/>
        <v>#N/A</v>
      </c>
      <c r="F28" s="234" t="e">
        <f t="shared" ca="1" si="2"/>
        <v>#N/A</v>
      </c>
      <c r="G28" s="234" t="e">
        <f t="shared" ca="1" si="5"/>
        <v>#N/A</v>
      </c>
      <c r="H28" s="234" t="e">
        <f t="shared" ca="1" si="6"/>
        <v>#N/A</v>
      </c>
      <c r="I28" s="234" t="e">
        <f t="shared" ca="1" si="3"/>
        <v>#N/A</v>
      </c>
      <c r="J28" s="250"/>
      <c r="K28" s="250"/>
    </row>
    <row r="29" spans="1:11">
      <c r="A29" s="230" t="e">
        <f t="shared" ca="1" si="4"/>
        <v>#N/A</v>
      </c>
      <c r="B29" s="231" t="e">
        <f t="shared" ca="1" si="0"/>
        <v>#N/A</v>
      </c>
      <c r="C29" s="234" t="e">
        <f t="shared" ca="1" si="7"/>
        <v>#N/A</v>
      </c>
      <c r="D29" s="234" t="e">
        <f t="shared" ca="1" si="8"/>
        <v>#N/A</v>
      </c>
      <c r="E29" s="480" t="e">
        <f t="shared" ca="1" si="1"/>
        <v>#N/A</v>
      </c>
      <c r="F29" s="234" t="e">
        <f t="shared" ca="1" si="2"/>
        <v>#N/A</v>
      </c>
      <c r="G29" s="234" t="e">
        <f t="shared" ca="1" si="5"/>
        <v>#N/A</v>
      </c>
      <c r="H29" s="234" t="e">
        <f t="shared" ca="1" si="6"/>
        <v>#N/A</v>
      </c>
      <c r="I29" s="234" t="e">
        <f t="shared" ca="1" si="3"/>
        <v>#N/A</v>
      </c>
      <c r="J29" s="253" t="e">
        <f ca="1">SUM(H26:H29)</f>
        <v>#N/A</v>
      </c>
      <c r="K29" s="253" t="e">
        <f ca="1">SUM(G26:G29)</f>
        <v>#N/A</v>
      </c>
    </row>
    <row r="30" spans="1:11">
      <c r="A30" s="230" t="e">
        <f t="shared" ca="1" si="4"/>
        <v>#N/A</v>
      </c>
      <c r="B30" s="231" t="e">
        <f t="shared" ca="1" si="0"/>
        <v>#N/A</v>
      </c>
      <c r="C30" s="234" t="e">
        <f t="shared" ca="1" si="7"/>
        <v>#N/A</v>
      </c>
      <c r="D30" s="234" t="e">
        <f t="shared" ca="1" si="8"/>
        <v>#N/A</v>
      </c>
      <c r="E30" s="480" t="e">
        <f t="shared" ca="1" si="1"/>
        <v>#N/A</v>
      </c>
      <c r="F30" s="234" t="e">
        <f t="shared" ca="1" si="2"/>
        <v>#N/A</v>
      </c>
      <c r="G30" s="234" t="e">
        <f t="shared" ca="1" si="5"/>
        <v>#N/A</v>
      </c>
      <c r="H30" s="234" t="e">
        <f t="shared" ca="1" si="6"/>
        <v>#N/A</v>
      </c>
      <c r="I30" s="234" t="e">
        <f t="shared" ca="1" si="3"/>
        <v>#N/A</v>
      </c>
      <c r="J30" s="250"/>
      <c r="K30" s="250"/>
    </row>
    <row r="31" spans="1:11">
      <c r="A31" s="230" t="e">
        <f t="shared" ca="1" si="4"/>
        <v>#N/A</v>
      </c>
      <c r="B31" s="231" t="e">
        <f t="shared" ca="1" si="0"/>
        <v>#N/A</v>
      </c>
      <c r="C31" s="234" t="e">
        <f t="shared" ca="1" si="7"/>
        <v>#N/A</v>
      </c>
      <c r="D31" s="234" t="e">
        <f t="shared" ca="1" si="8"/>
        <v>#N/A</v>
      </c>
      <c r="E31" s="480" t="e">
        <f t="shared" ca="1" si="1"/>
        <v>#N/A</v>
      </c>
      <c r="F31" s="234" t="e">
        <f t="shared" ca="1" si="2"/>
        <v>#N/A</v>
      </c>
      <c r="G31" s="234" t="e">
        <f t="shared" ca="1" si="5"/>
        <v>#N/A</v>
      </c>
      <c r="H31" s="234" t="e">
        <f t="shared" ca="1" si="6"/>
        <v>#N/A</v>
      </c>
      <c r="I31" s="234" t="e">
        <f t="shared" ca="1" si="3"/>
        <v>#N/A</v>
      </c>
      <c r="J31" s="250"/>
      <c r="K31" s="250"/>
    </row>
    <row r="32" spans="1:11">
      <c r="A32" s="230" t="e">
        <f t="shared" ca="1" si="4"/>
        <v>#N/A</v>
      </c>
      <c r="B32" s="231" t="e">
        <f t="shared" ca="1" si="0"/>
        <v>#N/A</v>
      </c>
      <c r="C32" s="234" t="e">
        <f t="shared" ca="1" si="7"/>
        <v>#N/A</v>
      </c>
      <c r="D32" s="234" t="e">
        <f t="shared" ca="1" si="8"/>
        <v>#N/A</v>
      </c>
      <c r="E32" s="480" t="e">
        <f t="shared" ca="1" si="1"/>
        <v>#N/A</v>
      </c>
      <c r="F32" s="234" t="e">
        <f t="shared" ca="1" si="2"/>
        <v>#N/A</v>
      </c>
      <c r="G32" s="234" t="e">
        <f t="shared" ca="1" si="5"/>
        <v>#N/A</v>
      </c>
      <c r="H32" s="234" t="e">
        <f t="shared" ca="1" si="6"/>
        <v>#N/A</v>
      </c>
      <c r="I32" s="234" t="e">
        <f t="shared" ca="1" si="3"/>
        <v>#N/A</v>
      </c>
      <c r="J32" s="250"/>
      <c r="K32" s="250"/>
    </row>
    <row r="33" spans="1:11">
      <c r="A33" s="230" t="e">
        <f t="shared" ca="1" si="4"/>
        <v>#N/A</v>
      </c>
      <c r="B33" s="231" t="e">
        <f t="shared" ca="1" si="0"/>
        <v>#N/A</v>
      </c>
      <c r="C33" s="234" t="e">
        <f t="shared" ca="1" si="7"/>
        <v>#N/A</v>
      </c>
      <c r="D33" s="234" t="e">
        <f t="shared" ca="1" si="8"/>
        <v>#N/A</v>
      </c>
      <c r="E33" s="480" t="e">
        <f t="shared" ca="1" si="1"/>
        <v>#N/A</v>
      </c>
      <c r="F33" s="234" t="e">
        <f t="shared" ca="1" si="2"/>
        <v>#N/A</v>
      </c>
      <c r="G33" s="234" t="e">
        <f t="shared" ca="1" si="5"/>
        <v>#N/A</v>
      </c>
      <c r="H33" s="234" t="e">
        <f t="shared" ca="1" si="6"/>
        <v>#N/A</v>
      </c>
      <c r="I33" s="234" t="e">
        <f t="shared" ca="1" si="3"/>
        <v>#N/A</v>
      </c>
      <c r="J33" s="253" t="e">
        <f ca="1">SUM(H30:H33)</f>
        <v>#N/A</v>
      </c>
      <c r="K33" s="253" t="e">
        <f ca="1">SUM(G30:G33)</f>
        <v>#N/A</v>
      </c>
    </row>
    <row r="34" spans="1:11">
      <c r="A34" s="230" t="e">
        <f t="shared" ca="1" si="4"/>
        <v>#N/A</v>
      </c>
      <c r="B34" s="231" t="e">
        <f t="shared" ca="1" si="0"/>
        <v>#N/A</v>
      </c>
      <c r="C34" s="234" t="e">
        <f t="shared" ca="1" si="7"/>
        <v>#N/A</v>
      </c>
      <c r="D34" s="234" t="e">
        <f t="shared" ca="1" si="8"/>
        <v>#N/A</v>
      </c>
      <c r="E34" s="480" t="e">
        <f t="shared" ca="1" si="1"/>
        <v>#N/A</v>
      </c>
      <c r="F34" s="234" t="e">
        <f t="shared" ca="1" si="2"/>
        <v>#N/A</v>
      </c>
      <c r="G34" s="234" t="e">
        <f t="shared" ca="1" si="5"/>
        <v>#N/A</v>
      </c>
      <c r="H34" s="234" t="e">
        <f t="shared" ca="1" si="6"/>
        <v>#N/A</v>
      </c>
      <c r="I34" s="234" t="e">
        <f t="shared" ca="1" si="3"/>
        <v>#N/A</v>
      </c>
      <c r="J34" s="250"/>
      <c r="K34" s="250"/>
    </row>
    <row r="35" spans="1:11">
      <c r="A35" s="230" t="e">
        <f t="shared" ca="1" si="4"/>
        <v>#N/A</v>
      </c>
      <c r="B35" s="231" t="e">
        <f t="shared" ca="1" si="0"/>
        <v>#N/A</v>
      </c>
      <c r="C35" s="234" t="e">
        <f t="shared" ca="1" si="7"/>
        <v>#N/A</v>
      </c>
      <c r="D35" s="234" t="e">
        <f t="shared" ca="1" si="8"/>
        <v>#N/A</v>
      </c>
      <c r="E35" s="480" t="e">
        <f t="shared" ca="1" si="1"/>
        <v>#N/A</v>
      </c>
      <c r="F35" s="234" t="e">
        <f t="shared" ca="1" si="2"/>
        <v>#N/A</v>
      </c>
      <c r="G35" s="234" t="e">
        <f t="shared" ca="1" si="5"/>
        <v>#N/A</v>
      </c>
      <c r="H35" s="234" t="e">
        <f t="shared" ca="1" si="6"/>
        <v>#N/A</v>
      </c>
      <c r="I35" s="234" t="e">
        <f t="shared" ca="1" si="3"/>
        <v>#N/A</v>
      </c>
      <c r="J35" s="250"/>
      <c r="K35" s="250"/>
    </row>
    <row r="36" spans="1:11">
      <c r="A36" s="230" t="e">
        <f t="shared" ca="1" si="4"/>
        <v>#N/A</v>
      </c>
      <c r="B36" s="231" t="e">
        <f t="shared" ca="1" si="0"/>
        <v>#N/A</v>
      </c>
      <c r="C36" s="234" t="e">
        <f t="shared" ca="1" si="7"/>
        <v>#N/A</v>
      </c>
      <c r="D36" s="234" t="e">
        <f t="shared" ca="1" si="8"/>
        <v>#N/A</v>
      </c>
      <c r="E36" s="480" t="e">
        <f t="shared" ca="1" si="1"/>
        <v>#N/A</v>
      </c>
      <c r="F36" s="234" t="e">
        <f t="shared" ca="1" si="2"/>
        <v>#N/A</v>
      </c>
      <c r="G36" s="234" t="e">
        <f t="shared" ca="1" si="5"/>
        <v>#N/A</v>
      </c>
      <c r="H36" s="234" t="e">
        <f t="shared" ca="1" si="6"/>
        <v>#N/A</v>
      </c>
      <c r="I36" s="234" t="e">
        <f t="shared" ca="1" si="3"/>
        <v>#N/A</v>
      </c>
      <c r="J36" s="250"/>
      <c r="K36" s="250"/>
    </row>
    <row r="37" spans="1:11">
      <c r="A37" s="230" t="e">
        <f t="shared" ca="1" si="4"/>
        <v>#N/A</v>
      </c>
      <c r="B37" s="231" t="e">
        <f t="shared" ca="1" si="0"/>
        <v>#N/A</v>
      </c>
      <c r="C37" s="234" t="e">
        <f t="shared" ca="1" si="7"/>
        <v>#N/A</v>
      </c>
      <c r="D37" s="234" t="e">
        <f t="shared" ca="1" si="8"/>
        <v>#N/A</v>
      </c>
      <c r="E37" s="480" t="e">
        <f t="shared" ca="1" si="1"/>
        <v>#N/A</v>
      </c>
      <c r="F37" s="234" t="e">
        <f t="shared" ca="1" si="2"/>
        <v>#N/A</v>
      </c>
      <c r="G37" s="234" t="e">
        <f t="shared" ca="1" si="5"/>
        <v>#N/A</v>
      </c>
      <c r="H37" s="234" t="e">
        <f t="shared" ca="1" si="6"/>
        <v>#N/A</v>
      </c>
      <c r="I37" s="234" t="e">
        <f t="shared" ca="1" si="3"/>
        <v>#N/A</v>
      </c>
      <c r="J37" s="253" t="e">
        <f ca="1">SUM(H34:H37)</f>
        <v>#N/A</v>
      </c>
      <c r="K37" s="253" t="e">
        <f ca="1">SUM(G34:G37)</f>
        <v>#N/A</v>
      </c>
    </row>
    <row r="38" spans="1:11">
      <c r="A38" s="230" t="e">
        <f t="shared" ca="1" si="4"/>
        <v>#N/A</v>
      </c>
      <c r="B38" s="231" t="e">
        <f t="shared" ca="1" si="0"/>
        <v>#N/A</v>
      </c>
      <c r="C38" s="234" t="e">
        <f t="shared" ca="1" si="7"/>
        <v>#N/A</v>
      </c>
      <c r="D38" s="234" t="e">
        <f t="shared" ca="1" si="8"/>
        <v>#N/A</v>
      </c>
      <c r="E38" s="480" t="e">
        <f t="shared" ca="1" si="1"/>
        <v>#N/A</v>
      </c>
      <c r="F38" s="234" t="e">
        <f t="shared" ca="1" si="2"/>
        <v>#N/A</v>
      </c>
      <c r="G38" s="234" t="e">
        <f t="shared" ca="1" si="5"/>
        <v>#N/A</v>
      </c>
      <c r="H38" s="234" t="e">
        <f t="shared" ca="1" si="6"/>
        <v>#N/A</v>
      </c>
      <c r="I38" s="234" t="e">
        <f t="shared" ca="1" si="3"/>
        <v>#N/A</v>
      </c>
      <c r="J38" s="250"/>
      <c r="K38" s="250"/>
    </row>
    <row r="39" spans="1:11">
      <c r="A39" s="230" t="e">
        <f t="shared" ca="1" si="4"/>
        <v>#N/A</v>
      </c>
      <c r="B39" s="231" t="e">
        <f t="shared" ca="1" si="0"/>
        <v>#N/A</v>
      </c>
      <c r="C39" s="234" t="e">
        <f t="shared" ca="1" si="7"/>
        <v>#N/A</v>
      </c>
      <c r="D39" s="234" t="e">
        <f t="shared" ca="1" si="8"/>
        <v>#N/A</v>
      </c>
      <c r="E39" s="480" t="e">
        <f t="shared" ca="1" si="1"/>
        <v>#N/A</v>
      </c>
      <c r="F39" s="234" t="e">
        <f t="shared" ca="1" si="2"/>
        <v>#N/A</v>
      </c>
      <c r="G39" s="234" t="e">
        <f t="shared" ca="1" si="5"/>
        <v>#N/A</v>
      </c>
      <c r="H39" s="234" t="e">
        <f t="shared" ca="1" si="6"/>
        <v>#N/A</v>
      </c>
      <c r="I39" s="234" t="e">
        <f t="shared" ca="1" si="3"/>
        <v>#N/A</v>
      </c>
      <c r="J39" s="250"/>
      <c r="K39" s="250"/>
    </row>
    <row r="40" spans="1:11">
      <c r="A40" s="230" t="e">
        <f t="shared" ca="1" si="4"/>
        <v>#N/A</v>
      </c>
      <c r="B40" s="231" t="e">
        <f t="shared" ca="1" si="0"/>
        <v>#N/A</v>
      </c>
      <c r="C40" s="234" t="e">
        <f t="shared" ca="1" si="7"/>
        <v>#N/A</v>
      </c>
      <c r="D40" s="234" t="e">
        <f t="shared" ca="1" si="8"/>
        <v>#N/A</v>
      </c>
      <c r="E40" s="480" t="e">
        <f t="shared" ca="1" si="1"/>
        <v>#N/A</v>
      </c>
      <c r="F40" s="234" t="e">
        <f t="shared" ca="1" si="2"/>
        <v>#N/A</v>
      </c>
      <c r="G40" s="234" t="e">
        <f t="shared" ca="1" si="5"/>
        <v>#N/A</v>
      </c>
      <c r="H40" s="234" t="e">
        <f t="shared" ca="1" si="6"/>
        <v>#N/A</v>
      </c>
      <c r="I40" s="234" t="e">
        <f t="shared" ca="1" si="3"/>
        <v>#N/A</v>
      </c>
      <c r="J40" s="250"/>
      <c r="K40" s="250"/>
    </row>
    <row r="41" spans="1:11">
      <c r="A41" s="230" t="e">
        <f t="shared" ca="1" si="4"/>
        <v>#N/A</v>
      </c>
      <c r="B41" s="231" t="e">
        <f t="shared" ca="1" si="0"/>
        <v>#N/A</v>
      </c>
      <c r="C41" s="234" t="e">
        <f t="shared" ca="1" si="7"/>
        <v>#N/A</v>
      </c>
      <c r="D41" s="234" t="e">
        <f t="shared" ca="1" si="8"/>
        <v>#N/A</v>
      </c>
      <c r="E41" s="480" t="e">
        <f t="shared" ca="1" si="1"/>
        <v>#N/A</v>
      </c>
      <c r="F41" s="234" t="e">
        <f t="shared" ca="1" si="2"/>
        <v>#N/A</v>
      </c>
      <c r="G41" s="234" t="e">
        <f t="shared" ca="1" si="5"/>
        <v>#N/A</v>
      </c>
      <c r="H41" s="234" t="e">
        <f t="shared" ca="1" si="6"/>
        <v>#N/A</v>
      </c>
      <c r="I41" s="234" t="e">
        <f t="shared" ca="1" si="3"/>
        <v>#N/A</v>
      </c>
      <c r="J41" s="253" t="e">
        <f ca="1">SUM(H38:H41)</f>
        <v>#N/A</v>
      </c>
      <c r="K41" s="253" t="e">
        <f ca="1">SUM(G38:G41)</f>
        <v>#N/A</v>
      </c>
    </row>
    <row r="42" spans="1:11">
      <c r="A42" s="230" t="e">
        <f t="shared" ca="1" si="4"/>
        <v>#N/A</v>
      </c>
      <c r="B42" s="231" t="e">
        <f t="shared" ca="1" si="0"/>
        <v>#N/A</v>
      </c>
      <c r="C42" s="234" t="e">
        <f t="shared" ca="1" si="7"/>
        <v>#N/A</v>
      </c>
      <c r="D42" s="234" t="e">
        <f t="shared" ca="1" si="8"/>
        <v>#N/A</v>
      </c>
      <c r="E42" s="480" t="e">
        <f t="shared" ca="1" si="1"/>
        <v>#N/A</v>
      </c>
      <c r="F42" s="234" t="e">
        <f t="shared" ca="1" si="2"/>
        <v>#N/A</v>
      </c>
      <c r="G42" s="234" t="e">
        <f t="shared" ca="1" si="5"/>
        <v>#N/A</v>
      </c>
      <c r="H42" s="234" t="e">
        <f t="shared" ca="1" si="6"/>
        <v>#N/A</v>
      </c>
      <c r="I42" s="234" t="e">
        <f t="shared" ca="1" si="3"/>
        <v>#N/A</v>
      </c>
      <c r="J42" s="250"/>
      <c r="K42" s="250"/>
    </row>
    <row r="43" spans="1:11">
      <c r="A43" s="230" t="e">
        <f t="shared" ca="1" si="4"/>
        <v>#N/A</v>
      </c>
      <c r="B43" s="231" t="e">
        <f t="shared" ca="1" si="0"/>
        <v>#N/A</v>
      </c>
      <c r="C43" s="234" t="e">
        <f t="shared" ca="1" si="7"/>
        <v>#N/A</v>
      </c>
      <c r="D43" s="234" t="e">
        <f t="shared" ca="1" si="8"/>
        <v>#N/A</v>
      </c>
      <c r="E43" s="480" t="e">
        <f t="shared" ca="1" si="1"/>
        <v>#N/A</v>
      </c>
      <c r="F43" s="234" t="e">
        <f t="shared" ca="1" si="2"/>
        <v>#N/A</v>
      </c>
      <c r="G43" s="234" t="e">
        <f t="shared" ca="1" si="5"/>
        <v>#N/A</v>
      </c>
      <c r="H43" s="234" t="e">
        <f t="shared" ca="1" si="6"/>
        <v>#N/A</v>
      </c>
      <c r="I43" s="234" t="e">
        <f t="shared" ca="1" si="3"/>
        <v>#N/A</v>
      </c>
      <c r="J43" s="250"/>
      <c r="K43" s="250"/>
    </row>
    <row r="44" spans="1:11">
      <c r="A44" s="230" t="e">
        <f t="shared" ca="1" si="4"/>
        <v>#N/A</v>
      </c>
      <c r="B44" s="231" t="e">
        <f t="shared" ca="1" si="0"/>
        <v>#N/A</v>
      </c>
      <c r="C44" s="234" t="e">
        <f t="shared" ca="1" si="7"/>
        <v>#N/A</v>
      </c>
      <c r="D44" s="234" t="e">
        <f t="shared" ca="1" si="8"/>
        <v>#N/A</v>
      </c>
      <c r="E44" s="480" t="e">
        <f t="shared" ca="1" si="1"/>
        <v>#N/A</v>
      </c>
      <c r="F44" s="234" t="e">
        <f t="shared" ca="1" si="2"/>
        <v>#N/A</v>
      </c>
      <c r="G44" s="234" t="e">
        <f t="shared" ca="1" si="5"/>
        <v>#N/A</v>
      </c>
      <c r="H44" s="234" t="e">
        <f t="shared" ca="1" si="6"/>
        <v>#N/A</v>
      </c>
      <c r="I44" s="234" t="e">
        <f t="shared" ca="1" si="3"/>
        <v>#N/A</v>
      </c>
      <c r="J44" s="250"/>
      <c r="K44" s="250"/>
    </row>
    <row r="45" spans="1:11">
      <c r="A45" s="230" t="e">
        <f t="shared" ca="1" si="4"/>
        <v>#N/A</v>
      </c>
      <c r="B45" s="231" t="e">
        <f t="shared" ca="1" si="0"/>
        <v>#N/A</v>
      </c>
      <c r="C45" s="234" t="e">
        <f t="shared" ca="1" si="7"/>
        <v>#N/A</v>
      </c>
      <c r="D45" s="234" t="e">
        <f t="shared" ca="1" si="8"/>
        <v>#N/A</v>
      </c>
      <c r="E45" s="480" t="e">
        <f t="shared" ca="1" si="1"/>
        <v>#N/A</v>
      </c>
      <c r="F45" s="234" t="e">
        <f t="shared" ca="1" si="2"/>
        <v>#N/A</v>
      </c>
      <c r="G45" s="234" t="e">
        <f t="shared" ca="1" si="5"/>
        <v>#N/A</v>
      </c>
      <c r="H45" s="234" t="e">
        <f t="shared" ca="1" si="6"/>
        <v>#N/A</v>
      </c>
      <c r="I45" s="234" t="e">
        <f t="shared" ca="1" si="3"/>
        <v>#N/A</v>
      </c>
      <c r="J45" s="253" t="e">
        <f ca="1">SUM(H42:H45)</f>
        <v>#N/A</v>
      </c>
      <c r="K45" s="253" t="e">
        <f ca="1">SUM(G42:G45)</f>
        <v>#N/A</v>
      </c>
    </row>
    <row r="46" spans="1:11">
      <c r="A46" s="230" t="e">
        <f t="shared" ca="1" si="4"/>
        <v>#N/A</v>
      </c>
      <c r="B46" s="231" t="e">
        <f t="shared" ca="1" si="0"/>
        <v>#N/A</v>
      </c>
      <c r="C46" s="234" t="e">
        <f t="shared" ca="1" si="7"/>
        <v>#N/A</v>
      </c>
      <c r="D46" s="234" t="e">
        <f t="shared" ca="1" si="8"/>
        <v>#N/A</v>
      </c>
      <c r="E46" s="480" t="e">
        <f t="shared" ca="1" si="1"/>
        <v>#N/A</v>
      </c>
      <c r="F46" s="234" t="e">
        <f t="shared" ca="1" si="2"/>
        <v>#N/A</v>
      </c>
      <c r="G46" s="234" t="e">
        <f t="shared" ca="1" si="5"/>
        <v>#N/A</v>
      </c>
      <c r="H46" s="234" t="e">
        <f t="shared" ca="1" si="6"/>
        <v>#N/A</v>
      </c>
      <c r="I46" s="234" t="e">
        <f t="shared" ca="1" si="3"/>
        <v>#N/A</v>
      </c>
      <c r="J46" s="250"/>
      <c r="K46" s="250"/>
    </row>
    <row r="47" spans="1:11">
      <c r="A47" s="230" t="e">
        <f t="shared" ca="1" si="4"/>
        <v>#N/A</v>
      </c>
      <c r="B47" s="231" t="e">
        <f t="shared" ca="1" si="0"/>
        <v>#N/A</v>
      </c>
      <c r="C47" s="234" t="e">
        <f t="shared" ca="1" si="7"/>
        <v>#N/A</v>
      </c>
      <c r="D47" s="234" t="e">
        <f t="shared" ca="1" si="8"/>
        <v>#N/A</v>
      </c>
      <c r="E47" s="480" t="e">
        <f t="shared" ca="1" si="1"/>
        <v>#N/A</v>
      </c>
      <c r="F47" s="234" t="e">
        <f t="shared" ca="1" si="2"/>
        <v>#N/A</v>
      </c>
      <c r="G47" s="234" t="e">
        <f t="shared" ca="1" si="5"/>
        <v>#N/A</v>
      </c>
      <c r="H47" s="234" t="e">
        <f t="shared" ca="1" si="6"/>
        <v>#N/A</v>
      </c>
      <c r="I47" s="234" t="e">
        <f t="shared" ca="1" si="3"/>
        <v>#N/A</v>
      </c>
      <c r="J47" s="250"/>
      <c r="K47" s="250"/>
    </row>
    <row r="48" spans="1:11">
      <c r="A48" s="230" t="e">
        <f t="shared" ca="1" si="4"/>
        <v>#N/A</v>
      </c>
      <c r="B48" s="231" t="e">
        <f t="shared" ca="1" si="0"/>
        <v>#N/A</v>
      </c>
      <c r="C48" s="234" t="e">
        <f t="shared" ca="1" si="7"/>
        <v>#N/A</v>
      </c>
      <c r="D48" s="234" t="e">
        <f t="shared" ca="1" si="8"/>
        <v>#N/A</v>
      </c>
      <c r="E48" s="480" t="e">
        <f t="shared" ca="1" si="1"/>
        <v>#N/A</v>
      </c>
      <c r="F48" s="234" t="e">
        <f t="shared" ca="1" si="2"/>
        <v>#N/A</v>
      </c>
      <c r="G48" s="234" t="e">
        <f t="shared" ca="1" si="5"/>
        <v>#N/A</v>
      </c>
      <c r="H48" s="234" t="e">
        <f t="shared" ca="1" si="6"/>
        <v>#N/A</v>
      </c>
      <c r="I48" s="234" t="e">
        <f t="shared" ca="1" si="3"/>
        <v>#N/A</v>
      </c>
      <c r="J48" s="250"/>
      <c r="K48" s="250"/>
    </row>
    <row r="49" spans="1:11">
      <c r="A49" s="230" t="e">
        <f t="shared" ca="1" si="4"/>
        <v>#N/A</v>
      </c>
      <c r="B49" s="231" t="e">
        <f t="shared" ca="1" si="0"/>
        <v>#N/A</v>
      </c>
      <c r="C49" s="234" t="e">
        <f t="shared" ca="1" si="7"/>
        <v>#N/A</v>
      </c>
      <c r="D49" s="234" t="e">
        <f t="shared" ca="1" si="8"/>
        <v>#N/A</v>
      </c>
      <c r="E49" s="480" t="e">
        <f t="shared" ca="1" si="1"/>
        <v>#N/A</v>
      </c>
      <c r="F49" s="234" t="e">
        <f t="shared" ca="1" si="2"/>
        <v>#N/A</v>
      </c>
      <c r="G49" s="234" t="e">
        <f t="shared" ca="1" si="5"/>
        <v>#N/A</v>
      </c>
      <c r="H49" s="234" t="e">
        <f t="shared" ca="1" si="6"/>
        <v>#N/A</v>
      </c>
      <c r="I49" s="234" t="e">
        <f t="shared" ca="1" si="3"/>
        <v>#N/A</v>
      </c>
      <c r="J49" s="253" t="e">
        <f ca="1">SUM(H46:H49)</f>
        <v>#N/A</v>
      </c>
      <c r="K49" s="253" t="e">
        <f ca="1">SUM(G46:G49)</f>
        <v>#N/A</v>
      </c>
    </row>
    <row r="50" spans="1:11">
      <c r="A50" s="230" t="e">
        <f t="shared" ca="1" si="4"/>
        <v>#N/A</v>
      </c>
      <c r="B50" s="231" t="e">
        <f t="shared" ca="1" si="0"/>
        <v>#N/A</v>
      </c>
      <c r="C50" s="234" t="e">
        <f t="shared" ca="1" si="7"/>
        <v>#N/A</v>
      </c>
      <c r="D50" s="234" t="e">
        <f t="shared" ca="1" si="8"/>
        <v>#N/A</v>
      </c>
      <c r="E50" s="480" t="e">
        <f t="shared" ca="1" si="1"/>
        <v>#N/A</v>
      </c>
      <c r="F50" s="234" t="e">
        <f t="shared" ca="1" si="2"/>
        <v>#N/A</v>
      </c>
      <c r="G50" s="234" t="e">
        <f t="shared" ca="1" si="5"/>
        <v>#N/A</v>
      </c>
      <c r="H50" s="234" t="e">
        <f t="shared" ca="1" si="6"/>
        <v>#N/A</v>
      </c>
      <c r="I50" s="234" t="e">
        <f t="shared" ca="1" si="3"/>
        <v>#N/A</v>
      </c>
      <c r="J50" s="250"/>
      <c r="K50" s="250"/>
    </row>
    <row r="51" spans="1:11">
      <c r="A51" s="230" t="e">
        <f t="shared" ca="1" si="4"/>
        <v>#N/A</v>
      </c>
      <c r="B51" s="231" t="e">
        <f t="shared" ca="1" si="0"/>
        <v>#N/A</v>
      </c>
      <c r="C51" s="234" t="e">
        <f t="shared" ca="1" si="7"/>
        <v>#N/A</v>
      </c>
      <c r="D51" s="234" t="e">
        <f t="shared" ca="1" si="8"/>
        <v>#N/A</v>
      </c>
      <c r="E51" s="480" t="e">
        <f t="shared" ca="1" si="1"/>
        <v>#N/A</v>
      </c>
      <c r="F51" s="234" t="e">
        <f t="shared" ca="1" si="2"/>
        <v>#N/A</v>
      </c>
      <c r="G51" s="234" t="e">
        <f t="shared" ca="1" si="5"/>
        <v>#N/A</v>
      </c>
      <c r="H51" s="234" t="e">
        <f t="shared" ca="1" si="6"/>
        <v>#N/A</v>
      </c>
      <c r="I51" s="234" t="e">
        <f t="shared" ca="1" si="3"/>
        <v>#N/A</v>
      </c>
      <c r="J51" s="250"/>
      <c r="K51" s="250"/>
    </row>
    <row r="52" spans="1:11">
      <c r="A52" s="230" t="e">
        <f t="shared" ca="1" si="4"/>
        <v>#N/A</v>
      </c>
      <c r="B52" s="231" t="e">
        <f t="shared" ca="1" si="0"/>
        <v>#N/A</v>
      </c>
      <c r="C52" s="234" t="e">
        <f t="shared" ca="1" si="7"/>
        <v>#N/A</v>
      </c>
      <c r="D52" s="234" t="e">
        <f t="shared" ca="1" si="8"/>
        <v>#N/A</v>
      </c>
      <c r="E52" s="480" t="e">
        <f t="shared" ca="1" si="1"/>
        <v>#N/A</v>
      </c>
      <c r="F52" s="234" t="e">
        <f t="shared" ca="1" si="2"/>
        <v>#N/A</v>
      </c>
      <c r="G52" s="234" t="e">
        <f t="shared" ca="1" si="5"/>
        <v>#N/A</v>
      </c>
      <c r="H52" s="234" t="e">
        <f t="shared" ca="1" si="6"/>
        <v>#N/A</v>
      </c>
      <c r="I52" s="234" t="e">
        <f t="shared" ca="1" si="3"/>
        <v>#N/A</v>
      </c>
      <c r="J52" s="250"/>
      <c r="K52" s="250"/>
    </row>
    <row r="53" spans="1:11">
      <c r="A53" s="230" t="e">
        <f t="shared" ca="1" si="4"/>
        <v>#N/A</v>
      </c>
      <c r="B53" s="231" t="e">
        <f t="shared" ca="1" si="0"/>
        <v>#N/A</v>
      </c>
      <c r="C53" s="234" t="e">
        <f t="shared" ca="1" si="7"/>
        <v>#N/A</v>
      </c>
      <c r="D53" s="234" t="e">
        <f t="shared" ca="1" si="8"/>
        <v>#N/A</v>
      </c>
      <c r="E53" s="480" t="e">
        <f t="shared" ca="1" si="1"/>
        <v>#N/A</v>
      </c>
      <c r="F53" s="234" t="e">
        <f t="shared" ca="1" si="2"/>
        <v>#N/A</v>
      </c>
      <c r="G53" s="234" t="e">
        <f t="shared" ca="1" si="5"/>
        <v>#N/A</v>
      </c>
      <c r="H53" s="234" t="e">
        <f t="shared" ca="1" si="6"/>
        <v>#N/A</v>
      </c>
      <c r="I53" s="234" t="e">
        <f t="shared" ca="1" si="3"/>
        <v>#N/A</v>
      </c>
      <c r="J53" s="253" t="e">
        <f ca="1">SUM(H50:H53)</f>
        <v>#N/A</v>
      </c>
      <c r="K53" s="253" t="e">
        <f ca="1">SUM(G50:G53)</f>
        <v>#N/A</v>
      </c>
    </row>
    <row r="54" spans="1:11">
      <c r="A54" s="230" t="e">
        <f t="shared" ca="1" si="4"/>
        <v>#N/A</v>
      </c>
      <c r="B54" s="231" t="e">
        <f t="shared" ca="1" si="0"/>
        <v>#N/A</v>
      </c>
      <c r="C54" s="234" t="e">
        <f t="shared" ca="1" si="7"/>
        <v>#N/A</v>
      </c>
      <c r="D54" s="234" t="e">
        <f t="shared" ca="1" si="8"/>
        <v>#N/A</v>
      </c>
      <c r="E54" s="480" t="e">
        <f t="shared" ca="1" si="1"/>
        <v>#N/A</v>
      </c>
      <c r="F54" s="234" t="e">
        <f t="shared" ca="1" si="2"/>
        <v>#N/A</v>
      </c>
      <c r="G54" s="234" t="e">
        <f t="shared" ca="1" si="5"/>
        <v>#N/A</v>
      </c>
      <c r="H54" s="234" t="e">
        <f t="shared" ca="1" si="6"/>
        <v>#N/A</v>
      </c>
      <c r="I54" s="234" t="e">
        <f t="shared" ca="1" si="3"/>
        <v>#N/A</v>
      </c>
      <c r="J54" s="250"/>
      <c r="K54" s="250"/>
    </row>
    <row r="55" spans="1:11">
      <c r="A55" s="230" t="e">
        <f t="shared" ca="1" si="4"/>
        <v>#N/A</v>
      </c>
      <c r="B55" s="231" t="e">
        <f t="shared" ca="1" si="0"/>
        <v>#N/A</v>
      </c>
      <c r="C55" s="234" t="e">
        <f t="shared" ca="1" si="7"/>
        <v>#N/A</v>
      </c>
      <c r="D55" s="234" t="e">
        <f t="shared" ca="1" si="8"/>
        <v>#N/A</v>
      </c>
      <c r="E55" s="480" t="e">
        <f t="shared" ca="1" si="1"/>
        <v>#N/A</v>
      </c>
      <c r="F55" s="234" t="e">
        <f t="shared" ca="1" si="2"/>
        <v>#N/A</v>
      </c>
      <c r="G55" s="234" t="e">
        <f t="shared" ca="1" si="5"/>
        <v>#N/A</v>
      </c>
      <c r="H55" s="234" t="e">
        <f t="shared" ca="1" si="6"/>
        <v>#N/A</v>
      </c>
      <c r="I55" s="234" t="e">
        <f t="shared" ca="1" si="3"/>
        <v>#N/A</v>
      </c>
      <c r="J55" s="250"/>
      <c r="K55" s="250"/>
    </row>
    <row r="56" spans="1:11">
      <c r="A56" s="230" t="e">
        <f t="shared" ca="1" si="4"/>
        <v>#N/A</v>
      </c>
      <c r="B56" s="231" t="e">
        <f t="shared" ca="1" si="0"/>
        <v>#N/A</v>
      </c>
      <c r="C56" s="234" t="e">
        <f t="shared" ca="1" si="7"/>
        <v>#N/A</v>
      </c>
      <c r="D56" s="234" t="e">
        <f t="shared" ca="1" si="8"/>
        <v>#N/A</v>
      </c>
      <c r="E56" s="480" t="e">
        <f t="shared" ca="1" si="1"/>
        <v>#N/A</v>
      </c>
      <c r="F56" s="234" t="e">
        <f t="shared" ca="1" si="2"/>
        <v>#N/A</v>
      </c>
      <c r="G56" s="234" t="e">
        <f t="shared" ca="1" si="5"/>
        <v>#N/A</v>
      </c>
      <c r="H56" s="234" t="e">
        <f t="shared" ca="1" si="6"/>
        <v>#N/A</v>
      </c>
      <c r="I56" s="234" t="e">
        <f t="shared" ca="1" si="3"/>
        <v>#N/A</v>
      </c>
      <c r="J56" s="250"/>
      <c r="K56" s="250"/>
    </row>
    <row r="57" spans="1:11">
      <c r="A57" s="230" t="e">
        <f t="shared" ca="1" si="4"/>
        <v>#N/A</v>
      </c>
      <c r="B57" s="231" t="e">
        <f t="shared" ca="1" si="0"/>
        <v>#N/A</v>
      </c>
      <c r="C57" s="234" t="e">
        <f t="shared" ca="1" si="7"/>
        <v>#N/A</v>
      </c>
      <c r="D57" s="234" t="e">
        <f t="shared" ca="1" si="8"/>
        <v>#N/A</v>
      </c>
      <c r="E57" s="480" t="e">
        <f t="shared" ca="1" si="1"/>
        <v>#N/A</v>
      </c>
      <c r="F57" s="234" t="e">
        <f t="shared" ca="1" si="2"/>
        <v>#N/A</v>
      </c>
      <c r="G57" s="234" t="e">
        <f t="shared" ca="1" si="5"/>
        <v>#N/A</v>
      </c>
      <c r="H57" s="234" t="e">
        <f t="shared" ca="1" si="6"/>
        <v>#N/A</v>
      </c>
      <c r="I57" s="234" t="e">
        <f t="shared" ca="1" si="3"/>
        <v>#N/A</v>
      </c>
      <c r="J57" s="253" t="e">
        <f ca="1">SUM(H54:H57)</f>
        <v>#N/A</v>
      </c>
      <c r="K57" s="253" t="e">
        <f ca="1">SUM(G54:G57)</f>
        <v>#N/A</v>
      </c>
    </row>
    <row r="58" spans="1:11">
      <c r="A58" s="230" t="e">
        <f t="shared" ca="1" si="4"/>
        <v>#N/A</v>
      </c>
      <c r="B58" s="231" t="e">
        <f t="shared" ca="1" si="0"/>
        <v>#N/A</v>
      </c>
      <c r="C58" s="234" t="e">
        <f t="shared" ca="1" si="7"/>
        <v>#N/A</v>
      </c>
      <c r="D58" s="234" t="e">
        <f t="shared" ca="1" si="8"/>
        <v>#N/A</v>
      </c>
      <c r="E58" s="480" t="e">
        <f t="shared" ca="1" si="1"/>
        <v>#N/A</v>
      </c>
      <c r="F58" s="234" t="e">
        <f t="shared" ca="1" si="2"/>
        <v>#N/A</v>
      </c>
      <c r="G58" s="234" t="e">
        <f t="shared" ca="1" si="5"/>
        <v>#N/A</v>
      </c>
      <c r="H58" s="234" t="e">
        <f t="shared" ca="1" si="6"/>
        <v>#N/A</v>
      </c>
      <c r="I58" s="234" t="e">
        <f t="shared" ca="1" si="3"/>
        <v>#N/A</v>
      </c>
      <c r="J58" s="250"/>
      <c r="K58" s="250"/>
    </row>
    <row r="59" spans="1:11">
      <c r="A59" s="230" t="e">
        <f t="shared" ca="1" si="4"/>
        <v>#N/A</v>
      </c>
      <c r="B59" s="231" t="e">
        <f t="shared" ca="1" si="0"/>
        <v>#N/A</v>
      </c>
      <c r="C59" s="234" t="e">
        <f t="shared" ca="1" si="7"/>
        <v>#N/A</v>
      </c>
      <c r="D59" s="234" t="e">
        <f t="shared" ca="1" si="8"/>
        <v>#N/A</v>
      </c>
      <c r="E59" s="480" t="e">
        <f t="shared" ca="1" si="1"/>
        <v>#N/A</v>
      </c>
      <c r="F59" s="234" t="e">
        <f t="shared" ca="1" si="2"/>
        <v>#N/A</v>
      </c>
      <c r="G59" s="234" t="e">
        <f t="shared" ca="1" si="5"/>
        <v>#N/A</v>
      </c>
      <c r="H59" s="234" t="e">
        <f t="shared" ca="1" si="6"/>
        <v>#N/A</v>
      </c>
      <c r="I59" s="234" t="e">
        <f t="shared" ca="1" si="3"/>
        <v>#N/A</v>
      </c>
      <c r="J59" s="250"/>
      <c r="K59" s="250"/>
    </row>
    <row r="60" spans="1:11">
      <c r="A60" s="230" t="e">
        <f t="shared" ca="1" si="4"/>
        <v>#N/A</v>
      </c>
      <c r="B60" s="231" t="e">
        <f t="shared" ca="1" si="0"/>
        <v>#N/A</v>
      </c>
      <c r="C60" s="234" t="e">
        <f t="shared" ca="1" si="7"/>
        <v>#N/A</v>
      </c>
      <c r="D60" s="234" t="e">
        <f t="shared" ca="1" si="8"/>
        <v>#N/A</v>
      </c>
      <c r="E60" s="480" t="e">
        <f t="shared" ca="1" si="1"/>
        <v>#N/A</v>
      </c>
      <c r="F60" s="234" t="e">
        <f t="shared" ca="1" si="2"/>
        <v>#N/A</v>
      </c>
      <c r="G60" s="234" t="e">
        <f t="shared" ca="1" si="5"/>
        <v>#N/A</v>
      </c>
      <c r="H60" s="234" t="e">
        <f t="shared" ca="1" si="6"/>
        <v>#N/A</v>
      </c>
      <c r="I60" s="234" t="e">
        <f t="shared" ca="1" si="3"/>
        <v>#N/A</v>
      </c>
      <c r="J60" s="250"/>
      <c r="K60" s="250"/>
    </row>
    <row r="61" spans="1:11">
      <c r="A61" s="230" t="e">
        <f t="shared" ca="1" si="4"/>
        <v>#N/A</v>
      </c>
      <c r="B61" s="231" t="e">
        <f t="shared" ca="1" si="0"/>
        <v>#N/A</v>
      </c>
      <c r="C61" s="234" t="e">
        <f t="shared" ca="1" si="7"/>
        <v>#N/A</v>
      </c>
      <c r="D61" s="234" t="e">
        <f t="shared" ca="1" si="8"/>
        <v>#N/A</v>
      </c>
      <c r="E61" s="480" t="e">
        <f t="shared" ca="1" si="1"/>
        <v>#N/A</v>
      </c>
      <c r="F61" s="234" t="e">
        <f t="shared" ca="1" si="2"/>
        <v>#N/A</v>
      </c>
      <c r="G61" s="234" t="e">
        <f t="shared" ca="1" si="5"/>
        <v>#N/A</v>
      </c>
      <c r="H61" s="234" t="e">
        <f t="shared" ca="1" si="6"/>
        <v>#N/A</v>
      </c>
      <c r="I61" s="234" t="e">
        <f t="shared" ca="1" si="3"/>
        <v>#N/A</v>
      </c>
      <c r="J61" s="253" t="e">
        <f ca="1">SUM(H58:H61)</f>
        <v>#N/A</v>
      </c>
      <c r="K61" s="253" t="e">
        <f ca="1">SUM(G58:G61)</f>
        <v>#N/A</v>
      </c>
    </row>
    <row r="62" spans="1:11">
      <c r="A62" s="230" t="e">
        <f t="shared" ca="1" si="4"/>
        <v>#N/A</v>
      </c>
      <c r="B62" s="231" t="e">
        <f t="shared" ca="1" si="0"/>
        <v>#N/A</v>
      </c>
      <c r="C62" s="234" t="e">
        <f t="shared" ca="1" si="7"/>
        <v>#N/A</v>
      </c>
      <c r="D62" s="234" t="e">
        <f t="shared" ca="1" si="8"/>
        <v>#N/A</v>
      </c>
      <c r="E62" s="480" t="e">
        <f t="shared" ca="1" si="1"/>
        <v>#N/A</v>
      </c>
      <c r="F62" s="234" t="e">
        <f t="shared" ca="1" si="2"/>
        <v>#N/A</v>
      </c>
      <c r="G62" s="234" t="e">
        <f t="shared" ca="1" si="5"/>
        <v>#N/A</v>
      </c>
      <c r="H62" s="234" t="e">
        <f t="shared" ca="1" si="6"/>
        <v>#N/A</v>
      </c>
      <c r="I62" s="234" t="e">
        <f t="shared" ca="1" si="3"/>
        <v>#N/A</v>
      </c>
      <c r="J62" s="250"/>
      <c r="K62" s="250"/>
    </row>
    <row r="63" spans="1:11">
      <c r="A63" s="230" t="e">
        <f t="shared" ca="1" si="4"/>
        <v>#N/A</v>
      </c>
      <c r="B63" s="231" t="e">
        <f t="shared" ca="1" si="0"/>
        <v>#N/A</v>
      </c>
      <c r="C63" s="234" t="e">
        <f t="shared" ca="1" si="7"/>
        <v>#N/A</v>
      </c>
      <c r="D63" s="234" t="e">
        <f t="shared" ca="1" si="8"/>
        <v>#N/A</v>
      </c>
      <c r="E63" s="480" t="e">
        <f t="shared" ca="1" si="1"/>
        <v>#N/A</v>
      </c>
      <c r="F63" s="234" t="e">
        <f t="shared" ca="1" si="2"/>
        <v>#N/A</v>
      </c>
      <c r="G63" s="234" t="e">
        <f t="shared" ca="1" si="5"/>
        <v>#N/A</v>
      </c>
      <c r="H63" s="234" t="e">
        <f t="shared" ca="1" si="6"/>
        <v>#N/A</v>
      </c>
      <c r="I63" s="234" t="e">
        <f t="shared" ca="1" si="3"/>
        <v>#N/A</v>
      </c>
      <c r="J63" s="250"/>
      <c r="K63" s="250"/>
    </row>
    <row r="64" spans="1:11">
      <c r="A64" s="230" t="e">
        <f t="shared" ca="1" si="4"/>
        <v>#N/A</v>
      </c>
      <c r="B64" s="231" t="e">
        <f t="shared" ca="1" si="0"/>
        <v>#N/A</v>
      </c>
      <c r="C64" s="234" t="e">
        <f t="shared" ca="1" si="7"/>
        <v>#N/A</v>
      </c>
      <c r="D64" s="234" t="e">
        <f t="shared" ca="1" si="8"/>
        <v>#N/A</v>
      </c>
      <c r="E64" s="480" t="e">
        <f t="shared" ca="1" si="1"/>
        <v>#N/A</v>
      </c>
      <c r="F64" s="234" t="e">
        <f t="shared" ca="1" si="2"/>
        <v>#N/A</v>
      </c>
      <c r="G64" s="234" t="e">
        <f t="shared" ca="1" si="5"/>
        <v>#N/A</v>
      </c>
      <c r="H64" s="234" t="e">
        <f t="shared" ca="1" si="6"/>
        <v>#N/A</v>
      </c>
      <c r="I64" s="234" t="e">
        <f t="shared" ca="1" si="3"/>
        <v>#N/A</v>
      </c>
      <c r="J64" s="250"/>
      <c r="K64" s="250"/>
    </row>
    <row r="65" spans="1:11">
      <c r="A65" s="230" t="e">
        <f t="shared" ca="1" si="4"/>
        <v>#N/A</v>
      </c>
      <c r="B65" s="231" t="e">
        <f t="shared" ca="1" si="0"/>
        <v>#N/A</v>
      </c>
      <c r="C65" s="234" t="e">
        <f t="shared" ca="1" si="7"/>
        <v>#N/A</v>
      </c>
      <c r="D65" s="234" t="e">
        <f t="shared" ca="1" si="8"/>
        <v>#N/A</v>
      </c>
      <c r="E65" s="480" t="e">
        <f t="shared" ca="1" si="1"/>
        <v>#N/A</v>
      </c>
      <c r="F65" s="234" t="e">
        <f t="shared" ca="1" si="2"/>
        <v>#N/A</v>
      </c>
      <c r="G65" s="234" t="e">
        <f t="shared" ca="1" si="5"/>
        <v>#N/A</v>
      </c>
      <c r="H65" s="234" t="e">
        <f t="shared" ca="1" si="6"/>
        <v>#N/A</v>
      </c>
      <c r="I65" s="234" t="e">
        <f t="shared" ca="1" si="3"/>
        <v>#N/A</v>
      </c>
      <c r="J65" s="253" t="e">
        <f ca="1">SUM(H62:H65)</f>
        <v>#N/A</v>
      </c>
      <c r="K65" s="253" t="e">
        <f ca="1">SUM(G62:G65)</f>
        <v>#N/A</v>
      </c>
    </row>
    <row r="66" spans="1:11">
      <c r="A66" s="230" t="e">
        <f t="shared" ca="1" si="4"/>
        <v>#N/A</v>
      </c>
      <c r="B66" s="231" t="e">
        <f t="shared" ca="1" si="0"/>
        <v>#N/A</v>
      </c>
      <c r="C66" s="234" t="e">
        <f t="shared" ca="1" si="7"/>
        <v>#N/A</v>
      </c>
      <c r="D66" s="234" t="e">
        <f t="shared" ca="1" si="8"/>
        <v>#N/A</v>
      </c>
      <c r="E66" s="480" t="e">
        <f t="shared" ca="1" si="1"/>
        <v>#N/A</v>
      </c>
      <c r="F66" s="234" t="e">
        <f t="shared" ca="1" si="2"/>
        <v>#N/A</v>
      </c>
      <c r="G66" s="234" t="e">
        <f t="shared" ca="1" si="5"/>
        <v>#N/A</v>
      </c>
      <c r="H66" s="234" t="e">
        <f t="shared" ca="1" si="6"/>
        <v>#N/A</v>
      </c>
      <c r="I66" s="234" t="e">
        <f t="shared" ca="1" si="3"/>
        <v>#N/A</v>
      </c>
      <c r="J66" s="250"/>
      <c r="K66" s="250"/>
    </row>
    <row r="67" spans="1:11">
      <c r="A67" s="230" t="e">
        <f t="shared" ca="1" si="4"/>
        <v>#N/A</v>
      </c>
      <c r="B67" s="231" t="e">
        <f t="shared" ca="1" si="0"/>
        <v>#N/A</v>
      </c>
      <c r="C67" s="234" t="e">
        <f t="shared" ca="1" si="7"/>
        <v>#N/A</v>
      </c>
      <c r="D67" s="234" t="e">
        <f t="shared" ca="1" si="8"/>
        <v>#N/A</v>
      </c>
      <c r="E67" s="480" t="e">
        <f t="shared" ca="1" si="1"/>
        <v>#N/A</v>
      </c>
      <c r="F67" s="234" t="e">
        <f t="shared" ca="1" si="2"/>
        <v>#N/A</v>
      </c>
      <c r="G67" s="234" t="e">
        <f t="shared" ca="1" si="5"/>
        <v>#N/A</v>
      </c>
      <c r="H67" s="234" t="e">
        <f t="shared" ca="1" si="6"/>
        <v>#N/A</v>
      </c>
      <c r="I67" s="234" t="e">
        <f t="shared" ca="1" si="3"/>
        <v>#N/A</v>
      </c>
      <c r="J67" s="250"/>
      <c r="K67" s="250"/>
    </row>
    <row r="68" spans="1:11">
      <c r="A68" s="230" t="e">
        <f t="shared" ca="1" si="4"/>
        <v>#N/A</v>
      </c>
      <c r="B68" s="231" t="e">
        <f t="shared" ca="1" si="0"/>
        <v>#N/A</v>
      </c>
      <c r="C68" s="234" t="e">
        <f t="shared" ca="1" si="7"/>
        <v>#N/A</v>
      </c>
      <c r="D68" s="234" t="e">
        <f t="shared" ca="1" si="8"/>
        <v>#N/A</v>
      </c>
      <c r="E68" s="480" t="e">
        <f t="shared" ca="1" si="1"/>
        <v>#N/A</v>
      </c>
      <c r="F68" s="234" t="e">
        <f t="shared" ca="1" si="2"/>
        <v>#N/A</v>
      </c>
      <c r="G68" s="234" t="e">
        <f t="shared" ca="1" si="5"/>
        <v>#N/A</v>
      </c>
      <c r="H68" s="234" t="e">
        <f t="shared" ca="1" si="6"/>
        <v>#N/A</v>
      </c>
      <c r="I68" s="234" t="e">
        <f t="shared" ca="1" si="3"/>
        <v>#N/A</v>
      </c>
      <c r="J68" s="250"/>
      <c r="K68" s="250"/>
    </row>
    <row r="69" spans="1:11">
      <c r="A69" s="230" t="e">
        <f t="shared" ca="1" si="4"/>
        <v>#N/A</v>
      </c>
      <c r="B69" s="231" t="e">
        <f t="shared" ca="1" si="0"/>
        <v>#N/A</v>
      </c>
      <c r="C69" s="234" t="e">
        <f t="shared" ca="1" si="7"/>
        <v>#N/A</v>
      </c>
      <c r="D69" s="234" t="e">
        <f t="shared" ca="1" si="8"/>
        <v>#N/A</v>
      </c>
      <c r="E69" s="480" t="e">
        <f t="shared" ca="1" si="1"/>
        <v>#N/A</v>
      </c>
      <c r="F69" s="234" t="e">
        <f t="shared" ca="1" si="2"/>
        <v>#N/A</v>
      </c>
      <c r="G69" s="234" t="e">
        <f t="shared" ca="1" si="5"/>
        <v>#N/A</v>
      </c>
      <c r="H69" s="234" t="e">
        <f t="shared" ca="1" si="6"/>
        <v>#N/A</v>
      </c>
      <c r="I69" s="234" t="e">
        <f t="shared" ca="1" si="3"/>
        <v>#N/A</v>
      </c>
      <c r="J69" s="253" t="e">
        <f ca="1">SUM(H66:H69)</f>
        <v>#N/A</v>
      </c>
      <c r="K69" s="253" t="e">
        <f ca="1">SUM(G66:G69)</f>
        <v>#N/A</v>
      </c>
    </row>
    <row r="70" spans="1:11">
      <c r="A70" s="230" t="e">
        <f t="shared" ca="1" si="4"/>
        <v>#N/A</v>
      </c>
      <c r="B70" s="231" t="e">
        <f t="shared" ca="1" si="0"/>
        <v>#N/A</v>
      </c>
      <c r="C70" s="234" t="e">
        <f t="shared" ca="1" si="7"/>
        <v>#N/A</v>
      </c>
      <c r="D70" s="234" t="e">
        <f t="shared" ca="1" si="8"/>
        <v>#N/A</v>
      </c>
      <c r="E70" s="480" t="e">
        <f t="shared" ca="1" si="1"/>
        <v>#N/A</v>
      </c>
      <c r="F70" s="234" t="e">
        <f t="shared" ca="1" si="2"/>
        <v>#N/A</v>
      </c>
      <c r="G70" s="234" t="e">
        <f t="shared" ca="1" si="5"/>
        <v>#N/A</v>
      </c>
      <c r="H70" s="234" t="e">
        <f t="shared" ca="1" si="6"/>
        <v>#N/A</v>
      </c>
      <c r="I70" s="234" t="e">
        <f t="shared" ca="1" si="3"/>
        <v>#N/A</v>
      </c>
      <c r="J70" s="250"/>
      <c r="K70" s="250"/>
    </row>
    <row r="71" spans="1:11">
      <c r="A71" s="230" t="e">
        <f t="shared" ca="1" si="4"/>
        <v>#N/A</v>
      </c>
      <c r="B71" s="231" t="e">
        <f t="shared" ca="1" si="0"/>
        <v>#N/A</v>
      </c>
      <c r="C71" s="234" t="e">
        <f t="shared" ca="1" si="7"/>
        <v>#N/A</v>
      </c>
      <c r="D71" s="234" t="e">
        <f t="shared" ca="1" si="8"/>
        <v>#N/A</v>
      </c>
      <c r="E71" s="480" t="e">
        <f t="shared" ca="1" si="1"/>
        <v>#N/A</v>
      </c>
      <c r="F71" s="234" t="e">
        <f t="shared" ca="1" si="2"/>
        <v>#N/A</v>
      </c>
      <c r="G71" s="234" t="e">
        <f t="shared" ca="1" si="5"/>
        <v>#N/A</v>
      </c>
      <c r="H71" s="234" t="e">
        <f t="shared" ca="1" si="6"/>
        <v>#N/A</v>
      </c>
      <c r="I71" s="234" t="e">
        <f t="shared" ca="1" si="3"/>
        <v>#N/A</v>
      </c>
      <c r="J71" s="250"/>
      <c r="K71" s="250"/>
    </row>
    <row r="72" spans="1:11">
      <c r="A72" s="230" t="e">
        <f t="shared" ca="1" si="4"/>
        <v>#N/A</v>
      </c>
      <c r="B72" s="231" t="e">
        <f t="shared" ca="1" si="0"/>
        <v>#N/A</v>
      </c>
      <c r="C72" s="234" t="e">
        <f t="shared" ca="1" si="7"/>
        <v>#N/A</v>
      </c>
      <c r="D72" s="234" t="e">
        <f t="shared" ca="1" si="8"/>
        <v>#N/A</v>
      </c>
      <c r="E72" s="480" t="e">
        <f t="shared" ca="1" si="1"/>
        <v>#N/A</v>
      </c>
      <c r="F72" s="234" t="e">
        <f t="shared" ca="1" si="2"/>
        <v>#N/A</v>
      </c>
      <c r="G72" s="234" t="e">
        <f t="shared" ca="1" si="5"/>
        <v>#N/A</v>
      </c>
      <c r="H72" s="234" t="e">
        <f t="shared" ca="1" si="6"/>
        <v>#N/A</v>
      </c>
      <c r="I72" s="234" t="e">
        <f t="shared" ca="1" si="3"/>
        <v>#N/A</v>
      </c>
      <c r="J72" s="250"/>
      <c r="K72" s="250"/>
    </row>
    <row r="73" spans="1:11">
      <c r="A73" s="230" t="e">
        <f t="shared" ca="1" si="4"/>
        <v>#N/A</v>
      </c>
      <c r="B73" s="231" t="e">
        <f t="shared" ca="1" si="0"/>
        <v>#N/A</v>
      </c>
      <c r="C73" s="234" t="e">
        <f t="shared" ca="1" si="7"/>
        <v>#N/A</v>
      </c>
      <c r="D73" s="234" t="e">
        <f t="shared" ca="1" si="8"/>
        <v>#N/A</v>
      </c>
      <c r="E73" s="480" t="e">
        <f t="shared" ca="1" si="1"/>
        <v>#N/A</v>
      </c>
      <c r="F73" s="234" t="e">
        <f t="shared" ca="1" si="2"/>
        <v>#N/A</v>
      </c>
      <c r="G73" s="234" t="e">
        <f t="shared" ca="1" si="5"/>
        <v>#N/A</v>
      </c>
      <c r="H73" s="234" t="e">
        <f t="shared" ca="1" si="6"/>
        <v>#N/A</v>
      </c>
      <c r="I73" s="234" t="e">
        <f t="shared" ca="1" si="3"/>
        <v>#N/A</v>
      </c>
      <c r="J73" s="253" t="e">
        <f ca="1">SUM(H70:H73)</f>
        <v>#N/A</v>
      </c>
      <c r="K73" s="253" t="e">
        <f ca="1">SUM(G70:G73)</f>
        <v>#N/A</v>
      </c>
    </row>
    <row r="74" spans="1:11">
      <c r="A74" s="230" t="e">
        <f t="shared" ca="1" si="4"/>
        <v>#N/A</v>
      </c>
      <c r="B74" s="231" t="e">
        <f t="shared" ca="1" si="0"/>
        <v>#N/A</v>
      </c>
      <c r="C74" s="234" t="e">
        <f t="shared" ca="1" si="7"/>
        <v>#N/A</v>
      </c>
      <c r="D74" s="234" t="e">
        <f t="shared" ca="1" si="8"/>
        <v>#N/A</v>
      </c>
      <c r="E74" s="480" t="e">
        <f t="shared" ca="1" si="1"/>
        <v>#N/A</v>
      </c>
      <c r="F74" s="234" t="e">
        <f t="shared" ca="1" si="2"/>
        <v>#N/A</v>
      </c>
      <c r="G74" s="234" t="e">
        <f t="shared" ca="1" si="5"/>
        <v>#N/A</v>
      </c>
      <c r="H74" s="234" t="e">
        <f t="shared" ca="1" si="6"/>
        <v>#N/A</v>
      </c>
      <c r="I74" s="234" t="e">
        <f t="shared" ca="1" si="3"/>
        <v>#N/A</v>
      </c>
      <c r="J74" s="250"/>
      <c r="K74" s="250"/>
    </row>
    <row r="75" spans="1:11">
      <c r="A75" s="230" t="e">
        <f t="shared" ca="1" si="4"/>
        <v>#N/A</v>
      </c>
      <c r="B75" s="231" t="e">
        <f t="shared" ca="1" si="0"/>
        <v>#N/A</v>
      </c>
      <c r="C75" s="234" t="e">
        <f t="shared" ca="1" si="7"/>
        <v>#N/A</v>
      </c>
      <c r="D75" s="234" t="e">
        <f t="shared" ca="1" si="8"/>
        <v>#N/A</v>
      </c>
      <c r="E75" s="480" t="e">
        <f t="shared" ca="1" si="1"/>
        <v>#N/A</v>
      </c>
      <c r="F75" s="234" t="e">
        <f t="shared" ca="1" si="2"/>
        <v>#N/A</v>
      </c>
      <c r="G75" s="234" t="e">
        <f t="shared" ca="1" si="5"/>
        <v>#N/A</v>
      </c>
      <c r="H75" s="234" t="e">
        <f t="shared" ca="1" si="6"/>
        <v>#N/A</v>
      </c>
      <c r="I75" s="234" t="e">
        <f t="shared" ca="1" si="3"/>
        <v>#N/A</v>
      </c>
      <c r="J75" s="250"/>
      <c r="K75" s="250"/>
    </row>
    <row r="76" spans="1:11">
      <c r="A76" s="230" t="e">
        <f t="shared" ca="1" si="4"/>
        <v>#N/A</v>
      </c>
      <c r="B76" s="231" t="e">
        <f t="shared" ca="1" si="0"/>
        <v>#N/A</v>
      </c>
      <c r="C76" s="234" t="e">
        <f t="shared" ca="1" si="7"/>
        <v>#N/A</v>
      </c>
      <c r="D76" s="234" t="e">
        <f t="shared" ca="1" si="8"/>
        <v>#N/A</v>
      </c>
      <c r="E76" s="480" t="e">
        <f t="shared" ca="1" si="1"/>
        <v>#N/A</v>
      </c>
      <c r="F76" s="234" t="e">
        <f t="shared" ca="1" si="2"/>
        <v>#N/A</v>
      </c>
      <c r="G76" s="234" t="e">
        <f t="shared" ca="1" si="5"/>
        <v>#N/A</v>
      </c>
      <c r="H76" s="234" t="e">
        <f t="shared" ca="1" si="6"/>
        <v>#N/A</v>
      </c>
      <c r="I76" s="234" t="e">
        <f t="shared" ca="1" si="3"/>
        <v>#N/A</v>
      </c>
      <c r="J76" s="250"/>
      <c r="K76" s="250"/>
    </row>
    <row r="77" spans="1:11">
      <c r="A77" s="230" t="e">
        <f t="shared" ca="1" si="4"/>
        <v>#N/A</v>
      </c>
      <c r="B77" s="231" t="e">
        <f t="shared" ca="1" si="0"/>
        <v>#N/A</v>
      </c>
      <c r="C77" s="234" t="e">
        <f t="shared" ca="1" si="7"/>
        <v>#N/A</v>
      </c>
      <c r="D77" s="234" t="e">
        <f t="shared" ca="1" si="8"/>
        <v>#N/A</v>
      </c>
      <c r="E77" s="480" t="e">
        <f t="shared" ca="1" si="1"/>
        <v>#N/A</v>
      </c>
      <c r="F77" s="234" t="e">
        <f t="shared" ca="1" si="2"/>
        <v>#N/A</v>
      </c>
      <c r="G77" s="234" t="e">
        <f t="shared" ca="1" si="5"/>
        <v>#N/A</v>
      </c>
      <c r="H77" s="234" t="e">
        <f t="shared" ca="1" si="6"/>
        <v>#N/A</v>
      </c>
      <c r="I77" s="234" t="e">
        <f t="shared" ca="1" si="3"/>
        <v>#N/A</v>
      </c>
      <c r="J77" s="253" t="e">
        <f ca="1">SUM(H74:H77)</f>
        <v>#N/A</v>
      </c>
      <c r="K77" s="253" t="e">
        <f ca="1">SUM(G74:G77)</f>
        <v>#N/A</v>
      </c>
    </row>
    <row r="78" spans="1:11">
      <c r="A78" s="230" t="e">
        <f t="shared" ca="1" si="4"/>
        <v>#N/A</v>
      </c>
      <c r="B78" s="231" t="e">
        <f t="shared" ca="1" si="0"/>
        <v>#N/A</v>
      </c>
      <c r="C78" s="234" t="e">
        <f t="shared" ca="1" si="7"/>
        <v>#N/A</v>
      </c>
      <c r="D78" s="234" t="e">
        <f t="shared" ca="1" si="8"/>
        <v>#N/A</v>
      </c>
      <c r="E78" s="480" t="e">
        <f t="shared" ca="1" si="1"/>
        <v>#N/A</v>
      </c>
      <c r="F78" s="234" t="e">
        <f t="shared" ca="1" si="2"/>
        <v>#N/A</v>
      </c>
      <c r="G78" s="234" t="e">
        <f t="shared" ca="1" si="5"/>
        <v>#N/A</v>
      </c>
      <c r="H78" s="234" t="e">
        <f t="shared" ca="1" si="6"/>
        <v>#N/A</v>
      </c>
      <c r="I78" s="234" t="e">
        <f t="shared" ca="1" si="3"/>
        <v>#N/A</v>
      </c>
      <c r="J78" s="250"/>
      <c r="K78" s="250"/>
    </row>
    <row r="79" spans="1:11">
      <c r="A79" s="230" t="e">
        <f t="shared" ca="1" si="4"/>
        <v>#N/A</v>
      </c>
      <c r="B79" s="231" t="e">
        <f t="shared" ca="1" si="0"/>
        <v>#N/A</v>
      </c>
      <c r="C79" s="234" t="e">
        <f t="shared" ca="1" si="7"/>
        <v>#N/A</v>
      </c>
      <c r="D79" s="234" t="e">
        <f t="shared" ca="1" si="8"/>
        <v>#N/A</v>
      </c>
      <c r="E79" s="480" t="e">
        <f t="shared" ca="1" si="1"/>
        <v>#N/A</v>
      </c>
      <c r="F79" s="234" t="e">
        <f t="shared" ca="1" si="2"/>
        <v>#N/A</v>
      </c>
      <c r="G79" s="234" t="e">
        <f t="shared" ca="1" si="5"/>
        <v>#N/A</v>
      </c>
      <c r="H79" s="234" t="e">
        <f t="shared" ca="1" si="6"/>
        <v>#N/A</v>
      </c>
      <c r="I79" s="234" t="e">
        <f t="shared" ca="1" si="3"/>
        <v>#N/A</v>
      </c>
      <c r="J79" s="250"/>
      <c r="K79" s="250"/>
    </row>
    <row r="80" spans="1:11">
      <c r="A80" s="230" t="e">
        <f t="shared" ca="1" si="4"/>
        <v>#N/A</v>
      </c>
      <c r="B80" s="231" t="e">
        <f t="shared" ca="1" si="0"/>
        <v>#N/A</v>
      </c>
      <c r="C80" s="234" t="e">
        <f t="shared" ca="1" si="7"/>
        <v>#N/A</v>
      </c>
      <c r="D80" s="234" t="e">
        <f t="shared" ca="1" si="8"/>
        <v>#N/A</v>
      </c>
      <c r="E80" s="480" t="e">
        <f t="shared" ca="1" si="1"/>
        <v>#N/A</v>
      </c>
      <c r="F80" s="234" t="e">
        <f t="shared" ca="1" si="2"/>
        <v>#N/A</v>
      </c>
      <c r="G80" s="234" t="e">
        <f t="shared" ca="1" si="5"/>
        <v>#N/A</v>
      </c>
      <c r="H80" s="234" t="e">
        <f t="shared" ca="1" si="6"/>
        <v>#N/A</v>
      </c>
      <c r="I80" s="234" t="e">
        <f t="shared" ca="1" si="3"/>
        <v>#N/A</v>
      </c>
      <c r="J80" s="250"/>
      <c r="K80" s="250"/>
    </row>
    <row r="81" spans="1:11">
      <c r="A81" s="230" t="e">
        <f t="shared" ca="1" si="4"/>
        <v>#N/A</v>
      </c>
      <c r="B81" s="231" t="e">
        <f t="shared" ca="1" si="0"/>
        <v>#N/A</v>
      </c>
      <c r="C81" s="234" t="e">
        <f t="shared" ca="1" si="7"/>
        <v>#N/A</v>
      </c>
      <c r="D81" s="234" t="e">
        <f t="shared" ca="1" si="8"/>
        <v>#N/A</v>
      </c>
      <c r="E81" s="480" t="e">
        <f t="shared" ca="1" si="1"/>
        <v>#N/A</v>
      </c>
      <c r="F81" s="234" t="e">
        <f t="shared" ca="1" si="2"/>
        <v>#N/A</v>
      </c>
      <c r="G81" s="234" t="e">
        <f t="shared" ca="1" si="5"/>
        <v>#N/A</v>
      </c>
      <c r="H81" s="234" t="e">
        <f t="shared" ca="1" si="6"/>
        <v>#N/A</v>
      </c>
      <c r="I81" s="234" t="e">
        <f t="shared" ca="1" si="3"/>
        <v>#N/A</v>
      </c>
      <c r="J81" s="253" t="e">
        <f ca="1">SUM(H78:H81)</f>
        <v>#N/A</v>
      </c>
      <c r="K81" s="253" t="e">
        <f ca="1">SUM(G78:G81)</f>
        <v>#N/A</v>
      </c>
    </row>
    <row r="82" spans="1:11">
      <c r="A82" s="230" t="e">
        <f t="shared" ca="1" si="4"/>
        <v>#N/A</v>
      </c>
      <c r="B82" s="231" t="e">
        <f t="shared" ref="B82:B145" ca="1" si="9">IF(Pay_Num&lt;&gt;"",DATE(YEAR(Loan_Start),MONTH(Loan_Start)+(Pay_Num)*12/Num_Pmt_Per_Year,DAY(Loan_Start)),"")</f>
        <v>#N/A</v>
      </c>
      <c r="C82" s="234" t="e">
        <f t="shared" ca="1" si="7"/>
        <v>#N/A</v>
      </c>
      <c r="D82" s="234" t="e">
        <f t="shared" ca="1" si="8"/>
        <v>#N/A</v>
      </c>
      <c r="E82" s="480" t="e">
        <f t="shared" ref="E82:E145" ca="1" si="10">IF(AND(Pay_Num&lt;&gt;"",Sched_Pay+Scheduled_Extra_Payments&lt;Beg_Bal),Scheduled_Extra_Payments,IF(AND(Pay_Num&lt;&gt;"",Beg_Bal-Sched_Pay&gt;0),Beg_Bal-Sched_Pay,IF(Pay_Num&lt;&gt;"",0,"")))</f>
        <v>#N/A</v>
      </c>
      <c r="F82" s="234" t="e">
        <f t="shared" ref="F82:F145" ca="1" si="11">IF(AND(Pay_Num&lt;&gt;"",Sched_Pay+Extra_Pay&lt;Beg_Bal),Sched_Pay+Extra_Pay,IF(Pay_Num&lt;&gt;"",Beg_Bal,""))</f>
        <v>#N/A</v>
      </c>
      <c r="G82" s="234" t="e">
        <f t="shared" ca="1" si="5"/>
        <v>#N/A</v>
      </c>
      <c r="H82" s="234" t="e">
        <f t="shared" ca="1" si="6"/>
        <v>#N/A</v>
      </c>
      <c r="I82" s="234" t="e">
        <f t="shared" ref="I82:I145" ca="1" si="12">IF(AND(Pay_Num&lt;&gt;"",Sched_Pay+Extra_Pay&lt;Beg_Bal),Beg_Bal-Princ,IF(Pay_Num&lt;&gt;"",0,""))</f>
        <v>#N/A</v>
      </c>
      <c r="J82" s="250"/>
      <c r="K82" s="250"/>
    </row>
    <row r="83" spans="1:11">
      <c r="A83" s="230" t="e">
        <f t="shared" ref="A83:A146" ca="1" si="13">IF(Values_Entered,A82+1,"")</f>
        <v>#N/A</v>
      </c>
      <c r="B83" s="231" t="e">
        <f t="shared" ca="1" si="9"/>
        <v>#N/A</v>
      </c>
      <c r="C83" s="234" t="e">
        <f t="shared" ca="1" si="7"/>
        <v>#N/A</v>
      </c>
      <c r="D83" s="234" t="e">
        <f t="shared" ca="1" si="8"/>
        <v>#N/A</v>
      </c>
      <c r="E83" s="480" t="e">
        <f t="shared" ca="1" si="10"/>
        <v>#N/A</v>
      </c>
      <c r="F83" s="234" t="e">
        <f t="shared" ca="1" si="11"/>
        <v>#N/A</v>
      </c>
      <c r="G83" s="234" t="e">
        <f t="shared" ref="G83:G146" ca="1" si="14">IF(Pay_Num&lt;&gt;"",Total_Pay-Int,"")</f>
        <v>#N/A</v>
      </c>
      <c r="H83" s="234" t="e">
        <f t="shared" ref="H83:H146" ca="1" si="15">IF(Pay_Num&lt;&gt;"",Beg_Bal*Interest_Rate/Num_Pmt_Per_Year,"")</f>
        <v>#N/A</v>
      </c>
      <c r="I83" s="234" t="e">
        <f t="shared" ca="1" si="12"/>
        <v>#N/A</v>
      </c>
      <c r="J83" s="250"/>
      <c r="K83" s="250"/>
    </row>
    <row r="84" spans="1:11">
      <c r="A84" s="230" t="e">
        <f t="shared" ca="1" si="13"/>
        <v>#N/A</v>
      </c>
      <c r="B84" s="231" t="e">
        <f t="shared" ca="1" si="9"/>
        <v>#N/A</v>
      </c>
      <c r="C84" s="234" t="e">
        <f t="shared" ref="C84:C147" ca="1" si="16">IF(Pay_Num&lt;&gt;"",I83,"")</f>
        <v>#N/A</v>
      </c>
      <c r="D84" s="234" t="e">
        <f t="shared" ref="D84:D147" ca="1" si="17">IF(Pay_Num&lt;&gt;"",Scheduled_Monthly_Payment,"")</f>
        <v>#N/A</v>
      </c>
      <c r="E84" s="480" t="e">
        <f t="shared" ca="1" si="10"/>
        <v>#N/A</v>
      </c>
      <c r="F84" s="234" t="e">
        <f t="shared" ca="1" si="11"/>
        <v>#N/A</v>
      </c>
      <c r="G84" s="234" t="e">
        <f t="shared" ca="1" si="14"/>
        <v>#N/A</v>
      </c>
      <c r="H84" s="234" t="e">
        <f t="shared" ca="1" si="15"/>
        <v>#N/A</v>
      </c>
      <c r="I84" s="234" t="e">
        <f t="shared" ca="1" si="12"/>
        <v>#N/A</v>
      </c>
      <c r="J84" s="250"/>
      <c r="K84" s="250"/>
    </row>
    <row r="85" spans="1:11">
      <c r="A85" s="230" t="e">
        <f t="shared" ca="1" si="13"/>
        <v>#N/A</v>
      </c>
      <c r="B85" s="231" t="e">
        <f t="shared" ca="1" si="9"/>
        <v>#N/A</v>
      </c>
      <c r="C85" s="234" t="e">
        <f t="shared" ca="1" si="16"/>
        <v>#N/A</v>
      </c>
      <c r="D85" s="234" t="e">
        <f t="shared" ca="1" si="17"/>
        <v>#N/A</v>
      </c>
      <c r="E85" s="480" t="e">
        <f t="shared" ca="1" si="10"/>
        <v>#N/A</v>
      </c>
      <c r="F85" s="234" t="e">
        <f t="shared" ca="1" si="11"/>
        <v>#N/A</v>
      </c>
      <c r="G85" s="234" t="e">
        <f t="shared" ca="1" si="14"/>
        <v>#N/A</v>
      </c>
      <c r="H85" s="234" t="e">
        <f t="shared" ca="1" si="15"/>
        <v>#N/A</v>
      </c>
      <c r="I85" s="234" t="e">
        <f t="shared" ca="1" si="12"/>
        <v>#N/A</v>
      </c>
      <c r="J85" s="253" t="e">
        <f ca="1">SUM(H82:H85)</f>
        <v>#N/A</v>
      </c>
      <c r="K85" s="253" t="e">
        <f ca="1">SUM(G82:G85)</f>
        <v>#N/A</v>
      </c>
    </row>
    <row r="86" spans="1:11">
      <c r="A86" s="230" t="e">
        <f t="shared" ca="1" si="13"/>
        <v>#N/A</v>
      </c>
      <c r="B86" s="231" t="e">
        <f t="shared" ca="1" si="9"/>
        <v>#N/A</v>
      </c>
      <c r="C86" s="234" t="e">
        <f t="shared" ca="1" si="16"/>
        <v>#N/A</v>
      </c>
      <c r="D86" s="234" t="e">
        <f t="shared" ca="1" si="17"/>
        <v>#N/A</v>
      </c>
      <c r="E86" s="480" t="e">
        <f t="shared" ca="1" si="10"/>
        <v>#N/A</v>
      </c>
      <c r="F86" s="234" t="e">
        <f t="shared" ca="1" si="11"/>
        <v>#N/A</v>
      </c>
      <c r="G86" s="234" t="e">
        <f t="shared" ca="1" si="14"/>
        <v>#N/A</v>
      </c>
      <c r="H86" s="234" t="e">
        <f t="shared" ca="1" si="15"/>
        <v>#N/A</v>
      </c>
      <c r="I86" s="234" t="e">
        <f t="shared" ca="1" si="12"/>
        <v>#N/A</v>
      </c>
      <c r="J86" s="250"/>
      <c r="K86" s="250"/>
    </row>
    <row r="87" spans="1:11">
      <c r="A87" s="230" t="e">
        <f t="shared" ca="1" si="13"/>
        <v>#N/A</v>
      </c>
      <c r="B87" s="231" t="e">
        <f t="shared" ca="1" si="9"/>
        <v>#N/A</v>
      </c>
      <c r="C87" s="234" t="e">
        <f t="shared" ca="1" si="16"/>
        <v>#N/A</v>
      </c>
      <c r="D87" s="234" t="e">
        <f t="shared" ca="1" si="17"/>
        <v>#N/A</v>
      </c>
      <c r="E87" s="480" t="e">
        <f t="shared" ca="1" si="10"/>
        <v>#N/A</v>
      </c>
      <c r="F87" s="234" t="e">
        <f t="shared" ca="1" si="11"/>
        <v>#N/A</v>
      </c>
      <c r="G87" s="234" t="e">
        <f t="shared" ca="1" si="14"/>
        <v>#N/A</v>
      </c>
      <c r="H87" s="234" t="e">
        <f t="shared" ca="1" si="15"/>
        <v>#N/A</v>
      </c>
      <c r="I87" s="234" t="e">
        <f t="shared" ca="1" si="12"/>
        <v>#N/A</v>
      </c>
      <c r="J87" s="250"/>
      <c r="K87" s="250"/>
    </row>
    <row r="88" spans="1:11">
      <c r="A88" s="230" t="e">
        <f t="shared" ca="1" si="13"/>
        <v>#N/A</v>
      </c>
      <c r="B88" s="231" t="e">
        <f t="shared" ca="1" si="9"/>
        <v>#N/A</v>
      </c>
      <c r="C88" s="234" t="e">
        <f t="shared" ca="1" si="16"/>
        <v>#N/A</v>
      </c>
      <c r="D88" s="234" t="e">
        <f t="shared" ca="1" si="17"/>
        <v>#N/A</v>
      </c>
      <c r="E88" s="480" t="e">
        <f t="shared" ca="1" si="10"/>
        <v>#N/A</v>
      </c>
      <c r="F88" s="234" t="e">
        <f t="shared" ca="1" si="11"/>
        <v>#N/A</v>
      </c>
      <c r="G88" s="234" t="e">
        <f t="shared" ca="1" si="14"/>
        <v>#N/A</v>
      </c>
      <c r="H88" s="234" t="e">
        <f t="shared" ca="1" si="15"/>
        <v>#N/A</v>
      </c>
      <c r="I88" s="234" t="e">
        <f t="shared" ca="1" si="12"/>
        <v>#N/A</v>
      </c>
      <c r="J88" s="250"/>
      <c r="K88" s="250"/>
    </row>
    <row r="89" spans="1:11">
      <c r="A89" s="230" t="e">
        <f t="shared" ca="1" si="13"/>
        <v>#N/A</v>
      </c>
      <c r="B89" s="231" t="e">
        <f t="shared" ca="1" si="9"/>
        <v>#N/A</v>
      </c>
      <c r="C89" s="234" t="e">
        <f t="shared" ca="1" si="16"/>
        <v>#N/A</v>
      </c>
      <c r="D89" s="234" t="e">
        <f t="shared" ca="1" si="17"/>
        <v>#N/A</v>
      </c>
      <c r="E89" s="480" t="e">
        <f t="shared" ca="1" si="10"/>
        <v>#N/A</v>
      </c>
      <c r="F89" s="234" t="e">
        <f t="shared" ca="1" si="11"/>
        <v>#N/A</v>
      </c>
      <c r="G89" s="234" t="e">
        <f t="shared" ca="1" si="14"/>
        <v>#N/A</v>
      </c>
      <c r="H89" s="234" t="e">
        <f t="shared" ca="1" si="15"/>
        <v>#N/A</v>
      </c>
      <c r="I89" s="234" t="e">
        <f t="shared" ca="1" si="12"/>
        <v>#N/A</v>
      </c>
      <c r="J89" s="253" t="e">
        <f ca="1">SUM(H86:H89)</f>
        <v>#N/A</v>
      </c>
      <c r="K89" s="253" t="e">
        <f ca="1">SUM(G86:G89)</f>
        <v>#N/A</v>
      </c>
    </row>
    <row r="90" spans="1:11">
      <c r="A90" s="230" t="e">
        <f t="shared" ca="1" si="13"/>
        <v>#N/A</v>
      </c>
      <c r="B90" s="231" t="e">
        <f t="shared" ca="1" si="9"/>
        <v>#N/A</v>
      </c>
      <c r="C90" s="234" t="e">
        <f t="shared" ca="1" si="16"/>
        <v>#N/A</v>
      </c>
      <c r="D90" s="234" t="e">
        <f t="shared" ca="1" si="17"/>
        <v>#N/A</v>
      </c>
      <c r="E90" s="480" t="e">
        <f t="shared" ca="1" si="10"/>
        <v>#N/A</v>
      </c>
      <c r="F90" s="234" t="e">
        <f t="shared" ca="1" si="11"/>
        <v>#N/A</v>
      </c>
      <c r="G90" s="234" t="e">
        <f t="shared" ca="1" si="14"/>
        <v>#N/A</v>
      </c>
      <c r="H90" s="234" t="e">
        <f t="shared" ca="1" si="15"/>
        <v>#N/A</v>
      </c>
      <c r="I90" s="234" t="e">
        <f t="shared" ca="1" si="12"/>
        <v>#N/A</v>
      </c>
      <c r="J90" s="250"/>
      <c r="K90" s="250"/>
    </row>
    <row r="91" spans="1:11">
      <c r="A91" s="230" t="e">
        <f t="shared" ca="1" si="13"/>
        <v>#N/A</v>
      </c>
      <c r="B91" s="231" t="e">
        <f t="shared" ca="1" si="9"/>
        <v>#N/A</v>
      </c>
      <c r="C91" s="234" t="e">
        <f t="shared" ca="1" si="16"/>
        <v>#N/A</v>
      </c>
      <c r="D91" s="234" t="e">
        <f t="shared" ca="1" si="17"/>
        <v>#N/A</v>
      </c>
      <c r="E91" s="480" t="e">
        <f t="shared" ca="1" si="10"/>
        <v>#N/A</v>
      </c>
      <c r="F91" s="234" t="e">
        <f t="shared" ca="1" si="11"/>
        <v>#N/A</v>
      </c>
      <c r="G91" s="234" t="e">
        <f t="shared" ca="1" si="14"/>
        <v>#N/A</v>
      </c>
      <c r="H91" s="234" t="e">
        <f t="shared" ca="1" si="15"/>
        <v>#N/A</v>
      </c>
      <c r="I91" s="234" t="e">
        <f t="shared" ca="1" si="12"/>
        <v>#N/A</v>
      </c>
      <c r="J91" s="250"/>
      <c r="K91" s="250"/>
    </row>
    <row r="92" spans="1:11">
      <c r="A92" s="230" t="e">
        <f t="shared" ca="1" si="13"/>
        <v>#N/A</v>
      </c>
      <c r="B92" s="231" t="e">
        <f t="shared" ca="1" si="9"/>
        <v>#N/A</v>
      </c>
      <c r="C92" s="234" t="e">
        <f t="shared" ca="1" si="16"/>
        <v>#N/A</v>
      </c>
      <c r="D92" s="234" t="e">
        <f t="shared" ca="1" si="17"/>
        <v>#N/A</v>
      </c>
      <c r="E92" s="480" t="e">
        <f t="shared" ca="1" si="10"/>
        <v>#N/A</v>
      </c>
      <c r="F92" s="234" t="e">
        <f t="shared" ca="1" si="11"/>
        <v>#N/A</v>
      </c>
      <c r="G92" s="234" t="e">
        <f t="shared" ca="1" si="14"/>
        <v>#N/A</v>
      </c>
      <c r="H92" s="234" t="e">
        <f t="shared" ca="1" si="15"/>
        <v>#N/A</v>
      </c>
      <c r="I92" s="234" t="e">
        <f t="shared" ca="1" si="12"/>
        <v>#N/A</v>
      </c>
      <c r="J92" s="250"/>
      <c r="K92" s="250"/>
    </row>
    <row r="93" spans="1:11">
      <c r="A93" s="230" t="e">
        <f t="shared" ca="1" si="13"/>
        <v>#N/A</v>
      </c>
      <c r="B93" s="231" t="e">
        <f t="shared" ca="1" si="9"/>
        <v>#N/A</v>
      </c>
      <c r="C93" s="234" t="e">
        <f t="shared" ca="1" si="16"/>
        <v>#N/A</v>
      </c>
      <c r="D93" s="234" t="e">
        <f t="shared" ca="1" si="17"/>
        <v>#N/A</v>
      </c>
      <c r="E93" s="480" t="e">
        <f t="shared" ca="1" si="10"/>
        <v>#N/A</v>
      </c>
      <c r="F93" s="234" t="e">
        <f t="shared" ca="1" si="11"/>
        <v>#N/A</v>
      </c>
      <c r="G93" s="234" t="e">
        <f t="shared" ca="1" si="14"/>
        <v>#N/A</v>
      </c>
      <c r="H93" s="234" t="e">
        <f t="shared" ca="1" si="15"/>
        <v>#N/A</v>
      </c>
      <c r="I93" s="234" t="e">
        <f t="shared" ca="1" si="12"/>
        <v>#N/A</v>
      </c>
      <c r="J93" s="253" t="e">
        <f ca="1">SUM(H90:H93)</f>
        <v>#N/A</v>
      </c>
      <c r="K93" s="253" t="e">
        <f ca="1">SUM(G90:G93)</f>
        <v>#N/A</v>
      </c>
    </row>
    <row r="94" spans="1:11">
      <c r="A94" s="230" t="e">
        <f t="shared" ca="1" si="13"/>
        <v>#N/A</v>
      </c>
      <c r="B94" s="231" t="e">
        <f t="shared" ca="1" si="9"/>
        <v>#N/A</v>
      </c>
      <c r="C94" s="234" t="e">
        <f t="shared" ca="1" si="16"/>
        <v>#N/A</v>
      </c>
      <c r="D94" s="234" t="e">
        <f t="shared" ca="1" si="17"/>
        <v>#N/A</v>
      </c>
      <c r="E94" s="480" t="e">
        <f t="shared" ca="1" si="10"/>
        <v>#N/A</v>
      </c>
      <c r="F94" s="234" t="e">
        <f t="shared" ca="1" si="11"/>
        <v>#N/A</v>
      </c>
      <c r="G94" s="234" t="e">
        <f t="shared" ca="1" si="14"/>
        <v>#N/A</v>
      </c>
      <c r="H94" s="234" t="e">
        <f t="shared" ca="1" si="15"/>
        <v>#N/A</v>
      </c>
      <c r="I94" s="234" t="e">
        <f t="shared" ca="1" si="12"/>
        <v>#N/A</v>
      </c>
      <c r="J94" s="250"/>
      <c r="K94" s="250"/>
    </row>
    <row r="95" spans="1:11">
      <c r="A95" s="230" t="e">
        <f t="shared" ca="1" si="13"/>
        <v>#N/A</v>
      </c>
      <c r="B95" s="231" t="e">
        <f t="shared" ca="1" si="9"/>
        <v>#N/A</v>
      </c>
      <c r="C95" s="234" t="e">
        <f t="shared" ca="1" si="16"/>
        <v>#N/A</v>
      </c>
      <c r="D95" s="234" t="e">
        <f t="shared" ca="1" si="17"/>
        <v>#N/A</v>
      </c>
      <c r="E95" s="480" t="e">
        <f t="shared" ca="1" si="10"/>
        <v>#N/A</v>
      </c>
      <c r="F95" s="234" t="e">
        <f t="shared" ca="1" si="11"/>
        <v>#N/A</v>
      </c>
      <c r="G95" s="234" t="e">
        <f t="shared" ca="1" si="14"/>
        <v>#N/A</v>
      </c>
      <c r="H95" s="234" t="e">
        <f t="shared" ca="1" si="15"/>
        <v>#N/A</v>
      </c>
      <c r="I95" s="234" t="e">
        <f t="shared" ca="1" si="12"/>
        <v>#N/A</v>
      </c>
      <c r="J95" s="250"/>
      <c r="K95" s="250"/>
    </row>
    <row r="96" spans="1:11">
      <c r="A96" s="230" t="e">
        <f t="shared" ca="1" si="13"/>
        <v>#N/A</v>
      </c>
      <c r="B96" s="231" t="e">
        <f t="shared" ca="1" si="9"/>
        <v>#N/A</v>
      </c>
      <c r="C96" s="234" t="e">
        <f t="shared" ca="1" si="16"/>
        <v>#N/A</v>
      </c>
      <c r="D96" s="234" t="e">
        <f t="shared" ca="1" si="17"/>
        <v>#N/A</v>
      </c>
      <c r="E96" s="480" t="e">
        <f t="shared" ca="1" si="10"/>
        <v>#N/A</v>
      </c>
      <c r="F96" s="234" t="e">
        <f t="shared" ca="1" si="11"/>
        <v>#N/A</v>
      </c>
      <c r="G96" s="234" t="e">
        <f t="shared" ca="1" si="14"/>
        <v>#N/A</v>
      </c>
      <c r="H96" s="234" t="e">
        <f t="shared" ca="1" si="15"/>
        <v>#N/A</v>
      </c>
      <c r="I96" s="234" t="e">
        <f t="shared" ca="1" si="12"/>
        <v>#N/A</v>
      </c>
      <c r="J96" s="250"/>
      <c r="K96" s="250"/>
    </row>
    <row r="97" spans="1:11">
      <c r="A97" s="230" t="e">
        <f t="shared" ca="1" si="13"/>
        <v>#N/A</v>
      </c>
      <c r="B97" s="231" t="e">
        <f t="shared" ca="1" si="9"/>
        <v>#N/A</v>
      </c>
      <c r="C97" s="234" t="e">
        <f t="shared" ca="1" si="16"/>
        <v>#N/A</v>
      </c>
      <c r="D97" s="234" t="e">
        <f t="shared" ca="1" si="17"/>
        <v>#N/A</v>
      </c>
      <c r="E97" s="480" t="e">
        <f t="shared" ca="1" si="10"/>
        <v>#N/A</v>
      </c>
      <c r="F97" s="234" t="e">
        <f t="shared" ca="1" si="11"/>
        <v>#N/A</v>
      </c>
      <c r="G97" s="234" t="e">
        <f t="shared" ca="1" si="14"/>
        <v>#N/A</v>
      </c>
      <c r="H97" s="234" t="e">
        <f t="shared" ca="1" si="15"/>
        <v>#N/A</v>
      </c>
      <c r="I97" s="234" t="e">
        <f t="shared" ca="1" si="12"/>
        <v>#N/A</v>
      </c>
      <c r="J97" s="253" t="e">
        <f ca="1">SUM(H94:H97)</f>
        <v>#N/A</v>
      </c>
      <c r="K97" s="253" t="e">
        <f ca="1">SUM(G94:G97)</f>
        <v>#N/A</v>
      </c>
    </row>
    <row r="98" spans="1:11">
      <c r="A98" s="230" t="e">
        <f t="shared" ca="1" si="13"/>
        <v>#N/A</v>
      </c>
      <c r="B98" s="231" t="e">
        <f t="shared" ca="1" si="9"/>
        <v>#N/A</v>
      </c>
      <c r="C98" s="234" t="e">
        <f t="shared" ca="1" si="16"/>
        <v>#N/A</v>
      </c>
      <c r="D98" s="234" t="e">
        <f t="shared" ca="1" si="17"/>
        <v>#N/A</v>
      </c>
      <c r="E98" s="480" t="e">
        <f t="shared" ca="1" si="10"/>
        <v>#N/A</v>
      </c>
      <c r="F98" s="234" t="e">
        <f t="shared" ca="1" si="11"/>
        <v>#N/A</v>
      </c>
      <c r="G98" s="234" t="e">
        <f t="shared" ca="1" si="14"/>
        <v>#N/A</v>
      </c>
      <c r="H98" s="234" t="e">
        <f t="shared" ca="1" si="15"/>
        <v>#N/A</v>
      </c>
      <c r="I98" s="234" t="e">
        <f t="shared" ca="1" si="12"/>
        <v>#N/A</v>
      </c>
      <c r="J98" s="250"/>
      <c r="K98" s="250"/>
    </row>
    <row r="99" spans="1:11">
      <c r="A99" s="230" t="e">
        <f t="shared" ca="1" si="13"/>
        <v>#N/A</v>
      </c>
      <c r="B99" s="231" t="e">
        <f t="shared" ca="1" si="9"/>
        <v>#N/A</v>
      </c>
      <c r="C99" s="234" t="e">
        <f t="shared" ca="1" si="16"/>
        <v>#N/A</v>
      </c>
      <c r="D99" s="234" t="e">
        <f t="shared" ca="1" si="17"/>
        <v>#N/A</v>
      </c>
      <c r="E99" s="480" t="e">
        <f t="shared" ca="1" si="10"/>
        <v>#N/A</v>
      </c>
      <c r="F99" s="234" t="e">
        <f t="shared" ca="1" si="11"/>
        <v>#N/A</v>
      </c>
      <c r="G99" s="234" t="e">
        <f t="shared" ca="1" si="14"/>
        <v>#N/A</v>
      </c>
      <c r="H99" s="234" t="e">
        <f t="shared" ca="1" si="15"/>
        <v>#N/A</v>
      </c>
      <c r="I99" s="234" t="e">
        <f t="shared" ca="1" si="12"/>
        <v>#N/A</v>
      </c>
      <c r="J99" s="250"/>
      <c r="K99" s="250"/>
    </row>
    <row r="100" spans="1:11">
      <c r="A100" s="230" t="e">
        <f t="shared" ca="1" si="13"/>
        <v>#N/A</v>
      </c>
      <c r="B100" s="231" t="e">
        <f t="shared" ca="1" si="9"/>
        <v>#N/A</v>
      </c>
      <c r="C100" s="234" t="e">
        <f t="shared" ca="1" si="16"/>
        <v>#N/A</v>
      </c>
      <c r="D100" s="234" t="e">
        <f t="shared" ca="1" si="17"/>
        <v>#N/A</v>
      </c>
      <c r="E100" s="480" t="e">
        <f t="shared" ca="1" si="10"/>
        <v>#N/A</v>
      </c>
      <c r="F100" s="234" t="e">
        <f t="shared" ca="1" si="11"/>
        <v>#N/A</v>
      </c>
      <c r="G100" s="234" t="e">
        <f t="shared" ca="1" si="14"/>
        <v>#N/A</v>
      </c>
      <c r="H100" s="234" t="e">
        <f t="shared" ca="1" si="15"/>
        <v>#N/A</v>
      </c>
      <c r="I100" s="234" t="e">
        <f t="shared" ca="1" si="12"/>
        <v>#N/A</v>
      </c>
      <c r="J100" s="250"/>
      <c r="K100" s="250"/>
    </row>
    <row r="101" spans="1:11">
      <c r="A101" s="230" t="e">
        <f t="shared" ca="1" si="13"/>
        <v>#N/A</v>
      </c>
      <c r="B101" s="231" t="e">
        <f t="shared" ca="1" si="9"/>
        <v>#N/A</v>
      </c>
      <c r="C101" s="234" t="e">
        <f t="shared" ca="1" si="16"/>
        <v>#N/A</v>
      </c>
      <c r="D101" s="234" t="e">
        <f t="shared" ca="1" si="17"/>
        <v>#N/A</v>
      </c>
      <c r="E101" s="480" t="e">
        <f t="shared" ca="1" si="10"/>
        <v>#N/A</v>
      </c>
      <c r="F101" s="234" t="e">
        <f t="shared" ca="1" si="11"/>
        <v>#N/A</v>
      </c>
      <c r="G101" s="234" t="e">
        <f t="shared" ca="1" si="14"/>
        <v>#N/A</v>
      </c>
      <c r="H101" s="234" t="e">
        <f t="shared" ca="1" si="15"/>
        <v>#N/A</v>
      </c>
      <c r="I101" s="234" t="e">
        <f t="shared" ca="1" si="12"/>
        <v>#N/A</v>
      </c>
      <c r="J101" s="253" t="e">
        <f ca="1">SUM(H98:H101)</f>
        <v>#N/A</v>
      </c>
      <c r="K101" s="253" t="e">
        <f ca="1">SUM(G98:G101)</f>
        <v>#N/A</v>
      </c>
    </row>
    <row r="102" spans="1:11">
      <c r="A102" s="230" t="e">
        <f t="shared" ca="1" si="13"/>
        <v>#N/A</v>
      </c>
      <c r="B102" s="231" t="e">
        <f t="shared" ca="1" si="9"/>
        <v>#N/A</v>
      </c>
      <c r="C102" s="234" t="e">
        <f t="shared" ca="1" si="16"/>
        <v>#N/A</v>
      </c>
      <c r="D102" s="234" t="e">
        <f t="shared" ca="1" si="17"/>
        <v>#N/A</v>
      </c>
      <c r="E102" s="480" t="e">
        <f t="shared" ca="1" si="10"/>
        <v>#N/A</v>
      </c>
      <c r="F102" s="234" t="e">
        <f t="shared" ca="1" si="11"/>
        <v>#N/A</v>
      </c>
      <c r="G102" s="234" t="e">
        <f t="shared" ca="1" si="14"/>
        <v>#N/A</v>
      </c>
      <c r="H102" s="234" t="e">
        <f t="shared" ca="1" si="15"/>
        <v>#N/A</v>
      </c>
      <c r="I102" s="234" t="e">
        <f t="shared" ca="1" si="12"/>
        <v>#N/A</v>
      </c>
      <c r="J102" s="250"/>
      <c r="K102" s="250"/>
    </row>
    <row r="103" spans="1:11">
      <c r="A103" s="230" t="e">
        <f t="shared" ca="1" si="13"/>
        <v>#N/A</v>
      </c>
      <c r="B103" s="231" t="e">
        <f t="shared" ca="1" si="9"/>
        <v>#N/A</v>
      </c>
      <c r="C103" s="234" t="e">
        <f t="shared" ca="1" si="16"/>
        <v>#N/A</v>
      </c>
      <c r="D103" s="234" t="e">
        <f t="shared" ca="1" si="17"/>
        <v>#N/A</v>
      </c>
      <c r="E103" s="480" t="e">
        <f t="shared" ca="1" si="10"/>
        <v>#N/A</v>
      </c>
      <c r="F103" s="234" t="e">
        <f t="shared" ca="1" si="11"/>
        <v>#N/A</v>
      </c>
      <c r="G103" s="234" t="e">
        <f t="shared" ca="1" si="14"/>
        <v>#N/A</v>
      </c>
      <c r="H103" s="234" t="e">
        <f t="shared" ca="1" si="15"/>
        <v>#N/A</v>
      </c>
      <c r="I103" s="234" t="e">
        <f t="shared" ca="1" si="12"/>
        <v>#N/A</v>
      </c>
      <c r="J103" s="250"/>
      <c r="K103" s="250"/>
    </row>
    <row r="104" spans="1:11">
      <c r="A104" s="230" t="e">
        <f t="shared" ca="1" si="13"/>
        <v>#N/A</v>
      </c>
      <c r="B104" s="231" t="e">
        <f t="shared" ca="1" si="9"/>
        <v>#N/A</v>
      </c>
      <c r="C104" s="234" t="e">
        <f t="shared" ca="1" si="16"/>
        <v>#N/A</v>
      </c>
      <c r="D104" s="234" t="e">
        <f t="shared" ca="1" si="17"/>
        <v>#N/A</v>
      </c>
      <c r="E104" s="480" t="e">
        <f t="shared" ca="1" si="10"/>
        <v>#N/A</v>
      </c>
      <c r="F104" s="234" t="e">
        <f t="shared" ca="1" si="11"/>
        <v>#N/A</v>
      </c>
      <c r="G104" s="234" t="e">
        <f t="shared" ca="1" si="14"/>
        <v>#N/A</v>
      </c>
      <c r="H104" s="234" t="e">
        <f t="shared" ca="1" si="15"/>
        <v>#N/A</v>
      </c>
      <c r="I104" s="234" t="e">
        <f t="shared" ca="1" si="12"/>
        <v>#N/A</v>
      </c>
      <c r="J104" s="250"/>
      <c r="K104" s="250"/>
    </row>
    <row r="105" spans="1:11">
      <c r="A105" s="230" t="e">
        <f t="shared" ca="1" si="13"/>
        <v>#N/A</v>
      </c>
      <c r="B105" s="231" t="e">
        <f t="shared" ca="1" si="9"/>
        <v>#N/A</v>
      </c>
      <c r="C105" s="234" t="e">
        <f t="shared" ca="1" si="16"/>
        <v>#N/A</v>
      </c>
      <c r="D105" s="234" t="e">
        <f t="shared" ca="1" si="17"/>
        <v>#N/A</v>
      </c>
      <c r="E105" s="480" t="e">
        <f t="shared" ca="1" si="10"/>
        <v>#N/A</v>
      </c>
      <c r="F105" s="234" t="e">
        <f t="shared" ca="1" si="11"/>
        <v>#N/A</v>
      </c>
      <c r="G105" s="234" t="e">
        <f t="shared" ca="1" si="14"/>
        <v>#N/A</v>
      </c>
      <c r="H105" s="234" t="e">
        <f t="shared" ca="1" si="15"/>
        <v>#N/A</v>
      </c>
      <c r="I105" s="234" t="e">
        <f t="shared" ca="1" si="12"/>
        <v>#N/A</v>
      </c>
      <c r="J105" s="253" t="e">
        <f ca="1">SUM(H102:H105)</f>
        <v>#N/A</v>
      </c>
      <c r="K105" s="253" t="e">
        <f ca="1">SUM(G102:G105)</f>
        <v>#N/A</v>
      </c>
    </row>
    <row r="106" spans="1:11">
      <c r="A106" s="230" t="e">
        <f t="shared" ca="1" si="13"/>
        <v>#N/A</v>
      </c>
      <c r="B106" s="231" t="e">
        <f t="shared" ca="1" si="9"/>
        <v>#N/A</v>
      </c>
      <c r="C106" s="234" t="e">
        <f t="shared" ca="1" si="16"/>
        <v>#N/A</v>
      </c>
      <c r="D106" s="234" t="e">
        <f t="shared" ca="1" si="17"/>
        <v>#N/A</v>
      </c>
      <c r="E106" s="480" t="e">
        <f t="shared" ca="1" si="10"/>
        <v>#N/A</v>
      </c>
      <c r="F106" s="234" t="e">
        <f t="shared" ca="1" si="11"/>
        <v>#N/A</v>
      </c>
      <c r="G106" s="234" t="e">
        <f t="shared" ca="1" si="14"/>
        <v>#N/A</v>
      </c>
      <c r="H106" s="234" t="e">
        <f t="shared" ca="1" si="15"/>
        <v>#N/A</v>
      </c>
      <c r="I106" s="234" t="e">
        <f t="shared" ca="1" si="12"/>
        <v>#N/A</v>
      </c>
      <c r="J106" s="250"/>
      <c r="K106" s="250"/>
    </row>
    <row r="107" spans="1:11">
      <c r="A107" s="230" t="e">
        <f t="shared" ca="1" si="13"/>
        <v>#N/A</v>
      </c>
      <c r="B107" s="231" t="e">
        <f t="shared" ca="1" si="9"/>
        <v>#N/A</v>
      </c>
      <c r="C107" s="234" t="e">
        <f t="shared" ca="1" si="16"/>
        <v>#N/A</v>
      </c>
      <c r="D107" s="234" t="e">
        <f t="shared" ca="1" si="17"/>
        <v>#N/A</v>
      </c>
      <c r="E107" s="480" t="e">
        <f t="shared" ca="1" si="10"/>
        <v>#N/A</v>
      </c>
      <c r="F107" s="234" t="e">
        <f t="shared" ca="1" si="11"/>
        <v>#N/A</v>
      </c>
      <c r="G107" s="234" t="e">
        <f t="shared" ca="1" si="14"/>
        <v>#N/A</v>
      </c>
      <c r="H107" s="234" t="e">
        <f t="shared" ca="1" si="15"/>
        <v>#N/A</v>
      </c>
      <c r="I107" s="234" t="e">
        <f t="shared" ca="1" si="12"/>
        <v>#N/A</v>
      </c>
      <c r="J107" s="250"/>
      <c r="K107" s="250"/>
    </row>
    <row r="108" spans="1:11">
      <c r="A108" s="230" t="e">
        <f t="shared" ca="1" si="13"/>
        <v>#N/A</v>
      </c>
      <c r="B108" s="231" t="e">
        <f t="shared" ca="1" si="9"/>
        <v>#N/A</v>
      </c>
      <c r="C108" s="234" t="e">
        <f t="shared" ca="1" si="16"/>
        <v>#N/A</v>
      </c>
      <c r="D108" s="234" t="e">
        <f t="shared" ca="1" si="17"/>
        <v>#N/A</v>
      </c>
      <c r="E108" s="480" t="e">
        <f t="shared" ca="1" si="10"/>
        <v>#N/A</v>
      </c>
      <c r="F108" s="234" t="e">
        <f t="shared" ca="1" si="11"/>
        <v>#N/A</v>
      </c>
      <c r="G108" s="234" t="e">
        <f t="shared" ca="1" si="14"/>
        <v>#N/A</v>
      </c>
      <c r="H108" s="234" t="e">
        <f t="shared" ca="1" si="15"/>
        <v>#N/A</v>
      </c>
      <c r="I108" s="234" t="e">
        <f t="shared" ca="1" si="12"/>
        <v>#N/A</v>
      </c>
      <c r="J108" s="250"/>
      <c r="K108" s="250"/>
    </row>
    <row r="109" spans="1:11">
      <c r="A109" s="230" t="e">
        <f t="shared" ca="1" si="13"/>
        <v>#N/A</v>
      </c>
      <c r="B109" s="231" t="e">
        <f t="shared" ca="1" si="9"/>
        <v>#N/A</v>
      </c>
      <c r="C109" s="234" t="e">
        <f t="shared" ca="1" si="16"/>
        <v>#N/A</v>
      </c>
      <c r="D109" s="234" t="e">
        <f t="shared" ca="1" si="17"/>
        <v>#N/A</v>
      </c>
      <c r="E109" s="480" t="e">
        <f t="shared" ca="1" si="10"/>
        <v>#N/A</v>
      </c>
      <c r="F109" s="234" t="e">
        <f t="shared" ca="1" si="11"/>
        <v>#N/A</v>
      </c>
      <c r="G109" s="234" t="e">
        <f t="shared" ca="1" si="14"/>
        <v>#N/A</v>
      </c>
      <c r="H109" s="234" t="e">
        <f t="shared" ca="1" si="15"/>
        <v>#N/A</v>
      </c>
      <c r="I109" s="234" t="e">
        <f t="shared" ca="1" si="12"/>
        <v>#N/A</v>
      </c>
      <c r="J109" s="253" t="e">
        <f ca="1">SUM(H106:H109)</f>
        <v>#N/A</v>
      </c>
      <c r="K109" s="253" t="e">
        <f ca="1">SUM(G106:G109)</f>
        <v>#N/A</v>
      </c>
    </row>
    <row r="110" spans="1:11">
      <c r="A110" s="230" t="e">
        <f t="shared" ca="1" si="13"/>
        <v>#N/A</v>
      </c>
      <c r="B110" s="231" t="e">
        <f t="shared" ca="1" si="9"/>
        <v>#N/A</v>
      </c>
      <c r="C110" s="234" t="e">
        <f t="shared" ca="1" si="16"/>
        <v>#N/A</v>
      </c>
      <c r="D110" s="234" t="e">
        <f t="shared" ca="1" si="17"/>
        <v>#N/A</v>
      </c>
      <c r="E110" s="480" t="e">
        <f t="shared" ca="1" si="10"/>
        <v>#N/A</v>
      </c>
      <c r="F110" s="234" t="e">
        <f t="shared" ca="1" si="11"/>
        <v>#N/A</v>
      </c>
      <c r="G110" s="234" t="e">
        <f t="shared" ca="1" si="14"/>
        <v>#N/A</v>
      </c>
      <c r="H110" s="234" t="e">
        <f t="shared" ca="1" si="15"/>
        <v>#N/A</v>
      </c>
      <c r="I110" s="234" t="e">
        <f t="shared" ca="1" si="12"/>
        <v>#N/A</v>
      </c>
      <c r="J110" s="250"/>
      <c r="K110" s="250"/>
    </row>
    <row r="111" spans="1:11">
      <c r="A111" s="230" t="e">
        <f t="shared" ca="1" si="13"/>
        <v>#N/A</v>
      </c>
      <c r="B111" s="231" t="e">
        <f t="shared" ca="1" si="9"/>
        <v>#N/A</v>
      </c>
      <c r="C111" s="234" t="e">
        <f t="shared" ca="1" si="16"/>
        <v>#N/A</v>
      </c>
      <c r="D111" s="234" t="e">
        <f t="shared" ca="1" si="17"/>
        <v>#N/A</v>
      </c>
      <c r="E111" s="480" t="e">
        <f t="shared" ca="1" si="10"/>
        <v>#N/A</v>
      </c>
      <c r="F111" s="234" t="e">
        <f t="shared" ca="1" si="11"/>
        <v>#N/A</v>
      </c>
      <c r="G111" s="234" t="e">
        <f t="shared" ca="1" si="14"/>
        <v>#N/A</v>
      </c>
      <c r="H111" s="234" t="e">
        <f t="shared" ca="1" si="15"/>
        <v>#N/A</v>
      </c>
      <c r="I111" s="234" t="e">
        <f t="shared" ca="1" si="12"/>
        <v>#N/A</v>
      </c>
      <c r="J111" s="250"/>
      <c r="K111" s="250"/>
    </row>
    <row r="112" spans="1:11">
      <c r="A112" s="230" t="e">
        <f t="shared" ca="1" si="13"/>
        <v>#N/A</v>
      </c>
      <c r="B112" s="231" t="e">
        <f t="shared" ca="1" si="9"/>
        <v>#N/A</v>
      </c>
      <c r="C112" s="234" t="e">
        <f t="shared" ca="1" si="16"/>
        <v>#N/A</v>
      </c>
      <c r="D112" s="234" t="e">
        <f t="shared" ca="1" si="17"/>
        <v>#N/A</v>
      </c>
      <c r="E112" s="480" t="e">
        <f t="shared" ca="1" si="10"/>
        <v>#N/A</v>
      </c>
      <c r="F112" s="234" t="e">
        <f t="shared" ca="1" si="11"/>
        <v>#N/A</v>
      </c>
      <c r="G112" s="234" t="e">
        <f t="shared" ca="1" si="14"/>
        <v>#N/A</v>
      </c>
      <c r="H112" s="234" t="e">
        <f t="shared" ca="1" si="15"/>
        <v>#N/A</v>
      </c>
      <c r="I112" s="234" t="e">
        <f t="shared" ca="1" si="12"/>
        <v>#N/A</v>
      </c>
      <c r="J112" s="250"/>
      <c r="K112" s="250"/>
    </row>
    <row r="113" spans="1:11">
      <c r="A113" s="230" t="e">
        <f t="shared" ca="1" si="13"/>
        <v>#N/A</v>
      </c>
      <c r="B113" s="231" t="e">
        <f t="shared" ca="1" si="9"/>
        <v>#N/A</v>
      </c>
      <c r="C113" s="234" t="e">
        <f t="shared" ca="1" si="16"/>
        <v>#N/A</v>
      </c>
      <c r="D113" s="234" t="e">
        <f t="shared" ca="1" si="17"/>
        <v>#N/A</v>
      </c>
      <c r="E113" s="480" t="e">
        <f t="shared" ca="1" si="10"/>
        <v>#N/A</v>
      </c>
      <c r="F113" s="234" t="e">
        <f t="shared" ca="1" si="11"/>
        <v>#N/A</v>
      </c>
      <c r="G113" s="234" t="e">
        <f t="shared" ca="1" si="14"/>
        <v>#N/A</v>
      </c>
      <c r="H113" s="234" t="e">
        <f t="shared" ca="1" si="15"/>
        <v>#N/A</v>
      </c>
      <c r="I113" s="234" t="e">
        <f t="shared" ca="1" si="12"/>
        <v>#N/A</v>
      </c>
      <c r="J113" s="253" t="e">
        <f ca="1">SUM(H110:H113)</f>
        <v>#N/A</v>
      </c>
      <c r="K113" s="253" t="e">
        <f ca="1">SUM(G110:G113)</f>
        <v>#N/A</v>
      </c>
    </row>
    <row r="114" spans="1:11">
      <c r="A114" s="230" t="e">
        <f t="shared" ca="1" si="13"/>
        <v>#N/A</v>
      </c>
      <c r="B114" s="231" t="e">
        <f t="shared" ca="1" si="9"/>
        <v>#N/A</v>
      </c>
      <c r="C114" s="234" t="e">
        <f t="shared" ca="1" si="16"/>
        <v>#N/A</v>
      </c>
      <c r="D114" s="234" t="e">
        <f t="shared" ca="1" si="17"/>
        <v>#N/A</v>
      </c>
      <c r="E114" s="480" t="e">
        <f t="shared" ca="1" si="10"/>
        <v>#N/A</v>
      </c>
      <c r="F114" s="234" t="e">
        <f t="shared" ca="1" si="11"/>
        <v>#N/A</v>
      </c>
      <c r="G114" s="234" t="e">
        <f t="shared" ca="1" si="14"/>
        <v>#N/A</v>
      </c>
      <c r="H114" s="234" t="e">
        <f t="shared" ca="1" si="15"/>
        <v>#N/A</v>
      </c>
      <c r="I114" s="234" t="e">
        <f t="shared" ca="1" si="12"/>
        <v>#N/A</v>
      </c>
      <c r="J114" s="250"/>
      <c r="K114" s="250"/>
    </row>
    <row r="115" spans="1:11">
      <c r="A115" s="230" t="e">
        <f t="shared" ca="1" si="13"/>
        <v>#N/A</v>
      </c>
      <c r="B115" s="231" t="e">
        <f t="shared" ca="1" si="9"/>
        <v>#N/A</v>
      </c>
      <c r="C115" s="234" t="e">
        <f t="shared" ca="1" si="16"/>
        <v>#N/A</v>
      </c>
      <c r="D115" s="234" t="e">
        <f t="shared" ca="1" si="17"/>
        <v>#N/A</v>
      </c>
      <c r="E115" s="480" t="e">
        <f t="shared" ca="1" si="10"/>
        <v>#N/A</v>
      </c>
      <c r="F115" s="234" t="e">
        <f t="shared" ca="1" si="11"/>
        <v>#N/A</v>
      </c>
      <c r="G115" s="234" t="e">
        <f t="shared" ca="1" si="14"/>
        <v>#N/A</v>
      </c>
      <c r="H115" s="234" t="e">
        <f t="shared" ca="1" si="15"/>
        <v>#N/A</v>
      </c>
      <c r="I115" s="234" t="e">
        <f t="shared" ca="1" si="12"/>
        <v>#N/A</v>
      </c>
      <c r="J115" s="250"/>
      <c r="K115" s="250"/>
    </row>
    <row r="116" spans="1:11">
      <c r="A116" s="230" t="e">
        <f t="shared" ca="1" si="13"/>
        <v>#N/A</v>
      </c>
      <c r="B116" s="231" t="e">
        <f t="shared" ca="1" si="9"/>
        <v>#N/A</v>
      </c>
      <c r="C116" s="234" t="e">
        <f t="shared" ca="1" si="16"/>
        <v>#N/A</v>
      </c>
      <c r="D116" s="234" t="e">
        <f t="shared" ca="1" si="17"/>
        <v>#N/A</v>
      </c>
      <c r="E116" s="480" t="e">
        <f t="shared" ca="1" si="10"/>
        <v>#N/A</v>
      </c>
      <c r="F116" s="234" t="e">
        <f t="shared" ca="1" si="11"/>
        <v>#N/A</v>
      </c>
      <c r="G116" s="234" t="e">
        <f t="shared" ca="1" si="14"/>
        <v>#N/A</v>
      </c>
      <c r="H116" s="234" t="e">
        <f t="shared" ca="1" si="15"/>
        <v>#N/A</v>
      </c>
      <c r="I116" s="234" t="e">
        <f t="shared" ca="1" si="12"/>
        <v>#N/A</v>
      </c>
      <c r="J116" s="250"/>
      <c r="K116" s="250"/>
    </row>
    <row r="117" spans="1:11">
      <c r="A117" s="230" t="e">
        <f t="shared" ca="1" si="13"/>
        <v>#N/A</v>
      </c>
      <c r="B117" s="231" t="e">
        <f t="shared" ca="1" si="9"/>
        <v>#N/A</v>
      </c>
      <c r="C117" s="234" t="e">
        <f t="shared" ca="1" si="16"/>
        <v>#N/A</v>
      </c>
      <c r="D117" s="234" t="e">
        <f t="shared" ca="1" si="17"/>
        <v>#N/A</v>
      </c>
      <c r="E117" s="480" t="e">
        <f t="shared" ca="1" si="10"/>
        <v>#N/A</v>
      </c>
      <c r="F117" s="234" t="e">
        <f t="shared" ca="1" si="11"/>
        <v>#N/A</v>
      </c>
      <c r="G117" s="234" t="e">
        <f t="shared" ca="1" si="14"/>
        <v>#N/A</v>
      </c>
      <c r="H117" s="234" t="e">
        <f t="shared" ca="1" si="15"/>
        <v>#N/A</v>
      </c>
      <c r="I117" s="234" t="e">
        <f t="shared" ca="1" si="12"/>
        <v>#N/A</v>
      </c>
      <c r="J117" s="253" t="e">
        <f ca="1">SUM(H114:H117)</f>
        <v>#N/A</v>
      </c>
      <c r="K117" s="253" t="e">
        <f ca="1">SUM(G114:G117)</f>
        <v>#N/A</v>
      </c>
    </row>
    <row r="118" spans="1:11">
      <c r="A118" s="230" t="e">
        <f t="shared" ca="1" si="13"/>
        <v>#N/A</v>
      </c>
      <c r="B118" s="231" t="e">
        <f t="shared" ca="1" si="9"/>
        <v>#N/A</v>
      </c>
      <c r="C118" s="234" t="e">
        <f t="shared" ca="1" si="16"/>
        <v>#N/A</v>
      </c>
      <c r="D118" s="234" t="e">
        <f t="shared" ca="1" si="17"/>
        <v>#N/A</v>
      </c>
      <c r="E118" s="480" t="e">
        <f t="shared" ca="1" si="10"/>
        <v>#N/A</v>
      </c>
      <c r="F118" s="234" t="e">
        <f t="shared" ca="1" si="11"/>
        <v>#N/A</v>
      </c>
      <c r="G118" s="234" t="e">
        <f t="shared" ca="1" si="14"/>
        <v>#N/A</v>
      </c>
      <c r="H118" s="234" t="e">
        <f t="shared" ca="1" si="15"/>
        <v>#N/A</v>
      </c>
      <c r="I118" s="234" t="e">
        <f t="shared" ca="1" si="12"/>
        <v>#N/A</v>
      </c>
      <c r="J118" s="250"/>
      <c r="K118" s="250"/>
    </row>
    <row r="119" spans="1:11">
      <c r="A119" s="230" t="e">
        <f t="shared" ca="1" si="13"/>
        <v>#N/A</v>
      </c>
      <c r="B119" s="231" t="e">
        <f t="shared" ca="1" si="9"/>
        <v>#N/A</v>
      </c>
      <c r="C119" s="234" t="e">
        <f t="shared" ca="1" si="16"/>
        <v>#N/A</v>
      </c>
      <c r="D119" s="234" t="e">
        <f t="shared" ca="1" si="17"/>
        <v>#N/A</v>
      </c>
      <c r="E119" s="480" t="e">
        <f t="shared" ca="1" si="10"/>
        <v>#N/A</v>
      </c>
      <c r="F119" s="234" t="e">
        <f t="shared" ca="1" si="11"/>
        <v>#N/A</v>
      </c>
      <c r="G119" s="234" t="e">
        <f t="shared" ca="1" si="14"/>
        <v>#N/A</v>
      </c>
      <c r="H119" s="234" t="e">
        <f t="shared" ca="1" si="15"/>
        <v>#N/A</v>
      </c>
      <c r="I119" s="234" t="e">
        <f t="shared" ca="1" si="12"/>
        <v>#N/A</v>
      </c>
      <c r="J119" s="250"/>
      <c r="K119" s="250"/>
    </row>
    <row r="120" spans="1:11">
      <c r="A120" s="230" t="e">
        <f t="shared" ca="1" si="13"/>
        <v>#N/A</v>
      </c>
      <c r="B120" s="231" t="e">
        <f t="shared" ca="1" si="9"/>
        <v>#N/A</v>
      </c>
      <c r="C120" s="234" t="e">
        <f t="shared" ca="1" si="16"/>
        <v>#N/A</v>
      </c>
      <c r="D120" s="234" t="e">
        <f t="shared" ca="1" si="17"/>
        <v>#N/A</v>
      </c>
      <c r="E120" s="480" t="e">
        <f t="shared" ca="1" si="10"/>
        <v>#N/A</v>
      </c>
      <c r="F120" s="234" t="e">
        <f t="shared" ca="1" si="11"/>
        <v>#N/A</v>
      </c>
      <c r="G120" s="234" t="e">
        <f t="shared" ca="1" si="14"/>
        <v>#N/A</v>
      </c>
      <c r="H120" s="234" t="e">
        <f t="shared" ca="1" si="15"/>
        <v>#N/A</v>
      </c>
      <c r="I120" s="234" t="e">
        <f t="shared" ca="1" si="12"/>
        <v>#N/A</v>
      </c>
      <c r="J120" s="250"/>
      <c r="K120" s="250"/>
    </row>
    <row r="121" spans="1:11">
      <c r="A121" s="230" t="e">
        <f t="shared" ca="1" si="13"/>
        <v>#N/A</v>
      </c>
      <c r="B121" s="231" t="e">
        <f t="shared" ca="1" si="9"/>
        <v>#N/A</v>
      </c>
      <c r="C121" s="234" t="e">
        <f t="shared" ca="1" si="16"/>
        <v>#N/A</v>
      </c>
      <c r="D121" s="234" t="e">
        <f t="shared" ca="1" si="17"/>
        <v>#N/A</v>
      </c>
      <c r="E121" s="480" t="e">
        <f t="shared" ca="1" si="10"/>
        <v>#N/A</v>
      </c>
      <c r="F121" s="234" t="e">
        <f t="shared" ca="1" si="11"/>
        <v>#N/A</v>
      </c>
      <c r="G121" s="234" t="e">
        <f t="shared" ca="1" si="14"/>
        <v>#N/A</v>
      </c>
      <c r="H121" s="234" t="e">
        <f t="shared" ca="1" si="15"/>
        <v>#N/A</v>
      </c>
      <c r="I121" s="234" t="e">
        <f t="shared" ca="1" si="12"/>
        <v>#N/A</v>
      </c>
      <c r="J121" s="253" t="e">
        <f ca="1">SUM(H118:H121)</f>
        <v>#N/A</v>
      </c>
      <c r="K121" s="253" t="e">
        <f ca="1">SUM(G118:G121)</f>
        <v>#N/A</v>
      </c>
    </row>
    <row r="122" spans="1:11">
      <c r="A122" s="230" t="e">
        <f t="shared" ca="1" si="13"/>
        <v>#N/A</v>
      </c>
      <c r="B122" s="231" t="e">
        <f t="shared" ca="1" si="9"/>
        <v>#N/A</v>
      </c>
      <c r="C122" s="234" t="e">
        <f t="shared" ca="1" si="16"/>
        <v>#N/A</v>
      </c>
      <c r="D122" s="234" t="e">
        <f t="shared" ca="1" si="17"/>
        <v>#N/A</v>
      </c>
      <c r="E122" s="480" t="e">
        <f t="shared" ca="1" si="10"/>
        <v>#N/A</v>
      </c>
      <c r="F122" s="234" t="e">
        <f t="shared" ca="1" si="11"/>
        <v>#N/A</v>
      </c>
      <c r="G122" s="234" t="e">
        <f t="shared" ca="1" si="14"/>
        <v>#N/A</v>
      </c>
      <c r="H122" s="234" t="e">
        <f t="shared" ca="1" si="15"/>
        <v>#N/A</v>
      </c>
      <c r="I122" s="234" t="e">
        <f t="shared" ca="1" si="12"/>
        <v>#N/A</v>
      </c>
      <c r="J122" s="250"/>
      <c r="K122" s="250"/>
    </row>
    <row r="123" spans="1:11">
      <c r="A123" s="230" t="e">
        <f t="shared" ca="1" si="13"/>
        <v>#N/A</v>
      </c>
      <c r="B123" s="231" t="e">
        <f t="shared" ca="1" si="9"/>
        <v>#N/A</v>
      </c>
      <c r="C123" s="234" t="e">
        <f t="shared" ca="1" si="16"/>
        <v>#N/A</v>
      </c>
      <c r="D123" s="234" t="e">
        <f t="shared" ca="1" si="17"/>
        <v>#N/A</v>
      </c>
      <c r="E123" s="480" t="e">
        <f t="shared" ca="1" si="10"/>
        <v>#N/A</v>
      </c>
      <c r="F123" s="234" t="e">
        <f t="shared" ca="1" si="11"/>
        <v>#N/A</v>
      </c>
      <c r="G123" s="234" t="e">
        <f t="shared" ca="1" si="14"/>
        <v>#N/A</v>
      </c>
      <c r="H123" s="234" t="e">
        <f t="shared" ca="1" si="15"/>
        <v>#N/A</v>
      </c>
      <c r="I123" s="234" t="e">
        <f t="shared" ca="1" si="12"/>
        <v>#N/A</v>
      </c>
      <c r="J123" s="250"/>
      <c r="K123" s="250"/>
    </row>
    <row r="124" spans="1:11">
      <c r="A124" s="230" t="e">
        <f t="shared" ca="1" si="13"/>
        <v>#N/A</v>
      </c>
      <c r="B124" s="231" t="e">
        <f t="shared" ca="1" si="9"/>
        <v>#N/A</v>
      </c>
      <c r="C124" s="234" t="e">
        <f t="shared" ca="1" si="16"/>
        <v>#N/A</v>
      </c>
      <c r="D124" s="234" t="e">
        <f t="shared" ca="1" si="17"/>
        <v>#N/A</v>
      </c>
      <c r="E124" s="480" t="e">
        <f t="shared" ca="1" si="10"/>
        <v>#N/A</v>
      </c>
      <c r="F124" s="234" t="e">
        <f t="shared" ca="1" si="11"/>
        <v>#N/A</v>
      </c>
      <c r="G124" s="234" t="e">
        <f t="shared" ca="1" si="14"/>
        <v>#N/A</v>
      </c>
      <c r="H124" s="234" t="e">
        <f t="shared" ca="1" si="15"/>
        <v>#N/A</v>
      </c>
      <c r="I124" s="234" t="e">
        <f t="shared" ca="1" si="12"/>
        <v>#N/A</v>
      </c>
      <c r="J124" s="250"/>
      <c r="K124" s="250"/>
    </row>
    <row r="125" spans="1:11">
      <c r="A125" s="230" t="e">
        <f t="shared" ca="1" si="13"/>
        <v>#N/A</v>
      </c>
      <c r="B125" s="231" t="e">
        <f t="shared" ca="1" si="9"/>
        <v>#N/A</v>
      </c>
      <c r="C125" s="234" t="e">
        <f t="shared" ca="1" si="16"/>
        <v>#N/A</v>
      </c>
      <c r="D125" s="234" t="e">
        <f t="shared" ca="1" si="17"/>
        <v>#N/A</v>
      </c>
      <c r="E125" s="480" t="e">
        <f t="shared" ca="1" si="10"/>
        <v>#N/A</v>
      </c>
      <c r="F125" s="234" t="e">
        <f t="shared" ca="1" si="11"/>
        <v>#N/A</v>
      </c>
      <c r="G125" s="234" t="e">
        <f t="shared" ca="1" si="14"/>
        <v>#N/A</v>
      </c>
      <c r="H125" s="234" t="e">
        <f t="shared" ca="1" si="15"/>
        <v>#N/A</v>
      </c>
      <c r="I125" s="234" t="e">
        <f t="shared" ca="1" si="12"/>
        <v>#N/A</v>
      </c>
      <c r="J125" s="253" t="e">
        <f ca="1">SUM(H122:H125)</f>
        <v>#N/A</v>
      </c>
      <c r="K125" s="253" t="e">
        <f ca="1">SUM(G122:G125)</f>
        <v>#N/A</v>
      </c>
    </row>
    <row r="126" spans="1:11">
      <c r="A126" s="230" t="e">
        <f t="shared" ca="1" si="13"/>
        <v>#N/A</v>
      </c>
      <c r="B126" s="231" t="e">
        <f t="shared" ca="1" si="9"/>
        <v>#N/A</v>
      </c>
      <c r="C126" s="234" t="e">
        <f t="shared" ca="1" si="16"/>
        <v>#N/A</v>
      </c>
      <c r="D126" s="234" t="e">
        <f t="shared" ca="1" si="17"/>
        <v>#N/A</v>
      </c>
      <c r="E126" s="480" t="e">
        <f t="shared" ca="1" si="10"/>
        <v>#N/A</v>
      </c>
      <c r="F126" s="234" t="e">
        <f t="shared" ca="1" si="11"/>
        <v>#N/A</v>
      </c>
      <c r="G126" s="234" t="e">
        <f t="shared" ca="1" si="14"/>
        <v>#N/A</v>
      </c>
      <c r="H126" s="234" t="e">
        <f t="shared" ca="1" si="15"/>
        <v>#N/A</v>
      </c>
      <c r="I126" s="234" t="e">
        <f t="shared" ca="1" si="12"/>
        <v>#N/A</v>
      </c>
      <c r="J126" s="250"/>
      <c r="K126" s="250"/>
    </row>
    <row r="127" spans="1:11">
      <c r="A127" s="230" t="e">
        <f t="shared" ca="1" si="13"/>
        <v>#N/A</v>
      </c>
      <c r="B127" s="231" t="e">
        <f t="shared" ca="1" si="9"/>
        <v>#N/A</v>
      </c>
      <c r="C127" s="234" t="e">
        <f t="shared" ca="1" si="16"/>
        <v>#N/A</v>
      </c>
      <c r="D127" s="234" t="e">
        <f t="shared" ca="1" si="17"/>
        <v>#N/A</v>
      </c>
      <c r="E127" s="480" t="e">
        <f t="shared" ca="1" si="10"/>
        <v>#N/A</v>
      </c>
      <c r="F127" s="234" t="e">
        <f t="shared" ca="1" si="11"/>
        <v>#N/A</v>
      </c>
      <c r="G127" s="234" t="e">
        <f t="shared" ca="1" si="14"/>
        <v>#N/A</v>
      </c>
      <c r="H127" s="234" t="e">
        <f t="shared" ca="1" si="15"/>
        <v>#N/A</v>
      </c>
      <c r="I127" s="234" t="e">
        <f t="shared" ca="1" si="12"/>
        <v>#N/A</v>
      </c>
      <c r="J127" s="250"/>
      <c r="K127" s="250"/>
    </row>
    <row r="128" spans="1:11">
      <c r="A128" s="230" t="e">
        <f t="shared" ca="1" si="13"/>
        <v>#N/A</v>
      </c>
      <c r="B128" s="231" t="e">
        <f t="shared" ca="1" si="9"/>
        <v>#N/A</v>
      </c>
      <c r="C128" s="234" t="e">
        <f t="shared" ca="1" si="16"/>
        <v>#N/A</v>
      </c>
      <c r="D128" s="234" t="e">
        <f t="shared" ca="1" si="17"/>
        <v>#N/A</v>
      </c>
      <c r="E128" s="480" t="e">
        <f t="shared" ca="1" si="10"/>
        <v>#N/A</v>
      </c>
      <c r="F128" s="234" t="e">
        <f t="shared" ca="1" si="11"/>
        <v>#N/A</v>
      </c>
      <c r="G128" s="234" t="e">
        <f t="shared" ca="1" si="14"/>
        <v>#N/A</v>
      </c>
      <c r="H128" s="234" t="e">
        <f t="shared" ca="1" si="15"/>
        <v>#N/A</v>
      </c>
      <c r="I128" s="234" t="e">
        <f t="shared" ca="1" si="12"/>
        <v>#N/A</v>
      </c>
      <c r="J128" s="250"/>
      <c r="K128" s="250"/>
    </row>
    <row r="129" spans="1:11">
      <c r="A129" s="230" t="e">
        <f t="shared" ca="1" si="13"/>
        <v>#N/A</v>
      </c>
      <c r="B129" s="231" t="e">
        <f t="shared" ca="1" si="9"/>
        <v>#N/A</v>
      </c>
      <c r="C129" s="234" t="e">
        <f t="shared" ca="1" si="16"/>
        <v>#N/A</v>
      </c>
      <c r="D129" s="234" t="e">
        <f t="shared" ca="1" si="17"/>
        <v>#N/A</v>
      </c>
      <c r="E129" s="480" t="e">
        <f t="shared" ca="1" si="10"/>
        <v>#N/A</v>
      </c>
      <c r="F129" s="234" t="e">
        <f t="shared" ca="1" si="11"/>
        <v>#N/A</v>
      </c>
      <c r="G129" s="234" t="e">
        <f t="shared" ca="1" si="14"/>
        <v>#N/A</v>
      </c>
      <c r="H129" s="234" t="e">
        <f t="shared" ca="1" si="15"/>
        <v>#N/A</v>
      </c>
      <c r="I129" s="234" t="e">
        <f t="shared" ca="1" si="12"/>
        <v>#N/A</v>
      </c>
      <c r="J129" s="253" t="e">
        <f ca="1">SUM(H126:H129)</f>
        <v>#N/A</v>
      </c>
      <c r="K129" s="253" t="e">
        <f ca="1">SUM(G126:G129)</f>
        <v>#N/A</v>
      </c>
    </row>
    <row r="130" spans="1:11">
      <c r="A130" s="230" t="e">
        <f t="shared" ca="1" si="13"/>
        <v>#N/A</v>
      </c>
      <c r="B130" s="231" t="e">
        <f t="shared" ca="1" si="9"/>
        <v>#N/A</v>
      </c>
      <c r="C130" s="234" t="e">
        <f t="shared" ca="1" si="16"/>
        <v>#N/A</v>
      </c>
      <c r="D130" s="234" t="e">
        <f t="shared" ca="1" si="17"/>
        <v>#N/A</v>
      </c>
      <c r="E130" s="480" t="e">
        <f t="shared" ca="1" si="10"/>
        <v>#N/A</v>
      </c>
      <c r="F130" s="234" t="e">
        <f t="shared" ca="1" si="11"/>
        <v>#N/A</v>
      </c>
      <c r="G130" s="234" t="e">
        <f t="shared" ca="1" si="14"/>
        <v>#N/A</v>
      </c>
      <c r="H130" s="234" t="e">
        <f t="shared" ca="1" si="15"/>
        <v>#N/A</v>
      </c>
      <c r="I130" s="234" t="e">
        <f t="shared" ca="1" si="12"/>
        <v>#N/A</v>
      </c>
      <c r="J130" s="250"/>
      <c r="K130" s="250"/>
    </row>
    <row r="131" spans="1:11">
      <c r="A131" s="230" t="e">
        <f t="shared" ca="1" si="13"/>
        <v>#N/A</v>
      </c>
      <c r="B131" s="231" t="e">
        <f t="shared" ca="1" si="9"/>
        <v>#N/A</v>
      </c>
      <c r="C131" s="234" t="e">
        <f t="shared" ca="1" si="16"/>
        <v>#N/A</v>
      </c>
      <c r="D131" s="234" t="e">
        <f t="shared" ca="1" si="17"/>
        <v>#N/A</v>
      </c>
      <c r="E131" s="480" t="e">
        <f t="shared" ca="1" si="10"/>
        <v>#N/A</v>
      </c>
      <c r="F131" s="234" t="e">
        <f t="shared" ca="1" si="11"/>
        <v>#N/A</v>
      </c>
      <c r="G131" s="234" t="e">
        <f t="shared" ca="1" si="14"/>
        <v>#N/A</v>
      </c>
      <c r="H131" s="234" t="e">
        <f t="shared" ca="1" si="15"/>
        <v>#N/A</v>
      </c>
      <c r="I131" s="234" t="e">
        <f t="shared" ca="1" si="12"/>
        <v>#N/A</v>
      </c>
      <c r="J131" s="250"/>
      <c r="K131" s="250"/>
    </row>
    <row r="132" spans="1:11">
      <c r="A132" s="230" t="e">
        <f t="shared" ca="1" si="13"/>
        <v>#N/A</v>
      </c>
      <c r="B132" s="231" t="e">
        <f t="shared" ca="1" si="9"/>
        <v>#N/A</v>
      </c>
      <c r="C132" s="234" t="e">
        <f t="shared" ca="1" si="16"/>
        <v>#N/A</v>
      </c>
      <c r="D132" s="234" t="e">
        <f t="shared" ca="1" si="17"/>
        <v>#N/A</v>
      </c>
      <c r="E132" s="480" t="e">
        <f t="shared" ca="1" si="10"/>
        <v>#N/A</v>
      </c>
      <c r="F132" s="234" t="e">
        <f t="shared" ca="1" si="11"/>
        <v>#N/A</v>
      </c>
      <c r="G132" s="234" t="e">
        <f t="shared" ca="1" si="14"/>
        <v>#N/A</v>
      </c>
      <c r="H132" s="234" t="e">
        <f t="shared" ca="1" si="15"/>
        <v>#N/A</v>
      </c>
      <c r="I132" s="234" t="e">
        <f t="shared" ca="1" si="12"/>
        <v>#N/A</v>
      </c>
      <c r="J132" s="250"/>
      <c r="K132" s="250"/>
    </row>
    <row r="133" spans="1:11">
      <c r="A133" s="230" t="e">
        <f t="shared" ca="1" si="13"/>
        <v>#N/A</v>
      </c>
      <c r="B133" s="231" t="e">
        <f t="shared" ca="1" si="9"/>
        <v>#N/A</v>
      </c>
      <c r="C133" s="234" t="e">
        <f t="shared" ca="1" si="16"/>
        <v>#N/A</v>
      </c>
      <c r="D133" s="234" t="e">
        <f t="shared" ca="1" si="17"/>
        <v>#N/A</v>
      </c>
      <c r="E133" s="480" t="e">
        <f t="shared" ca="1" si="10"/>
        <v>#N/A</v>
      </c>
      <c r="F133" s="234" t="e">
        <f t="shared" ca="1" si="11"/>
        <v>#N/A</v>
      </c>
      <c r="G133" s="234" t="e">
        <f t="shared" ca="1" si="14"/>
        <v>#N/A</v>
      </c>
      <c r="H133" s="234" t="e">
        <f t="shared" ca="1" si="15"/>
        <v>#N/A</v>
      </c>
      <c r="I133" s="234" t="e">
        <f t="shared" ca="1" si="12"/>
        <v>#N/A</v>
      </c>
      <c r="J133" s="253" t="e">
        <f ca="1">SUM(H130:H133)</f>
        <v>#N/A</v>
      </c>
      <c r="K133" s="253" t="e">
        <f ca="1">SUM(G130:G133)</f>
        <v>#N/A</v>
      </c>
    </row>
    <row r="134" spans="1:11">
      <c r="A134" s="230" t="e">
        <f t="shared" ca="1" si="13"/>
        <v>#N/A</v>
      </c>
      <c r="B134" s="231" t="e">
        <f t="shared" ca="1" si="9"/>
        <v>#N/A</v>
      </c>
      <c r="C134" s="234" t="e">
        <f t="shared" ca="1" si="16"/>
        <v>#N/A</v>
      </c>
      <c r="D134" s="234" t="e">
        <f t="shared" ca="1" si="17"/>
        <v>#N/A</v>
      </c>
      <c r="E134" s="480" t="e">
        <f t="shared" ca="1" si="10"/>
        <v>#N/A</v>
      </c>
      <c r="F134" s="234" t="e">
        <f t="shared" ca="1" si="11"/>
        <v>#N/A</v>
      </c>
      <c r="G134" s="234" t="e">
        <f t="shared" ca="1" si="14"/>
        <v>#N/A</v>
      </c>
      <c r="H134" s="234" t="e">
        <f t="shared" ca="1" si="15"/>
        <v>#N/A</v>
      </c>
      <c r="I134" s="234" t="e">
        <f t="shared" ca="1" si="12"/>
        <v>#N/A</v>
      </c>
      <c r="J134" s="250"/>
      <c r="K134" s="250"/>
    </row>
    <row r="135" spans="1:11">
      <c r="A135" s="230" t="e">
        <f t="shared" ca="1" si="13"/>
        <v>#N/A</v>
      </c>
      <c r="B135" s="231" t="e">
        <f t="shared" ca="1" si="9"/>
        <v>#N/A</v>
      </c>
      <c r="C135" s="234" t="e">
        <f t="shared" ca="1" si="16"/>
        <v>#N/A</v>
      </c>
      <c r="D135" s="234" t="e">
        <f t="shared" ca="1" si="17"/>
        <v>#N/A</v>
      </c>
      <c r="E135" s="480" t="e">
        <f t="shared" ca="1" si="10"/>
        <v>#N/A</v>
      </c>
      <c r="F135" s="234" t="e">
        <f t="shared" ca="1" si="11"/>
        <v>#N/A</v>
      </c>
      <c r="G135" s="234" t="e">
        <f t="shared" ca="1" si="14"/>
        <v>#N/A</v>
      </c>
      <c r="H135" s="234" t="e">
        <f t="shared" ca="1" si="15"/>
        <v>#N/A</v>
      </c>
      <c r="I135" s="234" t="e">
        <f t="shared" ca="1" si="12"/>
        <v>#N/A</v>
      </c>
      <c r="J135" s="250"/>
      <c r="K135" s="250"/>
    </row>
    <row r="136" spans="1:11">
      <c r="A136" s="230" t="e">
        <f t="shared" ca="1" si="13"/>
        <v>#N/A</v>
      </c>
      <c r="B136" s="231" t="e">
        <f t="shared" ca="1" si="9"/>
        <v>#N/A</v>
      </c>
      <c r="C136" s="234" t="e">
        <f t="shared" ca="1" si="16"/>
        <v>#N/A</v>
      </c>
      <c r="D136" s="234" t="e">
        <f t="shared" ca="1" si="17"/>
        <v>#N/A</v>
      </c>
      <c r="E136" s="480" t="e">
        <f t="shared" ca="1" si="10"/>
        <v>#N/A</v>
      </c>
      <c r="F136" s="234" t="e">
        <f t="shared" ca="1" si="11"/>
        <v>#N/A</v>
      </c>
      <c r="G136" s="234" t="e">
        <f t="shared" ca="1" si="14"/>
        <v>#N/A</v>
      </c>
      <c r="H136" s="234" t="e">
        <f t="shared" ca="1" si="15"/>
        <v>#N/A</v>
      </c>
      <c r="I136" s="234" t="e">
        <f t="shared" ca="1" si="12"/>
        <v>#N/A</v>
      </c>
      <c r="J136" s="250"/>
      <c r="K136" s="250"/>
    </row>
    <row r="137" spans="1:11">
      <c r="A137" s="230" t="e">
        <f t="shared" ca="1" si="13"/>
        <v>#N/A</v>
      </c>
      <c r="B137" s="231" t="e">
        <f t="shared" ca="1" si="9"/>
        <v>#N/A</v>
      </c>
      <c r="C137" s="234" t="e">
        <f t="shared" ca="1" si="16"/>
        <v>#N/A</v>
      </c>
      <c r="D137" s="234" t="e">
        <f t="shared" ca="1" si="17"/>
        <v>#N/A</v>
      </c>
      <c r="E137" s="480" t="e">
        <f t="shared" ca="1" si="10"/>
        <v>#N/A</v>
      </c>
      <c r="F137" s="234" t="e">
        <f t="shared" ca="1" si="11"/>
        <v>#N/A</v>
      </c>
      <c r="G137" s="234" t="e">
        <f t="shared" ca="1" si="14"/>
        <v>#N/A</v>
      </c>
      <c r="H137" s="234" t="e">
        <f t="shared" ca="1" si="15"/>
        <v>#N/A</v>
      </c>
      <c r="I137" s="234" t="e">
        <f t="shared" ca="1" si="12"/>
        <v>#N/A</v>
      </c>
      <c r="J137" s="253" t="e">
        <f ca="1">SUM(H134:H137)</f>
        <v>#N/A</v>
      </c>
      <c r="K137" s="253" t="e">
        <f ca="1">SUM(G134:G137)</f>
        <v>#N/A</v>
      </c>
    </row>
    <row r="138" spans="1:11">
      <c r="A138" s="230" t="e">
        <f t="shared" ca="1" si="13"/>
        <v>#N/A</v>
      </c>
      <c r="B138" s="231" t="e">
        <f t="shared" ca="1" si="9"/>
        <v>#N/A</v>
      </c>
      <c r="C138" s="234" t="e">
        <f t="shared" ca="1" si="16"/>
        <v>#N/A</v>
      </c>
      <c r="D138" s="234" t="e">
        <f t="shared" ca="1" si="17"/>
        <v>#N/A</v>
      </c>
      <c r="E138" s="480" t="e">
        <f t="shared" ca="1" si="10"/>
        <v>#N/A</v>
      </c>
      <c r="F138" s="234" t="e">
        <f t="shared" ca="1" si="11"/>
        <v>#N/A</v>
      </c>
      <c r="G138" s="234" t="e">
        <f t="shared" ca="1" si="14"/>
        <v>#N/A</v>
      </c>
      <c r="H138" s="234" t="e">
        <f t="shared" ca="1" si="15"/>
        <v>#N/A</v>
      </c>
      <c r="I138" s="234" t="e">
        <f t="shared" ca="1" si="12"/>
        <v>#N/A</v>
      </c>
      <c r="J138" s="250"/>
      <c r="K138" s="250"/>
    </row>
    <row r="139" spans="1:11">
      <c r="A139" s="230" t="e">
        <f t="shared" ca="1" si="13"/>
        <v>#N/A</v>
      </c>
      <c r="B139" s="231" t="e">
        <f t="shared" ca="1" si="9"/>
        <v>#N/A</v>
      </c>
      <c r="C139" s="234" t="e">
        <f t="shared" ca="1" si="16"/>
        <v>#N/A</v>
      </c>
      <c r="D139" s="234" t="e">
        <f t="shared" ca="1" si="17"/>
        <v>#N/A</v>
      </c>
      <c r="E139" s="480" t="e">
        <f t="shared" ca="1" si="10"/>
        <v>#N/A</v>
      </c>
      <c r="F139" s="234" t="e">
        <f t="shared" ca="1" si="11"/>
        <v>#N/A</v>
      </c>
      <c r="G139" s="234" t="e">
        <f t="shared" ca="1" si="14"/>
        <v>#N/A</v>
      </c>
      <c r="H139" s="234" t="e">
        <f t="shared" ca="1" si="15"/>
        <v>#N/A</v>
      </c>
      <c r="I139" s="234" t="e">
        <f t="shared" ca="1" si="12"/>
        <v>#N/A</v>
      </c>
      <c r="J139" s="250"/>
      <c r="K139" s="250"/>
    </row>
    <row r="140" spans="1:11">
      <c r="A140" s="230" t="e">
        <f t="shared" ca="1" si="13"/>
        <v>#N/A</v>
      </c>
      <c r="B140" s="231" t="e">
        <f t="shared" ca="1" si="9"/>
        <v>#N/A</v>
      </c>
      <c r="C140" s="234" t="e">
        <f t="shared" ca="1" si="16"/>
        <v>#N/A</v>
      </c>
      <c r="D140" s="234" t="e">
        <f t="shared" ca="1" si="17"/>
        <v>#N/A</v>
      </c>
      <c r="E140" s="480" t="e">
        <f t="shared" ca="1" si="10"/>
        <v>#N/A</v>
      </c>
      <c r="F140" s="234" t="e">
        <f t="shared" ca="1" si="11"/>
        <v>#N/A</v>
      </c>
      <c r="G140" s="234" t="e">
        <f t="shared" ca="1" si="14"/>
        <v>#N/A</v>
      </c>
      <c r="H140" s="234" t="e">
        <f t="shared" ca="1" si="15"/>
        <v>#N/A</v>
      </c>
      <c r="I140" s="234" t="e">
        <f t="shared" ca="1" si="12"/>
        <v>#N/A</v>
      </c>
      <c r="J140" s="250"/>
      <c r="K140" s="250"/>
    </row>
    <row r="141" spans="1:11">
      <c r="A141" s="230" t="e">
        <f t="shared" ca="1" si="13"/>
        <v>#N/A</v>
      </c>
      <c r="B141" s="231" t="e">
        <f t="shared" ca="1" si="9"/>
        <v>#N/A</v>
      </c>
      <c r="C141" s="234" t="e">
        <f t="shared" ca="1" si="16"/>
        <v>#N/A</v>
      </c>
      <c r="D141" s="234" t="e">
        <f t="shared" ca="1" si="17"/>
        <v>#N/A</v>
      </c>
      <c r="E141" s="480" t="e">
        <f t="shared" ca="1" si="10"/>
        <v>#N/A</v>
      </c>
      <c r="F141" s="234" t="e">
        <f t="shared" ca="1" si="11"/>
        <v>#N/A</v>
      </c>
      <c r="G141" s="234" t="e">
        <f t="shared" ca="1" si="14"/>
        <v>#N/A</v>
      </c>
      <c r="H141" s="234" t="e">
        <f t="shared" ca="1" si="15"/>
        <v>#N/A</v>
      </c>
      <c r="I141" s="234" t="e">
        <f t="shared" ca="1" si="12"/>
        <v>#N/A</v>
      </c>
      <c r="J141" s="250"/>
      <c r="K141" s="253" t="e">
        <f ca="1">SUM(G138:G141)</f>
        <v>#N/A</v>
      </c>
    </row>
    <row r="142" spans="1:11">
      <c r="A142" s="230" t="e">
        <f t="shared" ca="1" si="13"/>
        <v>#N/A</v>
      </c>
      <c r="B142" s="231" t="e">
        <f t="shared" ca="1" si="9"/>
        <v>#N/A</v>
      </c>
      <c r="C142" s="234" t="e">
        <f t="shared" ca="1" si="16"/>
        <v>#N/A</v>
      </c>
      <c r="D142" s="234" t="e">
        <f t="shared" ca="1" si="17"/>
        <v>#N/A</v>
      </c>
      <c r="E142" s="480" t="e">
        <f t="shared" ca="1" si="10"/>
        <v>#N/A</v>
      </c>
      <c r="F142" s="234" t="e">
        <f t="shared" ca="1" si="11"/>
        <v>#N/A</v>
      </c>
      <c r="G142" s="234" t="e">
        <f t="shared" ca="1" si="14"/>
        <v>#N/A</v>
      </c>
      <c r="H142" s="234" t="e">
        <f t="shared" ca="1" si="15"/>
        <v>#N/A</v>
      </c>
      <c r="I142" s="234" t="e">
        <f t="shared" ca="1" si="12"/>
        <v>#N/A</v>
      </c>
      <c r="J142" s="250"/>
      <c r="K142" s="250"/>
    </row>
    <row r="143" spans="1:11">
      <c r="A143" s="230" t="e">
        <f t="shared" ca="1" si="13"/>
        <v>#N/A</v>
      </c>
      <c r="B143" s="231" t="e">
        <f t="shared" ca="1" si="9"/>
        <v>#N/A</v>
      </c>
      <c r="C143" s="234" t="e">
        <f t="shared" ca="1" si="16"/>
        <v>#N/A</v>
      </c>
      <c r="D143" s="234" t="e">
        <f t="shared" ca="1" si="17"/>
        <v>#N/A</v>
      </c>
      <c r="E143" s="480" t="e">
        <f t="shared" ca="1" si="10"/>
        <v>#N/A</v>
      </c>
      <c r="F143" s="234" t="e">
        <f t="shared" ca="1" si="11"/>
        <v>#N/A</v>
      </c>
      <c r="G143" s="234" t="e">
        <f t="shared" ca="1" si="14"/>
        <v>#N/A</v>
      </c>
      <c r="H143" s="234" t="e">
        <f t="shared" ca="1" si="15"/>
        <v>#N/A</v>
      </c>
      <c r="I143" s="234" t="e">
        <f t="shared" ca="1" si="12"/>
        <v>#N/A</v>
      </c>
      <c r="J143" s="250"/>
      <c r="K143" s="250"/>
    </row>
    <row r="144" spans="1:11">
      <c r="A144" s="230" t="e">
        <f t="shared" ca="1" si="13"/>
        <v>#N/A</v>
      </c>
      <c r="B144" s="231" t="e">
        <f t="shared" ca="1" si="9"/>
        <v>#N/A</v>
      </c>
      <c r="C144" s="234" t="e">
        <f t="shared" ca="1" si="16"/>
        <v>#N/A</v>
      </c>
      <c r="D144" s="234" t="e">
        <f t="shared" ca="1" si="17"/>
        <v>#N/A</v>
      </c>
      <c r="E144" s="480" t="e">
        <f t="shared" ca="1" si="10"/>
        <v>#N/A</v>
      </c>
      <c r="F144" s="234" t="e">
        <f t="shared" ca="1" si="11"/>
        <v>#N/A</v>
      </c>
      <c r="G144" s="234" t="e">
        <f t="shared" ca="1" si="14"/>
        <v>#N/A</v>
      </c>
      <c r="H144" s="234" t="e">
        <f t="shared" ca="1" si="15"/>
        <v>#N/A</v>
      </c>
      <c r="I144" s="234" t="e">
        <f t="shared" ca="1" si="12"/>
        <v>#N/A</v>
      </c>
      <c r="J144" s="250"/>
      <c r="K144" s="250"/>
    </row>
    <row r="145" spans="1:11">
      <c r="A145" s="230" t="e">
        <f t="shared" ca="1" si="13"/>
        <v>#N/A</v>
      </c>
      <c r="B145" s="231" t="e">
        <f t="shared" ca="1" si="9"/>
        <v>#N/A</v>
      </c>
      <c r="C145" s="234" t="e">
        <f t="shared" ca="1" si="16"/>
        <v>#N/A</v>
      </c>
      <c r="D145" s="234" t="e">
        <f t="shared" ca="1" si="17"/>
        <v>#N/A</v>
      </c>
      <c r="E145" s="480" t="e">
        <f t="shared" ca="1" si="10"/>
        <v>#N/A</v>
      </c>
      <c r="F145" s="234" t="e">
        <f t="shared" ca="1" si="11"/>
        <v>#N/A</v>
      </c>
      <c r="G145" s="234" t="e">
        <f t="shared" ca="1" si="14"/>
        <v>#N/A</v>
      </c>
      <c r="H145" s="234" t="e">
        <f t="shared" ca="1" si="15"/>
        <v>#N/A</v>
      </c>
      <c r="I145" s="234" t="e">
        <f t="shared" ca="1" si="12"/>
        <v>#N/A</v>
      </c>
      <c r="J145" s="250"/>
      <c r="K145" s="250"/>
    </row>
    <row r="146" spans="1:11" hidden="1">
      <c r="A146" s="230" t="e">
        <f t="shared" ca="1" si="13"/>
        <v>#N/A</v>
      </c>
      <c r="B146" s="231" t="e">
        <f t="shared" ref="B146:B209" ca="1" si="18">IF(Pay_Num&lt;&gt;"",DATE(YEAR(Loan_Start),MONTH(Loan_Start)+(Pay_Num)*12/Num_Pmt_Per_Year,DAY(Loan_Start)),"")</f>
        <v>#N/A</v>
      </c>
      <c r="C146" s="234" t="e">
        <f t="shared" ca="1" si="16"/>
        <v>#N/A</v>
      </c>
      <c r="D146" s="234" t="e">
        <f t="shared" ca="1" si="17"/>
        <v>#N/A</v>
      </c>
      <c r="E146" s="235" t="e">
        <f t="shared" ref="E146:E209" ca="1" si="19">IF(AND(Pay_Num&lt;&gt;"",Sched_Pay+Scheduled_Extra_Payments&lt;Beg_Bal),Scheduled_Extra_Payments,IF(AND(Pay_Num&lt;&gt;"",Beg_Bal-Sched_Pay&gt;0),Beg_Bal-Sched_Pay,IF(Pay_Num&lt;&gt;"",0,"")))</f>
        <v>#N/A</v>
      </c>
      <c r="F146" s="234" t="e">
        <f t="shared" ref="F146:F209" ca="1" si="20">IF(AND(Pay_Num&lt;&gt;"",Sched_Pay+Extra_Pay&lt;Beg_Bal),Sched_Pay+Extra_Pay,IF(Pay_Num&lt;&gt;"",Beg_Bal,""))</f>
        <v>#N/A</v>
      </c>
      <c r="G146" s="234" t="e">
        <f t="shared" ca="1" si="14"/>
        <v>#N/A</v>
      </c>
      <c r="H146" s="234" t="e">
        <f t="shared" ca="1" si="15"/>
        <v>#N/A</v>
      </c>
      <c r="I146" s="234" t="e">
        <f t="shared" ref="I146:I209" ca="1" si="21">IF(AND(Pay_Num&lt;&gt;"",Sched_Pay+Extra_Pay&lt;Beg_Bal),Beg_Bal-Princ,IF(Pay_Num&lt;&gt;"",0,""))</f>
        <v>#N/A</v>
      </c>
      <c r="J146" s="250"/>
      <c r="K146" s="250"/>
    </row>
    <row r="147" spans="1:11" hidden="1">
      <c r="A147" s="230" t="e">
        <f t="shared" ref="A147:A210" ca="1" si="22">IF(Values_Entered,A146+1,"")</f>
        <v>#N/A</v>
      </c>
      <c r="B147" s="231" t="e">
        <f t="shared" ca="1" si="18"/>
        <v>#N/A</v>
      </c>
      <c r="C147" s="234" t="e">
        <f t="shared" ca="1" si="16"/>
        <v>#N/A</v>
      </c>
      <c r="D147" s="234" t="e">
        <f t="shared" ca="1" si="17"/>
        <v>#N/A</v>
      </c>
      <c r="E147" s="235" t="e">
        <f t="shared" ca="1" si="19"/>
        <v>#N/A</v>
      </c>
      <c r="F147" s="234" t="e">
        <f t="shared" ca="1" si="20"/>
        <v>#N/A</v>
      </c>
      <c r="G147" s="234" t="e">
        <f t="shared" ref="G147:G210" ca="1" si="23">IF(Pay_Num&lt;&gt;"",Total_Pay-Int,"")</f>
        <v>#N/A</v>
      </c>
      <c r="H147" s="234" t="e">
        <f t="shared" ref="H147:H210" ca="1" si="24">IF(Pay_Num&lt;&gt;"",Beg_Bal*Interest_Rate/Num_Pmt_Per_Year,"")</f>
        <v>#N/A</v>
      </c>
      <c r="I147" s="234" t="e">
        <f t="shared" ca="1" si="21"/>
        <v>#N/A</v>
      </c>
      <c r="J147" s="250"/>
      <c r="K147" s="250"/>
    </row>
    <row r="148" spans="1:11" hidden="1">
      <c r="A148" s="230" t="e">
        <f t="shared" ca="1" si="22"/>
        <v>#N/A</v>
      </c>
      <c r="B148" s="231" t="e">
        <f t="shared" ca="1" si="18"/>
        <v>#N/A</v>
      </c>
      <c r="C148" s="234" t="e">
        <f t="shared" ref="C148:C211" ca="1" si="25">IF(Pay_Num&lt;&gt;"",I147,"")</f>
        <v>#N/A</v>
      </c>
      <c r="D148" s="234" t="e">
        <f t="shared" ref="D148:D211" ca="1" si="26">IF(Pay_Num&lt;&gt;"",Scheduled_Monthly_Payment,"")</f>
        <v>#N/A</v>
      </c>
      <c r="E148" s="235" t="e">
        <f t="shared" ca="1" si="19"/>
        <v>#N/A</v>
      </c>
      <c r="F148" s="234" t="e">
        <f t="shared" ca="1" si="20"/>
        <v>#N/A</v>
      </c>
      <c r="G148" s="234" t="e">
        <f t="shared" ca="1" si="23"/>
        <v>#N/A</v>
      </c>
      <c r="H148" s="234" t="e">
        <f t="shared" ca="1" si="24"/>
        <v>#N/A</v>
      </c>
      <c r="I148" s="234" t="e">
        <f t="shared" ca="1" si="21"/>
        <v>#N/A</v>
      </c>
      <c r="J148" s="250"/>
      <c r="K148" s="250"/>
    </row>
    <row r="149" spans="1:11" hidden="1">
      <c r="A149" s="230" t="e">
        <f t="shared" ca="1" si="22"/>
        <v>#N/A</v>
      </c>
      <c r="B149" s="231" t="e">
        <f t="shared" ca="1" si="18"/>
        <v>#N/A</v>
      </c>
      <c r="C149" s="234" t="e">
        <f t="shared" ca="1" si="25"/>
        <v>#N/A</v>
      </c>
      <c r="D149" s="234" t="e">
        <f t="shared" ca="1" si="26"/>
        <v>#N/A</v>
      </c>
      <c r="E149" s="235" t="e">
        <f t="shared" ca="1" si="19"/>
        <v>#N/A</v>
      </c>
      <c r="F149" s="234" t="e">
        <f t="shared" ca="1" si="20"/>
        <v>#N/A</v>
      </c>
      <c r="G149" s="234" t="e">
        <f t="shared" ca="1" si="23"/>
        <v>#N/A</v>
      </c>
      <c r="H149" s="234" t="e">
        <f t="shared" ca="1" si="24"/>
        <v>#N/A</v>
      </c>
      <c r="I149" s="234" t="e">
        <f t="shared" ca="1" si="21"/>
        <v>#N/A</v>
      </c>
      <c r="J149" s="250"/>
      <c r="K149" s="250"/>
    </row>
    <row r="150" spans="1:11" hidden="1">
      <c r="A150" s="230" t="e">
        <f t="shared" ca="1" si="22"/>
        <v>#N/A</v>
      </c>
      <c r="B150" s="231" t="e">
        <f t="shared" ca="1" si="18"/>
        <v>#N/A</v>
      </c>
      <c r="C150" s="234" t="e">
        <f t="shared" ca="1" si="25"/>
        <v>#N/A</v>
      </c>
      <c r="D150" s="234" t="e">
        <f t="shared" ca="1" si="26"/>
        <v>#N/A</v>
      </c>
      <c r="E150" s="235" t="e">
        <f t="shared" ca="1" si="19"/>
        <v>#N/A</v>
      </c>
      <c r="F150" s="234" t="e">
        <f t="shared" ca="1" si="20"/>
        <v>#N/A</v>
      </c>
      <c r="G150" s="234" t="e">
        <f t="shared" ca="1" si="23"/>
        <v>#N/A</v>
      </c>
      <c r="H150" s="234" t="e">
        <f t="shared" ca="1" si="24"/>
        <v>#N/A</v>
      </c>
      <c r="I150" s="234" t="e">
        <f t="shared" ca="1" si="21"/>
        <v>#N/A</v>
      </c>
      <c r="J150" s="250"/>
      <c r="K150" s="250"/>
    </row>
    <row r="151" spans="1:11" hidden="1">
      <c r="A151" s="230" t="e">
        <f t="shared" ca="1" si="22"/>
        <v>#N/A</v>
      </c>
      <c r="B151" s="231" t="e">
        <f t="shared" ca="1" si="18"/>
        <v>#N/A</v>
      </c>
      <c r="C151" s="234" t="e">
        <f t="shared" ca="1" si="25"/>
        <v>#N/A</v>
      </c>
      <c r="D151" s="234" t="e">
        <f t="shared" ca="1" si="26"/>
        <v>#N/A</v>
      </c>
      <c r="E151" s="235" t="e">
        <f t="shared" ca="1" si="19"/>
        <v>#N/A</v>
      </c>
      <c r="F151" s="234" t="e">
        <f t="shared" ca="1" si="20"/>
        <v>#N/A</v>
      </c>
      <c r="G151" s="234" t="e">
        <f t="shared" ca="1" si="23"/>
        <v>#N/A</v>
      </c>
      <c r="H151" s="234" t="e">
        <f t="shared" ca="1" si="24"/>
        <v>#N/A</v>
      </c>
      <c r="I151" s="234" t="e">
        <f t="shared" ca="1" si="21"/>
        <v>#N/A</v>
      </c>
      <c r="J151" s="250"/>
      <c r="K151" s="250"/>
    </row>
    <row r="152" spans="1:11" hidden="1">
      <c r="A152" s="230" t="e">
        <f t="shared" ca="1" si="22"/>
        <v>#N/A</v>
      </c>
      <c r="B152" s="231" t="e">
        <f t="shared" ca="1" si="18"/>
        <v>#N/A</v>
      </c>
      <c r="C152" s="234" t="e">
        <f t="shared" ca="1" si="25"/>
        <v>#N/A</v>
      </c>
      <c r="D152" s="234" t="e">
        <f t="shared" ca="1" si="26"/>
        <v>#N/A</v>
      </c>
      <c r="E152" s="235" t="e">
        <f t="shared" ca="1" si="19"/>
        <v>#N/A</v>
      </c>
      <c r="F152" s="234" t="e">
        <f t="shared" ca="1" si="20"/>
        <v>#N/A</v>
      </c>
      <c r="G152" s="234" t="e">
        <f t="shared" ca="1" si="23"/>
        <v>#N/A</v>
      </c>
      <c r="H152" s="234" t="e">
        <f t="shared" ca="1" si="24"/>
        <v>#N/A</v>
      </c>
      <c r="I152" s="234" t="e">
        <f t="shared" ca="1" si="21"/>
        <v>#N/A</v>
      </c>
      <c r="J152" s="250"/>
      <c r="K152" s="250"/>
    </row>
    <row r="153" spans="1:11" hidden="1">
      <c r="A153" s="230" t="e">
        <f t="shared" ca="1" si="22"/>
        <v>#N/A</v>
      </c>
      <c r="B153" s="231" t="e">
        <f t="shared" ca="1" si="18"/>
        <v>#N/A</v>
      </c>
      <c r="C153" s="234" t="e">
        <f t="shared" ca="1" si="25"/>
        <v>#N/A</v>
      </c>
      <c r="D153" s="234" t="e">
        <f t="shared" ca="1" si="26"/>
        <v>#N/A</v>
      </c>
      <c r="E153" s="235" t="e">
        <f t="shared" ca="1" si="19"/>
        <v>#N/A</v>
      </c>
      <c r="F153" s="234" t="e">
        <f t="shared" ca="1" si="20"/>
        <v>#N/A</v>
      </c>
      <c r="G153" s="234" t="e">
        <f t="shared" ca="1" si="23"/>
        <v>#N/A</v>
      </c>
      <c r="H153" s="234" t="e">
        <f t="shared" ca="1" si="24"/>
        <v>#N/A</v>
      </c>
      <c r="I153" s="234" t="e">
        <f t="shared" ca="1" si="21"/>
        <v>#N/A</v>
      </c>
      <c r="J153" s="250"/>
      <c r="K153" s="250"/>
    </row>
    <row r="154" spans="1:11" hidden="1">
      <c r="A154" s="230" t="e">
        <f t="shared" ca="1" si="22"/>
        <v>#N/A</v>
      </c>
      <c r="B154" s="231" t="e">
        <f t="shared" ca="1" si="18"/>
        <v>#N/A</v>
      </c>
      <c r="C154" s="234" t="e">
        <f t="shared" ca="1" si="25"/>
        <v>#N/A</v>
      </c>
      <c r="D154" s="234" t="e">
        <f t="shared" ca="1" si="26"/>
        <v>#N/A</v>
      </c>
      <c r="E154" s="235" t="e">
        <f t="shared" ca="1" si="19"/>
        <v>#N/A</v>
      </c>
      <c r="F154" s="234" t="e">
        <f t="shared" ca="1" si="20"/>
        <v>#N/A</v>
      </c>
      <c r="G154" s="234" t="e">
        <f t="shared" ca="1" si="23"/>
        <v>#N/A</v>
      </c>
      <c r="H154" s="234" t="e">
        <f t="shared" ca="1" si="24"/>
        <v>#N/A</v>
      </c>
      <c r="I154" s="234" t="e">
        <f t="shared" ca="1" si="21"/>
        <v>#N/A</v>
      </c>
      <c r="J154" s="250"/>
      <c r="K154" s="250"/>
    </row>
    <row r="155" spans="1:11" hidden="1">
      <c r="A155" s="230" t="e">
        <f t="shared" ca="1" si="22"/>
        <v>#N/A</v>
      </c>
      <c r="B155" s="231" t="e">
        <f t="shared" ca="1" si="18"/>
        <v>#N/A</v>
      </c>
      <c r="C155" s="234" t="e">
        <f t="shared" ca="1" si="25"/>
        <v>#N/A</v>
      </c>
      <c r="D155" s="234" t="e">
        <f t="shared" ca="1" si="26"/>
        <v>#N/A</v>
      </c>
      <c r="E155" s="235" t="e">
        <f t="shared" ca="1" si="19"/>
        <v>#N/A</v>
      </c>
      <c r="F155" s="234" t="e">
        <f t="shared" ca="1" si="20"/>
        <v>#N/A</v>
      </c>
      <c r="G155" s="234" t="e">
        <f t="shared" ca="1" si="23"/>
        <v>#N/A</v>
      </c>
      <c r="H155" s="234" t="e">
        <f t="shared" ca="1" si="24"/>
        <v>#N/A</v>
      </c>
      <c r="I155" s="234" t="e">
        <f t="shared" ca="1" si="21"/>
        <v>#N/A</v>
      </c>
      <c r="J155" s="250"/>
      <c r="K155" s="250"/>
    </row>
    <row r="156" spans="1:11" hidden="1">
      <c r="A156" s="230" t="e">
        <f t="shared" ca="1" si="22"/>
        <v>#N/A</v>
      </c>
      <c r="B156" s="231" t="e">
        <f t="shared" ca="1" si="18"/>
        <v>#N/A</v>
      </c>
      <c r="C156" s="234" t="e">
        <f t="shared" ca="1" si="25"/>
        <v>#N/A</v>
      </c>
      <c r="D156" s="234" t="e">
        <f t="shared" ca="1" si="26"/>
        <v>#N/A</v>
      </c>
      <c r="E156" s="235" t="e">
        <f t="shared" ca="1" si="19"/>
        <v>#N/A</v>
      </c>
      <c r="F156" s="234" t="e">
        <f t="shared" ca="1" si="20"/>
        <v>#N/A</v>
      </c>
      <c r="G156" s="234" t="e">
        <f t="shared" ca="1" si="23"/>
        <v>#N/A</v>
      </c>
      <c r="H156" s="234" t="e">
        <f t="shared" ca="1" si="24"/>
        <v>#N/A</v>
      </c>
      <c r="I156" s="234" t="e">
        <f t="shared" ca="1" si="21"/>
        <v>#N/A</v>
      </c>
      <c r="J156" s="250"/>
      <c r="K156" s="250"/>
    </row>
    <row r="157" spans="1:11" hidden="1">
      <c r="A157" s="230" t="e">
        <f t="shared" ca="1" si="22"/>
        <v>#N/A</v>
      </c>
      <c r="B157" s="231" t="e">
        <f t="shared" ca="1" si="18"/>
        <v>#N/A</v>
      </c>
      <c r="C157" s="234" t="e">
        <f t="shared" ca="1" si="25"/>
        <v>#N/A</v>
      </c>
      <c r="D157" s="234" t="e">
        <f t="shared" ca="1" si="26"/>
        <v>#N/A</v>
      </c>
      <c r="E157" s="235" t="e">
        <f t="shared" ca="1" si="19"/>
        <v>#N/A</v>
      </c>
      <c r="F157" s="234" t="e">
        <f t="shared" ca="1" si="20"/>
        <v>#N/A</v>
      </c>
      <c r="G157" s="234" t="e">
        <f t="shared" ca="1" si="23"/>
        <v>#N/A</v>
      </c>
      <c r="H157" s="234" t="e">
        <f t="shared" ca="1" si="24"/>
        <v>#N/A</v>
      </c>
      <c r="I157" s="234" t="e">
        <f t="shared" ca="1" si="21"/>
        <v>#N/A</v>
      </c>
      <c r="J157" s="250"/>
      <c r="K157" s="250"/>
    </row>
    <row r="158" spans="1:11" hidden="1">
      <c r="A158" s="230" t="e">
        <f t="shared" ca="1" si="22"/>
        <v>#N/A</v>
      </c>
      <c r="B158" s="231" t="e">
        <f t="shared" ca="1" si="18"/>
        <v>#N/A</v>
      </c>
      <c r="C158" s="234" t="e">
        <f t="shared" ca="1" si="25"/>
        <v>#N/A</v>
      </c>
      <c r="D158" s="234" t="e">
        <f t="shared" ca="1" si="26"/>
        <v>#N/A</v>
      </c>
      <c r="E158" s="235" t="e">
        <f t="shared" ca="1" si="19"/>
        <v>#N/A</v>
      </c>
      <c r="F158" s="234" t="e">
        <f t="shared" ca="1" si="20"/>
        <v>#N/A</v>
      </c>
      <c r="G158" s="234" t="e">
        <f t="shared" ca="1" si="23"/>
        <v>#N/A</v>
      </c>
      <c r="H158" s="234" t="e">
        <f t="shared" ca="1" si="24"/>
        <v>#N/A</v>
      </c>
      <c r="I158" s="234" t="e">
        <f t="shared" ca="1" si="21"/>
        <v>#N/A</v>
      </c>
      <c r="J158" s="250"/>
      <c r="K158" s="250"/>
    </row>
    <row r="159" spans="1:11" hidden="1">
      <c r="A159" s="230" t="e">
        <f t="shared" ca="1" si="22"/>
        <v>#N/A</v>
      </c>
      <c r="B159" s="231" t="e">
        <f t="shared" ca="1" si="18"/>
        <v>#N/A</v>
      </c>
      <c r="C159" s="234" t="e">
        <f t="shared" ca="1" si="25"/>
        <v>#N/A</v>
      </c>
      <c r="D159" s="234" t="e">
        <f t="shared" ca="1" si="26"/>
        <v>#N/A</v>
      </c>
      <c r="E159" s="235" t="e">
        <f t="shared" ca="1" si="19"/>
        <v>#N/A</v>
      </c>
      <c r="F159" s="234" t="e">
        <f t="shared" ca="1" si="20"/>
        <v>#N/A</v>
      </c>
      <c r="G159" s="234" t="e">
        <f t="shared" ca="1" si="23"/>
        <v>#N/A</v>
      </c>
      <c r="H159" s="234" t="e">
        <f t="shared" ca="1" si="24"/>
        <v>#N/A</v>
      </c>
      <c r="I159" s="234" t="e">
        <f t="shared" ca="1" si="21"/>
        <v>#N/A</v>
      </c>
      <c r="J159" s="250"/>
      <c r="K159" s="250"/>
    </row>
    <row r="160" spans="1:11" hidden="1">
      <c r="A160" s="230" t="e">
        <f t="shared" ca="1" si="22"/>
        <v>#N/A</v>
      </c>
      <c r="B160" s="231" t="e">
        <f t="shared" ca="1" si="18"/>
        <v>#N/A</v>
      </c>
      <c r="C160" s="234" t="e">
        <f t="shared" ca="1" si="25"/>
        <v>#N/A</v>
      </c>
      <c r="D160" s="234" t="e">
        <f t="shared" ca="1" si="26"/>
        <v>#N/A</v>
      </c>
      <c r="E160" s="235" t="e">
        <f t="shared" ca="1" si="19"/>
        <v>#N/A</v>
      </c>
      <c r="F160" s="234" t="e">
        <f t="shared" ca="1" si="20"/>
        <v>#N/A</v>
      </c>
      <c r="G160" s="234" t="e">
        <f t="shared" ca="1" si="23"/>
        <v>#N/A</v>
      </c>
      <c r="H160" s="234" t="e">
        <f t="shared" ca="1" si="24"/>
        <v>#N/A</v>
      </c>
      <c r="I160" s="234" t="e">
        <f t="shared" ca="1" si="21"/>
        <v>#N/A</v>
      </c>
      <c r="J160" s="250"/>
      <c r="K160" s="250"/>
    </row>
    <row r="161" spans="1:11" hidden="1">
      <c r="A161" s="230" t="e">
        <f t="shared" ca="1" si="22"/>
        <v>#N/A</v>
      </c>
      <c r="B161" s="231" t="e">
        <f t="shared" ca="1" si="18"/>
        <v>#N/A</v>
      </c>
      <c r="C161" s="234" t="e">
        <f t="shared" ca="1" si="25"/>
        <v>#N/A</v>
      </c>
      <c r="D161" s="234" t="e">
        <f t="shared" ca="1" si="26"/>
        <v>#N/A</v>
      </c>
      <c r="E161" s="235" t="e">
        <f t="shared" ca="1" si="19"/>
        <v>#N/A</v>
      </c>
      <c r="F161" s="234" t="e">
        <f t="shared" ca="1" si="20"/>
        <v>#N/A</v>
      </c>
      <c r="G161" s="234" t="e">
        <f t="shared" ca="1" si="23"/>
        <v>#N/A</v>
      </c>
      <c r="H161" s="234" t="e">
        <f t="shared" ca="1" si="24"/>
        <v>#N/A</v>
      </c>
      <c r="I161" s="234" t="e">
        <f t="shared" ca="1" si="21"/>
        <v>#N/A</v>
      </c>
      <c r="J161" s="250"/>
      <c r="K161" s="250"/>
    </row>
    <row r="162" spans="1:11" hidden="1">
      <c r="A162" s="230" t="e">
        <f t="shared" ca="1" si="22"/>
        <v>#N/A</v>
      </c>
      <c r="B162" s="231" t="e">
        <f t="shared" ca="1" si="18"/>
        <v>#N/A</v>
      </c>
      <c r="C162" s="234" t="e">
        <f t="shared" ca="1" si="25"/>
        <v>#N/A</v>
      </c>
      <c r="D162" s="234" t="e">
        <f t="shared" ca="1" si="26"/>
        <v>#N/A</v>
      </c>
      <c r="E162" s="235" t="e">
        <f t="shared" ca="1" si="19"/>
        <v>#N/A</v>
      </c>
      <c r="F162" s="234" t="e">
        <f t="shared" ca="1" si="20"/>
        <v>#N/A</v>
      </c>
      <c r="G162" s="234" t="e">
        <f t="shared" ca="1" si="23"/>
        <v>#N/A</v>
      </c>
      <c r="H162" s="234" t="e">
        <f t="shared" ca="1" si="24"/>
        <v>#N/A</v>
      </c>
      <c r="I162" s="234" t="e">
        <f t="shared" ca="1" si="21"/>
        <v>#N/A</v>
      </c>
      <c r="J162" s="250"/>
      <c r="K162" s="250"/>
    </row>
    <row r="163" spans="1:11" hidden="1">
      <c r="A163" s="230" t="e">
        <f t="shared" ca="1" si="22"/>
        <v>#N/A</v>
      </c>
      <c r="B163" s="231" t="e">
        <f t="shared" ca="1" si="18"/>
        <v>#N/A</v>
      </c>
      <c r="C163" s="234" t="e">
        <f t="shared" ca="1" si="25"/>
        <v>#N/A</v>
      </c>
      <c r="D163" s="234" t="e">
        <f t="shared" ca="1" si="26"/>
        <v>#N/A</v>
      </c>
      <c r="E163" s="235" t="e">
        <f t="shared" ca="1" si="19"/>
        <v>#N/A</v>
      </c>
      <c r="F163" s="234" t="e">
        <f t="shared" ca="1" si="20"/>
        <v>#N/A</v>
      </c>
      <c r="G163" s="234" t="e">
        <f t="shared" ca="1" si="23"/>
        <v>#N/A</v>
      </c>
      <c r="H163" s="234" t="e">
        <f t="shared" ca="1" si="24"/>
        <v>#N/A</v>
      </c>
      <c r="I163" s="234" t="e">
        <f t="shared" ca="1" si="21"/>
        <v>#N/A</v>
      </c>
      <c r="J163" s="250"/>
      <c r="K163" s="250"/>
    </row>
    <row r="164" spans="1:11" hidden="1">
      <c r="A164" s="230" t="e">
        <f t="shared" ca="1" si="22"/>
        <v>#N/A</v>
      </c>
      <c r="B164" s="231" t="e">
        <f t="shared" ca="1" si="18"/>
        <v>#N/A</v>
      </c>
      <c r="C164" s="234" t="e">
        <f t="shared" ca="1" si="25"/>
        <v>#N/A</v>
      </c>
      <c r="D164" s="234" t="e">
        <f t="shared" ca="1" si="26"/>
        <v>#N/A</v>
      </c>
      <c r="E164" s="235" t="e">
        <f t="shared" ca="1" si="19"/>
        <v>#N/A</v>
      </c>
      <c r="F164" s="234" t="e">
        <f t="shared" ca="1" si="20"/>
        <v>#N/A</v>
      </c>
      <c r="G164" s="234" t="e">
        <f t="shared" ca="1" si="23"/>
        <v>#N/A</v>
      </c>
      <c r="H164" s="234" t="e">
        <f t="shared" ca="1" si="24"/>
        <v>#N/A</v>
      </c>
      <c r="I164" s="234" t="e">
        <f t="shared" ca="1" si="21"/>
        <v>#N/A</v>
      </c>
      <c r="J164" s="250"/>
      <c r="K164" s="250"/>
    </row>
    <row r="165" spans="1:11" hidden="1">
      <c r="A165" s="230" t="e">
        <f t="shared" ca="1" si="22"/>
        <v>#N/A</v>
      </c>
      <c r="B165" s="231" t="e">
        <f t="shared" ca="1" si="18"/>
        <v>#N/A</v>
      </c>
      <c r="C165" s="234" t="e">
        <f t="shared" ca="1" si="25"/>
        <v>#N/A</v>
      </c>
      <c r="D165" s="234" t="e">
        <f t="shared" ca="1" si="26"/>
        <v>#N/A</v>
      </c>
      <c r="E165" s="235" t="e">
        <f t="shared" ca="1" si="19"/>
        <v>#N/A</v>
      </c>
      <c r="F165" s="234" t="e">
        <f t="shared" ca="1" si="20"/>
        <v>#N/A</v>
      </c>
      <c r="G165" s="234" t="e">
        <f t="shared" ca="1" si="23"/>
        <v>#N/A</v>
      </c>
      <c r="H165" s="234" t="e">
        <f t="shared" ca="1" si="24"/>
        <v>#N/A</v>
      </c>
      <c r="I165" s="234" t="e">
        <f t="shared" ca="1" si="21"/>
        <v>#N/A</v>
      </c>
      <c r="J165" s="250"/>
      <c r="K165" s="250"/>
    </row>
    <row r="166" spans="1:11" hidden="1">
      <c r="A166" s="230" t="e">
        <f t="shared" ca="1" si="22"/>
        <v>#N/A</v>
      </c>
      <c r="B166" s="231" t="e">
        <f t="shared" ca="1" si="18"/>
        <v>#N/A</v>
      </c>
      <c r="C166" s="234" t="e">
        <f t="shared" ca="1" si="25"/>
        <v>#N/A</v>
      </c>
      <c r="D166" s="234" t="e">
        <f t="shared" ca="1" si="26"/>
        <v>#N/A</v>
      </c>
      <c r="E166" s="235" t="e">
        <f t="shared" ca="1" si="19"/>
        <v>#N/A</v>
      </c>
      <c r="F166" s="234" t="e">
        <f t="shared" ca="1" si="20"/>
        <v>#N/A</v>
      </c>
      <c r="G166" s="234" t="e">
        <f t="shared" ca="1" si="23"/>
        <v>#N/A</v>
      </c>
      <c r="H166" s="234" t="e">
        <f t="shared" ca="1" si="24"/>
        <v>#N/A</v>
      </c>
      <c r="I166" s="234" t="e">
        <f t="shared" ca="1" si="21"/>
        <v>#N/A</v>
      </c>
      <c r="J166" s="250"/>
      <c r="K166" s="250"/>
    </row>
    <row r="167" spans="1:11" hidden="1">
      <c r="A167" s="230" t="e">
        <f t="shared" ca="1" si="22"/>
        <v>#N/A</v>
      </c>
      <c r="B167" s="231" t="e">
        <f t="shared" ca="1" si="18"/>
        <v>#N/A</v>
      </c>
      <c r="C167" s="234" t="e">
        <f t="shared" ca="1" si="25"/>
        <v>#N/A</v>
      </c>
      <c r="D167" s="234" t="e">
        <f t="shared" ca="1" si="26"/>
        <v>#N/A</v>
      </c>
      <c r="E167" s="235" t="e">
        <f t="shared" ca="1" si="19"/>
        <v>#N/A</v>
      </c>
      <c r="F167" s="234" t="e">
        <f t="shared" ca="1" si="20"/>
        <v>#N/A</v>
      </c>
      <c r="G167" s="234" t="e">
        <f t="shared" ca="1" si="23"/>
        <v>#N/A</v>
      </c>
      <c r="H167" s="234" t="e">
        <f t="shared" ca="1" si="24"/>
        <v>#N/A</v>
      </c>
      <c r="I167" s="234" t="e">
        <f t="shared" ca="1" si="21"/>
        <v>#N/A</v>
      </c>
      <c r="J167" s="250"/>
      <c r="K167" s="250"/>
    </row>
    <row r="168" spans="1:11" hidden="1">
      <c r="A168" s="230" t="e">
        <f t="shared" ca="1" si="22"/>
        <v>#N/A</v>
      </c>
      <c r="B168" s="231" t="e">
        <f t="shared" ca="1" si="18"/>
        <v>#N/A</v>
      </c>
      <c r="C168" s="234" t="e">
        <f t="shared" ca="1" si="25"/>
        <v>#N/A</v>
      </c>
      <c r="D168" s="234" t="e">
        <f t="shared" ca="1" si="26"/>
        <v>#N/A</v>
      </c>
      <c r="E168" s="235" t="e">
        <f t="shared" ca="1" si="19"/>
        <v>#N/A</v>
      </c>
      <c r="F168" s="234" t="e">
        <f t="shared" ca="1" si="20"/>
        <v>#N/A</v>
      </c>
      <c r="G168" s="234" t="e">
        <f t="shared" ca="1" si="23"/>
        <v>#N/A</v>
      </c>
      <c r="H168" s="234" t="e">
        <f t="shared" ca="1" si="24"/>
        <v>#N/A</v>
      </c>
      <c r="I168" s="234" t="e">
        <f t="shared" ca="1" si="21"/>
        <v>#N/A</v>
      </c>
      <c r="J168" s="250"/>
      <c r="K168" s="250"/>
    </row>
    <row r="169" spans="1:11" hidden="1">
      <c r="A169" s="230" t="e">
        <f t="shared" ca="1" si="22"/>
        <v>#N/A</v>
      </c>
      <c r="B169" s="231" t="e">
        <f t="shared" ca="1" si="18"/>
        <v>#N/A</v>
      </c>
      <c r="C169" s="234" t="e">
        <f t="shared" ca="1" si="25"/>
        <v>#N/A</v>
      </c>
      <c r="D169" s="234" t="e">
        <f t="shared" ca="1" si="26"/>
        <v>#N/A</v>
      </c>
      <c r="E169" s="235" t="e">
        <f t="shared" ca="1" si="19"/>
        <v>#N/A</v>
      </c>
      <c r="F169" s="234" t="e">
        <f t="shared" ca="1" si="20"/>
        <v>#N/A</v>
      </c>
      <c r="G169" s="234" t="e">
        <f t="shared" ca="1" si="23"/>
        <v>#N/A</v>
      </c>
      <c r="H169" s="234" t="e">
        <f t="shared" ca="1" si="24"/>
        <v>#N/A</v>
      </c>
      <c r="I169" s="234" t="e">
        <f t="shared" ca="1" si="21"/>
        <v>#N/A</v>
      </c>
      <c r="J169" s="250"/>
      <c r="K169" s="250"/>
    </row>
    <row r="170" spans="1:11" hidden="1">
      <c r="A170" s="230" t="e">
        <f t="shared" ca="1" si="22"/>
        <v>#N/A</v>
      </c>
      <c r="B170" s="231" t="e">
        <f t="shared" ca="1" si="18"/>
        <v>#N/A</v>
      </c>
      <c r="C170" s="234" t="e">
        <f t="shared" ca="1" si="25"/>
        <v>#N/A</v>
      </c>
      <c r="D170" s="234" t="e">
        <f t="shared" ca="1" si="26"/>
        <v>#N/A</v>
      </c>
      <c r="E170" s="235" t="e">
        <f t="shared" ca="1" si="19"/>
        <v>#N/A</v>
      </c>
      <c r="F170" s="234" t="e">
        <f t="shared" ca="1" si="20"/>
        <v>#N/A</v>
      </c>
      <c r="G170" s="234" t="e">
        <f t="shared" ca="1" si="23"/>
        <v>#N/A</v>
      </c>
      <c r="H170" s="234" t="e">
        <f t="shared" ca="1" si="24"/>
        <v>#N/A</v>
      </c>
      <c r="I170" s="234" t="e">
        <f t="shared" ca="1" si="21"/>
        <v>#N/A</v>
      </c>
      <c r="J170" s="250"/>
      <c r="K170" s="250"/>
    </row>
    <row r="171" spans="1:11" hidden="1">
      <c r="A171" s="230" t="e">
        <f t="shared" ca="1" si="22"/>
        <v>#N/A</v>
      </c>
      <c r="B171" s="231" t="e">
        <f t="shared" ca="1" si="18"/>
        <v>#N/A</v>
      </c>
      <c r="C171" s="234" t="e">
        <f t="shared" ca="1" si="25"/>
        <v>#N/A</v>
      </c>
      <c r="D171" s="234" t="e">
        <f t="shared" ca="1" si="26"/>
        <v>#N/A</v>
      </c>
      <c r="E171" s="235" t="e">
        <f t="shared" ca="1" si="19"/>
        <v>#N/A</v>
      </c>
      <c r="F171" s="234" t="e">
        <f t="shared" ca="1" si="20"/>
        <v>#N/A</v>
      </c>
      <c r="G171" s="234" t="e">
        <f t="shared" ca="1" si="23"/>
        <v>#N/A</v>
      </c>
      <c r="H171" s="234" t="e">
        <f t="shared" ca="1" si="24"/>
        <v>#N/A</v>
      </c>
      <c r="I171" s="234" t="e">
        <f t="shared" ca="1" si="21"/>
        <v>#N/A</v>
      </c>
      <c r="J171" s="250"/>
      <c r="K171" s="250"/>
    </row>
    <row r="172" spans="1:11" hidden="1">
      <c r="A172" s="230" t="e">
        <f t="shared" ca="1" si="22"/>
        <v>#N/A</v>
      </c>
      <c r="B172" s="231" t="e">
        <f t="shared" ca="1" si="18"/>
        <v>#N/A</v>
      </c>
      <c r="C172" s="234" t="e">
        <f t="shared" ca="1" si="25"/>
        <v>#N/A</v>
      </c>
      <c r="D172" s="234" t="e">
        <f t="shared" ca="1" si="26"/>
        <v>#N/A</v>
      </c>
      <c r="E172" s="235" t="e">
        <f t="shared" ca="1" si="19"/>
        <v>#N/A</v>
      </c>
      <c r="F172" s="234" t="e">
        <f t="shared" ca="1" si="20"/>
        <v>#N/A</v>
      </c>
      <c r="G172" s="234" t="e">
        <f t="shared" ca="1" si="23"/>
        <v>#N/A</v>
      </c>
      <c r="H172" s="234" t="e">
        <f t="shared" ca="1" si="24"/>
        <v>#N/A</v>
      </c>
      <c r="I172" s="234" t="e">
        <f t="shared" ca="1" si="21"/>
        <v>#N/A</v>
      </c>
      <c r="J172" s="250"/>
      <c r="K172" s="250"/>
    </row>
    <row r="173" spans="1:11" hidden="1">
      <c r="A173" s="230" t="e">
        <f t="shared" ca="1" si="22"/>
        <v>#N/A</v>
      </c>
      <c r="B173" s="231" t="e">
        <f t="shared" ca="1" si="18"/>
        <v>#N/A</v>
      </c>
      <c r="C173" s="234" t="e">
        <f t="shared" ca="1" si="25"/>
        <v>#N/A</v>
      </c>
      <c r="D173" s="234" t="e">
        <f t="shared" ca="1" si="26"/>
        <v>#N/A</v>
      </c>
      <c r="E173" s="235" t="e">
        <f t="shared" ca="1" si="19"/>
        <v>#N/A</v>
      </c>
      <c r="F173" s="234" t="e">
        <f t="shared" ca="1" si="20"/>
        <v>#N/A</v>
      </c>
      <c r="G173" s="234" t="e">
        <f t="shared" ca="1" si="23"/>
        <v>#N/A</v>
      </c>
      <c r="H173" s="234" t="e">
        <f t="shared" ca="1" si="24"/>
        <v>#N/A</v>
      </c>
      <c r="I173" s="234" t="e">
        <f t="shared" ca="1" si="21"/>
        <v>#N/A</v>
      </c>
      <c r="J173" s="250"/>
      <c r="K173" s="250"/>
    </row>
    <row r="174" spans="1:11" hidden="1">
      <c r="A174" s="230" t="e">
        <f t="shared" ca="1" si="22"/>
        <v>#N/A</v>
      </c>
      <c r="B174" s="231" t="e">
        <f t="shared" ca="1" si="18"/>
        <v>#N/A</v>
      </c>
      <c r="C174" s="234" t="e">
        <f t="shared" ca="1" si="25"/>
        <v>#N/A</v>
      </c>
      <c r="D174" s="234" t="e">
        <f t="shared" ca="1" si="26"/>
        <v>#N/A</v>
      </c>
      <c r="E174" s="235" t="e">
        <f t="shared" ca="1" si="19"/>
        <v>#N/A</v>
      </c>
      <c r="F174" s="234" t="e">
        <f t="shared" ca="1" si="20"/>
        <v>#N/A</v>
      </c>
      <c r="G174" s="234" t="e">
        <f t="shared" ca="1" si="23"/>
        <v>#N/A</v>
      </c>
      <c r="H174" s="234" t="e">
        <f t="shared" ca="1" si="24"/>
        <v>#N/A</v>
      </c>
      <c r="I174" s="234" t="e">
        <f t="shared" ca="1" si="21"/>
        <v>#N/A</v>
      </c>
      <c r="J174" s="250"/>
      <c r="K174" s="250"/>
    </row>
    <row r="175" spans="1:11" hidden="1">
      <c r="A175" s="230" t="e">
        <f t="shared" ca="1" si="22"/>
        <v>#N/A</v>
      </c>
      <c r="B175" s="231" t="e">
        <f t="shared" ca="1" si="18"/>
        <v>#N/A</v>
      </c>
      <c r="C175" s="234" t="e">
        <f t="shared" ca="1" si="25"/>
        <v>#N/A</v>
      </c>
      <c r="D175" s="234" t="e">
        <f t="shared" ca="1" si="26"/>
        <v>#N/A</v>
      </c>
      <c r="E175" s="235" t="e">
        <f t="shared" ca="1" si="19"/>
        <v>#N/A</v>
      </c>
      <c r="F175" s="234" t="e">
        <f t="shared" ca="1" si="20"/>
        <v>#N/A</v>
      </c>
      <c r="G175" s="234" t="e">
        <f t="shared" ca="1" si="23"/>
        <v>#N/A</v>
      </c>
      <c r="H175" s="234" t="e">
        <f t="shared" ca="1" si="24"/>
        <v>#N/A</v>
      </c>
      <c r="I175" s="234" t="e">
        <f t="shared" ca="1" si="21"/>
        <v>#N/A</v>
      </c>
      <c r="J175" s="250"/>
      <c r="K175" s="250"/>
    </row>
    <row r="176" spans="1:11" hidden="1">
      <c r="A176" s="230" t="e">
        <f t="shared" ca="1" si="22"/>
        <v>#N/A</v>
      </c>
      <c r="B176" s="231" t="e">
        <f t="shared" ca="1" si="18"/>
        <v>#N/A</v>
      </c>
      <c r="C176" s="234" t="e">
        <f t="shared" ca="1" si="25"/>
        <v>#N/A</v>
      </c>
      <c r="D176" s="234" t="e">
        <f t="shared" ca="1" si="26"/>
        <v>#N/A</v>
      </c>
      <c r="E176" s="235" t="e">
        <f t="shared" ca="1" si="19"/>
        <v>#N/A</v>
      </c>
      <c r="F176" s="234" t="e">
        <f t="shared" ca="1" si="20"/>
        <v>#N/A</v>
      </c>
      <c r="G176" s="234" t="e">
        <f t="shared" ca="1" si="23"/>
        <v>#N/A</v>
      </c>
      <c r="H176" s="234" t="e">
        <f t="shared" ca="1" si="24"/>
        <v>#N/A</v>
      </c>
      <c r="I176" s="234" t="e">
        <f t="shared" ca="1" si="21"/>
        <v>#N/A</v>
      </c>
      <c r="J176" s="250"/>
      <c r="K176" s="250"/>
    </row>
    <row r="177" spans="1:11" hidden="1">
      <c r="A177" s="230" t="e">
        <f t="shared" ca="1" si="22"/>
        <v>#N/A</v>
      </c>
      <c r="B177" s="231" t="e">
        <f t="shared" ca="1" si="18"/>
        <v>#N/A</v>
      </c>
      <c r="C177" s="234" t="e">
        <f t="shared" ca="1" si="25"/>
        <v>#N/A</v>
      </c>
      <c r="D177" s="234" t="e">
        <f t="shared" ca="1" si="26"/>
        <v>#N/A</v>
      </c>
      <c r="E177" s="235" t="e">
        <f t="shared" ca="1" si="19"/>
        <v>#N/A</v>
      </c>
      <c r="F177" s="234" t="e">
        <f t="shared" ca="1" si="20"/>
        <v>#N/A</v>
      </c>
      <c r="G177" s="234" t="e">
        <f t="shared" ca="1" si="23"/>
        <v>#N/A</v>
      </c>
      <c r="H177" s="234" t="e">
        <f t="shared" ca="1" si="24"/>
        <v>#N/A</v>
      </c>
      <c r="I177" s="234" t="e">
        <f t="shared" ca="1" si="21"/>
        <v>#N/A</v>
      </c>
      <c r="J177" s="250"/>
      <c r="K177" s="250"/>
    </row>
    <row r="178" spans="1:11" hidden="1">
      <c r="A178" s="230" t="e">
        <f t="shared" ca="1" si="22"/>
        <v>#N/A</v>
      </c>
      <c r="B178" s="231" t="e">
        <f t="shared" ca="1" si="18"/>
        <v>#N/A</v>
      </c>
      <c r="C178" s="234" t="e">
        <f t="shared" ca="1" si="25"/>
        <v>#N/A</v>
      </c>
      <c r="D178" s="234" t="e">
        <f t="shared" ca="1" si="26"/>
        <v>#N/A</v>
      </c>
      <c r="E178" s="235" t="e">
        <f t="shared" ca="1" si="19"/>
        <v>#N/A</v>
      </c>
      <c r="F178" s="234" t="e">
        <f t="shared" ca="1" si="20"/>
        <v>#N/A</v>
      </c>
      <c r="G178" s="234" t="e">
        <f t="shared" ca="1" si="23"/>
        <v>#N/A</v>
      </c>
      <c r="H178" s="234" t="e">
        <f t="shared" ca="1" si="24"/>
        <v>#N/A</v>
      </c>
      <c r="I178" s="234" t="e">
        <f t="shared" ca="1" si="21"/>
        <v>#N/A</v>
      </c>
      <c r="J178" s="250"/>
      <c r="K178" s="250"/>
    </row>
    <row r="179" spans="1:11" hidden="1">
      <c r="A179" s="230" t="e">
        <f t="shared" ca="1" si="22"/>
        <v>#N/A</v>
      </c>
      <c r="B179" s="231" t="e">
        <f t="shared" ca="1" si="18"/>
        <v>#N/A</v>
      </c>
      <c r="C179" s="234" t="e">
        <f t="shared" ca="1" si="25"/>
        <v>#N/A</v>
      </c>
      <c r="D179" s="234" t="e">
        <f t="shared" ca="1" si="26"/>
        <v>#N/A</v>
      </c>
      <c r="E179" s="235" t="e">
        <f t="shared" ca="1" si="19"/>
        <v>#N/A</v>
      </c>
      <c r="F179" s="234" t="e">
        <f t="shared" ca="1" si="20"/>
        <v>#N/A</v>
      </c>
      <c r="G179" s="234" t="e">
        <f t="shared" ca="1" si="23"/>
        <v>#N/A</v>
      </c>
      <c r="H179" s="234" t="e">
        <f t="shared" ca="1" si="24"/>
        <v>#N/A</v>
      </c>
      <c r="I179" s="234" t="e">
        <f t="shared" ca="1" si="21"/>
        <v>#N/A</v>
      </c>
      <c r="J179" s="250"/>
      <c r="K179" s="250"/>
    </row>
    <row r="180" spans="1:11" hidden="1">
      <c r="A180" s="230" t="e">
        <f t="shared" ca="1" si="22"/>
        <v>#N/A</v>
      </c>
      <c r="B180" s="231" t="e">
        <f t="shared" ca="1" si="18"/>
        <v>#N/A</v>
      </c>
      <c r="C180" s="234" t="e">
        <f t="shared" ca="1" si="25"/>
        <v>#N/A</v>
      </c>
      <c r="D180" s="234" t="e">
        <f t="shared" ca="1" si="26"/>
        <v>#N/A</v>
      </c>
      <c r="E180" s="235" t="e">
        <f t="shared" ca="1" si="19"/>
        <v>#N/A</v>
      </c>
      <c r="F180" s="234" t="e">
        <f t="shared" ca="1" si="20"/>
        <v>#N/A</v>
      </c>
      <c r="G180" s="234" t="e">
        <f t="shared" ca="1" si="23"/>
        <v>#N/A</v>
      </c>
      <c r="H180" s="234" t="e">
        <f t="shared" ca="1" si="24"/>
        <v>#N/A</v>
      </c>
      <c r="I180" s="234" t="e">
        <f t="shared" ca="1" si="21"/>
        <v>#N/A</v>
      </c>
      <c r="J180" s="250"/>
      <c r="K180" s="250"/>
    </row>
    <row r="181" spans="1:11" hidden="1">
      <c r="A181" s="230" t="e">
        <f t="shared" ca="1" si="22"/>
        <v>#N/A</v>
      </c>
      <c r="B181" s="231" t="e">
        <f t="shared" ca="1" si="18"/>
        <v>#N/A</v>
      </c>
      <c r="C181" s="234" t="e">
        <f t="shared" ca="1" si="25"/>
        <v>#N/A</v>
      </c>
      <c r="D181" s="234" t="e">
        <f t="shared" ca="1" si="26"/>
        <v>#N/A</v>
      </c>
      <c r="E181" s="235" t="e">
        <f t="shared" ca="1" si="19"/>
        <v>#N/A</v>
      </c>
      <c r="F181" s="234" t="e">
        <f t="shared" ca="1" si="20"/>
        <v>#N/A</v>
      </c>
      <c r="G181" s="234" t="e">
        <f t="shared" ca="1" si="23"/>
        <v>#N/A</v>
      </c>
      <c r="H181" s="234" t="e">
        <f t="shared" ca="1" si="24"/>
        <v>#N/A</v>
      </c>
      <c r="I181" s="234" t="e">
        <f t="shared" ca="1" si="21"/>
        <v>#N/A</v>
      </c>
      <c r="J181" s="250"/>
      <c r="K181" s="250"/>
    </row>
    <row r="182" spans="1:11" hidden="1">
      <c r="A182" s="230" t="e">
        <f t="shared" ca="1" si="22"/>
        <v>#N/A</v>
      </c>
      <c r="B182" s="231" t="e">
        <f t="shared" ca="1" si="18"/>
        <v>#N/A</v>
      </c>
      <c r="C182" s="232" t="e">
        <f t="shared" ca="1" si="25"/>
        <v>#N/A</v>
      </c>
      <c r="D182" s="232" t="e">
        <f t="shared" ca="1" si="26"/>
        <v>#N/A</v>
      </c>
      <c r="E182" s="233" t="e">
        <f t="shared" ca="1" si="19"/>
        <v>#N/A</v>
      </c>
      <c r="F182" s="232" t="e">
        <f t="shared" ca="1" si="20"/>
        <v>#N/A</v>
      </c>
      <c r="G182" s="232" t="e">
        <f t="shared" ca="1" si="23"/>
        <v>#N/A</v>
      </c>
      <c r="H182" s="232" t="e">
        <f t="shared" ca="1" si="24"/>
        <v>#N/A</v>
      </c>
      <c r="I182" s="232" t="e">
        <f t="shared" ca="1" si="21"/>
        <v>#N/A</v>
      </c>
      <c r="J182" s="250"/>
      <c r="K182" s="250"/>
    </row>
    <row r="183" spans="1:11" hidden="1">
      <c r="A183" s="230" t="e">
        <f t="shared" ca="1" si="22"/>
        <v>#N/A</v>
      </c>
      <c r="B183" s="231" t="e">
        <f t="shared" ca="1" si="18"/>
        <v>#N/A</v>
      </c>
      <c r="C183" s="232" t="e">
        <f t="shared" ca="1" si="25"/>
        <v>#N/A</v>
      </c>
      <c r="D183" s="232" t="e">
        <f t="shared" ca="1" si="26"/>
        <v>#N/A</v>
      </c>
      <c r="E183" s="233" t="e">
        <f t="shared" ca="1" si="19"/>
        <v>#N/A</v>
      </c>
      <c r="F183" s="232" t="e">
        <f t="shared" ca="1" si="20"/>
        <v>#N/A</v>
      </c>
      <c r="G183" s="232" t="e">
        <f t="shared" ca="1" si="23"/>
        <v>#N/A</v>
      </c>
      <c r="H183" s="232" t="e">
        <f t="shared" ca="1" si="24"/>
        <v>#N/A</v>
      </c>
      <c r="I183" s="232" t="e">
        <f t="shared" ca="1" si="21"/>
        <v>#N/A</v>
      </c>
      <c r="J183" s="250"/>
      <c r="K183" s="250"/>
    </row>
    <row r="184" spans="1:11" hidden="1">
      <c r="A184" s="230" t="e">
        <f t="shared" ca="1" si="22"/>
        <v>#N/A</v>
      </c>
      <c r="B184" s="231" t="e">
        <f t="shared" ca="1" si="18"/>
        <v>#N/A</v>
      </c>
      <c r="C184" s="232" t="e">
        <f t="shared" ca="1" si="25"/>
        <v>#N/A</v>
      </c>
      <c r="D184" s="232" t="e">
        <f t="shared" ca="1" si="26"/>
        <v>#N/A</v>
      </c>
      <c r="E184" s="233" t="e">
        <f t="shared" ca="1" si="19"/>
        <v>#N/A</v>
      </c>
      <c r="F184" s="232" t="e">
        <f t="shared" ca="1" si="20"/>
        <v>#N/A</v>
      </c>
      <c r="G184" s="232" t="e">
        <f t="shared" ca="1" si="23"/>
        <v>#N/A</v>
      </c>
      <c r="H184" s="232" t="e">
        <f t="shared" ca="1" si="24"/>
        <v>#N/A</v>
      </c>
      <c r="I184" s="232" t="e">
        <f t="shared" ca="1" si="21"/>
        <v>#N/A</v>
      </c>
      <c r="J184" s="250"/>
      <c r="K184" s="250"/>
    </row>
    <row r="185" spans="1:11" hidden="1">
      <c r="A185" s="230" t="e">
        <f t="shared" ca="1" si="22"/>
        <v>#N/A</v>
      </c>
      <c r="B185" s="231" t="e">
        <f t="shared" ca="1" si="18"/>
        <v>#N/A</v>
      </c>
      <c r="C185" s="232" t="e">
        <f t="shared" ca="1" si="25"/>
        <v>#N/A</v>
      </c>
      <c r="D185" s="232" t="e">
        <f t="shared" ca="1" si="26"/>
        <v>#N/A</v>
      </c>
      <c r="E185" s="233" t="e">
        <f t="shared" ca="1" si="19"/>
        <v>#N/A</v>
      </c>
      <c r="F185" s="232" t="e">
        <f t="shared" ca="1" si="20"/>
        <v>#N/A</v>
      </c>
      <c r="G185" s="232" t="e">
        <f t="shared" ca="1" si="23"/>
        <v>#N/A</v>
      </c>
      <c r="H185" s="232" t="e">
        <f t="shared" ca="1" si="24"/>
        <v>#N/A</v>
      </c>
      <c r="I185" s="232" t="e">
        <f t="shared" ca="1" si="21"/>
        <v>#N/A</v>
      </c>
      <c r="J185" s="250"/>
      <c r="K185" s="250"/>
    </row>
    <row r="186" spans="1:11" hidden="1">
      <c r="A186" s="230" t="e">
        <f t="shared" ca="1" si="22"/>
        <v>#N/A</v>
      </c>
      <c r="B186" s="231" t="e">
        <f t="shared" ca="1" si="18"/>
        <v>#N/A</v>
      </c>
      <c r="C186" s="232" t="e">
        <f t="shared" ca="1" si="25"/>
        <v>#N/A</v>
      </c>
      <c r="D186" s="232" t="e">
        <f t="shared" ca="1" si="26"/>
        <v>#N/A</v>
      </c>
      <c r="E186" s="233" t="e">
        <f t="shared" ca="1" si="19"/>
        <v>#N/A</v>
      </c>
      <c r="F186" s="232" t="e">
        <f t="shared" ca="1" si="20"/>
        <v>#N/A</v>
      </c>
      <c r="G186" s="232" t="e">
        <f t="shared" ca="1" si="23"/>
        <v>#N/A</v>
      </c>
      <c r="H186" s="232" t="e">
        <f t="shared" ca="1" si="24"/>
        <v>#N/A</v>
      </c>
      <c r="I186" s="232" t="e">
        <f t="shared" ca="1" si="21"/>
        <v>#N/A</v>
      </c>
      <c r="J186" s="250"/>
      <c r="K186" s="250"/>
    </row>
    <row r="187" spans="1:11" hidden="1">
      <c r="A187" s="230" t="e">
        <f t="shared" ca="1" si="22"/>
        <v>#N/A</v>
      </c>
      <c r="B187" s="231" t="e">
        <f t="shared" ca="1" si="18"/>
        <v>#N/A</v>
      </c>
      <c r="C187" s="232" t="e">
        <f t="shared" ca="1" si="25"/>
        <v>#N/A</v>
      </c>
      <c r="D187" s="232" t="e">
        <f t="shared" ca="1" si="26"/>
        <v>#N/A</v>
      </c>
      <c r="E187" s="233" t="e">
        <f t="shared" ca="1" si="19"/>
        <v>#N/A</v>
      </c>
      <c r="F187" s="232" t="e">
        <f t="shared" ca="1" si="20"/>
        <v>#N/A</v>
      </c>
      <c r="G187" s="232" t="e">
        <f t="shared" ca="1" si="23"/>
        <v>#N/A</v>
      </c>
      <c r="H187" s="232" t="e">
        <f t="shared" ca="1" si="24"/>
        <v>#N/A</v>
      </c>
      <c r="I187" s="232" t="e">
        <f t="shared" ca="1" si="21"/>
        <v>#N/A</v>
      </c>
      <c r="J187" s="250"/>
      <c r="K187" s="250"/>
    </row>
    <row r="188" spans="1:11" hidden="1">
      <c r="A188" s="230" t="e">
        <f t="shared" ca="1" si="22"/>
        <v>#N/A</v>
      </c>
      <c r="B188" s="231" t="e">
        <f t="shared" ca="1" si="18"/>
        <v>#N/A</v>
      </c>
      <c r="C188" s="232" t="e">
        <f t="shared" ca="1" si="25"/>
        <v>#N/A</v>
      </c>
      <c r="D188" s="232" t="e">
        <f t="shared" ca="1" si="26"/>
        <v>#N/A</v>
      </c>
      <c r="E188" s="233" t="e">
        <f t="shared" ca="1" si="19"/>
        <v>#N/A</v>
      </c>
      <c r="F188" s="232" t="e">
        <f t="shared" ca="1" si="20"/>
        <v>#N/A</v>
      </c>
      <c r="G188" s="232" t="e">
        <f t="shared" ca="1" si="23"/>
        <v>#N/A</v>
      </c>
      <c r="H188" s="232" t="e">
        <f t="shared" ca="1" si="24"/>
        <v>#N/A</v>
      </c>
      <c r="I188" s="232" t="e">
        <f t="shared" ca="1" si="21"/>
        <v>#N/A</v>
      </c>
      <c r="J188" s="250"/>
      <c r="K188" s="250"/>
    </row>
    <row r="189" spans="1:11" hidden="1">
      <c r="A189" s="230" t="e">
        <f t="shared" ca="1" si="22"/>
        <v>#N/A</v>
      </c>
      <c r="B189" s="231" t="e">
        <f t="shared" ca="1" si="18"/>
        <v>#N/A</v>
      </c>
      <c r="C189" s="232" t="e">
        <f t="shared" ca="1" si="25"/>
        <v>#N/A</v>
      </c>
      <c r="D189" s="232" t="e">
        <f t="shared" ca="1" si="26"/>
        <v>#N/A</v>
      </c>
      <c r="E189" s="233" t="e">
        <f t="shared" ca="1" si="19"/>
        <v>#N/A</v>
      </c>
      <c r="F189" s="232" t="e">
        <f t="shared" ca="1" si="20"/>
        <v>#N/A</v>
      </c>
      <c r="G189" s="232" t="e">
        <f t="shared" ca="1" si="23"/>
        <v>#N/A</v>
      </c>
      <c r="H189" s="232" t="e">
        <f t="shared" ca="1" si="24"/>
        <v>#N/A</v>
      </c>
      <c r="I189" s="232" t="e">
        <f t="shared" ca="1" si="21"/>
        <v>#N/A</v>
      </c>
      <c r="J189" s="250"/>
      <c r="K189" s="250"/>
    </row>
    <row r="190" spans="1:11" hidden="1">
      <c r="A190" s="230" t="e">
        <f t="shared" ca="1" si="22"/>
        <v>#N/A</v>
      </c>
      <c r="B190" s="231" t="e">
        <f t="shared" ca="1" si="18"/>
        <v>#N/A</v>
      </c>
      <c r="C190" s="232" t="e">
        <f t="shared" ca="1" si="25"/>
        <v>#N/A</v>
      </c>
      <c r="D190" s="232" t="e">
        <f t="shared" ca="1" si="26"/>
        <v>#N/A</v>
      </c>
      <c r="E190" s="233" t="e">
        <f t="shared" ca="1" si="19"/>
        <v>#N/A</v>
      </c>
      <c r="F190" s="232" t="e">
        <f t="shared" ca="1" si="20"/>
        <v>#N/A</v>
      </c>
      <c r="G190" s="232" t="e">
        <f t="shared" ca="1" si="23"/>
        <v>#N/A</v>
      </c>
      <c r="H190" s="232" t="e">
        <f t="shared" ca="1" si="24"/>
        <v>#N/A</v>
      </c>
      <c r="I190" s="232" t="e">
        <f t="shared" ca="1" si="21"/>
        <v>#N/A</v>
      </c>
      <c r="J190" s="250"/>
      <c r="K190" s="250"/>
    </row>
    <row r="191" spans="1:11" hidden="1">
      <c r="A191" s="230" t="e">
        <f t="shared" ca="1" si="22"/>
        <v>#N/A</v>
      </c>
      <c r="B191" s="231" t="e">
        <f t="shared" ca="1" si="18"/>
        <v>#N/A</v>
      </c>
      <c r="C191" s="232" t="e">
        <f t="shared" ca="1" si="25"/>
        <v>#N/A</v>
      </c>
      <c r="D191" s="232" t="e">
        <f t="shared" ca="1" si="26"/>
        <v>#N/A</v>
      </c>
      <c r="E191" s="233" t="e">
        <f t="shared" ca="1" si="19"/>
        <v>#N/A</v>
      </c>
      <c r="F191" s="232" t="e">
        <f t="shared" ca="1" si="20"/>
        <v>#N/A</v>
      </c>
      <c r="G191" s="232" t="e">
        <f t="shared" ca="1" si="23"/>
        <v>#N/A</v>
      </c>
      <c r="H191" s="232" t="e">
        <f t="shared" ca="1" si="24"/>
        <v>#N/A</v>
      </c>
      <c r="I191" s="232" t="e">
        <f t="shared" ca="1" si="21"/>
        <v>#N/A</v>
      </c>
      <c r="J191" s="250"/>
      <c r="K191" s="250"/>
    </row>
    <row r="192" spans="1:11" hidden="1">
      <c r="A192" s="230" t="e">
        <f t="shared" ca="1" si="22"/>
        <v>#N/A</v>
      </c>
      <c r="B192" s="231" t="e">
        <f t="shared" ca="1" si="18"/>
        <v>#N/A</v>
      </c>
      <c r="C192" s="232" t="e">
        <f t="shared" ca="1" si="25"/>
        <v>#N/A</v>
      </c>
      <c r="D192" s="232" t="e">
        <f t="shared" ca="1" si="26"/>
        <v>#N/A</v>
      </c>
      <c r="E192" s="233" t="e">
        <f t="shared" ca="1" si="19"/>
        <v>#N/A</v>
      </c>
      <c r="F192" s="232" t="e">
        <f t="shared" ca="1" si="20"/>
        <v>#N/A</v>
      </c>
      <c r="G192" s="232" t="e">
        <f t="shared" ca="1" si="23"/>
        <v>#N/A</v>
      </c>
      <c r="H192" s="232" t="e">
        <f t="shared" ca="1" si="24"/>
        <v>#N/A</v>
      </c>
      <c r="I192" s="232" t="e">
        <f t="shared" ca="1" si="21"/>
        <v>#N/A</v>
      </c>
      <c r="J192" s="250"/>
      <c r="K192" s="250"/>
    </row>
    <row r="193" spans="1:11" hidden="1">
      <c r="A193" s="230" t="e">
        <f t="shared" ca="1" si="22"/>
        <v>#N/A</v>
      </c>
      <c r="B193" s="231" t="e">
        <f t="shared" ca="1" si="18"/>
        <v>#N/A</v>
      </c>
      <c r="C193" s="232" t="e">
        <f t="shared" ca="1" si="25"/>
        <v>#N/A</v>
      </c>
      <c r="D193" s="232" t="e">
        <f t="shared" ca="1" si="26"/>
        <v>#N/A</v>
      </c>
      <c r="E193" s="233" t="e">
        <f t="shared" ca="1" si="19"/>
        <v>#N/A</v>
      </c>
      <c r="F193" s="232" t="e">
        <f t="shared" ca="1" si="20"/>
        <v>#N/A</v>
      </c>
      <c r="G193" s="232" t="e">
        <f t="shared" ca="1" si="23"/>
        <v>#N/A</v>
      </c>
      <c r="H193" s="232" t="e">
        <f t="shared" ca="1" si="24"/>
        <v>#N/A</v>
      </c>
      <c r="I193" s="232" t="e">
        <f t="shared" ca="1" si="21"/>
        <v>#N/A</v>
      </c>
      <c r="J193" s="250"/>
      <c r="K193" s="250"/>
    </row>
    <row r="194" spans="1:11" hidden="1">
      <c r="A194" s="230" t="e">
        <f t="shared" ca="1" si="22"/>
        <v>#N/A</v>
      </c>
      <c r="B194" s="231" t="e">
        <f t="shared" ca="1" si="18"/>
        <v>#N/A</v>
      </c>
      <c r="C194" s="232" t="e">
        <f t="shared" ca="1" si="25"/>
        <v>#N/A</v>
      </c>
      <c r="D194" s="232" t="e">
        <f t="shared" ca="1" si="26"/>
        <v>#N/A</v>
      </c>
      <c r="E194" s="233" t="e">
        <f t="shared" ca="1" si="19"/>
        <v>#N/A</v>
      </c>
      <c r="F194" s="232" t="e">
        <f t="shared" ca="1" si="20"/>
        <v>#N/A</v>
      </c>
      <c r="G194" s="232" t="e">
        <f t="shared" ca="1" si="23"/>
        <v>#N/A</v>
      </c>
      <c r="H194" s="232" t="e">
        <f t="shared" ca="1" si="24"/>
        <v>#N/A</v>
      </c>
      <c r="I194" s="232" t="e">
        <f t="shared" ca="1" si="21"/>
        <v>#N/A</v>
      </c>
      <c r="J194" s="250"/>
      <c r="K194" s="250"/>
    </row>
    <row r="195" spans="1:11" hidden="1">
      <c r="A195" s="230" t="e">
        <f t="shared" ca="1" si="22"/>
        <v>#N/A</v>
      </c>
      <c r="B195" s="231" t="e">
        <f t="shared" ca="1" si="18"/>
        <v>#N/A</v>
      </c>
      <c r="C195" s="232" t="e">
        <f t="shared" ca="1" si="25"/>
        <v>#N/A</v>
      </c>
      <c r="D195" s="232" t="e">
        <f t="shared" ca="1" si="26"/>
        <v>#N/A</v>
      </c>
      <c r="E195" s="233" t="e">
        <f t="shared" ca="1" si="19"/>
        <v>#N/A</v>
      </c>
      <c r="F195" s="232" t="e">
        <f t="shared" ca="1" si="20"/>
        <v>#N/A</v>
      </c>
      <c r="G195" s="232" t="e">
        <f t="shared" ca="1" si="23"/>
        <v>#N/A</v>
      </c>
      <c r="H195" s="232" t="e">
        <f t="shared" ca="1" si="24"/>
        <v>#N/A</v>
      </c>
      <c r="I195" s="232" t="e">
        <f t="shared" ca="1" si="21"/>
        <v>#N/A</v>
      </c>
      <c r="J195" s="250"/>
      <c r="K195" s="250"/>
    </row>
    <row r="196" spans="1:11" hidden="1">
      <c r="A196" s="230" t="e">
        <f t="shared" ca="1" si="22"/>
        <v>#N/A</v>
      </c>
      <c r="B196" s="231" t="e">
        <f t="shared" ca="1" si="18"/>
        <v>#N/A</v>
      </c>
      <c r="C196" s="232" t="e">
        <f t="shared" ca="1" si="25"/>
        <v>#N/A</v>
      </c>
      <c r="D196" s="232" t="e">
        <f t="shared" ca="1" si="26"/>
        <v>#N/A</v>
      </c>
      <c r="E196" s="233" t="e">
        <f t="shared" ca="1" si="19"/>
        <v>#N/A</v>
      </c>
      <c r="F196" s="232" t="e">
        <f t="shared" ca="1" si="20"/>
        <v>#N/A</v>
      </c>
      <c r="G196" s="232" t="e">
        <f t="shared" ca="1" si="23"/>
        <v>#N/A</v>
      </c>
      <c r="H196" s="232" t="e">
        <f t="shared" ca="1" si="24"/>
        <v>#N/A</v>
      </c>
      <c r="I196" s="232" t="e">
        <f t="shared" ca="1" si="21"/>
        <v>#N/A</v>
      </c>
      <c r="J196" s="250"/>
      <c r="K196" s="250"/>
    </row>
    <row r="197" spans="1:11" hidden="1">
      <c r="A197" s="230" t="e">
        <f t="shared" ca="1" si="22"/>
        <v>#N/A</v>
      </c>
      <c r="B197" s="231" t="e">
        <f t="shared" ca="1" si="18"/>
        <v>#N/A</v>
      </c>
      <c r="C197" s="232" t="e">
        <f t="shared" ca="1" si="25"/>
        <v>#N/A</v>
      </c>
      <c r="D197" s="232" t="e">
        <f t="shared" ca="1" si="26"/>
        <v>#N/A</v>
      </c>
      <c r="E197" s="233" t="e">
        <f t="shared" ca="1" si="19"/>
        <v>#N/A</v>
      </c>
      <c r="F197" s="232" t="e">
        <f t="shared" ca="1" si="20"/>
        <v>#N/A</v>
      </c>
      <c r="G197" s="232" t="e">
        <f t="shared" ca="1" si="23"/>
        <v>#N/A</v>
      </c>
      <c r="H197" s="232" t="e">
        <f t="shared" ca="1" si="24"/>
        <v>#N/A</v>
      </c>
      <c r="I197" s="232" t="e">
        <f t="shared" ca="1" si="21"/>
        <v>#N/A</v>
      </c>
      <c r="J197" s="250"/>
      <c r="K197" s="250"/>
    </row>
    <row r="198" spans="1:11" hidden="1">
      <c r="A198" s="230" t="e">
        <f t="shared" ca="1" si="22"/>
        <v>#N/A</v>
      </c>
      <c r="B198" s="231" t="e">
        <f t="shared" ca="1" si="18"/>
        <v>#N/A</v>
      </c>
      <c r="C198" s="232" t="e">
        <f t="shared" ca="1" si="25"/>
        <v>#N/A</v>
      </c>
      <c r="D198" s="232" t="e">
        <f t="shared" ca="1" si="26"/>
        <v>#N/A</v>
      </c>
      <c r="E198" s="233" t="e">
        <f t="shared" ca="1" si="19"/>
        <v>#N/A</v>
      </c>
      <c r="F198" s="232" t="e">
        <f t="shared" ca="1" si="20"/>
        <v>#N/A</v>
      </c>
      <c r="G198" s="232" t="e">
        <f t="shared" ca="1" si="23"/>
        <v>#N/A</v>
      </c>
      <c r="H198" s="232" t="e">
        <f t="shared" ca="1" si="24"/>
        <v>#N/A</v>
      </c>
      <c r="I198" s="232" t="e">
        <f t="shared" ca="1" si="21"/>
        <v>#N/A</v>
      </c>
      <c r="J198" s="250"/>
      <c r="K198" s="250"/>
    </row>
    <row r="199" spans="1:11" hidden="1">
      <c r="A199" s="230" t="e">
        <f t="shared" ca="1" si="22"/>
        <v>#N/A</v>
      </c>
      <c r="B199" s="231" t="e">
        <f t="shared" ca="1" si="18"/>
        <v>#N/A</v>
      </c>
      <c r="C199" s="232" t="e">
        <f t="shared" ca="1" si="25"/>
        <v>#N/A</v>
      </c>
      <c r="D199" s="232" t="e">
        <f t="shared" ca="1" si="26"/>
        <v>#N/A</v>
      </c>
      <c r="E199" s="233" t="e">
        <f t="shared" ca="1" si="19"/>
        <v>#N/A</v>
      </c>
      <c r="F199" s="232" t="e">
        <f t="shared" ca="1" si="20"/>
        <v>#N/A</v>
      </c>
      <c r="G199" s="232" t="e">
        <f t="shared" ca="1" si="23"/>
        <v>#N/A</v>
      </c>
      <c r="H199" s="232" t="e">
        <f t="shared" ca="1" si="24"/>
        <v>#N/A</v>
      </c>
      <c r="I199" s="232" t="e">
        <f t="shared" ca="1" si="21"/>
        <v>#N/A</v>
      </c>
      <c r="J199" s="250"/>
      <c r="K199" s="250"/>
    </row>
    <row r="200" spans="1:11" hidden="1">
      <c r="A200" s="230" t="e">
        <f t="shared" ca="1" si="22"/>
        <v>#N/A</v>
      </c>
      <c r="B200" s="231" t="e">
        <f t="shared" ca="1" si="18"/>
        <v>#N/A</v>
      </c>
      <c r="C200" s="232" t="e">
        <f t="shared" ca="1" si="25"/>
        <v>#N/A</v>
      </c>
      <c r="D200" s="232" t="e">
        <f t="shared" ca="1" si="26"/>
        <v>#N/A</v>
      </c>
      <c r="E200" s="233" t="e">
        <f t="shared" ca="1" si="19"/>
        <v>#N/A</v>
      </c>
      <c r="F200" s="232" t="e">
        <f t="shared" ca="1" si="20"/>
        <v>#N/A</v>
      </c>
      <c r="G200" s="232" t="e">
        <f t="shared" ca="1" si="23"/>
        <v>#N/A</v>
      </c>
      <c r="H200" s="232" t="e">
        <f t="shared" ca="1" si="24"/>
        <v>#N/A</v>
      </c>
      <c r="I200" s="232" t="e">
        <f t="shared" ca="1" si="21"/>
        <v>#N/A</v>
      </c>
      <c r="J200" s="250"/>
      <c r="K200" s="250"/>
    </row>
    <row r="201" spans="1:11" hidden="1">
      <c r="A201" s="230" t="e">
        <f t="shared" ca="1" si="22"/>
        <v>#N/A</v>
      </c>
      <c r="B201" s="231" t="e">
        <f t="shared" ca="1" si="18"/>
        <v>#N/A</v>
      </c>
      <c r="C201" s="232" t="e">
        <f t="shared" ca="1" si="25"/>
        <v>#N/A</v>
      </c>
      <c r="D201" s="232" t="e">
        <f t="shared" ca="1" si="26"/>
        <v>#N/A</v>
      </c>
      <c r="E201" s="233" t="e">
        <f t="shared" ca="1" si="19"/>
        <v>#N/A</v>
      </c>
      <c r="F201" s="232" t="e">
        <f t="shared" ca="1" si="20"/>
        <v>#N/A</v>
      </c>
      <c r="G201" s="232" t="e">
        <f t="shared" ca="1" si="23"/>
        <v>#N/A</v>
      </c>
      <c r="H201" s="232" t="e">
        <f t="shared" ca="1" si="24"/>
        <v>#N/A</v>
      </c>
      <c r="I201" s="232" t="e">
        <f t="shared" ca="1" si="21"/>
        <v>#N/A</v>
      </c>
      <c r="J201" s="250"/>
      <c r="K201" s="250"/>
    </row>
    <row r="202" spans="1:11" hidden="1">
      <c r="A202" s="230" t="e">
        <f t="shared" ca="1" si="22"/>
        <v>#N/A</v>
      </c>
      <c r="B202" s="231" t="e">
        <f t="shared" ca="1" si="18"/>
        <v>#N/A</v>
      </c>
      <c r="C202" s="232" t="e">
        <f t="shared" ca="1" si="25"/>
        <v>#N/A</v>
      </c>
      <c r="D202" s="232" t="e">
        <f t="shared" ca="1" si="26"/>
        <v>#N/A</v>
      </c>
      <c r="E202" s="233" t="e">
        <f t="shared" ca="1" si="19"/>
        <v>#N/A</v>
      </c>
      <c r="F202" s="232" t="e">
        <f t="shared" ca="1" si="20"/>
        <v>#N/A</v>
      </c>
      <c r="G202" s="232" t="e">
        <f t="shared" ca="1" si="23"/>
        <v>#N/A</v>
      </c>
      <c r="H202" s="232" t="e">
        <f t="shared" ca="1" si="24"/>
        <v>#N/A</v>
      </c>
      <c r="I202" s="232" t="e">
        <f t="shared" ca="1" si="21"/>
        <v>#N/A</v>
      </c>
      <c r="J202" s="250"/>
      <c r="K202" s="250"/>
    </row>
    <row r="203" spans="1:11" hidden="1">
      <c r="A203" s="230" t="e">
        <f t="shared" ca="1" si="22"/>
        <v>#N/A</v>
      </c>
      <c r="B203" s="231" t="e">
        <f t="shared" ca="1" si="18"/>
        <v>#N/A</v>
      </c>
      <c r="C203" s="232" t="e">
        <f t="shared" ca="1" si="25"/>
        <v>#N/A</v>
      </c>
      <c r="D203" s="232" t="e">
        <f t="shared" ca="1" si="26"/>
        <v>#N/A</v>
      </c>
      <c r="E203" s="233" t="e">
        <f t="shared" ca="1" si="19"/>
        <v>#N/A</v>
      </c>
      <c r="F203" s="232" t="e">
        <f t="shared" ca="1" si="20"/>
        <v>#N/A</v>
      </c>
      <c r="G203" s="232" t="e">
        <f t="shared" ca="1" si="23"/>
        <v>#N/A</v>
      </c>
      <c r="H203" s="232" t="e">
        <f t="shared" ca="1" si="24"/>
        <v>#N/A</v>
      </c>
      <c r="I203" s="232" t="e">
        <f t="shared" ca="1" si="21"/>
        <v>#N/A</v>
      </c>
      <c r="J203" s="250"/>
      <c r="K203" s="250"/>
    </row>
    <row r="204" spans="1:11" hidden="1">
      <c r="A204" s="230" t="e">
        <f t="shared" ca="1" si="22"/>
        <v>#N/A</v>
      </c>
      <c r="B204" s="231" t="e">
        <f t="shared" ca="1" si="18"/>
        <v>#N/A</v>
      </c>
      <c r="C204" s="232" t="e">
        <f t="shared" ca="1" si="25"/>
        <v>#N/A</v>
      </c>
      <c r="D204" s="232" t="e">
        <f t="shared" ca="1" si="26"/>
        <v>#N/A</v>
      </c>
      <c r="E204" s="233" t="e">
        <f t="shared" ca="1" si="19"/>
        <v>#N/A</v>
      </c>
      <c r="F204" s="232" t="e">
        <f t="shared" ca="1" si="20"/>
        <v>#N/A</v>
      </c>
      <c r="G204" s="232" t="e">
        <f t="shared" ca="1" si="23"/>
        <v>#N/A</v>
      </c>
      <c r="H204" s="232" t="e">
        <f t="shared" ca="1" si="24"/>
        <v>#N/A</v>
      </c>
      <c r="I204" s="232" t="e">
        <f t="shared" ca="1" si="21"/>
        <v>#N/A</v>
      </c>
      <c r="J204" s="250"/>
      <c r="K204" s="250"/>
    </row>
    <row r="205" spans="1:11" hidden="1">
      <c r="A205" s="230" t="e">
        <f t="shared" ca="1" si="22"/>
        <v>#N/A</v>
      </c>
      <c r="B205" s="231" t="e">
        <f t="shared" ca="1" si="18"/>
        <v>#N/A</v>
      </c>
      <c r="C205" s="232" t="e">
        <f t="shared" ca="1" si="25"/>
        <v>#N/A</v>
      </c>
      <c r="D205" s="232" t="e">
        <f t="shared" ca="1" si="26"/>
        <v>#N/A</v>
      </c>
      <c r="E205" s="233" t="e">
        <f t="shared" ca="1" si="19"/>
        <v>#N/A</v>
      </c>
      <c r="F205" s="232" t="e">
        <f t="shared" ca="1" si="20"/>
        <v>#N/A</v>
      </c>
      <c r="G205" s="232" t="e">
        <f t="shared" ca="1" si="23"/>
        <v>#N/A</v>
      </c>
      <c r="H205" s="232" t="e">
        <f t="shared" ca="1" si="24"/>
        <v>#N/A</v>
      </c>
      <c r="I205" s="232" t="e">
        <f t="shared" ca="1" si="21"/>
        <v>#N/A</v>
      </c>
      <c r="J205" s="250"/>
      <c r="K205" s="250"/>
    </row>
    <row r="206" spans="1:11" hidden="1">
      <c r="A206" s="230" t="e">
        <f t="shared" ca="1" si="22"/>
        <v>#N/A</v>
      </c>
      <c r="B206" s="231" t="e">
        <f t="shared" ca="1" si="18"/>
        <v>#N/A</v>
      </c>
      <c r="C206" s="232" t="e">
        <f t="shared" ca="1" si="25"/>
        <v>#N/A</v>
      </c>
      <c r="D206" s="232" t="e">
        <f t="shared" ca="1" si="26"/>
        <v>#N/A</v>
      </c>
      <c r="E206" s="233" t="e">
        <f t="shared" ca="1" si="19"/>
        <v>#N/A</v>
      </c>
      <c r="F206" s="232" t="e">
        <f t="shared" ca="1" si="20"/>
        <v>#N/A</v>
      </c>
      <c r="G206" s="232" t="e">
        <f t="shared" ca="1" si="23"/>
        <v>#N/A</v>
      </c>
      <c r="H206" s="232" t="e">
        <f t="shared" ca="1" si="24"/>
        <v>#N/A</v>
      </c>
      <c r="I206" s="232" t="e">
        <f t="shared" ca="1" si="21"/>
        <v>#N/A</v>
      </c>
      <c r="J206" s="250"/>
      <c r="K206" s="250"/>
    </row>
    <row r="207" spans="1:11" hidden="1">
      <c r="A207" s="230" t="e">
        <f t="shared" ca="1" si="22"/>
        <v>#N/A</v>
      </c>
      <c r="B207" s="231" t="e">
        <f t="shared" ca="1" si="18"/>
        <v>#N/A</v>
      </c>
      <c r="C207" s="232" t="e">
        <f t="shared" ca="1" si="25"/>
        <v>#N/A</v>
      </c>
      <c r="D207" s="232" t="e">
        <f t="shared" ca="1" si="26"/>
        <v>#N/A</v>
      </c>
      <c r="E207" s="233" t="e">
        <f t="shared" ca="1" si="19"/>
        <v>#N/A</v>
      </c>
      <c r="F207" s="232" t="e">
        <f t="shared" ca="1" si="20"/>
        <v>#N/A</v>
      </c>
      <c r="G207" s="232" t="e">
        <f t="shared" ca="1" si="23"/>
        <v>#N/A</v>
      </c>
      <c r="H207" s="232" t="e">
        <f t="shared" ca="1" si="24"/>
        <v>#N/A</v>
      </c>
      <c r="I207" s="232" t="e">
        <f t="shared" ca="1" si="21"/>
        <v>#N/A</v>
      </c>
      <c r="J207" s="250"/>
      <c r="K207" s="250"/>
    </row>
    <row r="208" spans="1:11" hidden="1">
      <c r="A208" s="230" t="e">
        <f t="shared" ca="1" si="22"/>
        <v>#N/A</v>
      </c>
      <c r="B208" s="231" t="e">
        <f t="shared" ca="1" si="18"/>
        <v>#N/A</v>
      </c>
      <c r="C208" s="232" t="e">
        <f t="shared" ca="1" si="25"/>
        <v>#N/A</v>
      </c>
      <c r="D208" s="232" t="e">
        <f t="shared" ca="1" si="26"/>
        <v>#N/A</v>
      </c>
      <c r="E208" s="233" t="e">
        <f t="shared" ca="1" si="19"/>
        <v>#N/A</v>
      </c>
      <c r="F208" s="232" t="e">
        <f t="shared" ca="1" si="20"/>
        <v>#N/A</v>
      </c>
      <c r="G208" s="232" t="e">
        <f t="shared" ca="1" si="23"/>
        <v>#N/A</v>
      </c>
      <c r="H208" s="232" t="e">
        <f t="shared" ca="1" si="24"/>
        <v>#N/A</v>
      </c>
      <c r="I208" s="232" t="e">
        <f t="shared" ca="1" si="21"/>
        <v>#N/A</v>
      </c>
      <c r="J208" s="250"/>
      <c r="K208" s="250"/>
    </row>
    <row r="209" spans="1:11" hidden="1">
      <c r="A209" s="230" t="e">
        <f t="shared" ca="1" si="22"/>
        <v>#N/A</v>
      </c>
      <c r="B209" s="231" t="e">
        <f t="shared" ca="1" si="18"/>
        <v>#N/A</v>
      </c>
      <c r="C209" s="232" t="e">
        <f t="shared" ca="1" si="25"/>
        <v>#N/A</v>
      </c>
      <c r="D209" s="232" t="e">
        <f t="shared" ca="1" si="26"/>
        <v>#N/A</v>
      </c>
      <c r="E209" s="233" t="e">
        <f t="shared" ca="1" si="19"/>
        <v>#N/A</v>
      </c>
      <c r="F209" s="232" t="e">
        <f t="shared" ca="1" si="20"/>
        <v>#N/A</v>
      </c>
      <c r="G209" s="232" t="e">
        <f t="shared" ca="1" si="23"/>
        <v>#N/A</v>
      </c>
      <c r="H209" s="232" t="e">
        <f t="shared" ca="1" si="24"/>
        <v>#N/A</v>
      </c>
      <c r="I209" s="232" t="e">
        <f t="shared" ca="1" si="21"/>
        <v>#N/A</v>
      </c>
      <c r="J209" s="250"/>
      <c r="K209" s="250"/>
    </row>
    <row r="210" spans="1:11" hidden="1">
      <c r="A210" s="230" t="e">
        <f t="shared" ca="1" si="22"/>
        <v>#N/A</v>
      </c>
      <c r="B210" s="231" t="e">
        <f t="shared" ref="B210:B273" ca="1" si="27">IF(Pay_Num&lt;&gt;"",DATE(YEAR(Loan_Start),MONTH(Loan_Start)+(Pay_Num)*12/Num_Pmt_Per_Year,DAY(Loan_Start)),"")</f>
        <v>#N/A</v>
      </c>
      <c r="C210" s="232" t="e">
        <f t="shared" ca="1" si="25"/>
        <v>#N/A</v>
      </c>
      <c r="D210" s="232" t="e">
        <f t="shared" ca="1" si="26"/>
        <v>#N/A</v>
      </c>
      <c r="E210" s="233" t="e">
        <f t="shared" ref="E210:E273" ca="1" si="28">IF(AND(Pay_Num&lt;&gt;"",Sched_Pay+Scheduled_Extra_Payments&lt;Beg_Bal),Scheduled_Extra_Payments,IF(AND(Pay_Num&lt;&gt;"",Beg_Bal-Sched_Pay&gt;0),Beg_Bal-Sched_Pay,IF(Pay_Num&lt;&gt;"",0,"")))</f>
        <v>#N/A</v>
      </c>
      <c r="F210" s="232" t="e">
        <f t="shared" ref="F210:F273" ca="1" si="29">IF(AND(Pay_Num&lt;&gt;"",Sched_Pay+Extra_Pay&lt;Beg_Bal),Sched_Pay+Extra_Pay,IF(Pay_Num&lt;&gt;"",Beg_Bal,""))</f>
        <v>#N/A</v>
      </c>
      <c r="G210" s="232" t="e">
        <f t="shared" ca="1" si="23"/>
        <v>#N/A</v>
      </c>
      <c r="H210" s="232" t="e">
        <f t="shared" ca="1" si="24"/>
        <v>#N/A</v>
      </c>
      <c r="I210" s="232" t="e">
        <f t="shared" ref="I210:I273" ca="1" si="30">IF(AND(Pay_Num&lt;&gt;"",Sched_Pay+Extra_Pay&lt;Beg_Bal),Beg_Bal-Princ,IF(Pay_Num&lt;&gt;"",0,""))</f>
        <v>#N/A</v>
      </c>
      <c r="J210" s="250"/>
      <c r="K210" s="250"/>
    </row>
    <row r="211" spans="1:11" hidden="1">
      <c r="A211" s="230" t="e">
        <f t="shared" ref="A211:A274" ca="1" si="31">IF(Values_Entered,A210+1,"")</f>
        <v>#N/A</v>
      </c>
      <c r="B211" s="231" t="e">
        <f t="shared" ca="1" si="27"/>
        <v>#N/A</v>
      </c>
      <c r="C211" s="232" t="e">
        <f t="shared" ca="1" si="25"/>
        <v>#N/A</v>
      </c>
      <c r="D211" s="232" t="e">
        <f t="shared" ca="1" si="26"/>
        <v>#N/A</v>
      </c>
      <c r="E211" s="233" t="e">
        <f t="shared" ca="1" si="28"/>
        <v>#N/A</v>
      </c>
      <c r="F211" s="232" t="e">
        <f t="shared" ca="1" si="29"/>
        <v>#N/A</v>
      </c>
      <c r="G211" s="232" t="e">
        <f t="shared" ref="G211:G274" ca="1" si="32">IF(Pay_Num&lt;&gt;"",Total_Pay-Int,"")</f>
        <v>#N/A</v>
      </c>
      <c r="H211" s="232" t="e">
        <f t="shared" ref="H211:H274" ca="1" si="33">IF(Pay_Num&lt;&gt;"",Beg_Bal*Interest_Rate/Num_Pmt_Per_Year,"")</f>
        <v>#N/A</v>
      </c>
      <c r="I211" s="232" t="e">
        <f t="shared" ca="1" si="30"/>
        <v>#N/A</v>
      </c>
      <c r="J211" s="250"/>
      <c r="K211" s="250"/>
    </row>
    <row r="212" spans="1:11" hidden="1">
      <c r="A212" s="230" t="e">
        <f t="shared" ca="1" si="31"/>
        <v>#N/A</v>
      </c>
      <c r="B212" s="231" t="e">
        <f t="shared" ca="1" si="27"/>
        <v>#N/A</v>
      </c>
      <c r="C212" s="232" t="e">
        <f t="shared" ref="C212:C275" ca="1" si="34">IF(Pay_Num&lt;&gt;"",I211,"")</f>
        <v>#N/A</v>
      </c>
      <c r="D212" s="232" t="e">
        <f t="shared" ref="D212:D275" ca="1" si="35">IF(Pay_Num&lt;&gt;"",Scheduled_Monthly_Payment,"")</f>
        <v>#N/A</v>
      </c>
      <c r="E212" s="233" t="e">
        <f t="shared" ca="1" si="28"/>
        <v>#N/A</v>
      </c>
      <c r="F212" s="232" t="e">
        <f t="shared" ca="1" si="29"/>
        <v>#N/A</v>
      </c>
      <c r="G212" s="232" t="e">
        <f t="shared" ca="1" si="32"/>
        <v>#N/A</v>
      </c>
      <c r="H212" s="232" t="e">
        <f t="shared" ca="1" si="33"/>
        <v>#N/A</v>
      </c>
      <c r="I212" s="232" t="e">
        <f t="shared" ca="1" si="30"/>
        <v>#N/A</v>
      </c>
      <c r="J212" s="250"/>
      <c r="K212" s="250"/>
    </row>
    <row r="213" spans="1:11" hidden="1">
      <c r="A213" s="230" t="e">
        <f t="shared" ca="1" si="31"/>
        <v>#N/A</v>
      </c>
      <c r="B213" s="231" t="e">
        <f t="shared" ca="1" si="27"/>
        <v>#N/A</v>
      </c>
      <c r="C213" s="232" t="e">
        <f t="shared" ca="1" si="34"/>
        <v>#N/A</v>
      </c>
      <c r="D213" s="232" t="e">
        <f t="shared" ca="1" si="35"/>
        <v>#N/A</v>
      </c>
      <c r="E213" s="233" t="e">
        <f t="shared" ca="1" si="28"/>
        <v>#N/A</v>
      </c>
      <c r="F213" s="232" t="e">
        <f t="shared" ca="1" si="29"/>
        <v>#N/A</v>
      </c>
      <c r="G213" s="232" t="e">
        <f t="shared" ca="1" si="32"/>
        <v>#N/A</v>
      </c>
      <c r="H213" s="232" t="e">
        <f t="shared" ca="1" si="33"/>
        <v>#N/A</v>
      </c>
      <c r="I213" s="232" t="e">
        <f t="shared" ca="1" si="30"/>
        <v>#N/A</v>
      </c>
      <c r="J213" s="250"/>
      <c r="K213" s="250"/>
    </row>
    <row r="214" spans="1:11" hidden="1">
      <c r="A214" s="230" t="e">
        <f t="shared" ca="1" si="31"/>
        <v>#N/A</v>
      </c>
      <c r="B214" s="231" t="e">
        <f t="shared" ca="1" si="27"/>
        <v>#N/A</v>
      </c>
      <c r="C214" s="232" t="e">
        <f t="shared" ca="1" si="34"/>
        <v>#N/A</v>
      </c>
      <c r="D214" s="232" t="e">
        <f t="shared" ca="1" si="35"/>
        <v>#N/A</v>
      </c>
      <c r="E214" s="233" t="e">
        <f t="shared" ca="1" si="28"/>
        <v>#N/A</v>
      </c>
      <c r="F214" s="232" t="e">
        <f t="shared" ca="1" si="29"/>
        <v>#N/A</v>
      </c>
      <c r="G214" s="232" t="e">
        <f t="shared" ca="1" si="32"/>
        <v>#N/A</v>
      </c>
      <c r="H214" s="232" t="e">
        <f t="shared" ca="1" si="33"/>
        <v>#N/A</v>
      </c>
      <c r="I214" s="232" t="e">
        <f t="shared" ca="1" si="30"/>
        <v>#N/A</v>
      </c>
      <c r="J214" s="250"/>
      <c r="K214" s="250"/>
    </row>
    <row r="215" spans="1:11" hidden="1">
      <c r="A215" s="230" t="e">
        <f t="shared" ca="1" si="31"/>
        <v>#N/A</v>
      </c>
      <c r="B215" s="231" t="e">
        <f t="shared" ca="1" si="27"/>
        <v>#N/A</v>
      </c>
      <c r="C215" s="232" t="e">
        <f t="shared" ca="1" si="34"/>
        <v>#N/A</v>
      </c>
      <c r="D215" s="232" t="e">
        <f t="shared" ca="1" si="35"/>
        <v>#N/A</v>
      </c>
      <c r="E215" s="233" t="e">
        <f t="shared" ca="1" si="28"/>
        <v>#N/A</v>
      </c>
      <c r="F215" s="232" t="e">
        <f t="shared" ca="1" si="29"/>
        <v>#N/A</v>
      </c>
      <c r="G215" s="232" t="e">
        <f t="shared" ca="1" si="32"/>
        <v>#N/A</v>
      </c>
      <c r="H215" s="232" t="e">
        <f t="shared" ca="1" si="33"/>
        <v>#N/A</v>
      </c>
      <c r="I215" s="232" t="e">
        <f t="shared" ca="1" si="30"/>
        <v>#N/A</v>
      </c>
      <c r="J215" s="250"/>
      <c r="K215" s="250"/>
    </row>
    <row r="216" spans="1:11" hidden="1">
      <c r="A216" s="230" t="e">
        <f t="shared" ca="1" si="31"/>
        <v>#N/A</v>
      </c>
      <c r="B216" s="231" t="e">
        <f t="shared" ca="1" si="27"/>
        <v>#N/A</v>
      </c>
      <c r="C216" s="232" t="e">
        <f t="shared" ca="1" si="34"/>
        <v>#N/A</v>
      </c>
      <c r="D216" s="232" t="e">
        <f t="shared" ca="1" si="35"/>
        <v>#N/A</v>
      </c>
      <c r="E216" s="233" t="e">
        <f t="shared" ca="1" si="28"/>
        <v>#N/A</v>
      </c>
      <c r="F216" s="232" t="e">
        <f t="shared" ca="1" si="29"/>
        <v>#N/A</v>
      </c>
      <c r="G216" s="232" t="e">
        <f t="shared" ca="1" si="32"/>
        <v>#N/A</v>
      </c>
      <c r="H216" s="232" t="e">
        <f t="shared" ca="1" si="33"/>
        <v>#N/A</v>
      </c>
      <c r="I216" s="232" t="e">
        <f t="shared" ca="1" si="30"/>
        <v>#N/A</v>
      </c>
      <c r="J216" s="250"/>
      <c r="K216" s="250"/>
    </row>
    <row r="217" spans="1:11" hidden="1">
      <c r="A217" s="230" t="e">
        <f t="shared" ca="1" si="31"/>
        <v>#N/A</v>
      </c>
      <c r="B217" s="231" t="e">
        <f t="shared" ca="1" si="27"/>
        <v>#N/A</v>
      </c>
      <c r="C217" s="232" t="e">
        <f t="shared" ca="1" si="34"/>
        <v>#N/A</v>
      </c>
      <c r="D217" s="232" t="e">
        <f t="shared" ca="1" si="35"/>
        <v>#N/A</v>
      </c>
      <c r="E217" s="233" t="e">
        <f t="shared" ca="1" si="28"/>
        <v>#N/A</v>
      </c>
      <c r="F217" s="232" t="e">
        <f t="shared" ca="1" si="29"/>
        <v>#N/A</v>
      </c>
      <c r="G217" s="232" t="e">
        <f t="shared" ca="1" si="32"/>
        <v>#N/A</v>
      </c>
      <c r="H217" s="232" t="e">
        <f t="shared" ca="1" si="33"/>
        <v>#N/A</v>
      </c>
      <c r="I217" s="232" t="e">
        <f t="shared" ca="1" si="30"/>
        <v>#N/A</v>
      </c>
      <c r="J217" s="250"/>
      <c r="K217" s="250"/>
    </row>
    <row r="218" spans="1:11" hidden="1">
      <c r="A218" s="230" t="e">
        <f t="shared" ca="1" si="31"/>
        <v>#N/A</v>
      </c>
      <c r="B218" s="231" t="e">
        <f t="shared" ca="1" si="27"/>
        <v>#N/A</v>
      </c>
      <c r="C218" s="232" t="e">
        <f t="shared" ca="1" si="34"/>
        <v>#N/A</v>
      </c>
      <c r="D218" s="232" t="e">
        <f t="shared" ca="1" si="35"/>
        <v>#N/A</v>
      </c>
      <c r="E218" s="233" t="e">
        <f t="shared" ca="1" si="28"/>
        <v>#N/A</v>
      </c>
      <c r="F218" s="232" t="e">
        <f t="shared" ca="1" si="29"/>
        <v>#N/A</v>
      </c>
      <c r="G218" s="232" t="e">
        <f t="shared" ca="1" si="32"/>
        <v>#N/A</v>
      </c>
      <c r="H218" s="232" t="e">
        <f t="shared" ca="1" si="33"/>
        <v>#N/A</v>
      </c>
      <c r="I218" s="232" t="e">
        <f t="shared" ca="1" si="30"/>
        <v>#N/A</v>
      </c>
      <c r="J218" s="250"/>
      <c r="K218" s="250"/>
    </row>
    <row r="219" spans="1:11" hidden="1">
      <c r="A219" s="230" t="e">
        <f t="shared" ca="1" si="31"/>
        <v>#N/A</v>
      </c>
      <c r="B219" s="231" t="e">
        <f t="shared" ca="1" si="27"/>
        <v>#N/A</v>
      </c>
      <c r="C219" s="232" t="e">
        <f t="shared" ca="1" si="34"/>
        <v>#N/A</v>
      </c>
      <c r="D219" s="232" t="e">
        <f t="shared" ca="1" si="35"/>
        <v>#N/A</v>
      </c>
      <c r="E219" s="233" t="e">
        <f t="shared" ca="1" si="28"/>
        <v>#N/A</v>
      </c>
      <c r="F219" s="232" t="e">
        <f t="shared" ca="1" si="29"/>
        <v>#N/A</v>
      </c>
      <c r="G219" s="232" t="e">
        <f t="shared" ca="1" si="32"/>
        <v>#N/A</v>
      </c>
      <c r="H219" s="232" t="e">
        <f t="shared" ca="1" si="33"/>
        <v>#N/A</v>
      </c>
      <c r="I219" s="232" t="e">
        <f t="shared" ca="1" si="30"/>
        <v>#N/A</v>
      </c>
      <c r="J219" s="250"/>
      <c r="K219" s="250"/>
    </row>
    <row r="220" spans="1:11" hidden="1">
      <c r="A220" s="230" t="e">
        <f t="shared" ca="1" si="31"/>
        <v>#N/A</v>
      </c>
      <c r="B220" s="231" t="e">
        <f t="shared" ca="1" si="27"/>
        <v>#N/A</v>
      </c>
      <c r="C220" s="232" t="e">
        <f t="shared" ca="1" si="34"/>
        <v>#N/A</v>
      </c>
      <c r="D220" s="232" t="e">
        <f t="shared" ca="1" si="35"/>
        <v>#N/A</v>
      </c>
      <c r="E220" s="233" t="e">
        <f t="shared" ca="1" si="28"/>
        <v>#N/A</v>
      </c>
      <c r="F220" s="232" t="e">
        <f t="shared" ca="1" si="29"/>
        <v>#N/A</v>
      </c>
      <c r="G220" s="232" t="e">
        <f t="shared" ca="1" si="32"/>
        <v>#N/A</v>
      </c>
      <c r="H220" s="232" t="e">
        <f t="shared" ca="1" si="33"/>
        <v>#N/A</v>
      </c>
      <c r="I220" s="232" t="e">
        <f t="shared" ca="1" si="30"/>
        <v>#N/A</v>
      </c>
      <c r="J220" s="250"/>
      <c r="K220" s="250"/>
    </row>
    <row r="221" spans="1:11" hidden="1">
      <c r="A221" s="230" t="e">
        <f t="shared" ca="1" si="31"/>
        <v>#N/A</v>
      </c>
      <c r="B221" s="231" t="e">
        <f t="shared" ca="1" si="27"/>
        <v>#N/A</v>
      </c>
      <c r="C221" s="232" t="e">
        <f t="shared" ca="1" si="34"/>
        <v>#N/A</v>
      </c>
      <c r="D221" s="232" t="e">
        <f t="shared" ca="1" si="35"/>
        <v>#N/A</v>
      </c>
      <c r="E221" s="233" t="e">
        <f t="shared" ca="1" si="28"/>
        <v>#N/A</v>
      </c>
      <c r="F221" s="232" t="e">
        <f t="shared" ca="1" si="29"/>
        <v>#N/A</v>
      </c>
      <c r="G221" s="232" t="e">
        <f t="shared" ca="1" si="32"/>
        <v>#N/A</v>
      </c>
      <c r="H221" s="232" t="e">
        <f t="shared" ca="1" si="33"/>
        <v>#N/A</v>
      </c>
      <c r="I221" s="232" t="e">
        <f t="shared" ca="1" si="30"/>
        <v>#N/A</v>
      </c>
      <c r="J221" s="250"/>
      <c r="K221" s="250"/>
    </row>
    <row r="222" spans="1:11" hidden="1">
      <c r="A222" s="230" t="e">
        <f t="shared" ca="1" si="31"/>
        <v>#N/A</v>
      </c>
      <c r="B222" s="231" t="e">
        <f t="shared" ca="1" si="27"/>
        <v>#N/A</v>
      </c>
      <c r="C222" s="232" t="e">
        <f t="shared" ca="1" si="34"/>
        <v>#N/A</v>
      </c>
      <c r="D222" s="232" t="e">
        <f t="shared" ca="1" si="35"/>
        <v>#N/A</v>
      </c>
      <c r="E222" s="233" t="e">
        <f t="shared" ca="1" si="28"/>
        <v>#N/A</v>
      </c>
      <c r="F222" s="232" t="e">
        <f t="shared" ca="1" si="29"/>
        <v>#N/A</v>
      </c>
      <c r="G222" s="232" t="e">
        <f t="shared" ca="1" si="32"/>
        <v>#N/A</v>
      </c>
      <c r="H222" s="232" t="e">
        <f t="shared" ca="1" si="33"/>
        <v>#N/A</v>
      </c>
      <c r="I222" s="232" t="e">
        <f t="shared" ca="1" si="30"/>
        <v>#N/A</v>
      </c>
      <c r="J222" s="250"/>
      <c r="K222" s="250"/>
    </row>
    <row r="223" spans="1:11" hidden="1">
      <c r="A223" s="230" t="e">
        <f t="shared" ca="1" si="31"/>
        <v>#N/A</v>
      </c>
      <c r="B223" s="231" t="e">
        <f t="shared" ca="1" si="27"/>
        <v>#N/A</v>
      </c>
      <c r="C223" s="232" t="e">
        <f t="shared" ca="1" si="34"/>
        <v>#N/A</v>
      </c>
      <c r="D223" s="232" t="e">
        <f t="shared" ca="1" si="35"/>
        <v>#N/A</v>
      </c>
      <c r="E223" s="233" t="e">
        <f t="shared" ca="1" si="28"/>
        <v>#N/A</v>
      </c>
      <c r="F223" s="232" t="e">
        <f t="shared" ca="1" si="29"/>
        <v>#N/A</v>
      </c>
      <c r="G223" s="232" t="e">
        <f t="shared" ca="1" si="32"/>
        <v>#N/A</v>
      </c>
      <c r="H223" s="232" t="e">
        <f t="shared" ca="1" si="33"/>
        <v>#N/A</v>
      </c>
      <c r="I223" s="232" t="e">
        <f t="shared" ca="1" si="30"/>
        <v>#N/A</v>
      </c>
      <c r="J223" s="250"/>
      <c r="K223" s="250"/>
    </row>
    <row r="224" spans="1:11" hidden="1">
      <c r="A224" s="230" t="e">
        <f t="shared" ca="1" si="31"/>
        <v>#N/A</v>
      </c>
      <c r="B224" s="231" t="e">
        <f t="shared" ca="1" si="27"/>
        <v>#N/A</v>
      </c>
      <c r="C224" s="232" t="e">
        <f t="shared" ca="1" si="34"/>
        <v>#N/A</v>
      </c>
      <c r="D224" s="232" t="e">
        <f t="shared" ca="1" si="35"/>
        <v>#N/A</v>
      </c>
      <c r="E224" s="233" t="e">
        <f t="shared" ca="1" si="28"/>
        <v>#N/A</v>
      </c>
      <c r="F224" s="232" t="e">
        <f t="shared" ca="1" si="29"/>
        <v>#N/A</v>
      </c>
      <c r="G224" s="232" t="e">
        <f t="shared" ca="1" si="32"/>
        <v>#N/A</v>
      </c>
      <c r="H224" s="232" t="e">
        <f t="shared" ca="1" si="33"/>
        <v>#N/A</v>
      </c>
      <c r="I224" s="232" t="e">
        <f t="shared" ca="1" si="30"/>
        <v>#N/A</v>
      </c>
      <c r="J224" s="250"/>
      <c r="K224" s="250"/>
    </row>
    <row r="225" spans="1:11" hidden="1">
      <c r="A225" s="230" t="e">
        <f t="shared" ca="1" si="31"/>
        <v>#N/A</v>
      </c>
      <c r="B225" s="231" t="e">
        <f t="shared" ca="1" si="27"/>
        <v>#N/A</v>
      </c>
      <c r="C225" s="232" t="e">
        <f t="shared" ca="1" si="34"/>
        <v>#N/A</v>
      </c>
      <c r="D225" s="232" t="e">
        <f t="shared" ca="1" si="35"/>
        <v>#N/A</v>
      </c>
      <c r="E225" s="233" t="e">
        <f t="shared" ca="1" si="28"/>
        <v>#N/A</v>
      </c>
      <c r="F225" s="232" t="e">
        <f t="shared" ca="1" si="29"/>
        <v>#N/A</v>
      </c>
      <c r="G225" s="232" t="e">
        <f t="shared" ca="1" si="32"/>
        <v>#N/A</v>
      </c>
      <c r="H225" s="232" t="e">
        <f t="shared" ca="1" si="33"/>
        <v>#N/A</v>
      </c>
      <c r="I225" s="232" t="e">
        <f t="shared" ca="1" si="30"/>
        <v>#N/A</v>
      </c>
      <c r="J225" s="250"/>
      <c r="K225" s="250"/>
    </row>
    <row r="226" spans="1:11" hidden="1">
      <c r="A226" s="230" t="e">
        <f t="shared" ca="1" si="31"/>
        <v>#N/A</v>
      </c>
      <c r="B226" s="231" t="e">
        <f t="shared" ca="1" si="27"/>
        <v>#N/A</v>
      </c>
      <c r="C226" s="232" t="e">
        <f t="shared" ca="1" si="34"/>
        <v>#N/A</v>
      </c>
      <c r="D226" s="232" t="e">
        <f t="shared" ca="1" si="35"/>
        <v>#N/A</v>
      </c>
      <c r="E226" s="233" t="e">
        <f t="shared" ca="1" si="28"/>
        <v>#N/A</v>
      </c>
      <c r="F226" s="232" t="e">
        <f t="shared" ca="1" si="29"/>
        <v>#N/A</v>
      </c>
      <c r="G226" s="232" t="e">
        <f t="shared" ca="1" si="32"/>
        <v>#N/A</v>
      </c>
      <c r="H226" s="232" t="e">
        <f t="shared" ca="1" si="33"/>
        <v>#N/A</v>
      </c>
      <c r="I226" s="232" t="e">
        <f t="shared" ca="1" si="30"/>
        <v>#N/A</v>
      </c>
      <c r="J226" s="250"/>
      <c r="K226" s="250"/>
    </row>
    <row r="227" spans="1:11" hidden="1">
      <c r="A227" s="230" t="e">
        <f t="shared" ca="1" si="31"/>
        <v>#N/A</v>
      </c>
      <c r="B227" s="231" t="e">
        <f t="shared" ca="1" si="27"/>
        <v>#N/A</v>
      </c>
      <c r="C227" s="232" t="e">
        <f t="shared" ca="1" si="34"/>
        <v>#N/A</v>
      </c>
      <c r="D227" s="232" t="e">
        <f t="shared" ca="1" si="35"/>
        <v>#N/A</v>
      </c>
      <c r="E227" s="233" t="e">
        <f t="shared" ca="1" si="28"/>
        <v>#N/A</v>
      </c>
      <c r="F227" s="232" t="e">
        <f t="shared" ca="1" si="29"/>
        <v>#N/A</v>
      </c>
      <c r="G227" s="232" t="e">
        <f t="shared" ca="1" si="32"/>
        <v>#N/A</v>
      </c>
      <c r="H227" s="232" t="e">
        <f t="shared" ca="1" si="33"/>
        <v>#N/A</v>
      </c>
      <c r="I227" s="232" t="e">
        <f t="shared" ca="1" si="30"/>
        <v>#N/A</v>
      </c>
      <c r="J227" s="250"/>
      <c r="K227" s="250"/>
    </row>
    <row r="228" spans="1:11" hidden="1">
      <c r="A228" s="230" t="e">
        <f t="shared" ca="1" si="31"/>
        <v>#N/A</v>
      </c>
      <c r="B228" s="231" t="e">
        <f t="shared" ca="1" si="27"/>
        <v>#N/A</v>
      </c>
      <c r="C228" s="232" t="e">
        <f t="shared" ca="1" si="34"/>
        <v>#N/A</v>
      </c>
      <c r="D228" s="232" t="e">
        <f t="shared" ca="1" si="35"/>
        <v>#N/A</v>
      </c>
      <c r="E228" s="233" t="e">
        <f t="shared" ca="1" si="28"/>
        <v>#N/A</v>
      </c>
      <c r="F228" s="232" t="e">
        <f t="shared" ca="1" si="29"/>
        <v>#N/A</v>
      </c>
      <c r="G228" s="232" t="e">
        <f t="shared" ca="1" si="32"/>
        <v>#N/A</v>
      </c>
      <c r="H228" s="232" t="e">
        <f t="shared" ca="1" si="33"/>
        <v>#N/A</v>
      </c>
      <c r="I228" s="232" t="e">
        <f t="shared" ca="1" si="30"/>
        <v>#N/A</v>
      </c>
      <c r="J228" s="250"/>
      <c r="K228" s="250"/>
    </row>
    <row r="229" spans="1:11" hidden="1">
      <c r="A229" s="230" t="e">
        <f t="shared" ca="1" si="31"/>
        <v>#N/A</v>
      </c>
      <c r="B229" s="231" t="e">
        <f t="shared" ca="1" si="27"/>
        <v>#N/A</v>
      </c>
      <c r="C229" s="232" t="e">
        <f t="shared" ca="1" si="34"/>
        <v>#N/A</v>
      </c>
      <c r="D229" s="232" t="e">
        <f t="shared" ca="1" si="35"/>
        <v>#N/A</v>
      </c>
      <c r="E229" s="233" t="e">
        <f t="shared" ca="1" si="28"/>
        <v>#N/A</v>
      </c>
      <c r="F229" s="232" t="e">
        <f t="shared" ca="1" si="29"/>
        <v>#N/A</v>
      </c>
      <c r="G229" s="232" t="e">
        <f t="shared" ca="1" si="32"/>
        <v>#N/A</v>
      </c>
      <c r="H229" s="232" t="e">
        <f t="shared" ca="1" si="33"/>
        <v>#N/A</v>
      </c>
      <c r="I229" s="232" t="e">
        <f t="shared" ca="1" si="30"/>
        <v>#N/A</v>
      </c>
      <c r="J229" s="250"/>
      <c r="K229" s="250"/>
    </row>
    <row r="230" spans="1:11" hidden="1">
      <c r="A230" s="230" t="e">
        <f t="shared" ca="1" si="31"/>
        <v>#N/A</v>
      </c>
      <c r="B230" s="231" t="e">
        <f t="shared" ca="1" si="27"/>
        <v>#N/A</v>
      </c>
      <c r="C230" s="232" t="e">
        <f t="shared" ca="1" si="34"/>
        <v>#N/A</v>
      </c>
      <c r="D230" s="232" t="e">
        <f t="shared" ca="1" si="35"/>
        <v>#N/A</v>
      </c>
      <c r="E230" s="233" t="e">
        <f t="shared" ca="1" si="28"/>
        <v>#N/A</v>
      </c>
      <c r="F230" s="232" t="e">
        <f t="shared" ca="1" si="29"/>
        <v>#N/A</v>
      </c>
      <c r="G230" s="232" t="e">
        <f t="shared" ca="1" si="32"/>
        <v>#N/A</v>
      </c>
      <c r="H230" s="232" t="e">
        <f t="shared" ca="1" si="33"/>
        <v>#N/A</v>
      </c>
      <c r="I230" s="232" t="e">
        <f t="shared" ca="1" si="30"/>
        <v>#N/A</v>
      </c>
      <c r="J230" s="250"/>
      <c r="K230" s="250"/>
    </row>
    <row r="231" spans="1:11" hidden="1">
      <c r="A231" s="230" t="e">
        <f t="shared" ca="1" si="31"/>
        <v>#N/A</v>
      </c>
      <c r="B231" s="231" t="e">
        <f t="shared" ca="1" si="27"/>
        <v>#N/A</v>
      </c>
      <c r="C231" s="232" t="e">
        <f t="shared" ca="1" si="34"/>
        <v>#N/A</v>
      </c>
      <c r="D231" s="232" t="e">
        <f t="shared" ca="1" si="35"/>
        <v>#N/A</v>
      </c>
      <c r="E231" s="233" t="e">
        <f t="shared" ca="1" si="28"/>
        <v>#N/A</v>
      </c>
      <c r="F231" s="232" t="e">
        <f t="shared" ca="1" si="29"/>
        <v>#N/A</v>
      </c>
      <c r="G231" s="232" t="e">
        <f t="shared" ca="1" si="32"/>
        <v>#N/A</v>
      </c>
      <c r="H231" s="232" t="e">
        <f t="shared" ca="1" si="33"/>
        <v>#N/A</v>
      </c>
      <c r="I231" s="232" t="e">
        <f t="shared" ca="1" si="30"/>
        <v>#N/A</v>
      </c>
      <c r="J231" s="250"/>
      <c r="K231" s="250"/>
    </row>
    <row r="232" spans="1:11" hidden="1">
      <c r="A232" s="230" t="e">
        <f t="shared" ca="1" si="31"/>
        <v>#N/A</v>
      </c>
      <c r="B232" s="231" t="e">
        <f t="shared" ca="1" si="27"/>
        <v>#N/A</v>
      </c>
      <c r="C232" s="232" t="e">
        <f t="shared" ca="1" si="34"/>
        <v>#N/A</v>
      </c>
      <c r="D232" s="232" t="e">
        <f t="shared" ca="1" si="35"/>
        <v>#N/A</v>
      </c>
      <c r="E232" s="233" t="e">
        <f t="shared" ca="1" si="28"/>
        <v>#N/A</v>
      </c>
      <c r="F232" s="232" t="e">
        <f t="shared" ca="1" si="29"/>
        <v>#N/A</v>
      </c>
      <c r="G232" s="232" t="e">
        <f t="shared" ca="1" si="32"/>
        <v>#N/A</v>
      </c>
      <c r="H232" s="232" t="e">
        <f t="shared" ca="1" si="33"/>
        <v>#N/A</v>
      </c>
      <c r="I232" s="232" t="e">
        <f t="shared" ca="1" si="30"/>
        <v>#N/A</v>
      </c>
      <c r="J232" s="250"/>
      <c r="K232" s="250"/>
    </row>
    <row r="233" spans="1:11" hidden="1">
      <c r="A233" s="230" t="e">
        <f t="shared" ca="1" si="31"/>
        <v>#N/A</v>
      </c>
      <c r="B233" s="231" t="e">
        <f t="shared" ca="1" si="27"/>
        <v>#N/A</v>
      </c>
      <c r="C233" s="232" t="e">
        <f t="shared" ca="1" si="34"/>
        <v>#N/A</v>
      </c>
      <c r="D233" s="232" t="e">
        <f t="shared" ca="1" si="35"/>
        <v>#N/A</v>
      </c>
      <c r="E233" s="233" t="e">
        <f t="shared" ca="1" si="28"/>
        <v>#N/A</v>
      </c>
      <c r="F233" s="232" t="e">
        <f t="shared" ca="1" si="29"/>
        <v>#N/A</v>
      </c>
      <c r="G233" s="232" t="e">
        <f t="shared" ca="1" si="32"/>
        <v>#N/A</v>
      </c>
      <c r="H233" s="232" t="e">
        <f t="shared" ca="1" si="33"/>
        <v>#N/A</v>
      </c>
      <c r="I233" s="232" t="e">
        <f t="shared" ca="1" si="30"/>
        <v>#N/A</v>
      </c>
      <c r="J233" s="250"/>
      <c r="K233" s="250"/>
    </row>
    <row r="234" spans="1:11" hidden="1">
      <c r="A234" s="230" t="e">
        <f t="shared" ca="1" si="31"/>
        <v>#N/A</v>
      </c>
      <c r="B234" s="231" t="e">
        <f t="shared" ca="1" si="27"/>
        <v>#N/A</v>
      </c>
      <c r="C234" s="232" t="e">
        <f t="shared" ca="1" si="34"/>
        <v>#N/A</v>
      </c>
      <c r="D234" s="232" t="e">
        <f t="shared" ca="1" si="35"/>
        <v>#N/A</v>
      </c>
      <c r="E234" s="233" t="e">
        <f t="shared" ca="1" si="28"/>
        <v>#N/A</v>
      </c>
      <c r="F234" s="232" t="e">
        <f t="shared" ca="1" si="29"/>
        <v>#N/A</v>
      </c>
      <c r="G234" s="232" t="e">
        <f t="shared" ca="1" si="32"/>
        <v>#N/A</v>
      </c>
      <c r="H234" s="232" t="e">
        <f t="shared" ca="1" si="33"/>
        <v>#N/A</v>
      </c>
      <c r="I234" s="232" t="e">
        <f t="shared" ca="1" si="30"/>
        <v>#N/A</v>
      </c>
      <c r="J234" s="250"/>
      <c r="K234" s="250"/>
    </row>
    <row r="235" spans="1:11" hidden="1">
      <c r="A235" s="230" t="e">
        <f t="shared" ca="1" si="31"/>
        <v>#N/A</v>
      </c>
      <c r="B235" s="231" t="e">
        <f t="shared" ca="1" si="27"/>
        <v>#N/A</v>
      </c>
      <c r="C235" s="232" t="e">
        <f t="shared" ca="1" si="34"/>
        <v>#N/A</v>
      </c>
      <c r="D235" s="232" t="e">
        <f t="shared" ca="1" si="35"/>
        <v>#N/A</v>
      </c>
      <c r="E235" s="233" t="e">
        <f t="shared" ca="1" si="28"/>
        <v>#N/A</v>
      </c>
      <c r="F235" s="232" t="e">
        <f t="shared" ca="1" si="29"/>
        <v>#N/A</v>
      </c>
      <c r="G235" s="232" t="e">
        <f t="shared" ca="1" si="32"/>
        <v>#N/A</v>
      </c>
      <c r="H235" s="232" t="e">
        <f t="shared" ca="1" si="33"/>
        <v>#N/A</v>
      </c>
      <c r="I235" s="232" t="e">
        <f t="shared" ca="1" si="30"/>
        <v>#N/A</v>
      </c>
      <c r="J235" s="250"/>
      <c r="K235" s="250"/>
    </row>
    <row r="236" spans="1:11" hidden="1">
      <c r="A236" s="230" t="e">
        <f t="shared" ca="1" si="31"/>
        <v>#N/A</v>
      </c>
      <c r="B236" s="231" t="e">
        <f t="shared" ca="1" si="27"/>
        <v>#N/A</v>
      </c>
      <c r="C236" s="232" t="e">
        <f t="shared" ca="1" si="34"/>
        <v>#N/A</v>
      </c>
      <c r="D236" s="232" t="e">
        <f t="shared" ca="1" si="35"/>
        <v>#N/A</v>
      </c>
      <c r="E236" s="233" t="e">
        <f t="shared" ca="1" si="28"/>
        <v>#N/A</v>
      </c>
      <c r="F236" s="232" t="e">
        <f t="shared" ca="1" si="29"/>
        <v>#N/A</v>
      </c>
      <c r="G236" s="232" t="e">
        <f t="shared" ca="1" si="32"/>
        <v>#N/A</v>
      </c>
      <c r="H236" s="232" t="e">
        <f t="shared" ca="1" si="33"/>
        <v>#N/A</v>
      </c>
      <c r="I236" s="232" t="e">
        <f t="shared" ca="1" si="30"/>
        <v>#N/A</v>
      </c>
      <c r="J236" s="250"/>
      <c r="K236" s="250"/>
    </row>
    <row r="237" spans="1:11" hidden="1">
      <c r="A237" s="230" t="e">
        <f t="shared" ca="1" si="31"/>
        <v>#N/A</v>
      </c>
      <c r="B237" s="231" t="e">
        <f t="shared" ca="1" si="27"/>
        <v>#N/A</v>
      </c>
      <c r="C237" s="232" t="e">
        <f t="shared" ca="1" si="34"/>
        <v>#N/A</v>
      </c>
      <c r="D237" s="232" t="e">
        <f t="shared" ca="1" si="35"/>
        <v>#N/A</v>
      </c>
      <c r="E237" s="233" t="e">
        <f t="shared" ca="1" si="28"/>
        <v>#N/A</v>
      </c>
      <c r="F237" s="232" t="e">
        <f t="shared" ca="1" si="29"/>
        <v>#N/A</v>
      </c>
      <c r="G237" s="232" t="e">
        <f t="shared" ca="1" si="32"/>
        <v>#N/A</v>
      </c>
      <c r="H237" s="232" t="e">
        <f t="shared" ca="1" si="33"/>
        <v>#N/A</v>
      </c>
      <c r="I237" s="232" t="e">
        <f t="shared" ca="1" si="30"/>
        <v>#N/A</v>
      </c>
      <c r="J237" s="250"/>
      <c r="K237" s="250"/>
    </row>
    <row r="238" spans="1:11" hidden="1">
      <c r="A238" s="230" t="e">
        <f t="shared" ca="1" si="31"/>
        <v>#N/A</v>
      </c>
      <c r="B238" s="231" t="e">
        <f t="shared" ca="1" si="27"/>
        <v>#N/A</v>
      </c>
      <c r="C238" s="232" t="e">
        <f t="shared" ca="1" si="34"/>
        <v>#N/A</v>
      </c>
      <c r="D238" s="232" t="e">
        <f t="shared" ca="1" si="35"/>
        <v>#N/A</v>
      </c>
      <c r="E238" s="233" t="e">
        <f t="shared" ca="1" si="28"/>
        <v>#N/A</v>
      </c>
      <c r="F238" s="232" t="e">
        <f t="shared" ca="1" si="29"/>
        <v>#N/A</v>
      </c>
      <c r="G238" s="232" t="e">
        <f t="shared" ca="1" si="32"/>
        <v>#N/A</v>
      </c>
      <c r="H238" s="232" t="e">
        <f t="shared" ca="1" si="33"/>
        <v>#N/A</v>
      </c>
      <c r="I238" s="232" t="e">
        <f t="shared" ca="1" si="30"/>
        <v>#N/A</v>
      </c>
      <c r="J238" s="250"/>
      <c r="K238" s="250"/>
    </row>
    <row r="239" spans="1:11" hidden="1">
      <c r="A239" s="230" t="e">
        <f t="shared" ca="1" si="31"/>
        <v>#N/A</v>
      </c>
      <c r="B239" s="231" t="e">
        <f t="shared" ca="1" si="27"/>
        <v>#N/A</v>
      </c>
      <c r="C239" s="232" t="e">
        <f t="shared" ca="1" si="34"/>
        <v>#N/A</v>
      </c>
      <c r="D239" s="232" t="e">
        <f t="shared" ca="1" si="35"/>
        <v>#N/A</v>
      </c>
      <c r="E239" s="233" t="e">
        <f t="shared" ca="1" si="28"/>
        <v>#N/A</v>
      </c>
      <c r="F239" s="232" t="e">
        <f t="shared" ca="1" si="29"/>
        <v>#N/A</v>
      </c>
      <c r="G239" s="232" t="e">
        <f t="shared" ca="1" si="32"/>
        <v>#N/A</v>
      </c>
      <c r="H239" s="232" t="e">
        <f t="shared" ca="1" si="33"/>
        <v>#N/A</v>
      </c>
      <c r="I239" s="232" t="e">
        <f t="shared" ca="1" si="30"/>
        <v>#N/A</v>
      </c>
      <c r="J239" s="250"/>
      <c r="K239" s="250"/>
    </row>
    <row r="240" spans="1:11" hidden="1">
      <c r="A240" s="230" t="e">
        <f t="shared" ca="1" si="31"/>
        <v>#N/A</v>
      </c>
      <c r="B240" s="231" t="e">
        <f t="shared" ca="1" si="27"/>
        <v>#N/A</v>
      </c>
      <c r="C240" s="232" t="e">
        <f t="shared" ca="1" si="34"/>
        <v>#N/A</v>
      </c>
      <c r="D240" s="232" t="e">
        <f t="shared" ca="1" si="35"/>
        <v>#N/A</v>
      </c>
      <c r="E240" s="233" t="e">
        <f t="shared" ca="1" si="28"/>
        <v>#N/A</v>
      </c>
      <c r="F240" s="232" t="e">
        <f t="shared" ca="1" si="29"/>
        <v>#N/A</v>
      </c>
      <c r="G240" s="232" t="e">
        <f t="shared" ca="1" si="32"/>
        <v>#N/A</v>
      </c>
      <c r="H240" s="232" t="e">
        <f t="shared" ca="1" si="33"/>
        <v>#N/A</v>
      </c>
      <c r="I240" s="232" t="e">
        <f t="shared" ca="1" si="30"/>
        <v>#N/A</v>
      </c>
      <c r="J240" s="250"/>
      <c r="K240" s="250"/>
    </row>
    <row r="241" spans="1:11" hidden="1">
      <c r="A241" s="230" t="e">
        <f t="shared" ca="1" si="31"/>
        <v>#N/A</v>
      </c>
      <c r="B241" s="231" t="e">
        <f t="shared" ca="1" si="27"/>
        <v>#N/A</v>
      </c>
      <c r="C241" s="232" t="e">
        <f t="shared" ca="1" si="34"/>
        <v>#N/A</v>
      </c>
      <c r="D241" s="232" t="e">
        <f t="shared" ca="1" si="35"/>
        <v>#N/A</v>
      </c>
      <c r="E241" s="233" t="e">
        <f t="shared" ca="1" si="28"/>
        <v>#N/A</v>
      </c>
      <c r="F241" s="232" t="e">
        <f t="shared" ca="1" si="29"/>
        <v>#N/A</v>
      </c>
      <c r="G241" s="232" t="e">
        <f t="shared" ca="1" si="32"/>
        <v>#N/A</v>
      </c>
      <c r="H241" s="232" t="e">
        <f t="shared" ca="1" si="33"/>
        <v>#N/A</v>
      </c>
      <c r="I241" s="232" t="e">
        <f t="shared" ca="1" si="30"/>
        <v>#N/A</v>
      </c>
      <c r="J241" s="250"/>
      <c r="K241" s="250"/>
    </row>
    <row r="242" spans="1:11" hidden="1">
      <c r="A242" s="230" t="e">
        <f t="shared" ca="1" si="31"/>
        <v>#N/A</v>
      </c>
      <c r="B242" s="231" t="e">
        <f t="shared" ca="1" si="27"/>
        <v>#N/A</v>
      </c>
      <c r="C242" s="232" t="e">
        <f t="shared" ca="1" si="34"/>
        <v>#N/A</v>
      </c>
      <c r="D242" s="232" t="e">
        <f t="shared" ca="1" si="35"/>
        <v>#N/A</v>
      </c>
      <c r="E242" s="233" t="e">
        <f t="shared" ca="1" si="28"/>
        <v>#N/A</v>
      </c>
      <c r="F242" s="232" t="e">
        <f t="shared" ca="1" si="29"/>
        <v>#N/A</v>
      </c>
      <c r="G242" s="232" t="e">
        <f t="shared" ca="1" si="32"/>
        <v>#N/A</v>
      </c>
      <c r="H242" s="232" t="e">
        <f t="shared" ca="1" si="33"/>
        <v>#N/A</v>
      </c>
      <c r="I242" s="232" t="e">
        <f t="shared" ca="1" si="30"/>
        <v>#N/A</v>
      </c>
      <c r="J242" s="250"/>
      <c r="K242" s="250"/>
    </row>
    <row r="243" spans="1:11" hidden="1">
      <c r="A243" s="230" t="e">
        <f t="shared" ca="1" si="31"/>
        <v>#N/A</v>
      </c>
      <c r="B243" s="231" t="e">
        <f t="shared" ca="1" si="27"/>
        <v>#N/A</v>
      </c>
      <c r="C243" s="232" t="e">
        <f t="shared" ca="1" si="34"/>
        <v>#N/A</v>
      </c>
      <c r="D243" s="232" t="e">
        <f t="shared" ca="1" si="35"/>
        <v>#N/A</v>
      </c>
      <c r="E243" s="233" t="e">
        <f t="shared" ca="1" si="28"/>
        <v>#N/A</v>
      </c>
      <c r="F243" s="232" t="e">
        <f t="shared" ca="1" si="29"/>
        <v>#N/A</v>
      </c>
      <c r="G243" s="232" t="e">
        <f t="shared" ca="1" si="32"/>
        <v>#N/A</v>
      </c>
      <c r="H243" s="232" t="e">
        <f t="shared" ca="1" si="33"/>
        <v>#N/A</v>
      </c>
      <c r="I243" s="232" t="e">
        <f t="shared" ca="1" si="30"/>
        <v>#N/A</v>
      </c>
      <c r="J243" s="250"/>
      <c r="K243" s="250"/>
    </row>
    <row r="244" spans="1:11" hidden="1">
      <c r="A244" s="230" t="e">
        <f t="shared" ca="1" si="31"/>
        <v>#N/A</v>
      </c>
      <c r="B244" s="231" t="e">
        <f t="shared" ca="1" si="27"/>
        <v>#N/A</v>
      </c>
      <c r="C244" s="232" t="e">
        <f t="shared" ca="1" si="34"/>
        <v>#N/A</v>
      </c>
      <c r="D244" s="232" t="e">
        <f t="shared" ca="1" si="35"/>
        <v>#N/A</v>
      </c>
      <c r="E244" s="233" t="e">
        <f t="shared" ca="1" si="28"/>
        <v>#N/A</v>
      </c>
      <c r="F244" s="232" t="e">
        <f t="shared" ca="1" si="29"/>
        <v>#N/A</v>
      </c>
      <c r="G244" s="232" t="e">
        <f t="shared" ca="1" si="32"/>
        <v>#N/A</v>
      </c>
      <c r="H244" s="232" t="e">
        <f t="shared" ca="1" si="33"/>
        <v>#N/A</v>
      </c>
      <c r="I244" s="232" t="e">
        <f t="shared" ca="1" si="30"/>
        <v>#N/A</v>
      </c>
      <c r="J244" s="250"/>
      <c r="K244" s="250"/>
    </row>
    <row r="245" spans="1:11" hidden="1">
      <c r="A245" s="230" t="e">
        <f t="shared" ca="1" si="31"/>
        <v>#N/A</v>
      </c>
      <c r="B245" s="231" t="e">
        <f t="shared" ca="1" si="27"/>
        <v>#N/A</v>
      </c>
      <c r="C245" s="232" t="e">
        <f t="shared" ca="1" si="34"/>
        <v>#N/A</v>
      </c>
      <c r="D245" s="232" t="e">
        <f t="shared" ca="1" si="35"/>
        <v>#N/A</v>
      </c>
      <c r="E245" s="233" t="e">
        <f t="shared" ca="1" si="28"/>
        <v>#N/A</v>
      </c>
      <c r="F245" s="232" t="e">
        <f t="shared" ca="1" si="29"/>
        <v>#N/A</v>
      </c>
      <c r="G245" s="232" t="e">
        <f t="shared" ca="1" si="32"/>
        <v>#N/A</v>
      </c>
      <c r="H245" s="232" t="e">
        <f t="shared" ca="1" si="33"/>
        <v>#N/A</v>
      </c>
      <c r="I245" s="232" t="e">
        <f t="shared" ca="1" si="30"/>
        <v>#N/A</v>
      </c>
      <c r="J245" s="250"/>
      <c r="K245" s="250"/>
    </row>
    <row r="246" spans="1:11" hidden="1">
      <c r="A246" s="230" t="e">
        <f t="shared" ca="1" si="31"/>
        <v>#N/A</v>
      </c>
      <c r="B246" s="231" t="e">
        <f t="shared" ca="1" si="27"/>
        <v>#N/A</v>
      </c>
      <c r="C246" s="232" t="e">
        <f t="shared" ca="1" si="34"/>
        <v>#N/A</v>
      </c>
      <c r="D246" s="232" t="e">
        <f t="shared" ca="1" si="35"/>
        <v>#N/A</v>
      </c>
      <c r="E246" s="233" t="e">
        <f t="shared" ca="1" si="28"/>
        <v>#N/A</v>
      </c>
      <c r="F246" s="232" t="e">
        <f t="shared" ca="1" si="29"/>
        <v>#N/A</v>
      </c>
      <c r="G246" s="232" t="e">
        <f t="shared" ca="1" si="32"/>
        <v>#N/A</v>
      </c>
      <c r="H246" s="232" t="e">
        <f t="shared" ca="1" si="33"/>
        <v>#N/A</v>
      </c>
      <c r="I246" s="232" t="e">
        <f t="shared" ca="1" si="30"/>
        <v>#N/A</v>
      </c>
      <c r="J246" s="250"/>
      <c r="K246" s="250"/>
    </row>
    <row r="247" spans="1:11" hidden="1">
      <c r="A247" s="230" t="e">
        <f t="shared" ca="1" si="31"/>
        <v>#N/A</v>
      </c>
      <c r="B247" s="231" t="e">
        <f t="shared" ca="1" si="27"/>
        <v>#N/A</v>
      </c>
      <c r="C247" s="232" t="e">
        <f t="shared" ca="1" si="34"/>
        <v>#N/A</v>
      </c>
      <c r="D247" s="232" t="e">
        <f t="shared" ca="1" si="35"/>
        <v>#N/A</v>
      </c>
      <c r="E247" s="233" t="e">
        <f t="shared" ca="1" si="28"/>
        <v>#N/A</v>
      </c>
      <c r="F247" s="232" t="e">
        <f t="shared" ca="1" si="29"/>
        <v>#N/A</v>
      </c>
      <c r="G247" s="232" t="e">
        <f t="shared" ca="1" si="32"/>
        <v>#N/A</v>
      </c>
      <c r="H247" s="232" t="e">
        <f t="shared" ca="1" si="33"/>
        <v>#N/A</v>
      </c>
      <c r="I247" s="232" t="e">
        <f t="shared" ca="1" si="30"/>
        <v>#N/A</v>
      </c>
      <c r="J247" s="250"/>
      <c r="K247" s="250"/>
    </row>
    <row r="248" spans="1:11" hidden="1">
      <c r="A248" s="230" t="e">
        <f t="shared" ca="1" si="31"/>
        <v>#N/A</v>
      </c>
      <c r="B248" s="231" t="e">
        <f t="shared" ca="1" si="27"/>
        <v>#N/A</v>
      </c>
      <c r="C248" s="232" t="e">
        <f t="shared" ca="1" si="34"/>
        <v>#N/A</v>
      </c>
      <c r="D248" s="232" t="e">
        <f t="shared" ca="1" si="35"/>
        <v>#N/A</v>
      </c>
      <c r="E248" s="233" t="e">
        <f t="shared" ca="1" si="28"/>
        <v>#N/A</v>
      </c>
      <c r="F248" s="232" t="e">
        <f t="shared" ca="1" si="29"/>
        <v>#N/A</v>
      </c>
      <c r="G248" s="232" t="e">
        <f t="shared" ca="1" si="32"/>
        <v>#N/A</v>
      </c>
      <c r="H248" s="232" t="e">
        <f t="shared" ca="1" si="33"/>
        <v>#N/A</v>
      </c>
      <c r="I248" s="232" t="e">
        <f t="shared" ca="1" si="30"/>
        <v>#N/A</v>
      </c>
      <c r="J248" s="250"/>
      <c r="K248" s="250"/>
    </row>
    <row r="249" spans="1:11" hidden="1">
      <c r="A249" s="230" t="e">
        <f t="shared" ca="1" si="31"/>
        <v>#N/A</v>
      </c>
      <c r="B249" s="231" t="e">
        <f t="shared" ca="1" si="27"/>
        <v>#N/A</v>
      </c>
      <c r="C249" s="232" t="e">
        <f t="shared" ca="1" si="34"/>
        <v>#N/A</v>
      </c>
      <c r="D249" s="232" t="e">
        <f t="shared" ca="1" si="35"/>
        <v>#N/A</v>
      </c>
      <c r="E249" s="233" t="e">
        <f t="shared" ca="1" si="28"/>
        <v>#N/A</v>
      </c>
      <c r="F249" s="232" t="e">
        <f t="shared" ca="1" si="29"/>
        <v>#N/A</v>
      </c>
      <c r="G249" s="232" t="e">
        <f t="shared" ca="1" si="32"/>
        <v>#N/A</v>
      </c>
      <c r="H249" s="232" t="e">
        <f t="shared" ca="1" si="33"/>
        <v>#N/A</v>
      </c>
      <c r="I249" s="232" t="e">
        <f t="shared" ca="1" si="30"/>
        <v>#N/A</v>
      </c>
      <c r="J249" s="250"/>
      <c r="K249" s="250"/>
    </row>
    <row r="250" spans="1:11" hidden="1">
      <c r="A250" s="230" t="e">
        <f t="shared" ca="1" si="31"/>
        <v>#N/A</v>
      </c>
      <c r="B250" s="231" t="e">
        <f t="shared" ca="1" si="27"/>
        <v>#N/A</v>
      </c>
      <c r="C250" s="232" t="e">
        <f t="shared" ca="1" si="34"/>
        <v>#N/A</v>
      </c>
      <c r="D250" s="232" t="e">
        <f t="shared" ca="1" si="35"/>
        <v>#N/A</v>
      </c>
      <c r="E250" s="233" t="e">
        <f t="shared" ca="1" si="28"/>
        <v>#N/A</v>
      </c>
      <c r="F250" s="232" t="e">
        <f t="shared" ca="1" si="29"/>
        <v>#N/A</v>
      </c>
      <c r="G250" s="232" t="e">
        <f t="shared" ca="1" si="32"/>
        <v>#N/A</v>
      </c>
      <c r="H250" s="232" t="e">
        <f t="shared" ca="1" si="33"/>
        <v>#N/A</v>
      </c>
      <c r="I250" s="232" t="e">
        <f t="shared" ca="1" si="30"/>
        <v>#N/A</v>
      </c>
      <c r="J250" s="250"/>
      <c r="K250" s="250"/>
    </row>
    <row r="251" spans="1:11" hidden="1">
      <c r="A251" s="230" t="e">
        <f t="shared" ca="1" si="31"/>
        <v>#N/A</v>
      </c>
      <c r="B251" s="231" t="e">
        <f t="shared" ca="1" si="27"/>
        <v>#N/A</v>
      </c>
      <c r="C251" s="232" t="e">
        <f t="shared" ca="1" si="34"/>
        <v>#N/A</v>
      </c>
      <c r="D251" s="232" t="e">
        <f t="shared" ca="1" si="35"/>
        <v>#N/A</v>
      </c>
      <c r="E251" s="233" t="e">
        <f t="shared" ca="1" si="28"/>
        <v>#N/A</v>
      </c>
      <c r="F251" s="232" t="e">
        <f t="shared" ca="1" si="29"/>
        <v>#N/A</v>
      </c>
      <c r="G251" s="232" t="e">
        <f t="shared" ca="1" si="32"/>
        <v>#N/A</v>
      </c>
      <c r="H251" s="232" t="e">
        <f t="shared" ca="1" si="33"/>
        <v>#N/A</v>
      </c>
      <c r="I251" s="232" t="e">
        <f t="shared" ca="1" si="30"/>
        <v>#N/A</v>
      </c>
      <c r="J251" s="250"/>
      <c r="K251" s="250"/>
    </row>
    <row r="252" spans="1:11" hidden="1">
      <c r="A252" s="230" t="e">
        <f t="shared" ca="1" si="31"/>
        <v>#N/A</v>
      </c>
      <c r="B252" s="231" t="e">
        <f t="shared" ca="1" si="27"/>
        <v>#N/A</v>
      </c>
      <c r="C252" s="232" t="e">
        <f t="shared" ca="1" si="34"/>
        <v>#N/A</v>
      </c>
      <c r="D252" s="232" t="e">
        <f t="shared" ca="1" si="35"/>
        <v>#N/A</v>
      </c>
      <c r="E252" s="233" t="e">
        <f t="shared" ca="1" si="28"/>
        <v>#N/A</v>
      </c>
      <c r="F252" s="232" t="e">
        <f t="shared" ca="1" si="29"/>
        <v>#N/A</v>
      </c>
      <c r="G252" s="232" t="e">
        <f t="shared" ca="1" si="32"/>
        <v>#N/A</v>
      </c>
      <c r="H252" s="232" t="e">
        <f t="shared" ca="1" si="33"/>
        <v>#N/A</v>
      </c>
      <c r="I252" s="232" t="e">
        <f t="shared" ca="1" si="30"/>
        <v>#N/A</v>
      </c>
      <c r="J252" s="250"/>
      <c r="K252" s="250"/>
    </row>
    <row r="253" spans="1:11" hidden="1">
      <c r="A253" s="230" t="e">
        <f t="shared" ca="1" si="31"/>
        <v>#N/A</v>
      </c>
      <c r="B253" s="231" t="e">
        <f t="shared" ca="1" si="27"/>
        <v>#N/A</v>
      </c>
      <c r="C253" s="232" t="e">
        <f t="shared" ca="1" si="34"/>
        <v>#N/A</v>
      </c>
      <c r="D253" s="232" t="e">
        <f t="shared" ca="1" si="35"/>
        <v>#N/A</v>
      </c>
      <c r="E253" s="233" t="e">
        <f t="shared" ca="1" si="28"/>
        <v>#N/A</v>
      </c>
      <c r="F253" s="232" t="e">
        <f t="shared" ca="1" si="29"/>
        <v>#N/A</v>
      </c>
      <c r="G253" s="232" t="e">
        <f t="shared" ca="1" si="32"/>
        <v>#N/A</v>
      </c>
      <c r="H253" s="232" t="e">
        <f t="shared" ca="1" si="33"/>
        <v>#N/A</v>
      </c>
      <c r="I253" s="232" t="e">
        <f t="shared" ca="1" si="30"/>
        <v>#N/A</v>
      </c>
      <c r="J253" s="250"/>
      <c r="K253" s="250"/>
    </row>
    <row r="254" spans="1:11" hidden="1">
      <c r="A254" s="230" t="e">
        <f t="shared" ca="1" si="31"/>
        <v>#N/A</v>
      </c>
      <c r="B254" s="231" t="e">
        <f t="shared" ca="1" si="27"/>
        <v>#N/A</v>
      </c>
      <c r="C254" s="232" t="e">
        <f t="shared" ca="1" si="34"/>
        <v>#N/A</v>
      </c>
      <c r="D254" s="232" t="e">
        <f t="shared" ca="1" si="35"/>
        <v>#N/A</v>
      </c>
      <c r="E254" s="233" t="e">
        <f t="shared" ca="1" si="28"/>
        <v>#N/A</v>
      </c>
      <c r="F254" s="232" t="e">
        <f t="shared" ca="1" si="29"/>
        <v>#N/A</v>
      </c>
      <c r="G254" s="232" t="e">
        <f t="shared" ca="1" si="32"/>
        <v>#N/A</v>
      </c>
      <c r="H254" s="232" t="e">
        <f t="shared" ca="1" si="33"/>
        <v>#N/A</v>
      </c>
      <c r="I254" s="232" t="e">
        <f t="shared" ca="1" si="30"/>
        <v>#N/A</v>
      </c>
      <c r="J254" s="250"/>
      <c r="K254" s="250"/>
    </row>
    <row r="255" spans="1:11" hidden="1">
      <c r="A255" s="230" t="e">
        <f t="shared" ca="1" si="31"/>
        <v>#N/A</v>
      </c>
      <c r="B255" s="231" t="e">
        <f t="shared" ca="1" si="27"/>
        <v>#N/A</v>
      </c>
      <c r="C255" s="232" t="e">
        <f t="shared" ca="1" si="34"/>
        <v>#N/A</v>
      </c>
      <c r="D255" s="232" t="e">
        <f t="shared" ca="1" si="35"/>
        <v>#N/A</v>
      </c>
      <c r="E255" s="233" t="e">
        <f t="shared" ca="1" si="28"/>
        <v>#N/A</v>
      </c>
      <c r="F255" s="232" t="e">
        <f t="shared" ca="1" si="29"/>
        <v>#N/A</v>
      </c>
      <c r="G255" s="232" t="e">
        <f t="shared" ca="1" si="32"/>
        <v>#N/A</v>
      </c>
      <c r="H255" s="232" t="e">
        <f t="shared" ca="1" si="33"/>
        <v>#N/A</v>
      </c>
      <c r="I255" s="232" t="e">
        <f t="shared" ca="1" si="30"/>
        <v>#N/A</v>
      </c>
      <c r="J255" s="250"/>
      <c r="K255" s="250"/>
    </row>
    <row r="256" spans="1:11" hidden="1">
      <c r="A256" s="230" t="e">
        <f t="shared" ca="1" si="31"/>
        <v>#N/A</v>
      </c>
      <c r="B256" s="231" t="e">
        <f t="shared" ca="1" si="27"/>
        <v>#N/A</v>
      </c>
      <c r="C256" s="232" t="e">
        <f t="shared" ca="1" si="34"/>
        <v>#N/A</v>
      </c>
      <c r="D256" s="232" t="e">
        <f t="shared" ca="1" si="35"/>
        <v>#N/A</v>
      </c>
      <c r="E256" s="233" t="e">
        <f t="shared" ca="1" si="28"/>
        <v>#N/A</v>
      </c>
      <c r="F256" s="232" t="e">
        <f t="shared" ca="1" si="29"/>
        <v>#N/A</v>
      </c>
      <c r="G256" s="232" t="e">
        <f t="shared" ca="1" si="32"/>
        <v>#N/A</v>
      </c>
      <c r="H256" s="232" t="e">
        <f t="shared" ca="1" si="33"/>
        <v>#N/A</v>
      </c>
      <c r="I256" s="232" t="e">
        <f t="shared" ca="1" si="30"/>
        <v>#N/A</v>
      </c>
      <c r="J256" s="250"/>
      <c r="K256" s="250"/>
    </row>
    <row r="257" spans="1:11" hidden="1">
      <c r="A257" s="230" t="e">
        <f t="shared" ca="1" si="31"/>
        <v>#N/A</v>
      </c>
      <c r="B257" s="231" t="e">
        <f t="shared" ca="1" si="27"/>
        <v>#N/A</v>
      </c>
      <c r="C257" s="232" t="e">
        <f t="shared" ca="1" si="34"/>
        <v>#N/A</v>
      </c>
      <c r="D257" s="232" t="e">
        <f t="shared" ca="1" si="35"/>
        <v>#N/A</v>
      </c>
      <c r="E257" s="233" t="e">
        <f t="shared" ca="1" si="28"/>
        <v>#N/A</v>
      </c>
      <c r="F257" s="232" t="e">
        <f t="shared" ca="1" si="29"/>
        <v>#N/A</v>
      </c>
      <c r="G257" s="232" t="e">
        <f t="shared" ca="1" si="32"/>
        <v>#N/A</v>
      </c>
      <c r="H257" s="232" t="e">
        <f t="shared" ca="1" si="33"/>
        <v>#N/A</v>
      </c>
      <c r="I257" s="232" t="e">
        <f t="shared" ca="1" si="30"/>
        <v>#N/A</v>
      </c>
      <c r="J257" s="250"/>
      <c r="K257" s="250"/>
    </row>
    <row r="258" spans="1:11" hidden="1">
      <c r="A258" s="230" t="e">
        <f t="shared" ca="1" si="31"/>
        <v>#N/A</v>
      </c>
      <c r="B258" s="231" t="e">
        <f t="shared" ca="1" si="27"/>
        <v>#N/A</v>
      </c>
      <c r="C258" s="232" t="e">
        <f t="shared" ca="1" si="34"/>
        <v>#N/A</v>
      </c>
      <c r="D258" s="232" t="e">
        <f t="shared" ca="1" si="35"/>
        <v>#N/A</v>
      </c>
      <c r="E258" s="233" t="e">
        <f t="shared" ca="1" si="28"/>
        <v>#N/A</v>
      </c>
      <c r="F258" s="232" t="e">
        <f t="shared" ca="1" si="29"/>
        <v>#N/A</v>
      </c>
      <c r="G258" s="232" t="e">
        <f t="shared" ca="1" si="32"/>
        <v>#N/A</v>
      </c>
      <c r="H258" s="232" t="e">
        <f t="shared" ca="1" si="33"/>
        <v>#N/A</v>
      </c>
      <c r="I258" s="232" t="e">
        <f t="shared" ca="1" si="30"/>
        <v>#N/A</v>
      </c>
      <c r="J258" s="250"/>
      <c r="K258" s="250"/>
    </row>
    <row r="259" spans="1:11" hidden="1">
      <c r="A259" s="230" t="e">
        <f t="shared" ca="1" si="31"/>
        <v>#N/A</v>
      </c>
      <c r="B259" s="231" t="e">
        <f t="shared" ca="1" si="27"/>
        <v>#N/A</v>
      </c>
      <c r="C259" s="232" t="e">
        <f t="shared" ca="1" si="34"/>
        <v>#N/A</v>
      </c>
      <c r="D259" s="232" t="e">
        <f t="shared" ca="1" si="35"/>
        <v>#N/A</v>
      </c>
      <c r="E259" s="233" t="e">
        <f t="shared" ca="1" si="28"/>
        <v>#N/A</v>
      </c>
      <c r="F259" s="232" t="e">
        <f t="shared" ca="1" si="29"/>
        <v>#N/A</v>
      </c>
      <c r="G259" s="232" t="e">
        <f t="shared" ca="1" si="32"/>
        <v>#N/A</v>
      </c>
      <c r="H259" s="232" t="e">
        <f t="shared" ca="1" si="33"/>
        <v>#N/A</v>
      </c>
      <c r="I259" s="232" t="e">
        <f t="shared" ca="1" si="30"/>
        <v>#N/A</v>
      </c>
      <c r="J259" s="250"/>
      <c r="K259" s="250"/>
    </row>
    <row r="260" spans="1:11" hidden="1">
      <c r="A260" s="230" t="e">
        <f t="shared" ca="1" si="31"/>
        <v>#N/A</v>
      </c>
      <c r="B260" s="231" t="e">
        <f t="shared" ca="1" si="27"/>
        <v>#N/A</v>
      </c>
      <c r="C260" s="232" t="e">
        <f t="shared" ca="1" si="34"/>
        <v>#N/A</v>
      </c>
      <c r="D260" s="232" t="e">
        <f t="shared" ca="1" si="35"/>
        <v>#N/A</v>
      </c>
      <c r="E260" s="233" t="e">
        <f t="shared" ca="1" si="28"/>
        <v>#N/A</v>
      </c>
      <c r="F260" s="232" t="e">
        <f t="shared" ca="1" si="29"/>
        <v>#N/A</v>
      </c>
      <c r="G260" s="232" t="e">
        <f t="shared" ca="1" si="32"/>
        <v>#N/A</v>
      </c>
      <c r="H260" s="232" t="e">
        <f t="shared" ca="1" si="33"/>
        <v>#N/A</v>
      </c>
      <c r="I260" s="232" t="e">
        <f t="shared" ca="1" si="30"/>
        <v>#N/A</v>
      </c>
      <c r="J260" s="250"/>
      <c r="K260" s="250"/>
    </row>
    <row r="261" spans="1:11" hidden="1">
      <c r="A261" s="230" t="e">
        <f t="shared" ca="1" si="31"/>
        <v>#N/A</v>
      </c>
      <c r="B261" s="231" t="e">
        <f t="shared" ca="1" si="27"/>
        <v>#N/A</v>
      </c>
      <c r="C261" s="232" t="e">
        <f t="shared" ca="1" si="34"/>
        <v>#N/A</v>
      </c>
      <c r="D261" s="232" t="e">
        <f t="shared" ca="1" si="35"/>
        <v>#N/A</v>
      </c>
      <c r="E261" s="233" t="e">
        <f t="shared" ca="1" si="28"/>
        <v>#N/A</v>
      </c>
      <c r="F261" s="232" t="e">
        <f t="shared" ca="1" si="29"/>
        <v>#N/A</v>
      </c>
      <c r="G261" s="232" t="e">
        <f t="shared" ca="1" si="32"/>
        <v>#N/A</v>
      </c>
      <c r="H261" s="232" t="e">
        <f t="shared" ca="1" si="33"/>
        <v>#N/A</v>
      </c>
      <c r="I261" s="232" t="e">
        <f t="shared" ca="1" si="30"/>
        <v>#N/A</v>
      </c>
      <c r="J261" s="250"/>
      <c r="K261" s="250"/>
    </row>
    <row r="262" spans="1:11" hidden="1">
      <c r="A262" s="230" t="e">
        <f t="shared" ca="1" si="31"/>
        <v>#N/A</v>
      </c>
      <c r="B262" s="231" t="e">
        <f t="shared" ca="1" si="27"/>
        <v>#N/A</v>
      </c>
      <c r="C262" s="232" t="e">
        <f t="shared" ca="1" si="34"/>
        <v>#N/A</v>
      </c>
      <c r="D262" s="232" t="e">
        <f t="shared" ca="1" si="35"/>
        <v>#N/A</v>
      </c>
      <c r="E262" s="233" t="e">
        <f t="shared" ca="1" si="28"/>
        <v>#N/A</v>
      </c>
      <c r="F262" s="232" t="e">
        <f t="shared" ca="1" si="29"/>
        <v>#N/A</v>
      </c>
      <c r="G262" s="232" t="e">
        <f t="shared" ca="1" si="32"/>
        <v>#N/A</v>
      </c>
      <c r="H262" s="232" t="e">
        <f t="shared" ca="1" si="33"/>
        <v>#N/A</v>
      </c>
      <c r="I262" s="232" t="e">
        <f t="shared" ca="1" si="30"/>
        <v>#N/A</v>
      </c>
      <c r="J262" s="250"/>
      <c r="K262" s="250"/>
    </row>
    <row r="263" spans="1:11" hidden="1">
      <c r="A263" s="230" t="e">
        <f t="shared" ca="1" si="31"/>
        <v>#N/A</v>
      </c>
      <c r="B263" s="231" t="e">
        <f t="shared" ca="1" si="27"/>
        <v>#N/A</v>
      </c>
      <c r="C263" s="232" t="e">
        <f t="shared" ca="1" si="34"/>
        <v>#N/A</v>
      </c>
      <c r="D263" s="232" t="e">
        <f t="shared" ca="1" si="35"/>
        <v>#N/A</v>
      </c>
      <c r="E263" s="233" t="e">
        <f t="shared" ca="1" si="28"/>
        <v>#N/A</v>
      </c>
      <c r="F263" s="232" t="e">
        <f t="shared" ca="1" si="29"/>
        <v>#N/A</v>
      </c>
      <c r="G263" s="232" t="e">
        <f t="shared" ca="1" si="32"/>
        <v>#N/A</v>
      </c>
      <c r="H263" s="232" t="e">
        <f t="shared" ca="1" si="33"/>
        <v>#N/A</v>
      </c>
      <c r="I263" s="232" t="e">
        <f t="shared" ca="1" si="30"/>
        <v>#N/A</v>
      </c>
      <c r="J263" s="250"/>
      <c r="K263" s="250"/>
    </row>
    <row r="264" spans="1:11" hidden="1">
      <c r="A264" s="230" t="e">
        <f t="shared" ca="1" si="31"/>
        <v>#N/A</v>
      </c>
      <c r="B264" s="231" t="e">
        <f t="shared" ca="1" si="27"/>
        <v>#N/A</v>
      </c>
      <c r="C264" s="232" t="e">
        <f t="shared" ca="1" si="34"/>
        <v>#N/A</v>
      </c>
      <c r="D264" s="232" t="e">
        <f t="shared" ca="1" si="35"/>
        <v>#N/A</v>
      </c>
      <c r="E264" s="233" t="e">
        <f t="shared" ca="1" si="28"/>
        <v>#N/A</v>
      </c>
      <c r="F264" s="232" t="e">
        <f t="shared" ca="1" si="29"/>
        <v>#N/A</v>
      </c>
      <c r="G264" s="232" t="e">
        <f t="shared" ca="1" si="32"/>
        <v>#N/A</v>
      </c>
      <c r="H264" s="232" t="e">
        <f t="shared" ca="1" si="33"/>
        <v>#N/A</v>
      </c>
      <c r="I264" s="232" t="e">
        <f t="shared" ca="1" si="30"/>
        <v>#N/A</v>
      </c>
      <c r="J264" s="250"/>
      <c r="K264" s="250"/>
    </row>
    <row r="265" spans="1:11" hidden="1">
      <c r="A265" s="230" t="e">
        <f t="shared" ca="1" si="31"/>
        <v>#N/A</v>
      </c>
      <c r="B265" s="231" t="e">
        <f t="shared" ca="1" si="27"/>
        <v>#N/A</v>
      </c>
      <c r="C265" s="232" t="e">
        <f t="shared" ca="1" si="34"/>
        <v>#N/A</v>
      </c>
      <c r="D265" s="232" t="e">
        <f t="shared" ca="1" si="35"/>
        <v>#N/A</v>
      </c>
      <c r="E265" s="233" t="e">
        <f t="shared" ca="1" si="28"/>
        <v>#N/A</v>
      </c>
      <c r="F265" s="232" t="e">
        <f t="shared" ca="1" si="29"/>
        <v>#N/A</v>
      </c>
      <c r="G265" s="232" t="e">
        <f t="shared" ca="1" si="32"/>
        <v>#N/A</v>
      </c>
      <c r="H265" s="232" t="e">
        <f t="shared" ca="1" si="33"/>
        <v>#N/A</v>
      </c>
      <c r="I265" s="232" t="e">
        <f t="shared" ca="1" si="30"/>
        <v>#N/A</v>
      </c>
      <c r="J265" s="250"/>
      <c r="K265" s="250"/>
    </row>
    <row r="266" spans="1:11" hidden="1">
      <c r="A266" s="230" t="e">
        <f t="shared" ca="1" si="31"/>
        <v>#N/A</v>
      </c>
      <c r="B266" s="231" t="e">
        <f t="shared" ca="1" si="27"/>
        <v>#N/A</v>
      </c>
      <c r="C266" s="232" t="e">
        <f t="shared" ca="1" si="34"/>
        <v>#N/A</v>
      </c>
      <c r="D266" s="232" t="e">
        <f t="shared" ca="1" si="35"/>
        <v>#N/A</v>
      </c>
      <c r="E266" s="233" t="e">
        <f t="shared" ca="1" si="28"/>
        <v>#N/A</v>
      </c>
      <c r="F266" s="232" t="e">
        <f t="shared" ca="1" si="29"/>
        <v>#N/A</v>
      </c>
      <c r="G266" s="232" t="e">
        <f t="shared" ca="1" si="32"/>
        <v>#N/A</v>
      </c>
      <c r="H266" s="232" t="e">
        <f t="shared" ca="1" si="33"/>
        <v>#N/A</v>
      </c>
      <c r="I266" s="232" t="e">
        <f t="shared" ca="1" si="30"/>
        <v>#N/A</v>
      </c>
      <c r="J266" s="250"/>
      <c r="K266" s="250"/>
    </row>
    <row r="267" spans="1:11" hidden="1">
      <c r="A267" s="230" t="e">
        <f t="shared" ca="1" si="31"/>
        <v>#N/A</v>
      </c>
      <c r="B267" s="231" t="e">
        <f t="shared" ca="1" si="27"/>
        <v>#N/A</v>
      </c>
      <c r="C267" s="232" t="e">
        <f t="shared" ca="1" si="34"/>
        <v>#N/A</v>
      </c>
      <c r="D267" s="232" t="e">
        <f t="shared" ca="1" si="35"/>
        <v>#N/A</v>
      </c>
      <c r="E267" s="233" t="e">
        <f t="shared" ca="1" si="28"/>
        <v>#N/A</v>
      </c>
      <c r="F267" s="232" t="e">
        <f t="shared" ca="1" si="29"/>
        <v>#N/A</v>
      </c>
      <c r="G267" s="232" t="e">
        <f t="shared" ca="1" si="32"/>
        <v>#N/A</v>
      </c>
      <c r="H267" s="232" t="e">
        <f t="shared" ca="1" si="33"/>
        <v>#N/A</v>
      </c>
      <c r="I267" s="232" t="e">
        <f t="shared" ca="1" si="30"/>
        <v>#N/A</v>
      </c>
      <c r="J267" s="250"/>
      <c r="K267" s="250"/>
    </row>
    <row r="268" spans="1:11" hidden="1">
      <c r="A268" s="230" t="e">
        <f t="shared" ca="1" si="31"/>
        <v>#N/A</v>
      </c>
      <c r="B268" s="231" t="e">
        <f t="shared" ca="1" si="27"/>
        <v>#N/A</v>
      </c>
      <c r="C268" s="232" t="e">
        <f t="shared" ca="1" si="34"/>
        <v>#N/A</v>
      </c>
      <c r="D268" s="232" t="e">
        <f t="shared" ca="1" si="35"/>
        <v>#N/A</v>
      </c>
      <c r="E268" s="233" t="e">
        <f t="shared" ca="1" si="28"/>
        <v>#N/A</v>
      </c>
      <c r="F268" s="232" t="e">
        <f t="shared" ca="1" si="29"/>
        <v>#N/A</v>
      </c>
      <c r="G268" s="232" t="e">
        <f t="shared" ca="1" si="32"/>
        <v>#N/A</v>
      </c>
      <c r="H268" s="232" t="e">
        <f t="shared" ca="1" si="33"/>
        <v>#N/A</v>
      </c>
      <c r="I268" s="232" t="e">
        <f t="shared" ca="1" si="30"/>
        <v>#N/A</v>
      </c>
      <c r="J268" s="250"/>
      <c r="K268" s="250"/>
    </row>
    <row r="269" spans="1:11" hidden="1">
      <c r="A269" s="230" t="e">
        <f t="shared" ca="1" si="31"/>
        <v>#N/A</v>
      </c>
      <c r="B269" s="231" t="e">
        <f t="shared" ca="1" si="27"/>
        <v>#N/A</v>
      </c>
      <c r="C269" s="232" t="e">
        <f t="shared" ca="1" si="34"/>
        <v>#N/A</v>
      </c>
      <c r="D269" s="232" t="e">
        <f t="shared" ca="1" si="35"/>
        <v>#N/A</v>
      </c>
      <c r="E269" s="233" t="e">
        <f t="shared" ca="1" si="28"/>
        <v>#N/A</v>
      </c>
      <c r="F269" s="232" t="e">
        <f t="shared" ca="1" si="29"/>
        <v>#N/A</v>
      </c>
      <c r="G269" s="232" t="e">
        <f t="shared" ca="1" si="32"/>
        <v>#N/A</v>
      </c>
      <c r="H269" s="232" t="e">
        <f t="shared" ca="1" si="33"/>
        <v>#N/A</v>
      </c>
      <c r="I269" s="232" t="e">
        <f t="shared" ca="1" si="30"/>
        <v>#N/A</v>
      </c>
      <c r="J269" s="250"/>
      <c r="K269" s="250"/>
    </row>
    <row r="270" spans="1:11" hidden="1">
      <c r="A270" s="230" t="e">
        <f t="shared" ca="1" si="31"/>
        <v>#N/A</v>
      </c>
      <c r="B270" s="231" t="e">
        <f t="shared" ca="1" si="27"/>
        <v>#N/A</v>
      </c>
      <c r="C270" s="232" t="e">
        <f t="shared" ca="1" si="34"/>
        <v>#N/A</v>
      </c>
      <c r="D270" s="232" t="e">
        <f t="shared" ca="1" si="35"/>
        <v>#N/A</v>
      </c>
      <c r="E270" s="233" t="e">
        <f t="shared" ca="1" si="28"/>
        <v>#N/A</v>
      </c>
      <c r="F270" s="232" t="e">
        <f t="shared" ca="1" si="29"/>
        <v>#N/A</v>
      </c>
      <c r="G270" s="232" t="e">
        <f t="shared" ca="1" si="32"/>
        <v>#N/A</v>
      </c>
      <c r="H270" s="232" t="e">
        <f t="shared" ca="1" si="33"/>
        <v>#N/A</v>
      </c>
      <c r="I270" s="232" t="e">
        <f t="shared" ca="1" si="30"/>
        <v>#N/A</v>
      </c>
      <c r="J270" s="250"/>
      <c r="K270" s="250"/>
    </row>
    <row r="271" spans="1:11" hidden="1">
      <c r="A271" s="230" t="e">
        <f t="shared" ca="1" si="31"/>
        <v>#N/A</v>
      </c>
      <c r="B271" s="231" t="e">
        <f t="shared" ca="1" si="27"/>
        <v>#N/A</v>
      </c>
      <c r="C271" s="232" t="e">
        <f t="shared" ca="1" si="34"/>
        <v>#N/A</v>
      </c>
      <c r="D271" s="232" t="e">
        <f t="shared" ca="1" si="35"/>
        <v>#N/A</v>
      </c>
      <c r="E271" s="233" t="e">
        <f t="shared" ca="1" si="28"/>
        <v>#N/A</v>
      </c>
      <c r="F271" s="232" t="e">
        <f t="shared" ca="1" si="29"/>
        <v>#N/A</v>
      </c>
      <c r="G271" s="232" t="e">
        <f t="shared" ca="1" si="32"/>
        <v>#N/A</v>
      </c>
      <c r="H271" s="232" t="e">
        <f t="shared" ca="1" si="33"/>
        <v>#N/A</v>
      </c>
      <c r="I271" s="232" t="e">
        <f t="shared" ca="1" si="30"/>
        <v>#N/A</v>
      </c>
      <c r="J271" s="250"/>
      <c r="K271" s="250"/>
    </row>
    <row r="272" spans="1:11" hidden="1">
      <c r="A272" s="230" t="e">
        <f t="shared" ca="1" si="31"/>
        <v>#N/A</v>
      </c>
      <c r="B272" s="231" t="e">
        <f t="shared" ca="1" si="27"/>
        <v>#N/A</v>
      </c>
      <c r="C272" s="232" t="e">
        <f t="shared" ca="1" si="34"/>
        <v>#N/A</v>
      </c>
      <c r="D272" s="232" t="e">
        <f t="shared" ca="1" si="35"/>
        <v>#N/A</v>
      </c>
      <c r="E272" s="233" t="e">
        <f t="shared" ca="1" si="28"/>
        <v>#N/A</v>
      </c>
      <c r="F272" s="232" t="e">
        <f t="shared" ca="1" si="29"/>
        <v>#N/A</v>
      </c>
      <c r="G272" s="232" t="e">
        <f t="shared" ca="1" si="32"/>
        <v>#N/A</v>
      </c>
      <c r="H272" s="232" t="e">
        <f t="shared" ca="1" si="33"/>
        <v>#N/A</v>
      </c>
      <c r="I272" s="232" t="e">
        <f t="shared" ca="1" si="30"/>
        <v>#N/A</v>
      </c>
      <c r="J272" s="250"/>
      <c r="K272" s="250"/>
    </row>
    <row r="273" spans="1:11" hidden="1">
      <c r="A273" s="230" t="e">
        <f t="shared" ca="1" si="31"/>
        <v>#N/A</v>
      </c>
      <c r="B273" s="231" t="e">
        <f t="shared" ca="1" si="27"/>
        <v>#N/A</v>
      </c>
      <c r="C273" s="232" t="e">
        <f t="shared" ca="1" si="34"/>
        <v>#N/A</v>
      </c>
      <c r="D273" s="232" t="e">
        <f t="shared" ca="1" si="35"/>
        <v>#N/A</v>
      </c>
      <c r="E273" s="233" t="e">
        <f t="shared" ca="1" si="28"/>
        <v>#N/A</v>
      </c>
      <c r="F273" s="232" t="e">
        <f t="shared" ca="1" si="29"/>
        <v>#N/A</v>
      </c>
      <c r="G273" s="232" t="e">
        <f t="shared" ca="1" si="32"/>
        <v>#N/A</v>
      </c>
      <c r="H273" s="232" t="e">
        <f t="shared" ca="1" si="33"/>
        <v>#N/A</v>
      </c>
      <c r="I273" s="232" t="e">
        <f t="shared" ca="1" si="30"/>
        <v>#N/A</v>
      </c>
      <c r="J273" s="250"/>
      <c r="K273" s="250"/>
    </row>
    <row r="274" spans="1:11" hidden="1">
      <c r="A274" s="230" t="e">
        <f t="shared" ca="1" si="31"/>
        <v>#N/A</v>
      </c>
      <c r="B274" s="231" t="e">
        <f t="shared" ref="B274:B337" ca="1" si="36">IF(Pay_Num&lt;&gt;"",DATE(YEAR(Loan_Start),MONTH(Loan_Start)+(Pay_Num)*12/Num_Pmt_Per_Year,DAY(Loan_Start)),"")</f>
        <v>#N/A</v>
      </c>
      <c r="C274" s="232" t="e">
        <f t="shared" ca="1" si="34"/>
        <v>#N/A</v>
      </c>
      <c r="D274" s="232" t="e">
        <f t="shared" ca="1" si="35"/>
        <v>#N/A</v>
      </c>
      <c r="E274" s="233" t="e">
        <f t="shared" ref="E274:E337" ca="1" si="37">IF(AND(Pay_Num&lt;&gt;"",Sched_Pay+Scheduled_Extra_Payments&lt;Beg_Bal),Scheduled_Extra_Payments,IF(AND(Pay_Num&lt;&gt;"",Beg_Bal-Sched_Pay&gt;0),Beg_Bal-Sched_Pay,IF(Pay_Num&lt;&gt;"",0,"")))</f>
        <v>#N/A</v>
      </c>
      <c r="F274" s="232" t="e">
        <f t="shared" ref="F274:F337" ca="1" si="38">IF(AND(Pay_Num&lt;&gt;"",Sched_Pay+Extra_Pay&lt;Beg_Bal),Sched_Pay+Extra_Pay,IF(Pay_Num&lt;&gt;"",Beg_Bal,""))</f>
        <v>#N/A</v>
      </c>
      <c r="G274" s="232" t="e">
        <f t="shared" ca="1" si="32"/>
        <v>#N/A</v>
      </c>
      <c r="H274" s="232" t="e">
        <f t="shared" ca="1" si="33"/>
        <v>#N/A</v>
      </c>
      <c r="I274" s="232" t="e">
        <f t="shared" ref="I274:I337" ca="1" si="39">IF(AND(Pay_Num&lt;&gt;"",Sched_Pay+Extra_Pay&lt;Beg_Bal),Beg_Bal-Princ,IF(Pay_Num&lt;&gt;"",0,""))</f>
        <v>#N/A</v>
      </c>
      <c r="J274" s="250"/>
      <c r="K274" s="250"/>
    </row>
    <row r="275" spans="1:11" hidden="1">
      <c r="A275" s="230" t="e">
        <f t="shared" ref="A275:A338" ca="1" si="40">IF(Values_Entered,A274+1,"")</f>
        <v>#N/A</v>
      </c>
      <c r="B275" s="231" t="e">
        <f t="shared" ca="1" si="36"/>
        <v>#N/A</v>
      </c>
      <c r="C275" s="232" t="e">
        <f t="shared" ca="1" si="34"/>
        <v>#N/A</v>
      </c>
      <c r="D275" s="232" t="e">
        <f t="shared" ca="1" si="35"/>
        <v>#N/A</v>
      </c>
      <c r="E275" s="233" t="e">
        <f t="shared" ca="1" si="37"/>
        <v>#N/A</v>
      </c>
      <c r="F275" s="232" t="e">
        <f t="shared" ca="1" si="38"/>
        <v>#N/A</v>
      </c>
      <c r="G275" s="232" t="e">
        <f t="shared" ref="G275:G338" ca="1" si="41">IF(Pay_Num&lt;&gt;"",Total_Pay-Int,"")</f>
        <v>#N/A</v>
      </c>
      <c r="H275" s="232" t="e">
        <f t="shared" ref="H275:H338" ca="1" si="42">IF(Pay_Num&lt;&gt;"",Beg_Bal*Interest_Rate/Num_Pmt_Per_Year,"")</f>
        <v>#N/A</v>
      </c>
      <c r="I275" s="232" t="e">
        <f t="shared" ca="1" si="39"/>
        <v>#N/A</v>
      </c>
      <c r="J275" s="250"/>
      <c r="K275" s="250"/>
    </row>
    <row r="276" spans="1:11" hidden="1">
      <c r="A276" s="230" t="e">
        <f t="shared" ca="1" si="40"/>
        <v>#N/A</v>
      </c>
      <c r="B276" s="231" t="e">
        <f t="shared" ca="1" si="36"/>
        <v>#N/A</v>
      </c>
      <c r="C276" s="232" t="e">
        <f t="shared" ref="C276:C339" ca="1" si="43">IF(Pay_Num&lt;&gt;"",I275,"")</f>
        <v>#N/A</v>
      </c>
      <c r="D276" s="232" t="e">
        <f t="shared" ref="D276:D339" ca="1" si="44">IF(Pay_Num&lt;&gt;"",Scheduled_Monthly_Payment,"")</f>
        <v>#N/A</v>
      </c>
      <c r="E276" s="233" t="e">
        <f t="shared" ca="1" si="37"/>
        <v>#N/A</v>
      </c>
      <c r="F276" s="232" t="e">
        <f t="shared" ca="1" si="38"/>
        <v>#N/A</v>
      </c>
      <c r="G276" s="232" t="e">
        <f t="shared" ca="1" si="41"/>
        <v>#N/A</v>
      </c>
      <c r="H276" s="232" t="e">
        <f t="shared" ca="1" si="42"/>
        <v>#N/A</v>
      </c>
      <c r="I276" s="232" t="e">
        <f t="shared" ca="1" si="39"/>
        <v>#N/A</v>
      </c>
      <c r="J276" s="250"/>
      <c r="K276" s="250"/>
    </row>
    <row r="277" spans="1:11" hidden="1">
      <c r="A277" s="230" t="e">
        <f t="shared" ca="1" si="40"/>
        <v>#N/A</v>
      </c>
      <c r="B277" s="231" t="e">
        <f t="shared" ca="1" si="36"/>
        <v>#N/A</v>
      </c>
      <c r="C277" s="232" t="e">
        <f t="shared" ca="1" si="43"/>
        <v>#N/A</v>
      </c>
      <c r="D277" s="232" t="e">
        <f t="shared" ca="1" si="44"/>
        <v>#N/A</v>
      </c>
      <c r="E277" s="233" t="e">
        <f t="shared" ca="1" si="37"/>
        <v>#N/A</v>
      </c>
      <c r="F277" s="232" t="e">
        <f t="shared" ca="1" si="38"/>
        <v>#N/A</v>
      </c>
      <c r="G277" s="232" t="e">
        <f t="shared" ca="1" si="41"/>
        <v>#N/A</v>
      </c>
      <c r="H277" s="232" t="e">
        <f t="shared" ca="1" si="42"/>
        <v>#N/A</v>
      </c>
      <c r="I277" s="232" t="e">
        <f t="shared" ca="1" si="39"/>
        <v>#N/A</v>
      </c>
      <c r="J277" s="250"/>
      <c r="K277" s="250"/>
    </row>
    <row r="278" spans="1:11" hidden="1">
      <c r="A278" s="230" t="e">
        <f t="shared" ca="1" si="40"/>
        <v>#N/A</v>
      </c>
      <c r="B278" s="231" t="e">
        <f t="shared" ca="1" si="36"/>
        <v>#N/A</v>
      </c>
      <c r="C278" s="232" t="e">
        <f t="shared" ca="1" si="43"/>
        <v>#N/A</v>
      </c>
      <c r="D278" s="232" t="e">
        <f t="shared" ca="1" si="44"/>
        <v>#N/A</v>
      </c>
      <c r="E278" s="233" t="e">
        <f t="shared" ca="1" si="37"/>
        <v>#N/A</v>
      </c>
      <c r="F278" s="232" t="e">
        <f t="shared" ca="1" si="38"/>
        <v>#N/A</v>
      </c>
      <c r="G278" s="232" t="e">
        <f t="shared" ca="1" si="41"/>
        <v>#N/A</v>
      </c>
      <c r="H278" s="232" t="e">
        <f t="shared" ca="1" si="42"/>
        <v>#N/A</v>
      </c>
      <c r="I278" s="232" t="e">
        <f t="shared" ca="1" si="39"/>
        <v>#N/A</v>
      </c>
      <c r="J278" s="250"/>
      <c r="K278" s="250"/>
    </row>
    <row r="279" spans="1:11" hidden="1">
      <c r="A279" s="230" t="e">
        <f t="shared" ca="1" si="40"/>
        <v>#N/A</v>
      </c>
      <c r="B279" s="231" t="e">
        <f t="shared" ca="1" si="36"/>
        <v>#N/A</v>
      </c>
      <c r="C279" s="232" t="e">
        <f t="shared" ca="1" si="43"/>
        <v>#N/A</v>
      </c>
      <c r="D279" s="232" t="e">
        <f t="shared" ca="1" si="44"/>
        <v>#N/A</v>
      </c>
      <c r="E279" s="233" t="e">
        <f t="shared" ca="1" si="37"/>
        <v>#N/A</v>
      </c>
      <c r="F279" s="232" t="e">
        <f t="shared" ca="1" si="38"/>
        <v>#N/A</v>
      </c>
      <c r="G279" s="232" t="e">
        <f t="shared" ca="1" si="41"/>
        <v>#N/A</v>
      </c>
      <c r="H279" s="232" t="e">
        <f t="shared" ca="1" si="42"/>
        <v>#N/A</v>
      </c>
      <c r="I279" s="232" t="e">
        <f t="shared" ca="1" si="39"/>
        <v>#N/A</v>
      </c>
      <c r="J279" s="250"/>
      <c r="K279" s="250"/>
    </row>
    <row r="280" spans="1:11" hidden="1">
      <c r="A280" s="230" t="e">
        <f t="shared" ca="1" si="40"/>
        <v>#N/A</v>
      </c>
      <c r="B280" s="231" t="e">
        <f t="shared" ca="1" si="36"/>
        <v>#N/A</v>
      </c>
      <c r="C280" s="232" t="e">
        <f t="shared" ca="1" si="43"/>
        <v>#N/A</v>
      </c>
      <c r="D280" s="232" t="e">
        <f t="shared" ca="1" si="44"/>
        <v>#N/A</v>
      </c>
      <c r="E280" s="233" t="e">
        <f t="shared" ca="1" si="37"/>
        <v>#N/A</v>
      </c>
      <c r="F280" s="232" t="e">
        <f t="shared" ca="1" si="38"/>
        <v>#N/A</v>
      </c>
      <c r="G280" s="232" t="e">
        <f t="shared" ca="1" si="41"/>
        <v>#N/A</v>
      </c>
      <c r="H280" s="232" t="e">
        <f t="shared" ca="1" si="42"/>
        <v>#N/A</v>
      </c>
      <c r="I280" s="232" t="e">
        <f t="shared" ca="1" si="39"/>
        <v>#N/A</v>
      </c>
      <c r="J280" s="250"/>
      <c r="K280" s="250"/>
    </row>
    <row r="281" spans="1:11" hidden="1">
      <c r="A281" s="230" t="e">
        <f t="shared" ca="1" si="40"/>
        <v>#N/A</v>
      </c>
      <c r="B281" s="231" t="e">
        <f t="shared" ca="1" si="36"/>
        <v>#N/A</v>
      </c>
      <c r="C281" s="232" t="e">
        <f t="shared" ca="1" si="43"/>
        <v>#N/A</v>
      </c>
      <c r="D281" s="232" t="e">
        <f t="shared" ca="1" si="44"/>
        <v>#N/A</v>
      </c>
      <c r="E281" s="233" t="e">
        <f t="shared" ca="1" si="37"/>
        <v>#N/A</v>
      </c>
      <c r="F281" s="232" t="e">
        <f t="shared" ca="1" si="38"/>
        <v>#N/A</v>
      </c>
      <c r="G281" s="232" t="e">
        <f t="shared" ca="1" si="41"/>
        <v>#N/A</v>
      </c>
      <c r="H281" s="232" t="e">
        <f t="shared" ca="1" si="42"/>
        <v>#N/A</v>
      </c>
      <c r="I281" s="232" t="e">
        <f t="shared" ca="1" si="39"/>
        <v>#N/A</v>
      </c>
      <c r="J281" s="250"/>
      <c r="K281" s="250"/>
    </row>
    <row r="282" spans="1:11" hidden="1">
      <c r="A282" s="230" t="e">
        <f t="shared" ca="1" si="40"/>
        <v>#N/A</v>
      </c>
      <c r="B282" s="231" t="e">
        <f t="shared" ca="1" si="36"/>
        <v>#N/A</v>
      </c>
      <c r="C282" s="232" t="e">
        <f t="shared" ca="1" si="43"/>
        <v>#N/A</v>
      </c>
      <c r="D282" s="232" t="e">
        <f t="shared" ca="1" si="44"/>
        <v>#N/A</v>
      </c>
      <c r="E282" s="233" t="e">
        <f t="shared" ca="1" si="37"/>
        <v>#N/A</v>
      </c>
      <c r="F282" s="232" t="e">
        <f t="shared" ca="1" si="38"/>
        <v>#N/A</v>
      </c>
      <c r="G282" s="232" t="e">
        <f t="shared" ca="1" si="41"/>
        <v>#N/A</v>
      </c>
      <c r="H282" s="232" t="e">
        <f t="shared" ca="1" si="42"/>
        <v>#N/A</v>
      </c>
      <c r="I282" s="232" t="e">
        <f t="shared" ca="1" si="39"/>
        <v>#N/A</v>
      </c>
      <c r="J282" s="250"/>
      <c r="K282" s="250"/>
    </row>
    <row r="283" spans="1:11" hidden="1">
      <c r="A283" s="230" t="e">
        <f t="shared" ca="1" si="40"/>
        <v>#N/A</v>
      </c>
      <c r="B283" s="231" t="e">
        <f t="shared" ca="1" si="36"/>
        <v>#N/A</v>
      </c>
      <c r="C283" s="232" t="e">
        <f t="shared" ca="1" si="43"/>
        <v>#N/A</v>
      </c>
      <c r="D283" s="232" t="e">
        <f t="shared" ca="1" si="44"/>
        <v>#N/A</v>
      </c>
      <c r="E283" s="233" t="e">
        <f t="shared" ca="1" si="37"/>
        <v>#N/A</v>
      </c>
      <c r="F283" s="232" t="e">
        <f t="shared" ca="1" si="38"/>
        <v>#N/A</v>
      </c>
      <c r="G283" s="232" t="e">
        <f t="shared" ca="1" si="41"/>
        <v>#N/A</v>
      </c>
      <c r="H283" s="232" t="e">
        <f t="shared" ca="1" si="42"/>
        <v>#N/A</v>
      </c>
      <c r="I283" s="232" t="e">
        <f t="shared" ca="1" si="39"/>
        <v>#N/A</v>
      </c>
      <c r="J283" s="250"/>
      <c r="K283" s="250"/>
    </row>
    <row r="284" spans="1:11" hidden="1">
      <c r="A284" s="230" t="e">
        <f t="shared" ca="1" si="40"/>
        <v>#N/A</v>
      </c>
      <c r="B284" s="231" t="e">
        <f t="shared" ca="1" si="36"/>
        <v>#N/A</v>
      </c>
      <c r="C284" s="232" t="e">
        <f t="shared" ca="1" si="43"/>
        <v>#N/A</v>
      </c>
      <c r="D284" s="232" t="e">
        <f t="shared" ca="1" si="44"/>
        <v>#N/A</v>
      </c>
      <c r="E284" s="233" t="e">
        <f t="shared" ca="1" si="37"/>
        <v>#N/A</v>
      </c>
      <c r="F284" s="232" t="e">
        <f t="shared" ca="1" si="38"/>
        <v>#N/A</v>
      </c>
      <c r="G284" s="232" t="e">
        <f t="shared" ca="1" si="41"/>
        <v>#N/A</v>
      </c>
      <c r="H284" s="232" t="e">
        <f t="shared" ca="1" si="42"/>
        <v>#N/A</v>
      </c>
      <c r="I284" s="232" t="e">
        <f t="shared" ca="1" si="39"/>
        <v>#N/A</v>
      </c>
      <c r="J284" s="250"/>
      <c r="K284" s="250"/>
    </row>
    <row r="285" spans="1:11" hidden="1">
      <c r="A285" s="230" t="e">
        <f t="shared" ca="1" si="40"/>
        <v>#N/A</v>
      </c>
      <c r="B285" s="231" t="e">
        <f t="shared" ca="1" si="36"/>
        <v>#N/A</v>
      </c>
      <c r="C285" s="232" t="e">
        <f t="shared" ca="1" si="43"/>
        <v>#N/A</v>
      </c>
      <c r="D285" s="232" t="e">
        <f t="shared" ca="1" si="44"/>
        <v>#N/A</v>
      </c>
      <c r="E285" s="233" t="e">
        <f t="shared" ca="1" si="37"/>
        <v>#N/A</v>
      </c>
      <c r="F285" s="232" t="e">
        <f t="shared" ca="1" si="38"/>
        <v>#N/A</v>
      </c>
      <c r="G285" s="232" t="e">
        <f t="shared" ca="1" si="41"/>
        <v>#N/A</v>
      </c>
      <c r="H285" s="232" t="e">
        <f t="shared" ca="1" si="42"/>
        <v>#N/A</v>
      </c>
      <c r="I285" s="232" t="e">
        <f t="shared" ca="1" si="39"/>
        <v>#N/A</v>
      </c>
      <c r="J285" s="250"/>
      <c r="K285" s="250"/>
    </row>
    <row r="286" spans="1:11" hidden="1">
      <c r="A286" s="230" t="e">
        <f t="shared" ca="1" si="40"/>
        <v>#N/A</v>
      </c>
      <c r="B286" s="231" t="e">
        <f t="shared" ca="1" si="36"/>
        <v>#N/A</v>
      </c>
      <c r="C286" s="232" t="e">
        <f t="shared" ca="1" si="43"/>
        <v>#N/A</v>
      </c>
      <c r="D286" s="232" t="e">
        <f t="shared" ca="1" si="44"/>
        <v>#N/A</v>
      </c>
      <c r="E286" s="233" t="e">
        <f t="shared" ca="1" si="37"/>
        <v>#N/A</v>
      </c>
      <c r="F286" s="232" t="e">
        <f t="shared" ca="1" si="38"/>
        <v>#N/A</v>
      </c>
      <c r="G286" s="232" t="e">
        <f t="shared" ca="1" si="41"/>
        <v>#N/A</v>
      </c>
      <c r="H286" s="232" t="e">
        <f t="shared" ca="1" si="42"/>
        <v>#N/A</v>
      </c>
      <c r="I286" s="232" t="e">
        <f t="shared" ca="1" si="39"/>
        <v>#N/A</v>
      </c>
      <c r="J286" s="250"/>
      <c r="K286" s="250"/>
    </row>
    <row r="287" spans="1:11" hidden="1">
      <c r="A287" s="230" t="e">
        <f t="shared" ca="1" si="40"/>
        <v>#N/A</v>
      </c>
      <c r="B287" s="231" t="e">
        <f t="shared" ca="1" si="36"/>
        <v>#N/A</v>
      </c>
      <c r="C287" s="232" t="e">
        <f t="shared" ca="1" si="43"/>
        <v>#N/A</v>
      </c>
      <c r="D287" s="232" t="e">
        <f t="shared" ca="1" si="44"/>
        <v>#N/A</v>
      </c>
      <c r="E287" s="233" t="e">
        <f t="shared" ca="1" si="37"/>
        <v>#N/A</v>
      </c>
      <c r="F287" s="232" t="e">
        <f t="shared" ca="1" si="38"/>
        <v>#N/A</v>
      </c>
      <c r="G287" s="232" t="e">
        <f t="shared" ca="1" si="41"/>
        <v>#N/A</v>
      </c>
      <c r="H287" s="232" t="e">
        <f t="shared" ca="1" si="42"/>
        <v>#N/A</v>
      </c>
      <c r="I287" s="232" t="e">
        <f t="shared" ca="1" si="39"/>
        <v>#N/A</v>
      </c>
      <c r="J287" s="250"/>
      <c r="K287" s="250"/>
    </row>
    <row r="288" spans="1:11" hidden="1">
      <c r="A288" s="230" t="e">
        <f t="shared" ca="1" si="40"/>
        <v>#N/A</v>
      </c>
      <c r="B288" s="231" t="e">
        <f t="shared" ca="1" si="36"/>
        <v>#N/A</v>
      </c>
      <c r="C288" s="232" t="e">
        <f t="shared" ca="1" si="43"/>
        <v>#N/A</v>
      </c>
      <c r="D288" s="232" t="e">
        <f t="shared" ca="1" si="44"/>
        <v>#N/A</v>
      </c>
      <c r="E288" s="233" t="e">
        <f t="shared" ca="1" si="37"/>
        <v>#N/A</v>
      </c>
      <c r="F288" s="232" t="e">
        <f t="shared" ca="1" si="38"/>
        <v>#N/A</v>
      </c>
      <c r="G288" s="232" t="e">
        <f t="shared" ca="1" si="41"/>
        <v>#N/A</v>
      </c>
      <c r="H288" s="232" t="e">
        <f t="shared" ca="1" si="42"/>
        <v>#N/A</v>
      </c>
      <c r="I288" s="232" t="e">
        <f t="shared" ca="1" si="39"/>
        <v>#N/A</v>
      </c>
      <c r="J288" s="250"/>
      <c r="K288" s="250"/>
    </row>
    <row r="289" spans="1:11" hidden="1">
      <c r="A289" s="230" t="e">
        <f t="shared" ca="1" si="40"/>
        <v>#N/A</v>
      </c>
      <c r="B289" s="231" t="e">
        <f t="shared" ca="1" si="36"/>
        <v>#N/A</v>
      </c>
      <c r="C289" s="232" t="e">
        <f t="shared" ca="1" si="43"/>
        <v>#N/A</v>
      </c>
      <c r="D289" s="232" t="e">
        <f t="shared" ca="1" si="44"/>
        <v>#N/A</v>
      </c>
      <c r="E289" s="233" t="e">
        <f t="shared" ca="1" si="37"/>
        <v>#N/A</v>
      </c>
      <c r="F289" s="232" t="e">
        <f t="shared" ca="1" si="38"/>
        <v>#N/A</v>
      </c>
      <c r="G289" s="232" t="e">
        <f t="shared" ca="1" si="41"/>
        <v>#N/A</v>
      </c>
      <c r="H289" s="232" t="e">
        <f t="shared" ca="1" si="42"/>
        <v>#N/A</v>
      </c>
      <c r="I289" s="232" t="e">
        <f t="shared" ca="1" si="39"/>
        <v>#N/A</v>
      </c>
      <c r="J289" s="250"/>
      <c r="K289" s="250"/>
    </row>
    <row r="290" spans="1:11" hidden="1">
      <c r="A290" s="230" t="e">
        <f t="shared" ca="1" si="40"/>
        <v>#N/A</v>
      </c>
      <c r="B290" s="231" t="e">
        <f t="shared" ca="1" si="36"/>
        <v>#N/A</v>
      </c>
      <c r="C290" s="232" t="e">
        <f t="shared" ca="1" si="43"/>
        <v>#N/A</v>
      </c>
      <c r="D290" s="232" t="e">
        <f t="shared" ca="1" si="44"/>
        <v>#N/A</v>
      </c>
      <c r="E290" s="233" t="e">
        <f t="shared" ca="1" si="37"/>
        <v>#N/A</v>
      </c>
      <c r="F290" s="232" t="e">
        <f t="shared" ca="1" si="38"/>
        <v>#N/A</v>
      </c>
      <c r="G290" s="232" t="e">
        <f t="shared" ca="1" si="41"/>
        <v>#N/A</v>
      </c>
      <c r="H290" s="232" t="e">
        <f t="shared" ca="1" si="42"/>
        <v>#N/A</v>
      </c>
      <c r="I290" s="232" t="e">
        <f t="shared" ca="1" si="39"/>
        <v>#N/A</v>
      </c>
      <c r="J290" s="250"/>
      <c r="K290" s="250"/>
    </row>
    <row r="291" spans="1:11" hidden="1">
      <c r="A291" s="230" t="e">
        <f t="shared" ca="1" si="40"/>
        <v>#N/A</v>
      </c>
      <c r="B291" s="231" t="e">
        <f t="shared" ca="1" si="36"/>
        <v>#N/A</v>
      </c>
      <c r="C291" s="232" t="e">
        <f t="shared" ca="1" si="43"/>
        <v>#N/A</v>
      </c>
      <c r="D291" s="232" t="e">
        <f t="shared" ca="1" si="44"/>
        <v>#N/A</v>
      </c>
      <c r="E291" s="233" t="e">
        <f t="shared" ca="1" si="37"/>
        <v>#N/A</v>
      </c>
      <c r="F291" s="232" t="e">
        <f t="shared" ca="1" si="38"/>
        <v>#N/A</v>
      </c>
      <c r="G291" s="232" t="e">
        <f t="shared" ca="1" si="41"/>
        <v>#N/A</v>
      </c>
      <c r="H291" s="232" t="e">
        <f t="shared" ca="1" si="42"/>
        <v>#N/A</v>
      </c>
      <c r="I291" s="232" t="e">
        <f t="shared" ca="1" si="39"/>
        <v>#N/A</v>
      </c>
      <c r="J291" s="250"/>
      <c r="K291" s="250"/>
    </row>
    <row r="292" spans="1:11" hidden="1">
      <c r="A292" s="230" t="e">
        <f t="shared" ca="1" si="40"/>
        <v>#N/A</v>
      </c>
      <c r="B292" s="231" t="e">
        <f t="shared" ca="1" si="36"/>
        <v>#N/A</v>
      </c>
      <c r="C292" s="232" t="e">
        <f t="shared" ca="1" si="43"/>
        <v>#N/A</v>
      </c>
      <c r="D292" s="232" t="e">
        <f t="shared" ca="1" si="44"/>
        <v>#N/A</v>
      </c>
      <c r="E292" s="233" t="e">
        <f t="shared" ca="1" si="37"/>
        <v>#N/A</v>
      </c>
      <c r="F292" s="232" t="e">
        <f t="shared" ca="1" si="38"/>
        <v>#N/A</v>
      </c>
      <c r="G292" s="232" t="e">
        <f t="shared" ca="1" si="41"/>
        <v>#N/A</v>
      </c>
      <c r="H292" s="232" t="e">
        <f t="shared" ca="1" si="42"/>
        <v>#N/A</v>
      </c>
      <c r="I292" s="232" t="e">
        <f t="shared" ca="1" si="39"/>
        <v>#N/A</v>
      </c>
      <c r="J292" s="250"/>
      <c r="K292" s="250"/>
    </row>
    <row r="293" spans="1:11" hidden="1">
      <c r="A293" s="230" t="e">
        <f t="shared" ca="1" si="40"/>
        <v>#N/A</v>
      </c>
      <c r="B293" s="231" t="e">
        <f t="shared" ca="1" si="36"/>
        <v>#N/A</v>
      </c>
      <c r="C293" s="232" t="e">
        <f t="shared" ca="1" si="43"/>
        <v>#N/A</v>
      </c>
      <c r="D293" s="232" t="e">
        <f t="shared" ca="1" si="44"/>
        <v>#N/A</v>
      </c>
      <c r="E293" s="233" t="e">
        <f t="shared" ca="1" si="37"/>
        <v>#N/A</v>
      </c>
      <c r="F293" s="232" t="e">
        <f t="shared" ca="1" si="38"/>
        <v>#N/A</v>
      </c>
      <c r="G293" s="232" t="e">
        <f t="shared" ca="1" si="41"/>
        <v>#N/A</v>
      </c>
      <c r="H293" s="232" t="e">
        <f t="shared" ca="1" si="42"/>
        <v>#N/A</v>
      </c>
      <c r="I293" s="232" t="e">
        <f t="shared" ca="1" si="39"/>
        <v>#N/A</v>
      </c>
      <c r="J293" s="250"/>
      <c r="K293" s="250"/>
    </row>
    <row r="294" spans="1:11" hidden="1">
      <c r="A294" s="230" t="e">
        <f t="shared" ca="1" si="40"/>
        <v>#N/A</v>
      </c>
      <c r="B294" s="231" t="e">
        <f t="shared" ca="1" si="36"/>
        <v>#N/A</v>
      </c>
      <c r="C294" s="232" t="e">
        <f t="shared" ca="1" si="43"/>
        <v>#N/A</v>
      </c>
      <c r="D294" s="232" t="e">
        <f t="shared" ca="1" si="44"/>
        <v>#N/A</v>
      </c>
      <c r="E294" s="233" t="e">
        <f t="shared" ca="1" si="37"/>
        <v>#N/A</v>
      </c>
      <c r="F294" s="232" t="e">
        <f t="shared" ca="1" si="38"/>
        <v>#N/A</v>
      </c>
      <c r="G294" s="232" t="e">
        <f t="shared" ca="1" si="41"/>
        <v>#N/A</v>
      </c>
      <c r="H294" s="232" t="e">
        <f t="shared" ca="1" si="42"/>
        <v>#N/A</v>
      </c>
      <c r="I294" s="232" t="e">
        <f t="shared" ca="1" si="39"/>
        <v>#N/A</v>
      </c>
      <c r="J294" s="250"/>
      <c r="K294" s="250"/>
    </row>
    <row r="295" spans="1:11" hidden="1">
      <c r="A295" s="230" t="e">
        <f t="shared" ca="1" si="40"/>
        <v>#N/A</v>
      </c>
      <c r="B295" s="231" t="e">
        <f t="shared" ca="1" si="36"/>
        <v>#N/A</v>
      </c>
      <c r="C295" s="232" t="e">
        <f t="shared" ca="1" si="43"/>
        <v>#N/A</v>
      </c>
      <c r="D295" s="232" t="e">
        <f t="shared" ca="1" si="44"/>
        <v>#N/A</v>
      </c>
      <c r="E295" s="233" t="e">
        <f t="shared" ca="1" si="37"/>
        <v>#N/A</v>
      </c>
      <c r="F295" s="232" t="e">
        <f t="shared" ca="1" si="38"/>
        <v>#N/A</v>
      </c>
      <c r="G295" s="232" t="e">
        <f t="shared" ca="1" si="41"/>
        <v>#N/A</v>
      </c>
      <c r="H295" s="232" t="e">
        <f t="shared" ca="1" si="42"/>
        <v>#N/A</v>
      </c>
      <c r="I295" s="232" t="e">
        <f t="shared" ca="1" si="39"/>
        <v>#N/A</v>
      </c>
      <c r="J295" s="250"/>
      <c r="K295" s="250"/>
    </row>
    <row r="296" spans="1:11" hidden="1">
      <c r="A296" s="230" t="e">
        <f t="shared" ca="1" si="40"/>
        <v>#N/A</v>
      </c>
      <c r="B296" s="231" t="e">
        <f t="shared" ca="1" si="36"/>
        <v>#N/A</v>
      </c>
      <c r="C296" s="232" t="e">
        <f t="shared" ca="1" si="43"/>
        <v>#N/A</v>
      </c>
      <c r="D296" s="232" t="e">
        <f t="shared" ca="1" si="44"/>
        <v>#N/A</v>
      </c>
      <c r="E296" s="233" t="e">
        <f t="shared" ca="1" si="37"/>
        <v>#N/A</v>
      </c>
      <c r="F296" s="232" t="e">
        <f t="shared" ca="1" si="38"/>
        <v>#N/A</v>
      </c>
      <c r="G296" s="232" t="e">
        <f t="shared" ca="1" si="41"/>
        <v>#N/A</v>
      </c>
      <c r="H296" s="232" t="e">
        <f t="shared" ca="1" si="42"/>
        <v>#N/A</v>
      </c>
      <c r="I296" s="232" t="e">
        <f t="shared" ca="1" si="39"/>
        <v>#N/A</v>
      </c>
      <c r="J296" s="250"/>
      <c r="K296" s="250"/>
    </row>
    <row r="297" spans="1:11" hidden="1">
      <c r="A297" s="230" t="e">
        <f t="shared" ca="1" si="40"/>
        <v>#N/A</v>
      </c>
      <c r="B297" s="231" t="e">
        <f t="shared" ca="1" si="36"/>
        <v>#N/A</v>
      </c>
      <c r="C297" s="232" t="e">
        <f t="shared" ca="1" si="43"/>
        <v>#N/A</v>
      </c>
      <c r="D297" s="232" t="e">
        <f t="shared" ca="1" si="44"/>
        <v>#N/A</v>
      </c>
      <c r="E297" s="233" t="e">
        <f t="shared" ca="1" si="37"/>
        <v>#N/A</v>
      </c>
      <c r="F297" s="232" t="e">
        <f t="shared" ca="1" si="38"/>
        <v>#N/A</v>
      </c>
      <c r="G297" s="232" t="e">
        <f t="shared" ca="1" si="41"/>
        <v>#N/A</v>
      </c>
      <c r="H297" s="232" t="e">
        <f t="shared" ca="1" si="42"/>
        <v>#N/A</v>
      </c>
      <c r="I297" s="232" t="e">
        <f t="shared" ca="1" si="39"/>
        <v>#N/A</v>
      </c>
      <c r="J297" s="250"/>
      <c r="K297" s="250"/>
    </row>
    <row r="298" spans="1:11" hidden="1">
      <c r="A298" s="230" t="e">
        <f t="shared" ca="1" si="40"/>
        <v>#N/A</v>
      </c>
      <c r="B298" s="231" t="e">
        <f t="shared" ca="1" si="36"/>
        <v>#N/A</v>
      </c>
      <c r="C298" s="232" t="e">
        <f t="shared" ca="1" si="43"/>
        <v>#N/A</v>
      </c>
      <c r="D298" s="232" t="e">
        <f t="shared" ca="1" si="44"/>
        <v>#N/A</v>
      </c>
      <c r="E298" s="233" t="e">
        <f t="shared" ca="1" si="37"/>
        <v>#N/A</v>
      </c>
      <c r="F298" s="232" t="e">
        <f t="shared" ca="1" si="38"/>
        <v>#N/A</v>
      </c>
      <c r="G298" s="232" t="e">
        <f t="shared" ca="1" si="41"/>
        <v>#N/A</v>
      </c>
      <c r="H298" s="232" t="e">
        <f t="shared" ca="1" si="42"/>
        <v>#N/A</v>
      </c>
      <c r="I298" s="232" t="e">
        <f t="shared" ca="1" si="39"/>
        <v>#N/A</v>
      </c>
      <c r="J298" s="250"/>
      <c r="K298" s="250"/>
    </row>
    <row r="299" spans="1:11" hidden="1">
      <c r="A299" s="230" t="e">
        <f t="shared" ca="1" si="40"/>
        <v>#N/A</v>
      </c>
      <c r="B299" s="231" t="e">
        <f t="shared" ca="1" si="36"/>
        <v>#N/A</v>
      </c>
      <c r="C299" s="232" t="e">
        <f t="shared" ca="1" si="43"/>
        <v>#N/A</v>
      </c>
      <c r="D299" s="232" t="e">
        <f t="shared" ca="1" si="44"/>
        <v>#N/A</v>
      </c>
      <c r="E299" s="233" t="e">
        <f t="shared" ca="1" si="37"/>
        <v>#N/A</v>
      </c>
      <c r="F299" s="232" t="e">
        <f t="shared" ca="1" si="38"/>
        <v>#N/A</v>
      </c>
      <c r="G299" s="232" t="e">
        <f t="shared" ca="1" si="41"/>
        <v>#N/A</v>
      </c>
      <c r="H299" s="232" t="e">
        <f t="shared" ca="1" si="42"/>
        <v>#N/A</v>
      </c>
      <c r="I299" s="232" t="e">
        <f t="shared" ca="1" si="39"/>
        <v>#N/A</v>
      </c>
      <c r="J299" s="250"/>
      <c r="K299" s="250"/>
    </row>
    <row r="300" spans="1:11" hidden="1">
      <c r="A300" s="230" t="e">
        <f t="shared" ca="1" si="40"/>
        <v>#N/A</v>
      </c>
      <c r="B300" s="231" t="e">
        <f t="shared" ca="1" si="36"/>
        <v>#N/A</v>
      </c>
      <c r="C300" s="232" t="e">
        <f t="shared" ca="1" si="43"/>
        <v>#N/A</v>
      </c>
      <c r="D300" s="232" t="e">
        <f t="shared" ca="1" si="44"/>
        <v>#N/A</v>
      </c>
      <c r="E300" s="233" t="e">
        <f t="shared" ca="1" si="37"/>
        <v>#N/A</v>
      </c>
      <c r="F300" s="232" t="e">
        <f t="shared" ca="1" si="38"/>
        <v>#N/A</v>
      </c>
      <c r="G300" s="232" t="e">
        <f t="shared" ca="1" si="41"/>
        <v>#N/A</v>
      </c>
      <c r="H300" s="232" t="e">
        <f t="shared" ca="1" si="42"/>
        <v>#N/A</v>
      </c>
      <c r="I300" s="232" t="e">
        <f t="shared" ca="1" si="39"/>
        <v>#N/A</v>
      </c>
      <c r="J300" s="250"/>
      <c r="K300" s="250"/>
    </row>
    <row r="301" spans="1:11" hidden="1">
      <c r="A301" s="230" t="e">
        <f t="shared" ca="1" si="40"/>
        <v>#N/A</v>
      </c>
      <c r="B301" s="231" t="e">
        <f t="shared" ca="1" si="36"/>
        <v>#N/A</v>
      </c>
      <c r="C301" s="232" t="e">
        <f t="shared" ca="1" si="43"/>
        <v>#N/A</v>
      </c>
      <c r="D301" s="232" t="e">
        <f t="shared" ca="1" si="44"/>
        <v>#N/A</v>
      </c>
      <c r="E301" s="233" t="e">
        <f t="shared" ca="1" si="37"/>
        <v>#N/A</v>
      </c>
      <c r="F301" s="232" t="e">
        <f t="shared" ca="1" si="38"/>
        <v>#N/A</v>
      </c>
      <c r="G301" s="232" t="e">
        <f t="shared" ca="1" si="41"/>
        <v>#N/A</v>
      </c>
      <c r="H301" s="232" t="e">
        <f t="shared" ca="1" si="42"/>
        <v>#N/A</v>
      </c>
      <c r="I301" s="232" t="e">
        <f t="shared" ca="1" si="39"/>
        <v>#N/A</v>
      </c>
      <c r="J301" s="250"/>
      <c r="K301" s="250"/>
    </row>
    <row r="302" spans="1:11" hidden="1">
      <c r="A302" s="230" t="e">
        <f t="shared" ca="1" si="40"/>
        <v>#N/A</v>
      </c>
      <c r="B302" s="231" t="e">
        <f t="shared" ca="1" si="36"/>
        <v>#N/A</v>
      </c>
      <c r="C302" s="232" t="e">
        <f t="shared" ca="1" si="43"/>
        <v>#N/A</v>
      </c>
      <c r="D302" s="232" t="e">
        <f t="shared" ca="1" si="44"/>
        <v>#N/A</v>
      </c>
      <c r="E302" s="233" t="e">
        <f t="shared" ca="1" si="37"/>
        <v>#N/A</v>
      </c>
      <c r="F302" s="232" t="e">
        <f t="shared" ca="1" si="38"/>
        <v>#N/A</v>
      </c>
      <c r="G302" s="232" t="e">
        <f t="shared" ca="1" si="41"/>
        <v>#N/A</v>
      </c>
      <c r="H302" s="232" t="e">
        <f t="shared" ca="1" si="42"/>
        <v>#N/A</v>
      </c>
      <c r="I302" s="232" t="e">
        <f t="shared" ca="1" si="39"/>
        <v>#N/A</v>
      </c>
      <c r="J302" s="250"/>
      <c r="K302" s="250"/>
    </row>
    <row r="303" spans="1:11" hidden="1">
      <c r="A303" s="230" t="e">
        <f t="shared" ca="1" si="40"/>
        <v>#N/A</v>
      </c>
      <c r="B303" s="231" t="e">
        <f t="shared" ca="1" si="36"/>
        <v>#N/A</v>
      </c>
      <c r="C303" s="232" t="e">
        <f t="shared" ca="1" si="43"/>
        <v>#N/A</v>
      </c>
      <c r="D303" s="232" t="e">
        <f t="shared" ca="1" si="44"/>
        <v>#N/A</v>
      </c>
      <c r="E303" s="233" t="e">
        <f t="shared" ca="1" si="37"/>
        <v>#N/A</v>
      </c>
      <c r="F303" s="232" t="e">
        <f t="shared" ca="1" si="38"/>
        <v>#N/A</v>
      </c>
      <c r="G303" s="232" t="e">
        <f t="shared" ca="1" si="41"/>
        <v>#N/A</v>
      </c>
      <c r="H303" s="232" t="e">
        <f t="shared" ca="1" si="42"/>
        <v>#N/A</v>
      </c>
      <c r="I303" s="232" t="e">
        <f t="shared" ca="1" si="39"/>
        <v>#N/A</v>
      </c>
      <c r="J303" s="250"/>
      <c r="K303" s="250"/>
    </row>
    <row r="304" spans="1:11" hidden="1">
      <c r="A304" s="230" t="e">
        <f t="shared" ca="1" si="40"/>
        <v>#N/A</v>
      </c>
      <c r="B304" s="231" t="e">
        <f t="shared" ca="1" si="36"/>
        <v>#N/A</v>
      </c>
      <c r="C304" s="232" t="e">
        <f t="shared" ca="1" si="43"/>
        <v>#N/A</v>
      </c>
      <c r="D304" s="232" t="e">
        <f t="shared" ca="1" si="44"/>
        <v>#N/A</v>
      </c>
      <c r="E304" s="233" t="e">
        <f t="shared" ca="1" si="37"/>
        <v>#N/A</v>
      </c>
      <c r="F304" s="232" t="e">
        <f t="shared" ca="1" si="38"/>
        <v>#N/A</v>
      </c>
      <c r="G304" s="232" t="e">
        <f t="shared" ca="1" si="41"/>
        <v>#N/A</v>
      </c>
      <c r="H304" s="232" t="e">
        <f t="shared" ca="1" si="42"/>
        <v>#N/A</v>
      </c>
      <c r="I304" s="232" t="e">
        <f t="shared" ca="1" si="39"/>
        <v>#N/A</v>
      </c>
      <c r="J304" s="250"/>
      <c r="K304" s="250"/>
    </row>
    <row r="305" spans="1:11" hidden="1">
      <c r="A305" s="230" t="e">
        <f t="shared" ca="1" si="40"/>
        <v>#N/A</v>
      </c>
      <c r="B305" s="231" t="e">
        <f t="shared" ca="1" si="36"/>
        <v>#N/A</v>
      </c>
      <c r="C305" s="232" t="e">
        <f t="shared" ca="1" si="43"/>
        <v>#N/A</v>
      </c>
      <c r="D305" s="232" t="e">
        <f t="shared" ca="1" si="44"/>
        <v>#N/A</v>
      </c>
      <c r="E305" s="233" t="e">
        <f t="shared" ca="1" si="37"/>
        <v>#N/A</v>
      </c>
      <c r="F305" s="232" t="e">
        <f t="shared" ca="1" si="38"/>
        <v>#N/A</v>
      </c>
      <c r="G305" s="232" t="e">
        <f t="shared" ca="1" si="41"/>
        <v>#N/A</v>
      </c>
      <c r="H305" s="232" t="e">
        <f t="shared" ca="1" si="42"/>
        <v>#N/A</v>
      </c>
      <c r="I305" s="232" t="e">
        <f t="shared" ca="1" si="39"/>
        <v>#N/A</v>
      </c>
      <c r="J305" s="250"/>
      <c r="K305" s="250"/>
    </row>
    <row r="306" spans="1:11" hidden="1">
      <c r="A306" s="230" t="e">
        <f t="shared" ca="1" si="40"/>
        <v>#N/A</v>
      </c>
      <c r="B306" s="231" t="e">
        <f t="shared" ca="1" si="36"/>
        <v>#N/A</v>
      </c>
      <c r="C306" s="232" t="e">
        <f t="shared" ca="1" si="43"/>
        <v>#N/A</v>
      </c>
      <c r="D306" s="232" t="e">
        <f t="shared" ca="1" si="44"/>
        <v>#N/A</v>
      </c>
      <c r="E306" s="233" t="e">
        <f t="shared" ca="1" si="37"/>
        <v>#N/A</v>
      </c>
      <c r="F306" s="232" t="e">
        <f t="shared" ca="1" si="38"/>
        <v>#N/A</v>
      </c>
      <c r="G306" s="232" t="e">
        <f t="shared" ca="1" si="41"/>
        <v>#N/A</v>
      </c>
      <c r="H306" s="232" t="e">
        <f t="shared" ca="1" si="42"/>
        <v>#N/A</v>
      </c>
      <c r="I306" s="232" t="e">
        <f t="shared" ca="1" si="39"/>
        <v>#N/A</v>
      </c>
      <c r="J306" s="250"/>
      <c r="K306" s="250"/>
    </row>
    <row r="307" spans="1:11" hidden="1">
      <c r="A307" s="230" t="e">
        <f t="shared" ca="1" si="40"/>
        <v>#N/A</v>
      </c>
      <c r="B307" s="231" t="e">
        <f t="shared" ca="1" si="36"/>
        <v>#N/A</v>
      </c>
      <c r="C307" s="232" t="e">
        <f t="shared" ca="1" si="43"/>
        <v>#N/A</v>
      </c>
      <c r="D307" s="232" t="e">
        <f t="shared" ca="1" si="44"/>
        <v>#N/A</v>
      </c>
      <c r="E307" s="233" t="e">
        <f t="shared" ca="1" si="37"/>
        <v>#N/A</v>
      </c>
      <c r="F307" s="232" t="e">
        <f t="shared" ca="1" si="38"/>
        <v>#N/A</v>
      </c>
      <c r="G307" s="232" t="e">
        <f t="shared" ca="1" si="41"/>
        <v>#N/A</v>
      </c>
      <c r="H307" s="232" t="e">
        <f t="shared" ca="1" si="42"/>
        <v>#N/A</v>
      </c>
      <c r="I307" s="232" t="e">
        <f t="shared" ca="1" si="39"/>
        <v>#N/A</v>
      </c>
      <c r="J307" s="250"/>
      <c r="K307" s="250"/>
    </row>
    <row r="308" spans="1:11" hidden="1">
      <c r="A308" s="230" t="e">
        <f t="shared" ca="1" si="40"/>
        <v>#N/A</v>
      </c>
      <c r="B308" s="231" t="e">
        <f t="shared" ca="1" si="36"/>
        <v>#N/A</v>
      </c>
      <c r="C308" s="232" t="e">
        <f t="shared" ca="1" si="43"/>
        <v>#N/A</v>
      </c>
      <c r="D308" s="232" t="e">
        <f t="shared" ca="1" si="44"/>
        <v>#N/A</v>
      </c>
      <c r="E308" s="233" t="e">
        <f t="shared" ca="1" si="37"/>
        <v>#N/A</v>
      </c>
      <c r="F308" s="232" t="e">
        <f t="shared" ca="1" si="38"/>
        <v>#N/A</v>
      </c>
      <c r="G308" s="232" t="e">
        <f t="shared" ca="1" si="41"/>
        <v>#N/A</v>
      </c>
      <c r="H308" s="232" t="e">
        <f t="shared" ca="1" si="42"/>
        <v>#N/A</v>
      </c>
      <c r="I308" s="232" t="e">
        <f t="shared" ca="1" si="39"/>
        <v>#N/A</v>
      </c>
      <c r="J308" s="250"/>
      <c r="K308" s="250"/>
    </row>
    <row r="309" spans="1:11" hidden="1">
      <c r="A309" s="230" t="e">
        <f t="shared" ca="1" si="40"/>
        <v>#N/A</v>
      </c>
      <c r="B309" s="231" t="e">
        <f t="shared" ca="1" si="36"/>
        <v>#N/A</v>
      </c>
      <c r="C309" s="232" t="e">
        <f t="shared" ca="1" si="43"/>
        <v>#N/A</v>
      </c>
      <c r="D309" s="232" t="e">
        <f t="shared" ca="1" si="44"/>
        <v>#N/A</v>
      </c>
      <c r="E309" s="233" t="e">
        <f t="shared" ca="1" si="37"/>
        <v>#N/A</v>
      </c>
      <c r="F309" s="232" t="e">
        <f t="shared" ca="1" si="38"/>
        <v>#N/A</v>
      </c>
      <c r="G309" s="232" t="e">
        <f t="shared" ca="1" si="41"/>
        <v>#N/A</v>
      </c>
      <c r="H309" s="232" t="e">
        <f t="shared" ca="1" si="42"/>
        <v>#N/A</v>
      </c>
      <c r="I309" s="232" t="e">
        <f t="shared" ca="1" si="39"/>
        <v>#N/A</v>
      </c>
      <c r="J309" s="250"/>
      <c r="K309" s="250"/>
    </row>
    <row r="310" spans="1:11" hidden="1">
      <c r="A310" s="230" t="e">
        <f t="shared" ca="1" si="40"/>
        <v>#N/A</v>
      </c>
      <c r="B310" s="231" t="e">
        <f t="shared" ca="1" si="36"/>
        <v>#N/A</v>
      </c>
      <c r="C310" s="232" t="e">
        <f t="shared" ca="1" si="43"/>
        <v>#N/A</v>
      </c>
      <c r="D310" s="232" t="e">
        <f t="shared" ca="1" si="44"/>
        <v>#N/A</v>
      </c>
      <c r="E310" s="233" t="e">
        <f t="shared" ca="1" si="37"/>
        <v>#N/A</v>
      </c>
      <c r="F310" s="232" t="e">
        <f t="shared" ca="1" si="38"/>
        <v>#N/A</v>
      </c>
      <c r="G310" s="232" t="e">
        <f t="shared" ca="1" si="41"/>
        <v>#N/A</v>
      </c>
      <c r="H310" s="232" t="e">
        <f t="shared" ca="1" si="42"/>
        <v>#N/A</v>
      </c>
      <c r="I310" s="232" t="e">
        <f t="shared" ca="1" si="39"/>
        <v>#N/A</v>
      </c>
      <c r="J310" s="250"/>
      <c r="K310" s="250"/>
    </row>
    <row r="311" spans="1:11" hidden="1">
      <c r="A311" s="230" t="e">
        <f t="shared" ca="1" si="40"/>
        <v>#N/A</v>
      </c>
      <c r="B311" s="231" t="e">
        <f t="shared" ca="1" si="36"/>
        <v>#N/A</v>
      </c>
      <c r="C311" s="232" t="e">
        <f t="shared" ca="1" si="43"/>
        <v>#N/A</v>
      </c>
      <c r="D311" s="232" t="e">
        <f t="shared" ca="1" si="44"/>
        <v>#N/A</v>
      </c>
      <c r="E311" s="233" t="e">
        <f t="shared" ca="1" si="37"/>
        <v>#N/A</v>
      </c>
      <c r="F311" s="232" t="e">
        <f t="shared" ca="1" si="38"/>
        <v>#N/A</v>
      </c>
      <c r="G311" s="232" t="e">
        <f t="shared" ca="1" si="41"/>
        <v>#N/A</v>
      </c>
      <c r="H311" s="232" t="e">
        <f t="shared" ca="1" si="42"/>
        <v>#N/A</v>
      </c>
      <c r="I311" s="232" t="e">
        <f t="shared" ca="1" si="39"/>
        <v>#N/A</v>
      </c>
      <c r="J311" s="250"/>
      <c r="K311" s="250"/>
    </row>
    <row r="312" spans="1:11" hidden="1">
      <c r="A312" s="230" t="e">
        <f t="shared" ca="1" si="40"/>
        <v>#N/A</v>
      </c>
      <c r="B312" s="231" t="e">
        <f t="shared" ca="1" si="36"/>
        <v>#N/A</v>
      </c>
      <c r="C312" s="232" t="e">
        <f t="shared" ca="1" si="43"/>
        <v>#N/A</v>
      </c>
      <c r="D312" s="232" t="e">
        <f t="shared" ca="1" si="44"/>
        <v>#N/A</v>
      </c>
      <c r="E312" s="233" t="e">
        <f t="shared" ca="1" si="37"/>
        <v>#N/A</v>
      </c>
      <c r="F312" s="232" t="e">
        <f t="shared" ca="1" si="38"/>
        <v>#N/A</v>
      </c>
      <c r="G312" s="232" t="e">
        <f t="shared" ca="1" si="41"/>
        <v>#N/A</v>
      </c>
      <c r="H312" s="232" t="e">
        <f t="shared" ca="1" si="42"/>
        <v>#N/A</v>
      </c>
      <c r="I312" s="232" t="e">
        <f t="shared" ca="1" si="39"/>
        <v>#N/A</v>
      </c>
      <c r="J312" s="250"/>
      <c r="K312" s="250"/>
    </row>
    <row r="313" spans="1:11" hidden="1">
      <c r="A313" s="230" t="e">
        <f t="shared" ca="1" si="40"/>
        <v>#N/A</v>
      </c>
      <c r="B313" s="231" t="e">
        <f t="shared" ca="1" si="36"/>
        <v>#N/A</v>
      </c>
      <c r="C313" s="232" t="e">
        <f t="shared" ca="1" si="43"/>
        <v>#N/A</v>
      </c>
      <c r="D313" s="232" t="e">
        <f t="shared" ca="1" si="44"/>
        <v>#N/A</v>
      </c>
      <c r="E313" s="233" t="e">
        <f t="shared" ca="1" si="37"/>
        <v>#N/A</v>
      </c>
      <c r="F313" s="232" t="e">
        <f t="shared" ca="1" si="38"/>
        <v>#N/A</v>
      </c>
      <c r="G313" s="232" t="e">
        <f t="shared" ca="1" si="41"/>
        <v>#N/A</v>
      </c>
      <c r="H313" s="232" t="e">
        <f t="shared" ca="1" si="42"/>
        <v>#N/A</v>
      </c>
      <c r="I313" s="232" t="e">
        <f t="shared" ca="1" si="39"/>
        <v>#N/A</v>
      </c>
      <c r="J313" s="250"/>
      <c r="K313" s="250"/>
    </row>
    <row r="314" spans="1:11" hidden="1">
      <c r="A314" s="230" t="e">
        <f t="shared" ca="1" si="40"/>
        <v>#N/A</v>
      </c>
      <c r="B314" s="231" t="e">
        <f t="shared" ca="1" si="36"/>
        <v>#N/A</v>
      </c>
      <c r="C314" s="232" t="e">
        <f t="shared" ca="1" si="43"/>
        <v>#N/A</v>
      </c>
      <c r="D314" s="232" t="e">
        <f t="shared" ca="1" si="44"/>
        <v>#N/A</v>
      </c>
      <c r="E314" s="233" t="e">
        <f t="shared" ca="1" si="37"/>
        <v>#N/A</v>
      </c>
      <c r="F314" s="232" t="e">
        <f t="shared" ca="1" si="38"/>
        <v>#N/A</v>
      </c>
      <c r="G314" s="232" t="e">
        <f t="shared" ca="1" si="41"/>
        <v>#N/A</v>
      </c>
      <c r="H314" s="232" t="e">
        <f t="shared" ca="1" si="42"/>
        <v>#N/A</v>
      </c>
      <c r="I314" s="232" t="e">
        <f t="shared" ca="1" si="39"/>
        <v>#N/A</v>
      </c>
      <c r="J314" s="250"/>
      <c r="K314" s="250"/>
    </row>
    <row r="315" spans="1:11" hidden="1">
      <c r="A315" s="230" t="e">
        <f t="shared" ca="1" si="40"/>
        <v>#N/A</v>
      </c>
      <c r="B315" s="231" t="e">
        <f t="shared" ca="1" si="36"/>
        <v>#N/A</v>
      </c>
      <c r="C315" s="232" t="e">
        <f t="shared" ca="1" si="43"/>
        <v>#N/A</v>
      </c>
      <c r="D315" s="232" t="e">
        <f t="shared" ca="1" si="44"/>
        <v>#N/A</v>
      </c>
      <c r="E315" s="233" t="e">
        <f t="shared" ca="1" si="37"/>
        <v>#N/A</v>
      </c>
      <c r="F315" s="232" t="e">
        <f t="shared" ca="1" si="38"/>
        <v>#N/A</v>
      </c>
      <c r="G315" s="232" t="e">
        <f t="shared" ca="1" si="41"/>
        <v>#N/A</v>
      </c>
      <c r="H315" s="232" t="e">
        <f t="shared" ca="1" si="42"/>
        <v>#N/A</v>
      </c>
      <c r="I315" s="232" t="e">
        <f t="shared" ca="1" si="39"/>
        <v>#N/A</v>
      </c>
      <c r="J315" s="250"/>
      <c r="K315" s="250"/>
    </row>
    <row r="316" spans="1:11" hidden="1">
      <c r="A316" s="230" t="e">
        <f t="shared" ca="1" si="40"/>
        <v>#N/A</v>
      </c>
      <c r="B316" s="231" t="e">
        <f t="shared" ca="1" si="36"/>
        <v>#N/A</v>
      </c>
      <c r="C316" s="232" t="e">
        <f t="shared" ca="1" si="43"/>
        <v>#N/A</v>
      </c>
      <c r="D316" s="232" t="e">
        <f t="shared" ca="1" si="44"/>
        <v>#N/A</v>
      </c>
      <c r="E316" s="233" t="e">
        <f t="shared" ca="1" si="37"/>
        <v>#N/A</v>
      </c>
      <c r="F316" s="232" t="e">
        <f t="shared" ca="1" si="38"/>
        <v>#N/A</v>
      </c>
      <c r="G316" s="232" t="e">
        <f t="shared" ca="1" si="41"/>
        <v>#N/A</v>
      </c>
      <c r="H316" s="232" t="e">
        <f t="shared" ca="1" si="42"/>
        <v>#N/A</v>
      </c>
      <c r="I316" s="232" t="e">
        <f t="shared" ca="1" si="39"/>
        <v>#N/A</v>
      </c>
      <c r="J316" s="250"/>
      <c r="K316" s="250"/>
    </row>
    <row r="317" spans="1:11" hidden="1">
      <c r="A317" s="230" t="e">
        <f t="shared" ca="1" si="40"/>
        <v>#N/A</v>
      </c>
      <c r="B317" s="231" t="e">
        <f t="shared" ca="1" si="36"/>
        <v>#N/A</v>
      </c>
      <c r="C317" s="232" t="e">
        <f t="shared" ca="1" si="43"/>
        <v>#N/A</v>
      </c>
      <c r="D317" s="232" t="e">
        <f t="shared" ca="1" si="44"/>
        <v>#N/A</v>
      </c>
      <c r="E317" s="233" t="e">
        <f t="shared" ca="1" si="37"/>
        <v>#N/A</v>
      </c>
      <c r="F317" s="232" t="e">
        <f t="shared" ca="1" si="38"/>
        <v>#N/A</v>
      </c>
      <c r="G317" s="232" t="e">
        <f t="shared" ca="1" si="41"/>
        <v>#N/A</v>
      </c>
      <c r="H317" s="232" t="e">
        <f t="shared" ca="1" si="42"/>
        <v>#N/A</v>
      </c>
      <c r="I317" s="232" t="e">
        <f t="shared" ca="1" si="39"/>
        <v>#N/A</v>
      </c>
      <c r="J317" s="250"/>
      <c r="K317" s="250"/>
    </row>
    <row r="318" spans="1:11" hidden="1">
      <c r="A318" s="230" t="e">
        <f t="shared" ca="1" si="40"/>
        <v>#N/A</v>
      </c>
      <c r="B318" s="231" t="e">
        <f t="shared" ca="1" si="36"/>
        <v>#N/A</v>
      </c>
      <c r="C318" s="232" t="e">
        <f t="shared" ca="1" si="43"/>
        <v>#N/A</v>
      </c>
      <c r="D318" s="232" t="e">
        <f t="shared" ca="1" si="44"/>
        <v>#N/A</v>
      </c>
      <c r="E318" s="233" t="e">
        <f t="shared" ca="1" si="37"/>
        <v>#N/A</v>
      </c>
      <c r="F318" s="232" t="e">
        <f t="shared" ca="1" si="38"/>
        <v>#N/A</v>
      </c>
      <c r="G318" s="232" t="e">
        <f t="shared" ca="1" si="41"/>
        <v>#N/A</v>
      </c>
      <c r="H318" s="232" t="e">
        <f t="shared" ca="1" si="42"/>
        <v>#N/A</v>
      </c>
      <c r="I318" s="232" t="e">
        <f t="shared" ca="1" si="39"/>
        <v>#N/A</v>
      </c>
      <c r="J318" s="250"/>
      <c r="K318" s="250"/>
    </row>
    <row r="319" spans="1:11" hidden="1">
      <c r="A319" s="230" t="e">
        <f t="shared" ca="1" si="40"/>
        <v>#N/A</v>
      </c>
      <c r="B319" s="231" t="e">
        <f t="shared" ca="1" si="36"/>
        <v>#N/A</v>
      </c>
      <c r="C319" s="232" t="e">
        <f t="shared" ca="1" si="43"/>
        <v>#N/A</v>
      </c>
      <c r="D319" s="232" t="e">
        <f t="shared" ca="1" si="44"/>
        <v>#N/A</v>
      </c>
      <c r="E319" s="233" t="e">
        <f t="shared" ca="1" si="37"/>
        <v>#N/A</v>
      </c>
      <c r="F319" s="232" t="e">
        <f t="shared" ca="1" si="38"/>
        <v>#N/A</v>
      </c>
      <c r="G319" s="232" t="e">
        <f t="shared" ca="1" si="41"/>
        <v>#N/A</v>
      </c>
      <c r="H319" s="232" t="e">
        <f t="shared" ca="1" si="42"/>
        <v>#N/A</v>
      </c>
      <c r="I319" s="232" t="e">
        <f t="shared" ca="1" si="39"/>
        <v>#N/A</v>
      </c>
      <c r="J319" s="250"/>
      <c r="K319" s="250"/>
    </row>
    <row r="320" spans="1:11" hidden="1">
      <c r="A320" s="230" t="e">
        <f t="shared" ca="1" si="40"/>
        <v>#N/A</v>
      </c>
      <c r="B320" s="231" t="e">
        <f t="shared" ca="1" si="36"/>
        <v>#N/A</v>
      </c>
      <c r="C320" s="232" t="e">
        <f t="shared" ca="1" si="43"/>
        <v>#N/A</v>
      </c>
      <c r="D320" s="232" t="e">
        <f t="shared" ca="1" si="44"/>
        <v>#N/A</v>
      </c>
      <c r="E320" s="233" t="e">
        <f t="shared" ca="1" si="37"/>
        <v>#N/A</v>
      </c>
      <c r="F320" s="232" t="e">
        <f t="shared" ca="1" si="38"/>
        <v>#N/A</v>
      </c>
      <c r="G320" s="232" t="e">
        <f t="shared" ca="1" si="41"/>
        <v>#N/A</v>
      </c>
      <c r="H320" s="232" t="e">
        <f t="shared" ca="1" si="42"/>
        <v>#N/A</v>
      </c>
      <c r="I320" s="232" t="e">
        <f t="shared" ca="1" si="39"/>
        <v>#N/A</v>
      </c>
      <c r="J320" s="250"/>
      <c r="K320" s="250"/>
    </row>
    <row r="321" spans="1:11" hidden="1">
      <c r="A321" s="230" t="e">
        <f t="shared" ca="1" si="40"/>
        <v>#N/A</v>
      </c>
      <c r="B321" s="231" t="e">
        <f t="shared" ca="1" si="36"/>
        <v>#N/A</v>
      </c>
      <c r="C321" s="232" t="e">
        <f t="shared" ca="1" si="43"/>
        <v>#N/A</v>
      </c>
      <c r="D321" s="232" t="e">
        <f t="shared" ca="1" si="44"/>
        <v>#N/A</v>
      </c>
      <c r="E321" s="233" t="e">
        <f t="shared" ca="1" si="37"/>
        <v>#N/A</v>
      </c>
      <c r="F321" s="232" t="e">
        <f t="shared" ca="1" si="38"/>
        <v>#N/A</v>
      </c>
      <c r="G321" s="232" t="e">
        <f t="shared" ca="1" si="41"/>
        <v>#N/A</v>
      </c>
      <c r="H321" s="232" t="e">
        <f t="shared" ca="1" si="42"/>
        <v>#N/A</v>
      </c>
      <c r="I321" s="232" t="e">
        <f t="shared" ca="1" si="39"/>
        <v>#N/A</v>
      </c>
      <c r="J321" s="250"/>
      <c r="K321" s="250"/>
    </row>
    <row r="322" spans="1:11" hidden="1">
      <c r="A322" s="230" t="e">
        <f t="shared" ca="1" si="40"/>
        <v>#N/A</v>
      </c>
      <c r="B322" s="231" t="e">
        <f t="shared" ca="1" si="36"/>
        <v>#N/A</v>
      </c>
      <c r="C322" s="232" t="e">
        <f t="shared" ca="1" si="43"/>
        <v>#N/A</v>
      </c>
      <c r="D322" s="232" t="e">
        <f t="shared" ca="1" si="44"/>
        <v>#N/A</v>
      </c>
      <c r="E322" s="233" t="e">
        <f t="shared" ca="1" si="37"/>
        <v>#N/A</v>
      </c>
      <c r="F322" s="232" t="e">
        <f t="shared" ca="1" si="38"/>
        <v>#N/A</v>
      </c>
      <c r="G322" s="232" t="e">
        <f t="shared" ca="1" si="41"/>
        <v>#N/A</v>
      </c>
      <c r="H322" s="232" t="e">
        <f t="shared" ca="1" si="42"/>
        <v>#N/A</v>
      </c>
      <c r="I322" s="232" t="e">
        <f t="shared" ca="1" si="39"/>
        <v>#N/A</v>
      </c>
      <c r="J322" s="250"/>
      <c r="K322" s="250"/>
    </row>
    <row r="323" spans="1:11" hidden="1">
      <c r="A323" s="230" t="e">
        <f t="shared" ca="1" si="40"/>
        <v>#N/A</v>
      </c>
      <c r="B323" s="231" t="e">
        <f t="shared" ca="1" si="36"/>
        <v>#N/A</v>
      </c>
      <c r="C323" s="232" t="e">
        <f t="shared" ca="1" si="43"/>
        <v>#N/A</v>
      </c>
      <c r="D323" s="232" t="e">
        <f t="shared" ca="1" si="44"/>
        <v>#N/A</v>
      </c>
      <c r="E323" s="233" t="e">
        <f t="shared" ca="1" si="37"/>
        <v>#N/A</v>
      </c>
      <c r="F323" s="232" t="e">
        <f t="shared" ca="1" si="38"/>
        <v>#N/A</v>
      </c>
      <c r="G323" s="232" t="e">
        <f t="shared" ca="1" si="41"/>
        <v>#N/A</v>
      </c>
      <c r="H323" s="232" t="e">
        <f t="shared" ca="1" si="42"/>
        <v>#N/A</v>
      </c>
      <c r="I323" s="232" t="e">
        <f t="shared" ca="1" si="39"/>
        <v>#N/A</v>
      </c>
      <c r="J323" s="250"/>
      <c r="K323" s="250"/>
    </row>
    <row r="324" spans="1:11" hidden="1">
      <c r="A324" s="230" t="e">
        <f t="shared" ca="1" si="40"/>
        <v>#N/A</v>
      </c>
      <c r="B324" s="231" t="e">
        <f t="shared" ca="1" si="36"/>
        <v>#N/A</v>
      </c>
      <c r="C324" s="232" t="e">
        <f t="shared" ca="1" si="43"/>
        <v>#N/A</v>
      </c>
      <c r="D324" s="232" t="e">
        <f t="shared" ca="1" si="44"/>
        <v>#N/A</v>
      </c>
      <c r="E324" s="233" t="e">
        <f t="shared" ca="1" si="37"/>
        <v>#N/A</v>
      </c>
      <c r="F324" s="232" t="e">
        <f t="shared" ca="1" si="38"/>
        <v>#N/A</v>
      </c>
      <c r="G324" s="232" t="e">
        <f t="shared" ca="1" si="41"/>
        <v>#N/A</v>
      </c>
      <c r="H324" s="232" t="e">
        <f t="shared" ca="1" si="42"/>
        <v>#N/A</v>
      </c>
      <c r="I324" s="232" t="e">
        <f t="shared" ca="1" si="39"/>
        <v>#N/A</v>
      </c>
      <c r="J324" s="250"/>
      <c r="K324" s="250"/>
    </row>
    <row r="325" spans="1:11" hidden="1">
      <c r="A325" s="230" t="e">
        <f t="shared" ca="1" si="40"/>
        <v>#N/A</v>
      </c>
      <c r="B325" s="231" t="e">
        <f t="shared" ca="1" si="36"/>
        <v>#N/A</v>
      </c>
      <c r="C325" s="232" t="e">
        <f t="shared" ca="1" si="43"/>
        <v>#N/A</v>
      </c>
      <c r="D325" s="232" t="e">
        <f t="shared" ca="1" si="44"/>
        <v>#N/A</v>
      </c>
      <c r="E325" s="233" t="e">
        <f t="shared" ca="1" si="37"/>
        <v>#N/A</v>
      </c>
      <c r="F325" s="232" t="e">
        <f t="shared" ca="1" si="38"/>
        <v>#N/A</v>
      </c>
      <c r="G325" s="232" t="e">
        <f t="shared" ca="1" si="41"/>
        <v>#N/A</v>
      </c>
      <c r="H325" s="232" t="e">
        <f t="shared" ca="1" si="42"/>
        <v>#N/A</v>
      </c>
      <c r="I325" s="232" t="e">
        <f t="shared" ca="1" si="39"/>
        <v>#N/A</v>
      </c>
      <c r="J325" s="250"/>
      <c r="K325" s="250"/>
    </row>
    <row r="326" spans="1:11" hidden="1">
      <c r="A326" s="230" t="e">
        <f t="shared" ca="1" si="40"/>
        <v>#N/A</v>
      </c>
      <c r="B326" s="231" t="e">
        <f t="shared" ca="1" si="36"/>
        <v>#N/A</v>
      </c>
      <c r="C326" s="232" t="e">
        <f t="shared" ca="1" si="43"/>
        <v>#N/A</v>
      </c>
      <c r="D326" s="232" t="e">
        <f t="shared" ca="1" si="44"/>
        <v>#N/A</v>
      </c>
      <c r="E326" s="233" t="e">
        <f t="shared" ca="1" si="37"/>
        <v>#N/A</v>
      </c>
      <c r="F326" s="232" t="e">
        <f t="shared" ca="1" si="38"/>
        <v>#N/A</v>
      </c>
      <c r="G326" s="232" t="e">
        <f t="shared" ca="1" si="41"/>
        <v>#N/A</v>
      </c>
      <c r="H326" s="232" t="e">
        <f t="shared" ca="1" si="42"/>
        <v>#N/A</v>
      </c>
      <c r="I326" s="232" t="e">
        <f t="shared" ca="1" si="39"/>
        <v>#N/A</v>
      </c>
      <c r="J326" s="250"/>
      <c r="K326" s="250"/>
    </row>
    <row r="327" spans="1:11" hidden="1">
      <c r="A327" s="230" t="e">
        <f t="shared" ca="1" si="40"/>
        <v>#N/A</v>
      </c>
      <c r="B327" s="231" t="e">
        <f t="shared" ca="1" si="36"/>
        <v>#N/A</v>
      </c>
      <c r="C327" s="232" t="e">
        <f t="shared" ca="1" si="43"/>
        <v>#N/A</v>
      </c>
      <c r="D327" s="232" t="e">
        <f t="shared" ca="1" si="44"/>
        <v>#N/A</v>
      </c>
      <c r="E327" s="233" t="e">
        <f t="shared" ca="1" si="37"/>
        <v>#N/A</v>
      </c>
      <c r="F327" s="232" t="e">
        <f t="shared" ca="1" si="38"/>
        <v>#N/A</v>
      </c>
      <c r="G327" s="232" t="e">
        <f t="shared" ca="1" si="41"/>
        <v>#N/A</v>
      </c>
      <c r="H327" s="232" t="e">
        <f t="shared" ca="1" si="42"/>
        <v>#N/A</v>
      </c>
      <c r="I327" s="232" t="e">
        <f t="shared" ca="1" si="39"/>
        <v>#N/A</v>
      </c>
      <c r="J327" s="250"/>
      <c r="K327" s="250"/>
    </row>
    <row r="328" spans="1:11" hidden="1">
      <c r="A328" s="230" t="e">
        <f t="shared" ca="1" si="40"/>
        <v>#N/A</v>
      </c>
      <c r="B328" s="231" t="e">
        <f t="shared" ca="1" si="36"/>
        <v>#N/A</v>
      </c>
      <c r="C328" s="232" t="e">
        <f t="shared" ca="1" si="43"/>
        <v>#N/A</v>
      </c>
      <c r="D328" s="232" t="e">
        <f t="shared" ca="1" si="44"/>
        <v>#N/A</v>
      </c>
      <c r="E328" s="233" t="e">
        <f t="shared" ca="1" si="37"/>
        <v>#N/A</v>
      </c>
      <c r="F328" s="232" t="e">
        <f t="shared" ca="1" si="38"/>
        <v>#N/A</v>
      </c>
      <c r="G328" s="232" t="e">
        <f t="shared" ca="1" si="41"/>
        <v>#N/A</v>
      </c>
      <c r="H328" s="232" t="e">
        <f t="shared" ca="1" si="42"/>
        <v>#N/A</v>
      </c>
      <c r="I328" s="232" t="e">
        <f t="shared" ca="1" si="39"/>
        <v>#N/A</v>
      </c>
      <c r="J328" s="250"/>
      <c r="K328" s="250"/>
    </row>
    <row r="329" spans="1:11" hidden="1">
      <c r="A329" s="230" t="e">
        <f t="shared" ca="1" si="40"/>
        <v>#N/A</v>
      </c>
      <c r="B329" s="231" t="e">
        <f t="shared" ca="1" si="36"/>
        <v>#N/A</v>
      </c>
      <c r="C329" s="232" t="e">
        <f t="shared" ca="1" si="43"/>
        <v>#N/A</v>
      </c>
      <c r="D329" s="232" t="e">
        <f t="shared" ca="1" si="44"/>
        <v>#N/A</v>
      </c>
      <c r="E329" s="233" t="e">
        <f t="shared" ca="1" si="37"/>
        <v>#N/A</v>
      </c>
      <c r="F329" s="232" t="e">
        <f t="shared" ca="1" si="38"/>
        <v>#N/A</v>
      </c>
      <c r="G329" s="232" t="e">
        <f t="shared" ca="1" si="41"/>
        <v>#N/A</v>
      </c>
      <c r="H329" s="232" t="e">
        <f t="shared" ca="1" si="42"/>
        <v>#N/A</v>
      </c>
      <c r="I329" s="232" t="e">
        <f t="shared" ca="1" si="39"/>
        <v>#N/A</v>
      </c>
      <c r="J329" s="250"/>
      <c r="K329" s="250"/>
    </row>
    <row r="330" spans="1:11" hidden="1">
      <c r="A330" s="230" t="e">
        <f t="shared" ca="1" si="40"/>
        <v>#N/A</v>
      </c>
      <c r="B330" s="231" t="e">
        <f t="shared" ca="1" si="36"/>
        <v>#N/A</v>
      </c>
      <c r="C330" s="232" t="e">
        <f t="shared" ca="1" si="43"/>
        <v>#N/A</v>
      </c>
      <c r="D330" s="232" t="e">
        <f t="shared" ca="1" si="44"/>
        <v>#N/A</v>
      </c>
      <c r="E330" s="233" t="e">
        <f t="shared" ca="1" si="37"/>
        <v>#N/A</v>
      </c>
      <c r="F330" s="232" t="e">
        <f t="shared" ca="1" si="38"/>
        <v>#N/A</v>
      </c>
      <c r="G330" s="232" t="e">
        <f t="shared" ca="1" si="41"/>
        <v>#N/A</v>
      </c>
      <c r="H330" s="232" t="e">
        <f t="shared" ca="1" si="42"/>
        <v>#N/A</v>
      </c>
      <c r="I330" s="232" t="e">
        <f t="shared" ca="1" si="39"/>
        <v>#N/A</v>
      </c>
      <c r="J330" s="250"/>
      <c r="K330" s="250"/>
    </row>
    <row r="331" spans="1:11" hidden="1">
      <c r="A331" s="230" t="e">
        <f t="shared" ca="1" si="40"/>
        <v>#N/A</v>
      </c>
      <c r="B331" s="231" t="e">
        <f t="shared" ca="1" si="36"/>
        <v>#N/A</v>
      </c>
      <c r="C331" s="232" t="e">
        <f t="shared" ca="1" si="43"/>
        <v>#N/A</v>
      </c>
      <c r="D331" s="232" t="e">
        <f t="shared" ca="1" si="44"/>
        <v>#N/A</v>
      </c>
      <c r="E331" s="233" t="e">
        <f t="shared" ca="1" si="37"/>
        <v>#N/A</v>
      </c>
      <c r="F331" s="232" t="e">
        <f t="shared" ca="1" si="38"/>
        <v>#N/A</v>
      </c>
      <c r="G331" s="232" t="e">
        <f t="shared" ca="1" si="41"/>
        <v>#N/A</v>
      </c>
      <c r="H331" s="232" t="e">
        <f t="shared" ca="1" si="42"/>
        <v>#N/A</v>
      </c>
      <c r="I331" s="232" t="e">
        <f t="shared" ca="1" si="39"/>
        <v>#N/A</v>
      </c>
      <c r="J331" s="250"/>
      <c r="K331" s="250"/>
    </row>
    <row r="332" spans="1:11" hidden="1">
      <c r="A332" s="230" t="e">
        <f t="shared" ca="1" si="40"/>
        <v>#N/A</v>
      </c>
      <c r="B332" s="231" t="e">
        <f t="shared" ca="1" si="36"/>
        <v>#N/A</v>
      </c>
      <c r="C332" s="232" t="e">
        <f t="shared" ca="1" si="43"/>
        <v>#N/A</v>
      </c>
      <c r="D332" s="232" t="e">
        <f t="shared" ca="1" si="44"/>
        <v>#N/A</v>
      </c>
      <c r="E332" s="233" t="e">
        <f t="shared" ca="1" si="37"/>
        <v>#N/A</v>
      </c>
      <c r="F332" s="232" t="e">
        <f t="shared" ca="1" si="38"/>
        <v>#N/A</v>
      </c>
      <c r="G332" s="232" t="e">
        <f t="shared" ca="1" si="41"/>
        <v>#N/A</v>
      </c>
      <c r="H332" s="232" t="e">
        <f t="shared" ca="1" si="42"/>
        <v>#N/A</v>
      </c>
      <c r="I332" s="232" t="e">
        <f t="shared" ca="1" si="39"/>
        <v>#N/A</v>
      </c>
      <c r="J332" s="250"/>
      <c r="K332" s="250"/>
    </row>
    <row r="333" spans="1:11" hidden="1">
      <c r="A333" s="230" t="e">
        <f t="shared" ca="1" si="40"/>
        <v>#N/A</v>
      </c>
      <c r="B333" s="231" t="e">
        <f t="shared" ca="1" si="36"/>
        <v>#N/A</v>
      </c>
      <c r="C333" s="232" t="e">
        <f t="shared" ca="1" si="43"/>
        <v>#N/A</v>
      </c>
      <c r="D333" s="232" t="e">
        <f t="shared" ca="1" si="44"/>
        <v>#N/A</v>
      </c>
      <c r="E333" s="233" t="e">
        <f t="shared" ca="1" si="37"/>
        <v>#N/A</v>
      </c>
      <c r="F333" s="232" t="e">
        <f t="shared" ca="1" si="38"/>
        <v>#N/A</v>
      </c>
      <c r="G333" s="232" t="e">
        <f t="shared" ca="1" si="41"/>
        <v>#N/A</v>
      </c>
      <c r="H333" s="232" t="e">
        <f t="shared" ca="1" si="42"/>
        <v>#N/A</v>
      </c>
      <c r="I333" s="232" t="e">
        <f t="shared" ca="1" si="39"/>
        <v>#N/A</v>
      </c>
      <c r="J333" s="250"/>
      <c r="K333" s="250"/>
    </row>
    <row r="334" spans="1:11" hidden="1">
      <c r="A334" s="230" t="e">
        <f t="shared" ca="1" si="40"/>
        <v>#N/A</v>
      </c>
      <c r="B334" s="231" t="e">
        <f t="shared" ca="1" si="36"/>
        <v>#N/A</v>
      </c>
      <c r="C334" s="232" t="e">
        <f t="shared" ca="1" si="43"/>
        <v>#N/A</v>
      </c>
      <c r="D334" s="232" t="e">
        <f t="shared" ca="1" si="44"/>
        <v>#N/A</v>
      </c>
      <c r="E334" s="233" t="e">
        <f t="shared" ca="1" si="37"/>
        <v>#N/A</v>
      </c>
      <c r="F334" s="232" t="e">
        <f t="shared" ca="1" si="38"/>
        <v>#N/A</v>
      </c>
      <c r="G334" s="232" t="e">
        <f t="shared" ca="1" si="41"/>
        <v>#N/A</v>
      </c>
      <c r="H334" s="232" t="e">
        <f t="shared" ca="1" si="42"/>
        <v>#N/A</v>
      </c>
      <c r="I334" s="232" t="e">
        <f t="shared" ca="1" si="39"/>
        <v>#N/A</v>
      </c>
      <c r="J334" s="250"/>
      <c r="K334" s="250"/>
    </row>
    <row r="335" spans="1:11" hidden="1">
      <c r="A335" s="230" t="e">
        <f t="shared" ca="1" si="40"/>
        <v>#N/A</v>
      </c>
      <c r="B335" s="231" t="e">
        <f t="shared" ca="1" si="36"/>
        <v>#N/A</v>
      </c>
      <c r="C335" s="232" t="e">
        <f t="shared" ca="1" si="43"/>
        <v>#N/A</v>
      </c>
      <c r="D335" s="232" t="e">
        <f t="shared" ca="1" si="44"/>
        <v>#N/A</v>
      </c>
      <c r="E335" s="233" t="e">
        <f t="shared" ca="1" si="37"/>
        <v>#N/A</v>
      </c>
      <c r="F335" s="232" t="e">
        <f t="shared" ca="1" si="38"/>
        <v>#N/A</v>
      </c>
      <c r="G335" s="232" t="e">
        <f t="shared" ca="1" si="41"/>
        <v>#N/A</v>
      </c>
      <c r="H335" s="232" t="e">
        <f t="shared" ca="1" si="42"/>
        <v>#N/A</v>
      </c>
      <c r="I335" s="232" t="e">
        <f t="shared" ca="1" si="39"/>
        <v>#N/A</v>
      </c>
      <c r="J335" s="250"/>
      <c r="K335" s="250"/>
    </row>
    <row r="336" spans="1:11" hidden="1">
      <c r="A336" s="230" t="e">
        <f t="shared" ca="1" si="40"/>
        <v>#N/A</v>
      </c>
      <c r="B336" s="231" t="e">
        <f t="shared" ca="1" si="36"/>
        <v>#N/A</v>
      </c>
      <c r="C336" s="232" t="e">
        <f t="shared" ca="1" si="43"/>
        <v>#N/A</v>
      </c>
      <c r="D336" s="232" t="e">
        <f t="shared" ca="1" si="44"/>
        <v>#N/A</v>
      </c>
      <c r="E336" s="233" t="e">
        <f t="shared" ca="1" si="37"/>
        <v>#N/A</v>
      </c>
      <c r="F336" s="232" t="e">
        <f t="shared" ca="1" si="38"/>
        <v>#N/A</v>
      </c>
      <c r="G336" s="232" t="e">
        <f t="shared" ca="1" si="41"/>
        <v>#N/A</v>
      </c>
      <c r="H336" s="232" t="e">
        <f t="shared" ca="1" si="42"/>
        <v>#N/A</v>
      </c>
      <c r="I336" s="232" t="e">
        <f t="shared" ca="1" si="39"/>
        <v>#N/A</v>
      </c>
      <c r="J336" s="250"/>
      <c r="K336" s="250"/>
    </row>
    <row r="337" spans="1:11" hidden="1">
      <c r="A337" s="230" t="e">
        <f t="shared" ca="1" si="40"/>
        <v>#N/A</v>
      </c>
      <c r="B337" s="231" t="e">
        <f t="shared" ca="1" si="36"/>
        <v>#N/A</v>
      </c>
      <c r="C337" s="232" t="e">
        <f t="shared" ca="1" si="43"/>
        <v>#N/A</v>
      </c>
      <c r="D337" s="232" t="e">
        <f t="shared" ca="1" si="44"/>
        <v>#N/A</v>
      </c>
      <c r="E337" s="233" t="e">
        <f t="shared" ca="1" si="37"/>
        <v>#N/A</v>
      </c>
      <c r="F337" s="232" t="e">
        <f t="shared" ca="1" si="38"/>
        <v>#N/A</v>
      </c>
      <c r="G337" s="232" t="e">
        <f t="shared" ca="1" si="41"/>
        <v>#N/A</v>
      </c>
      <c r="H337" s="232" t="e">
        <f t="shared" ca="1" si="42"/>
        <v>#N/A</v>
      </c>
      <c r="I337" s="232" t="e">
        <f t="shared" ca="1" si="39"/>
        <v>#N/A</v>
      </c>
      <c r="J337" s="250"/>
      <c r="K337" s="250"/>
    </row>
    <row r="338" spans="1:11" hidden="1">
      <c r="A338" s="230" t="e">
        <f t="shared" ca="1" si="40"/>
        <v>#N/A</v>
      </c>
      <c r="B338" s="231" t="e">
        <f t="shared" ref="B338:B377" ca="1" si="45">IF(Pay_Num&lt;&gt;"",DATE(YEAR(Loan_Start),MONTH(Loan_Start)+(Pay_Num)*12/Num_Pmt_Per_Year,DAY(Loan_Start)),"")</f>
        <v>#N/A</v>
      </c>
      <c r="C338" s="232" t="e">
        <f t="shared" ca="1" si="43"/>
        <v>#N/A</v>
      </c>
      <c r="D338" s="232" t="e">
        <f t="shared" ca="1" si="44"/>
        <v>#N/A</v>
      </c>
      <c r="E338" s="233" t="e">
        <f t="shared" ref="E338:E377" ca="1" si="46">IF(AND(Pay_Num&lt;&gt;"",Sched_Pay+Scheduled_Extra_Payments&lt;Beg_Bal),Scheduled_Extra_Payments,IF(AND(Pay_Num&lt;&gt;"",Beg_Bal-Sched_Pay&gt;0),Beg_Bal-Sched_Pay,IF(Pay_Num&lt;&gt;"",0,"")))</f>
        <v>#N/A</v>
      </c>
      <c r="F338" s="232" t="e">
        <f t="shared" ref="F338:F377" ca="1" si="47">IF(AND(Pay_Num&lt;&gt;"",Sched_Pay+Extra_Pay&lt;Beg_Bal),Sched_Pay+Extra_Pay,IF(Pay_Num&lt;&gt;"",Beg_Bal,""))</f>
        <v>#N/A</v>
      </c>
      <c r="G338" s="232" t="e">
        <f t="shared" ca="1" si="41"/>
        <v>#N/A</v>
      </c>
      <c r="H338" s="232" t="e">
        <f t="shared" ca="1" si="42"/>
        <v>#N/A</v>
      </c>
      <c r="I338" s="232" t="e">
        <f t="shared" ref="I338:I377" ca="1" si="48">IF(AND(Pay_Num&lt;&gt;"",Sched_Pay+Extra_Pay&lt;Beg_Bal),Beg_Bal-Princ,IF(Pay_Num&lt;&gt;"",0,""))</f>
        <v>#N/A</v>
      </c>
      <c r="J338" s="250"/>
      <c r="K338" s="250"/>
    </row>
    <row r="339" spans="1:11" hidden="1">
      <c r="A339" s="230" t="e">
        <f t="shared" ref="A339:A377" ca="1" si="49">IF(Values_Entered,A338+1,"")</f>
        <v>#N/A</v>
      </c>
      <c r="B339" s="231" t="e">
        <f t="shared" ca="1" si="45"/>
        <v>#N/A</v>
      </c>
      <c r="C339" s="232" t="e">
        <f t="shared" ca="1" si="43"/>
        <v>#N/A</v>
      </c>
      <c r="D339" s="232" t="e">
        <f t="shared" ca="1" si="44"/>
        <v>#N/A</v>
      </c>
      <c r="E339" s="233" t="e">
        <f t="shared" ca="1" si="46"/>
        <v>#N/A</v>
      </c>
      <c r="F339" s="232" t="e">
        <f t="shared" ca="1" si="47"/>
        <v>#N/A</v>
      </c>
      <c r="G339" s="232" t="e">
        <f t="shared" ref="G339:G377" ca="1" si="50">IF(Pay_Num&lt;&gt;"",Total_Pay-Int,"")</f>
        <v>#N/A</v>
      </c>
      <c r="H339" s="232" t="e">
        <f t="shared" ref="H339:H377" ca="1" si="51">IF(Pay_Num&lt;&gt;"",Beg_Bal*Interest_Rate/Num_Pmt_Per_Year,"")</f>
        <v>#N/A</v>
      </c>
      <c r="I339" s="232" t="e">
        <f t="shared" ca="1" si="48"/>
        <v>#N/A</v>
      </c>
      <c r="J339" s="250"/>
      <c r="K339" s="250"/>
    </row>
    <row r="340" spans="1:11" hidden="1">
      <c r="A340" s="230" t="e">
        <f t="shared" ca="1" si="49"/>
        <v>#N/A</v>
      </c>
      <c r="B340" s="231" t="e">
        <f t="shared" ca="1" si="45"/>
        <v>#N/A</v>
      </c>
      <c r="C340" s="232" t="e">
        <f t="shared" ref="C340:C377" ca="1" si="52">IF(Pay_Num&lt;&gt;"",I339,"")</f>
        <v>#N/A</v>
      </c>
      <c r="D340" s="232" t="e">
        <f t="shared" ref="D340:D377" ca="1" si="53">IF(Pay_Num&lt;&gt;"",Scheduled_Monthly_Payment,"")</f>
        <v>#N/A</v>
      </c>
      <c r="E340" s="233" t="e">
        <f t="shared" ca="1" si="46"/>
        <v>#N/A</v>
      </c>
      <c r="F340" s="232" t="e">
        <f t="shared" ca="1" si="47"/>
        <v>#N/A</v>
      </c>
      <c r="G340" s="232" t="e">
        <f t="shared" ca="1" si="50"/>
        <v>#N/A</v>
      </c>
      <c r="H340" s="232" t="e">
        <f t="shared" ca="1" si="51"/>
        <v>#N/A</v>
      </c>
      <c r="I340" s="232" t="e">
        <f t="shared" ca="1" si="48"/>
        <v>#N/A</v>
      </c>
      <c r="J340" s="250"/>
      <c r="K340" s="250"/>
    </row>
    <row r="341" spans="1:11" hidden="1">
      <c r="A341" s="230" t="e">
        <f t="shared" ca="1" si="49"/>
        <v>#N/A</v>
      </c>
      <c r="B341" s="231" t="e">
        <f t="shared" ca="1" si="45"/>
        <v>#N/A</v>
      </c>
      <c r="C341" s="232" t="e">
        <f t="shared" ca="1" si="52"/>
        <v>#N/A</v>
      </c>
      <c r="D341" s="232" t="e">
        <f t="shared" ca="1" si="53"/>
        <v>#N/A</v>
      </c>
      <c r="E341" s="233" t="e">
        <f t="shared" ca="1" si="46"/>
        <v>#N/A</v>
      </c>
      <c r="F341" s="232" t="e">
        <f t="shared" ca="1" si="47"/>
        <v>#N/A</v>
      </c>
      <c r="G341" s="232" t="e">
        <f t="shared" ca="1" si="50"/>
        <v>#N/A</v>
      </c>
      <c r="H341" s="232" t="e">
        <f t="shared" ca="1" si="51"/>
        <v>#N/A</v>
      </c>
      <c r="I341" s="232" t="e">
        <f t="shared" ca="1" si="48"/>
        <v>#N/A</v>
      </c>
      <c r="J341" s="250"/>
      <c r="K341" s="250"/>
    </row>
    <row r="342" spans="1:11" hidden="1">
      <c r="A342" s="230" t="e">
        <f t="shared" ca="1" si="49"/>
        <v>#N/A</v>
      </c>
      <c r="B342" s="231" t="e">
        <f t="shared" ca="1" si="45"/>
        <v>#N/A</v>
      </c>
      <c r="C342" s="232" t="e">
        <f t="shared" ca="1" si="52"/>
        <v>#N/A</v>
      </c>
      <c r="D342" s="232" t="e">
        <f t="shared" ca="1" si="53"/>
        <v>#N/A</v>
      </c>
      <c r="E342" s="233" t="e">
        <f t="shared" ca="1" si="46"/>
        <v>#N/A</v>
      </c>
      <c r="F342" s="232" t="e">
        <f t="shared" ca="1" si="47"/>
        <v>#N/A</v>
      </c>
      <c r="G342" s="232" t="e">
        <f t="shared" ca="1" si="50"/>
        <v>#N/A</v>
      </c>
      <c r="H342" s="232" t="e">
        <f t="shared" ca="1" si="51"/>
        <v>#N/A</v>
      </c>
      <c r="I342" s="232" t="e">
        <f t="shared" ca="1" si="48"/>
        <v>#N/A</v>
      </c>
      <c r="J342" s="250"/>
      <c r="K342" s="250"/>
    </row>
    <row r="343" spans="1:11" hidden="1">
      <c r="A343" s="230" t="e">
        <f t="shared" ca="1" si="49"/>
        <v>#N/A</v>
      </c>
      <c r="B343" s="231" t="e">
        <f t="shared" ca="1" si="45"/>
        <v>#N/A</v>
      </c>
      <c r="C343" s="232" t="e">
        <f t="shared" ca="1" si="52"/>
        <v>#N/A</v>
      </c>
      <c r="D343" s="232" t="e">
        <f t="shared" ca="1" si="53"/>
        <v>#N/A</v>
      </c>
      <c r="E343" s="233" t="e">
        <f t="shared" ca="1" si="46"/>
        <v>#N/A</v>
      </c>
      <c r="F343" s="232" t="e">
        <f t="shared" ca="1" si="47"/>
        <v>#N/A</v>
      </c>
      <c r="G343" s="232" t="e">
        <f t="shared" ca="1" si="50"/>
        <v>#N/A</v>
      </c>
      <c r="H343" s="232" t="e">
        <f t="shared" ca="1" si="51"/>
        <v>#N/A</v>
      </c>
      <c r="I343" s="232" t="e">
        <f t="shared" ca="1" si="48"/>
        <v>#N/A</v>
      </c>
      <c r="J343" s="250"/>
      <c r="K343" s="250"/>
    </row>
    <row r="344" spans="1:11" hidden="1">
      <c r="A344" s="230" t="e">
        <f t="shared" ca="1" si="49"/>
        <v>#N/A</v>
      </c>
      <c r="B344" s="231" t="e">
        <f t="shared" ca="1" si="45"/>
        <v>#N/A</v>
      </c>
      <c r="C344" s="232" t="e">
        <f t="shared" ca="1" si="52"/>
        <v>#N/A</v>
      </c>
      <c r="D344" s="232" t="e">
        <f t="shared" ca="1" si="53"/>
        <v>#N/A</v>
      </c>
      <c r="E344" s="233" t="e">
        <f t="shared" ca="1" si="46"/>
        <v>#N/A</v>
      </c>
      <c r="F344" s="232" t="e">
        <f t="shared" ca="1" si="47"/>
        <v>#N/A</v>
      </c>
      <c r="G344" s="232" t="e">
        <f t="shared" ca="1" si="50"/>
        <v>#N/A</v>
      </c>
      <c r="H344" s="232" t="e">
        <f t="shared" ca="1" si="51"/>
        <v>#N/A</v>
      </c>
      <c r="I344" s="232" t="e">
        <f t="shared" ca="1" si="48"/>
        <v>#N/A</v>
      </c>
      <c r="J344" s="250"/>
      <c r="K344" s="250"/>
    </row>
    <row r="345" spans="1:11" hidden="1">
      <c r="A345" s="230" t="e">
        <f t="shared" ca="1" si="49"/>
        <v>#N/A</v>
      </c>
      <c r="B345" s="231" t="e">
        <f t="shared" ca="1" si="45"/>
        <v>#N/A</v>
      </c>
      <c r="C345" s="232" t="e">
        <f t="shared" ca="1" si="52"/>
        <v>#N/A</v>
      </c>
      <c r="D345" s="232" t="e">
        <f t="shared" ca="1" si="53"/>
        <v>#N/A</v>
      </c>
      <c r="E345" s="233" t="e">
        <f t="shared" ca="1" si="46"/>
        <v>#N/A</v>
      </c>
      <c r="F345" s="232" t="e">
        <f t="shared" ca="1" si="47"/>
        <v>#N/A</v>
      </c>
      <c r="G345" s="232" t="e">
        <f t="shared" ca="1" si="50"/>
        <v>#N/A</v>
      </c>
      <c r="H345" s="232" t="e">
        <f t="shared" ca="1" si="51"/>
        <v>#N/A</v>
      </c>
      <c r="I345" s="232" t="e">
        <f t="shared" ca="1" si="48"/>
        <v>#N/A</v>
      </c>
      <c r="J345" s="250"/>
      <c r="K345" s="250"/>
    </row>
    <row r="346" spans="1:11" hidden="1">
      <c r="A346" s="230" t="e">
        <f t="shared" ca="1" si="49"/>
        <v>#N/A</v>
      </c>
      <c r="B346" s="231" t="e">
        <f t="shared" ca="1" si="45"/>
        <v>#N/A</v>
      </c>
      <c r="C346" s="232" t="e">
        <f t="shared" ca="1" si="52"/>
        <v>#N/A</v>
      </c>
      <c r="D346" s="232" t="e">
        <f t="shared" ca="1" si="53"/>
        <v>#N/A</v>
      </c>
      <c r="E346" s="233" t="e">
        <f t="shared" ca="1" si="46"/>
        <v>#N/A</v>
      </c>
      <c r="F346" s="232" t="e">
        <f t="shared" ca="1" si="47"/>
        <v>#N/A</v>
      </c>
      <c r="G346" s="232" t="e">
        <f t="shared" ca="1" si="50"/>
        <v>#N/A</v>
      </c>
      <c r="H346" s="232" t="e">
        <f t="shared" ca="1" si="51"/>
        <v>#N/A</v>
      </c>
      <c r="I346" s="232" t="e">
        <f t="shared" ca="1" si="48"/>
        <v>#N/A</v>
      </c>
      <c r="J346" s="250"/>
      <c r="K346" s="250"/>
    </row>
    <row r="347" spans="1:11" hidden="1">
      <c r="A347" s="230" t="e">
        <f t="shared" ca="1" si="49"/>
        <v>#N/A</v>
      </c>
      <c r="B347" s="231" t="e">
        <f t="shared" ca="1" si="45"/>
        <v>#N/A</v>
      </c>
      <c r="C347" s="232" t="e">
        <f t="shared" ca="1" si="52"/>
        <v>#N/A</v>
      </c>
      <c r="D347" s="232" t="e">
        <f t="shared" ca="1" si="53"/>
        <v>#N/A</v>
      </c>
      <c r="E347" s="233" t="e">
        <f t="shared" ca="1" si="46"/>
        <v>#N/A</v>
      </c>
      <c r="F347" s="232" t="e">
        <f t="shared" ca="1" si="47"/>
        <v>#N/A</v>
      </c>
      <c r="G347" s="232" t="e">
        <f t="shared" ca="1" si="50"/>
        <v>#N/A</v>
      </c>
      <c r="H347" s="232" t="e">
        <f t="shared" ca="1" si="51"/>
        <v>#N/A</v>
      </c>
      <c r="I347" s="232" t="e">
        <f t="shared" ca="1" si="48"/>
        <v>#N/A</v>
      </c>
      <c r="J347" s="250"/>
      <c r="K347" s="250"/>
    </row>
    <row r="348" spans="1:11" hidden="1">
      <c r="A348" s="230" t="e">
        <f t="shared" ca="1" si="49"/>
        <v>#N/A</v>
      </c>
      <c r="B348" s="231" t="e">
        <f t="shared" ca="1" si="45"/>
        <v>#N/A</v>
      </c>
      <c r="C348" s="232" t="e">
        <f t="shared" ca="1" si="52"/>
        <v>#N/A</v>
      </c>
      <c r="D348" s="232" t="e">
        <f t="shared" ca="1" si="53"/>
        <v>#N/A</v>
      </c>
      <c r="E348" s="233" t="e">
        <f t="shared" ca="1" si="46"/>
        <v>#N/A</v>
      </c>
      <c r="F348" s="232" t="e">
        <f t="shared" ca="1" si="47"/>
        <v>#N/A</v>
      </c>
      <c r="G348" s="232" t="e">
        <f t="shared" ca="1" si="50"/>
        <v>#N/A</v>
      </c>
      <c r="H348" s="232" t="e">
        <f t="shared" ca="1" si="51"/>
        <v>#N/A</v>
      </c>
      <c r="I348" s="232" t="e">
        <f t="shared" ca="1" si="48"/>
        <v>#N/A</v>
      </c>
      <c r="J348" s="250"/>
      <c r="K348" s="250"/>
    </row>
    <row r="349" spans="1:11" hidden="1">
      <c r="A349" s="230" t="e">
        <f t="shared" ca="1" si="49"/>
        <v>#N/A</v>
      </c>
      <c r="B349" s="231" t="e">
        <f t="shared" ca="1" si="45"/>
        <v>#N/A</v>
      </c>
      <c r="C349" s="232" t="e">
        <f t="shared" ca="1" si="52"/>
        <v>#N/A</v>
      </c>
      <c r="D349" s="232" t="e">
        <f t="shared" ca="1" si="53"/>
        <v>#N/A</v>
      </c>
      <c r="E349" s="233" t="e">
        <f t="shared" ca="1" si="46"/>
        <v>#N/A</v>
      </c>
      <c r="F349" s="232" t="e">
        <f t="shared" ca="1" si="47"/>
        <v>#N/A</v>
      </c>
      <c r="G349" s="232" t="e">
        <f t="shared" ca="1" si="50"/>
        <v>#N/A</v>
      </c>
      <c r="H349" s="232" t="e">
        <f t="shared" ca="1" si="51"/>
        <v>#N/A</v>
      </c>
      <c r="I349" s="232" t="e">
        <f t="shared" ca="1" si="48"/>
        <v>#N/A</v>
      </c>
      <c r="J349" s="250"/>
      <c r="K349" s="250"/>
    </row>
    <row r="350" spans="1:11" hidden="1">
      <c r="A350" s="230" t="e">
        <f t="shared" ca="1" si="49"/>
        <v>#N/A</v>
      </c>
      <c r="B350" s="231" t="e">
        <f t="shared" ca="1" si="45"/>
        <v>#N/A</v>
      </c>
      <c r="C350" s="232" t="e">
        <f t="shared" ca="1" si="52"/>
        <v>#N/A</v>
      </c>
      <c r="D350" s="232" t="e">
        <f t="shared" ca="1" si="53"/>
        <v>#N/A</v>
      </c>
      <c r="E350" s="233" t="e">
        <f t="shared" ca="1" si="46"/>
        <v>#N/A</v>
      </c>
      <c r="F350" s="232" t="e">
        <f t="shared" ca="1" si="47"/>
        <v>#N/A</v>
      </c>
      <c r="G350" s="232" t="e">
        <f t="shared" ca="1" si="50"/>
        <v>#N/A</v>
      </c>
      <c r="H350" s="232" t="e">
        <f t="shared" ca="1" si="51"/>
        <v>#N/A</v>
      </c>
      <c r="I350" s="232" t="e">
        <f t="shared" ca="1" si="48"/>
        <v>#N/A</v>
      </c>
      <c r="J350" s="250"/>
      <c r="K350" s="250"/>
    </row>
    <row r="351" spans="1:11" hidden="1">
      <c r="A351" s="230" t="e">
        <f t="shared" ca="1" si="49"/>
        <v>#N/A</v>
      </c>
      <c r="B351" s="231" t="e">
        <f t="shared" ca="1" si="45"/>
        <v>#N/A</v>
      </c>
      <c r="C351" s="232" t="e">
        <f t="shared" ca="1" si="52"/>
        <v>#N/A</v>
      </c>
      <c r="D351" s="232" t="e">
        <f t="shared" ca="1" si="53"/>
        <v>#N/A</v>
      </c>
      <c r="E351" s="233" t="e">
        <f t="shared" ca="1" si="46"/>
        <v>#N/A</v>
      </c>
      <c r="F351" s="232" t="e">
        <f t="shared" ca="1" si="47"/>
        <v>#N/A</v>
      </c>
      <c r="G351" s="232" t="e">
        <f t="shared" ca="1" si="50"/>
        <v>#N/A</v>
      </c>
      <c r="H351" s="232" t="e">
        <f t="shared" ca="1" si="51"/>
        <v>#N/A</v>
      </c>
      <c r="I351" s="232" t="e">
        <f t="shared" ca="1" si="48"/>
        <v>#N/A</v>
      </c>
      <c r="J351" s="250"/>
      <c r="K351" s="250"/>
    </row>
    <row r="352" spans="1:11" hidden="1">
      <c r="A352" s="230" t="e">
        <f t="shared" ca="1" si="49"/>
        <v>#N/A</v>
      </c>
      <c r="B352" s="231" t="e">
        <f t="shared" ca="1" si="45"/>
        <v>#N/A</v>
      </c>
      <c r="C352" s="232" t="e">
        <f t="shared" ca="1" si="52"/>
        <v>#N/A</v>
      </c>
      <c r="D352" s="232" t="e">
        <f t="shared" ca="1" si="53"/>
        <v>#N/A</v>
      </c>
      <c r="E352" s="233" t="e">
        <f t="shared" ca="1" si="46"/>
        <v>#N/A</v>
      </c>
      <c r="F352" s="232" t="e">
        <f t="shared" ca="1" si="47"/>
        <v>#N/A</v>
      </c>
      <c r="G352" s="232" t="e">
        <f t="shared" ca="1" si="50"/>
        <v>#N/A</v>
      </c>
      <c r="H352" s="232" t="e">
        <f t="shared" ca="1" si="51"/>
        <v>#N/A</v>
      </c>
      <c r="I352" s="232" t="e">
        <f t="shared" ca="1" si="48"/>
        <v>#N/A</v>
      </c>
      <c r="J352" s="250"/>
      <c r="K352" s="250"/>
    </row>
    <row r="353" spans="1:11" hidden="1">
      <c r="A353" s="230" t="e">
        <f t="shared" ca="1" si="49"/>
        <v>#N/A</v>
      </c>
      <c r="B353" s="231" t="e">
        <f t="shared" ca="1" si="45"/>
        <v>#N/A</v>
      </c>
      <c r="C353" s="232" t="e">
        <f t="shared" ca="1" si="52"/>
        <v>#N/A</v>
      </c>
      <c r="D353" s="232" t="e">
        <f t="shared" ca="1" si="53"/>
        <v>#N/A</v>
      </c>
      <c r="E353" s="233" t="e">
        <f t="shared" ca="1" si="46"/>
        <v>#N/A</v>
      </c>
      <c r="F353" s="232" t="e">
        <f t="shared" ca="1" si="47"/>
        <v>#N/A</v>
      </c>
      <c r="G353" s="232" t="e">
        <f t="shared" ca="1" si="50"/>
        <v>#N/A</v>
      </c>
      <c r="H353" s="232" t="e">
        <f t="shared" ca="1" si="51"/>
        <v>#N/A</v>
      </c>
      <c r="I353" s="232" t="e">
        <f t="shared" ca="1" si="48"/>
        <v>#N/A</v>
      </c>
      <c r="J353" s="250"/>
      <c r="K353" s="250"/>
    </row>
    <row r="354" spans="1:11" hidden="1">
      <c r="A354" s="230" t="e">
        <f t="shared" ca="1" si="49"/>
        <v>#N/A</v>
      </c>
      <c r="B354" s="231" t="e">
        <f t="shared" ca="1" si="45"/>
        <v>#N/A</v>
      </c>
      <c r="C354" s="232" t="e">
        <f t="shared" ca="1" si="52"/>
        <v>#N/A</v>
      </c>
      <c r="D354" s="232" t="e">
        <f t="shared" ca="1" si="53"/>
        <v>#N/A</v>
      </c>
      <c r="E354" s="233" t="e">
        <f t="shared" ca="1" si="46"/>
        <v>#N/A</v>
      </c>
      <c r="F354" s="232" t="e">
        <f t="shared" ca="1" si="47"/>
        <v>#N/A</v>
      </c>
      <c r="G354" s="232" t="e">
        <f t="shared" ca="1" si="50"/>
        <v>#N/A</v>
      </c>
      <c r="H354" s="232" t="e">
        <f t="shared" ca="1" si="51"/>
        <v>#N/A</v>
      </c>
      <c r="I354" s="232" t="e">
        <f t="shared" ca="1" si="48"/>
        <v>#N/A</v>
      </c>
      <c r="J354" s="250"/>
      <c r="K354" s="250"/>
    </row>
    <row r="355" spans="1:11" hidden="1">
      <c r="A355" s="230" t="e">
        <f t="shared" ca="1" si="49"/>
        <v>#N/A</v>
      </c>
      <c r="B355" s="231" t="e">
        <f t="shared" ca="1" si="45"/>
        <v>#N/A</v>
      </c>
      <c r="C355" s="232" t="e">
        <f t="shared" ca="1" si="52"/>
        <v>#N/A</v>
      </c>
      <c r="D355" s="232" t="e">
        <f t="shared" ca="1" si="53"/>
        <v>#N/A</v>
      </c>
      <c r="E355" s="233" t="e">
        <f t="shared" ca="1" si="46"/>
        <v>#N/A</v>
      </c>
      <c r="F355" s="232" t="e">
        <f t="shared" ca="1" si="47"/>
        <v>#N/A</v>
      </c>
      <c r="G355" s="232" t="e">
        <f t="shared" ca="1" si="50"/>
        <v>#N/A</v>
      </c>
      <c r="H355" s="232" t="e">
        <f t="shared" ca="1" si="51"/>
        <v>#N/A</v>
      </c>
      <c r="I355" s="232" t="e">
        <f t="shared" ca="1" si="48"/>
        <v>#N/A</v>
      </c>
      <c r="J355" s="250"/>
      <c r="K355" s="250"/>
    </row>
    <row r="356" spans="1:11" hidden="1">
      <c r="A356" s="230" t="e">
        <f t="shared" ca="1" si="49"/>
        <v>#N/A</v>
      </c>
      <c r="B356" s="231" t="e">
        <f t="shared" ca="1" si="45"/>
        <v>#N/A</v>
      </c>
      <c r="C356" s="232" t="e">
        <f t="shared" ca="1" si="52"/>
        <v>#N/A</v>
      </c>
      <c r="D356" s="232" t="e">
        <f t="shared" ca="1" si="53"/>
        <v>#N/A</v>
      </c>
      <c r="E356" s="233" t="e">
        <f t="shared" ca="1" si="46"/>
        <v>#N/A</v>
      </c>
      <c r="F356" s="232" t="e">
        <f t="shared" ca="1" si="47"/>
        <v>#N/A</v>
      </c>
      <c r="G356" s="232" t="e">
        <f t="shared" ca="1" si="50"/>
        <v>#N/A</v>
      </c>
      <c r="H356" s="232" t="e">
        <f t="shared" ca="1" si="51"/>
        <v>#N/A</v>
      </c>
      <c r="I356" s="232" t="e">
        <f t="shared" ca="1" si="48"/>
        <v>#N/A</v>
      </c>
      <c r="J356" s="250"/>
      <c r="K356" s="250"/>
    </row>
    <row r="357" spans="1:11" hidden="1">
      <c r="A357" s="230" t="e">
        <f t="shared" ca="1" si="49"/>
        <v>#N/A</v>
      </c>
      <c r="B357" s="231" t="e">
        <f t="shared" ca="1" si="45"/>
        <v>#N/A</v>
      </c>
      <c r="C357" s="232" t="e">
        <f t="shared" ca="1" si="52"/>
        <v>#N/A</v>
      </c>
      <c r="D357" s="232" t="e">
        <f t="shared" ca="1" si="53"/>
        <v>#N/A</v>
      </c>
      <c r="E357" s="233" t="e">
        <f t="shared" ca="1" si="46"/>
        <v>#N/A</v>
      </c>
      <c r="F357" s="232" t="e">
        <f t="shared" ca="1" si="47"/>
        <v>#N/A</v>
      </c>
      <c r="G357" s="232" t="e">
        <f t="shared" ca="1" si="50"/>
        <v>#N/A</v>
      </c>
      <c r="H357" s="232" t="e">
        <f t="shared" ca="1" si="51"/>
        <v>#N/A</v>
      </c>
      <c r="I357" s="232" t="e">
        <f t="shared" ca="1" si="48"/>
        <v>#N/A</v>
      </c>
      <c r="J357" s="250"/>
      <c r="K357" s="250"/>
    </row>
    <row r="358" spans="1:11" hidden="1">
      <c r="A358" s="230" t="e">
        <f t="shared" ca="1" si="49"/>
        <v>#N/A</v>
      </c>
      <c r="B358" s="231" t="e">
        <f t="shared" ca="1" si="45"/>
        <v>#N/A</v>
      </c>
      <c r="C358" s="232" t="e">
        <f t="shared" ca="1" si="52"/>
        <v>#N/A</v>
      </c>
      <c r="D358" s="232" t="e">
        <f t="shared" ca="1" si="53"/>
        <v>#N/A</v>
      </c>
      <c r="E358" s="233" t="e">
        <f t="shared" ca="1" si="46"/>
        <v>#N/A</v>
      </c>
      <c r="F358" s="232" t="e">
        <f t="shared" ca="1" si="47"/>
        <v>#N/A</v>
      </c>
      <c r="G358" s="232" t="e">
        <f t="shared" ca="1" si="50"/>
        <v>#N/A</v>
      </c>
      <c r="H358" s="232" t="e">
        <f t="shared" ca="1" si="51"/>
        <v>#N/A</v>
      </c>
      <c r="I358" s="232" t="e">
        <f t="shared" ca="1" si="48"/>
        <v>#N/A</v>
      </c>
      <c r="J358" s="250"/>
      <c r="K358" s="250"/>
    </row>
    <row r="359" spans="1:11" hidden="1">
      <c r="A359" s="230" t="e">
        <f t="shared" ca="1" si="49"/>
        <v>#N/A</v>
      </c>
      <c r="B359" s="231" t="e">
        <f t="shared" ca="1" si="45"/>
        <v>#N/A</v>
      </c>
      <c r="C359" s="232" t="e">
        <f t="shared" ca="1" si="52"/>
        <v>#N/A</v>
      </c>
      <c r="D359" s="232" t="e">
        <f t="shared" ca="1" si="53"/>
        <v>#N/A</v>
      </c>
      <c r="E359" s="233" t="e">
        <f t="shared" ca="1" si="46"/>
        <v>#N/A</v>
      </c>
      <c r="F359" s="232" t="e">
        <f t="shared" ca="1" si="47"/>
        <v>#N/A</v>
      </c>
      <c r="G359" s="232" t="e">
        <f t="shared" ca="1" si="50"/>
        <v>#N/A</v>
      </c>
      <c r="H359" s="232" t="e">
        <f t="shared" ca="1" si="51"/>
        <v>#N/A</v>
      </c>
      <c r="I359" s="232" t="e">
        <f t="shared" ca="1" si="48"/>
        <v>#N/A</v>
      </c>
      <c r="J359" s="250"/>
      <c r="K359" s="250"/>
    </row>
    <row r="360" spans="1:11" hidden="1">
      <c r="A360" s="230" t="e">
        <f t="shared" ca="1" si="49"/>
        <v>#N/A</v>
      </c>
      <c r="B360" s="231" t="e">
        <f t="shared" ca="1" si="45"/>
        <v>#N/A</v>
      </c>
      <c r="C360" s="232" t="e">
        <f t="shared" ca="1" si="52"/>
        <v>#N/A</v>
      </c>
      <c r="D360" s="232" t="e">
        <f t="shared" ca="1" si="53"/>
        <v>#N/A</v>
      </c>
      <c r="E360" s="233" t="e">
        <f t="shared" ca="1" si="46"/>
        <v>#N/A</v>
      </c>
      <c r="F360" s="232" t="e">
        <f t="shared" ca="1" si="47"/>
        <v>#N/A</v>
      </c>
      <c r="G360" s="232" t="e">
        <f t="shared" ca="1" si="50"/>
        <v>#N/A</v>
      </c>
      <c r="H360" s="232" t="e">
        <f t="shared" ca="1" si="51"/>
        <v>#N/A</v>
      </c>
      <c r="I360" s="232" t="e">
        <f t="shared" ca="1" si="48"/>
        <v>#N/A</v>
      </c>
      <c r="J360" s="250"/>
      <c r="K360" s="250"/>
    </row>
    <row r="361" spans="1:11" hidden="1">
      <c r="A361" s="230" t="e">
        <f t="shared" ca="1" si="49"/>
        <v>#N/A</v>
      </c>
      <c r="B361" s="231" t="e">
        <f t="shared" ca="1" si="45"/>
        <v>#N/A</v>
      </c>
      <c r="C361" s="232" t="e">
        <f t="shared" ca="1" si="52"/>
        <v>#N/A</v>
      </c>
      <c r="D361" s="232" t="e">
        <f t="shared" ca="1" si="53"/>
        <v>#N/A</v>
      </c>
      <c r="E361" s="233" t="e">
        <f t="shared" ca="1" si="46"/>
        <v>#N/A</v>
      </c>
      <c r="F361" s="232" t="e">
        <f t="shared" ca="1" si="47"/>
        <v>#N/A</v>
      </c>
      <c r="G361" s="232" t="e">
        <f t="shared" ca="1" si="50"/>
        <v>#N/A</v>
      </c>
      <c r="H361" s="232" t="e">
        <f t="shared" ca="1" si="51"/>
        <v>#N/A</v>
      </c>
      <c r="I361" s="232" t="e">
        <f t="shared" ca="1" si="48"/>
        <v>#N/A</v>
      </c>
      <c r="J361" s="250"/>
      <c r="K361" s="250"/>
    </row>
    <row r="362" spans="1:11" hidden="1">
      <c r="A362" s="230" t="e">
        <f t="shared" ca="1" si="49"/>
        <v>#N/A</v>
      </c>
      <c r="B362" s="231" t="e">
        <f t="shared" ca="1" si="45"/>
        <v>#N/A</v>
      </c>
      <c r="C362" s="232" t="e">
        <f t="shared" ca="1" si="52"/>
        <v>#N/A</v>
      </c>
      <c r="D362" s="232" t="e">
        <f t="shared" ca="1" si="53"/>
        <v>#N/A</v>
      </c>
      <c r="E362" s="233" t="e">
        <f t="shared" ca="1" si="46"/>
        <v>#N/A</v>
      </c>
      <c r="F362" s="232" t="e">
        <f t="shared" ca="1" si="47"/>
        <v>#N/A</v>
      </c>
      <c r="G362" s="232" t="e">
        <f t="shared" ca="1" si="50"/>
        <v>#N/A</v>
      </c>
      <c r="H362" s="232" t="e">
        <f t="shared" ca="1" si="51"/>
        <v>#N/A</v>
      </c>
      <c r="I362" s="232" t="e">
        <f t="shared" ca="1" si="48"/>
        <v>#N/A</v>
      </c>
      <c r="J362" s="250"/>
      <c r="K362" s="250"/>
    </row>
    <row r="363" spans="1:11" hidden="1">
      <c r="A363" s="230" t="e">
        <f t="shared" ca="1" si="49"/>
        <v>#N/A</v>
      </c>
      <c r="B363" s="231" t="e">
        <f t="shared" ca="1" si="45"/>
        <v>#N/A</v>
      </c>
      <c r="C363" s="232" t="e">
        <f t="shared" ca="1" si="52"/>
        <v>#N/A</v>
      </c>
      <c r="D363" s="232" t="e">
        <f t="shared" ca="1" si="53"/>
        <v>#N/A</v>
      </c>
      <c r="E363" s="233" t="e">
        <f t="shared" ca="1" si="46"/>
        <v>#N/A</v>
      </c>
      <c r="F363" s="232" t="e">
        <f t="shared" ca="1" si="47"/>
        <v>#N/A</v>
      </c>
      <c r="G363" s="232" t="e">
        <f t="shared" ca="1" si="50"/>
        <v>#N/A</v>
      </c>
      <c r="H363" s="232" t="e">
        <f t="shared" ca="1" si="51"/>
        <v>#N/A</v>
      </c>
      <c r="I363" s="232" t="e">
        <f t="shared" ca="1" si="48"/>
        <v>#N/A</v>
      </c>
      <c r="J363" s="250"/>
      <c r="K363" s="250"/>
    </row>
    <row r="364" spans="1:11" hidden="1">
      <c r="A364" s="230" t="e">
        <f t="shared" ca="1" si="49"/>
        <v>#N/A</v>
      </c>
      <c r="B364" s="231" t="e">
        <f t="shared" ca="1" si="45"/>
        <v>#N/A</v>
      </c>
      <c r="C364" s="232" t="e">
        <f t="shared" ca="1" si="52"/>
        <v>#N/A</v>
      </c>
      <c r="D364" s="232" t="e">
        <f t="shared" ca="1" si="53"/>
        <v>#N/A</v>
      </c>
      <c r="E364" s="233" t="e">
        <f t="shared" ca="1" si="46"/>
        <v>#N/A</v>
      </c>
      <c r="F364" s="232" t="e">
        <f t="shared" ca="1" si="47"/>
        <v>#N/A</v>
      </c>
      <c r="G364" s="232" t="e">
        <f t="shared" ca="1" si="50"/>
        <v>#N/A</v>
      </c>
      <c r="H364" s="232" t="e">
        <f t="shared" ca="1" si="51"/>
        <v>#N/A</v>
      </c>
      <c r="I364" s="232" t="e">
        <f t="shared" ca="1" si="48"/>
        <v>#N/A</v>
      </c>
      <c r="J364" s="250"/>
      <c r="K364" s="250"/>
    </row>
    <row r="365" spans="1:11" hidden="1">
      <c r="A365" s="230" t="e">
        <f t="shared" ca="1" si="49"/>
        <v>#N/A</v>
      </c>
      <c r="B365" s="231" t="e">
        <f t="shared" ca="1" si="45"/>
        <v>#N/A</v>
      </c>
      <c r="C365" s="232" t="e">
        <f t="shared" ca="1" si="52"/>
        <v>#N/A</v>
      </c>
      <c r="D365" s="232" t="e">
        <f t="shared" ca="1" si="53"/>
        <v>#N/A</v>
      </c>
      <c r="E365" s="233" t="e">
        <f t="shared" ca="1" si="46"/>
        <v>#N/A</v>
      </c>
      <c r="F365" s="232" t="e">
        <f t="shared" ca="1" si="47"/>
        <v>#N/A</v>
      </c>
      <c r="G365" s="232" t="e">
        <f t="shared" ca="1" si="50"/>
        <v>#N/A</v>
      </c>
      <c r="H365" s="232" t="e">
        <f t="shared" ca="1" si="51"/>
        <v>#N/A</v>
      </c>
      <c r="I365" s="232" t="e">
        <f t="shared" ca="1" si="48"/>
        <v>#N/A</v>
      </c>
      <c r="J365" s="250"/>
      <c r="K365" s="250"/>
    </row>
    <row r="366" spans="1:11" hidden="1">
      <c r="A366" s="230" t="e">
        <f t="shared" ca="1" si="49"/>
        <v>#N/A</v>
      </c>
      <c r="B366" s="231" t="e">
        <f t="shared" ca="1" si="45"/>
        <v>#N/A</v>
      </c>
      <c r="C366" s="232" t="e">
        <f t="shared" ca="1" si="52"/>
        <v>#N/A</v>
      </c>
      <c r="D366" s="232" t="e">
        <f t="shared" ca="1" si="53"/>
        <v>#N/A</v>
      </c>
      <c r="E366" s="233" t="e">
        <f t="shared" ca="1" si="46"/>
        <v>#N/A</v>
      </c>
      <c r="F366" s="232" t="e">
        <f t="shared" ca="1" si="47"/>
        <v>#N/A</v>
      </c>
      <c r="G366" s="232" t="e">
        <f t="shared" ca="1" si="50"/>
        <v>#N/A</v>
      </c>
      <c r="H366" s="232" t="e">
        <f t="shared" ca="1" si="51"/>
        <v>#N/A</v>
      </c>
      <c r="I366" s="232" t="e">
        <f t="shared" ca="1" si="48"/>
        <v>#N/A</v>
      </c>
      <c r="J366" s="250"/>
      <c r="K366" s="250"/>
    </row>
    <row r="367" spans="1:11" hidden="1">
      <c r="A367" s="230" t="e">
        <f t="shared" ca="1" si="49"/>
        <v>#N/A</v>
      </c>
      <c r="B367" s="231" t="e">
        <f t="shared" ca="1" si="45"/>
        <v>#N/A</v>
      </c>
      <c r="C367" s="232" t="e">
        <f t="shared" ca="1" si="52"/>
        <v>#N/A</v>
      </c>
      <c r="D367" s="232" t="e">
        <f t="shared" ca="1" si="53"/>
        <v>#N/A</v>
      </c>
      <c r="E367" s="233" t="e">
        <f t="shared" ca="1" si="46"/>
        <v>#N/A</v>
      </c>
      <c r="F367" s="232" t="e">
        <f t="shared" ca="1" si="47"/>
        <v>#N/A</v>
      </c>
      <c r="G367" s="232" t="e">
        <f t="shared" ca="1" si="50"/>
        <v>#N/A</v>
      </c>
      <c r="H367" s="232" t="e">
        <f t="shared" ca="1" si="51"/>
        <v>#N/A</v>
      </c>
      <c r="I367" s="232" t="e">
        <f t="shared" ca="1" si="48"/>
        <v>#N/A</v>
      </c>
      <c r="J367" s="250"/>
      <c r="K367" s="250"/>
    </row>
    <row r="368" spans="1:11" hidden="1">
      <c r="A368" s="230" t="e">
        <f t="shared" ca="1" si="49"/>
        <v>#N/A</v>
      </c>
      <c r="B368" s="231" t="e">
        <f t="shared" ca="1" si="45"/>
        <v>#N/A</v>
      </c>
      <c r="C368" s="232" t="e">
        <f t="shared" ca="1" si="52"/>
        <v>#N/A</v>
      </c>
      <c r="D368" s="232" t="e">
        <f t="shared" ca="1" si="53"/>
        <v>#N/A</v>
      </c>
      <c r="E368" s="233" t="e">
        <f t="shared" ca="1" si="46"/>
        <v>#N/A</v>
      </c>
      <c r="F368" s="232" t="e">
        <f t="shared" ca="1" si="47"/>
        <v>#N/A</v>
      </c>
      <c r="G368" s="232" t="e">
        <f t="shared" ca="1" si="50"/>
        <v>#N/A</v>
      </c>
      <c r="H368" s="232" t="e">
        <f t="shared" ca="1" si="51"/>
        <v>#N/A</v>
      </c>
      <c r="I368" s="232" t="e">
        <f t="shared" ca="1" si="48"/>
        <v>#N/A</v>
      </c>
      <c r="J368" s="250"/>
      <c r="K368" s="250"/>
    </row>
    <row r="369" spans="1:11" hidden="1">
      <c r="A369" s="230" t="e">
        <f t="shared" ca="1" si="49"/>
        <v>#N/A</v>
      </c>
      <c r="B369" s="231" t="e">
        <f t="shared" ca="1" si="45"/>
        <v>#N/A</v>
      </c>
      <c r="C369" s="232" t="e">
        <f t="shared" ca="1" si="52"/>
        <v>#N/A</v>
      </c>
      <c r="D369" s="232" t="e">
        <f t="shared" ca="1" si="53"/>
        <v>#N/A</v>
      </c>
      <c r="E369" s="233" t="e">
        <f t="shared" ca="1" si="46"/>
        <v>#N/A</v>
      </c>
      <c r="F369" s="232" t="e">
        <f t="shared" ca="1" si="47"/>
        <v>#N/A</v>
      </c>
      <c r="G369" s="232" t="e">
        <f t="shared" ca="1" si="50"/>
        <v>#N/A</v>
      </c>
      <c r="H369" s="232" t="e">
        <f t="shared" ca="1" si="51"/>
        <v>#N/A</v>
      </c>
      <c r="I369" s="232" t="e">
        <f t="shared" ca="1" si="48"/>
        <v>#N/A</v>
      </c>
      <c r="J369" s="250"/>
      <c r="K369" s="250"/>
    </row>
    <row r="370" spans="1:11" hidden="1">
      <c r="A370" s="230" t="e">
        <f t="shared" ca="1" si="49"/>
        <v>#N/A</v>
      </c>
      <c r="B370" s="231" t="e">
        <f t="shared" ca="1" si="45"/>
        <v>#N/A</v>
      </c>
      <c r="C370" s="232" t="e">
        <f t="shared" ca="1" si="52"/>
        <v>#N/A</v>
      </c>
      <c r="D370" s="232" t="e">
        <f t="shared" ca="1" si="53"/>
        <v>#N/A</v>
      </c>
      <c r="E370" s="233" t="e">
        <f t="shared" ca="1" si="46"/>
        <v>#N/A</v>
      </c>
      <c r="F370" s="232" t="e">
        <f t="shared" ca="1" si="47"/>
        <v>#N/A</v>
      </c>
      <c r="G370" s="232" t="e">
        <f t="shared" ca="1" si="50"/>
        <v>#N/A</v>
      </c>
      <c r="H370" s="232" t="e">
        <f t="shared" ca="1" si="51"/>
        <v>#N/A</v>
      </c>
      <c r="I370" s="232" t="e">
        <f t="shared" ca="1" si="48"/>
        <v>#N/A</v>
      </c>
      <c r="J370" s="250"/>
      <c r="K370" s="250"/>
    </row>
    <row r="371" spans="1:11" hidden="1">
      <c r="A371" s="230" t="e">
        <f t="shared" ca="1" si="49"/>
        <v>#N/A</v>
      </c>
      <c r="B371" s="231" t="e">
        <f t="shared" ca="1" si="45"/>
        <v>#N/A</v>
      </c>
      <c r="C371" s="232" t="e">
        <f t="shared" ca="1" si="52"/>
        <v>#N/A</v>
      </c>
      <c r="D371" s="232" t="e">
        <f t="shared" ca="1" si="53"/>
        <v>#N/A</v>
      </c>
      <c r="E371" s="233" t="e">
        <f t="shared" ca="1" si="46"/>
        <v>#N/A</v>
      </c>
      <c r="F371" s="232" t="e">
        <f t="shared" ca="1" si="47"/>
        <v>#N/A</v>
      </c>
      <c r="G371" s="232" t="e">
        <f t="shared" ca="1" si="50"/>
        <v>#N/A</v>
      </c>
      <c r="H371" s="232" t="e">
        <f t="shared" ca="1" si="51"/>
        <v>#N/A</v>
      </c>
      <c r="I371" s="232" t="e">
        <f t="shared" ca="1" si="48"/>
        <v>#N/A</v>
      </c>
      <c r="J371" s="250"/>
      <c r="K371" s="250"/>
    </row>
    <row r="372" spans="1:11" hidden="1">
      <c r="A372" s="230" t="e">
        <f t="shared" ca="1" si="49"/>
        <v>#N/A</v>
      </c>
      <c r="B372" s="231" t="e">
        <f t="shared" ca="1" si="45"/>
        <v>#N/A</v>
      </c>
      <c r="C372" s="232" t="e">
        <f t="shared" ca="1" si="52"/>
        <v>#N/A</v>
      </c>
      <c r="D372" s="232" t="e">
        <f t="shared" ca="1" si="53"/>
        <v>#N/A</v>
      </c>
      <c r="E372" s="233" t="e">
        <f t="shared" ca="1" si="46"/>
        <v>#N/A</v>
      </c>
      <c r="F372" s="232" t="e">
        <f t="shared" ca="1" si="47"/>
        <v>#N/A</v>
      </c>
      <c r="G372" s="232" t="e">
        <f t="shared" ca="1" si="50"/>
        <v>#N/A</v>
      </c>
      <c r="H372" s="232" t="e">
        <f t="shared" ca="1" si="51"/>
        <v>#N/A</v>
      </c>
      <c r="I372" s="232" t="e">
        <f t="shared" ca="1" si="48"/>
        <v>#N/A</v>
      </c>
      <c r="J372" s="250"/>
      <c r="K372" s="250"/>
    </row>
    <row r="373" spans="1:11" hidden="1">
      <c r="A373" s="230" t="e">
        <f t="shared" ca="1" si="49"/>
        <v>#N/A</v>
      </c>
      <c r="B373" s="231" t="e">
        <f t="shared" ca="1" si="45"/>
        <v>#N/A</v>
      </c>
      <c r="C373" s="232" t="e">
        <f t="shared" ca="1" si="52"/>
        <v>#N/A</v>
      </c>
      <c r="D373" s="232" t="e">
        <f t="shared" ca="1" si="53"/>
        <v>#N/A</v>
      </c>
      <c r="E373" s="233" t="e">
        <f t="shared" ca="1" si="46"/>
        <v>#N/A</v>
      </c>
      <c r="F373" s="232" t="e">
        <f t="shared" ca="1" si="47"/>
        <v>#N/A</v>
      </c>
      <c r="G373" s="232" t="e">
        <f t="shared" ca="1" si="50"/>
        <v>#N/A</v>
      </c>
      <c r="H373" s="232" t="e">
        <f t="shared" ca="1" si="51"/>
        <v>#N/A</v>
      </c>
      <c r="I373" s="232" t="e">
        <f t="shared" ca="1" si="48"/>
        <v>#N/A</v>
      </c>
      <c r="J373" s="250"/>
      <c r="K373" s="250"/>
    </row>
    <row r="374" spans="1:11" hidden="1">
      <c r="A374" s="230" t="e">
        <f t="shared" ca="1" si="49"/>
        <v>#N/A</v>
      </c>
      <c r="B374" s="231" t="e">
        <f t="shared" ca="1" si="45"/>
        <v>#N/A</v>
      </c>
      <c r="C374" s="232" t="e">
        <f t="shared" ca="1" si="52"/>
        <v>#N/A</v>
      </c>
      <c r="D374" s="232" t="e">
        <f t="shared" ca="1" si="53"/>
        <v>#N/A</v>
      </c>
      <c r="E374" s="233" t="e">
        <f t="shared" ca="1" si="46"/>
        <v>#N/A</v>
      </c>
      <c r="F374" s="232" t="e">
        <f t="shared" ca="1" si="47"/>
        <v>#N/A</v>
      </c>
      <c r="G374" s="232" t="e">
        <f t="shared" ca="1" si="50"/>
        <v>#N/A</v>
      </c>
      <c r="H374" s="232" t="e">
        <f t="shared" ca="1" si="51"/>
        <v>#N/A</v>
      </c>
      <c r="I374" s="232" t="e">
        <f t="shared" ca="1" si="48"/>
        <v>#N/A</v>
      </c>
      <c r="J374" s="250"/>
      <c r="K374" s="250"/>
    </row>
    <row r="375" spans="1:11" hidden="1">
      <c r="A375" s="230" t="e">
        <f t="shared" ca="1" si="49"/>
        <v>#N/A</v>
      </c>
      <c r="B375" s="231" t="e">
        <f t="shared" ca="1" si="45"/>
        <v>#N/A</v>
      </c>
      <c r="C375" s="232" t="e">
        <f t="shared" ca="1" si="52"/>
        <v>#N/A</v>
      </c>
      <c r="D375" s="232" t="e">
        <f t="shared" ca="1" si="53"/>
        <v>#N/A</v>
      </c>
      <c r="E375" s="233" t="e">
        <f t="shared" ca="1" si="46"/>
        <v>#N/A</v>
      </c>
      <c r="F375" s="232" t="e">
        <f t="shared" ca="1" si="47"/>
        <v>#N/A</v>
      </c>
      <c r="G375" s="232" t="e">
        <f t="shared" ca="1" si="50"/>
        <v>#N/A</v>
      </c>
      <c r="H375" s="232" t="e">
        <f t="shared" ca="1" si="51"/>
        <v>#N/A</v>
      </c>
      <c r="I375" s="232" t="e">
        <f t="shared" ca="1" si="48"/>
        <v>#N/A</v>
      </c>
      <c r="J375" s="250"/>
      <c r="K375" s="250"/>
    </row>
    <row r="376" spans="1:11" hidden="1">
      <c r="A376" s="230" t="e">
        <f t="shared" ca="1" si="49"/>
        <v>#N/A</v>
      </c>
      <c r="B376" s="231" t="e">
        <f t="shared" ca="1" si="45"/>
        <v>#N/A</v>
      </c>
      <c r="C376" s="232" t="e">
        <f t="shared" ca="1" si="52"/>
        <v>#N/A</v>
      </c>
      <c r="D376" s="232" t="e">
        <f t="shared" ca="1" si="53"/>
        <v>#N/A</v>
      </c>
      <c r="E376" s="233" t="e">
        <f t="shared" ca="1" si="46"/>
        <v>#N/A</v>
      </c>
      <c r="F376" s="232" t="e">
        <f t="shared" ca="1" si="47"/>
        <v>#N/A</v>
      </c>
      <c r="G376" s="232" t="e">
        <f t="shared" ca="1" si="50"/>
        <v>#N/A</v>
      </c>
      <c r="H376" s="232" t="e">
        <f t="shared" ca="1" si="51"/>
        <v>#N/A</v>
      </c>
      <c r="I376" s="232" t="e">
        <f t="shared" ca="1" si="48"/>
        <v>#N/A</v>
      </c>
      <c r="J376" s="250"/>
      <c r="K376" s="250"/>
    </row>
    <row r="377" spans="1:11" hidden="1">
      <c r="A377" s="230" t="e">
        <f t="shared" ca="1" si="49"/>
        <v>#N/A</v>
      </c>
      <c r="B377" s="231" t="e">
        <f t="shared" ca="1" si="45"/>
        <v>#N/A</v>
      </c>
      <c r="C377" s="232" t="e">
        <f t="shared" ca="1" si="52"/>
        <v>#N/A</v>
      </c>
      <c r="D377" s="232" t="e">
        <f t="shared" ca="1" si="53"/>
        <v>#N/A</v>
      </c>
      <c r="E377" s="233" t="e">
        <f t="shared" ca="1" si="46"/>
        <v>#N/A</v>
      </c>
      <c r="F377" s="232" t="e">
        <f t="shared" ca="1" si="47"/>
        <v>#N/A</v>
      </c>
      <c r="G377" s="232" t="e">
        <f t="shared" ca="1" si="50"/>
        <v>#N/A</v>
      </c>
      <c r="H377" s="232" t="e">
        <f t="shared" ca="1" si="51"/>
        <v>#N/A</v>
      </c>
      <c r="I377" s="232" t="e">
        <f t="shared" ca="1" si="48"/>
        <v>#N/A</v>
      </c>
      <c r="J377" s="250"/>
      <c r="K377" s="250"/>
    </row>
  </sheetData>
  <sheetProtection algorithmName="SHA-512" hashValue="hg5sueLNA2qSrB1OdPkXjNOGyZTvzbsed4bDfJfTCP0Z9r42BRAuhTKAEnR2fuY8DJo+IgGXFBMsakeJXzmHQg==" saltValue="3OytnoY61LtQCBlZd12YuA==" spinCount="100000" sheet="1" objects="1" scenarios="1" selectLockedCells="1"/>
  <mergeCells count="9">
    <mergeCell ref="A1:I1"/>
    <mergeCell ref="B5:D5"/>
    <mergeCell ref="F5:H5"/>
    <mergeCell ref="C13:D13"/>
    <mergeCell ref="F6:G6"/>
    <mergeCell ref="F7:G7"/>
    <mergeCell ref="F8:G8"/>
    <mergeCell ref="F9:G9"/>
    <mergeCell ref="F10:G10"/>
  </mergeCells>
  <conditionalFormatting sqref="A18:D377">
    <cfRule type="expression" dxfId="9" priority="7" stopIfTrue="1">
      <formula>IF(ROW(A18)=Last_Row,TRUE, FALSE)</formula>
    </cfRule>
    <cfRule type="expression" dxfId="8" priority="8" stopIfTrue="1">
      <formula>IF(ROW(A18)&lt;Last_Row,TRUE, FALSE)</formula>
    </cfRule>
  </conditionalFormatting>
  <conditionalFormatting sqref="A18:I377">
    <cfRule type="expression" dxfId="7" priority="1" stopIfTrue="1">
      <formula>IF(ROW(A18)&gt;Last_Row,TRUE, FALSE)</formula>
    </cfRule>
  </conditionalFormatting>
  <conditionalFormatting sqref="E18:E377">
    <cfRule type="expression" dxfId="6" priority="2" stopIfTrue="1">
      <formula>IF(ROW(E18)=Last_Row,TRUE, FALSE)</formula>
    </cfRule>
  </conditionalFormatting>
  <conditionalFormatting sqref="F18:I377">
    <cfRule type="expression" dxfId="5" priority="4" stopIfTrue="1">
      <formula>IF(ROW(F18)=Last_Row,TRUE, FALSE)</formula>
    </cfRule>
    <cfRule type="expression" dxfId="4" priority="5" stopIfTrue="1">
      <formula>IF(ROW(F18)&lt;=Last_Row,TRUE, FALSE)</formula>
    </cfRule>
  </conditionalFormatting>
  <dataValidations count="3">
    <dataValidation allowBlank="1" showInputMessage="1" showErrorMessage="1" promptTitle="Extra Payments" prompt="Enter an amount here if you want to make additional principal payments every pay period._x000a__x000a_For occasional extra payments, enter the extra principal amounts directly in the 'Extra Payment' column below." sqref="D1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D65547 IZ65547 SV65547 ACR65547 AMN65547 AWJ65547 BGF65547 BQB65547 BZX65547 CJT65547 CTP65547 DDL65547 DNH65547 DXD65547 EGZ65547 EQV65547 FAR65547 FKN65547 FUJ65547 GEF65547 GOB65547 GXX65547 HHT65547 HRP65547 IBL65547 ILH65547 IVD65547 JEZ65547 JOV65547 JYR65547 KIN65547 KSJ65547 LCF65547 LMB65547 LVX65547 MFT65547 MPP65547 MZL65547 NJH65547 NTD65547 OCZ65547 OMV65547 OWR65547 PGN65547 PQJ65547 QAF65547 QKB65547 QTX65547 RDT65547 RNP65547 RXL65547 SHH65547 SRD65547 TAZ65547 TKV65547 TUR65547 UEN65547 UOJ65547 UYF65547 VIB65547 VRX65547 WBT65547 WLP65547 WVL65547 D131083 IZ131083 SV131083 ACR131083 AMN131083 AWJ131083 BGF131083 BQB131083 BZX131083 CJT131083 CTP131083 DDL131083 DNH131083 DXD131083 EGZ131083 EQV131083 FAR131083 FKN131083 FUJ131083 GEF131083 GOB131083 GXX131083 HHT131083 HRP131083 IBL131083 ILH131083 IVD131083 JEZ131083 JOV131083 JYR131083 KIN131083 KSJ131083 LCF131083 LMB131083 LVX131083 MFT131083 MPP131083 MZL131083 NJH131083 NTD131083 OCZ131083 OMV131083 OWR131083 PGN131083 PQJ131083 QAF131083 QKB131083 QTX131083 RDT131083 RNP131083 RXL131083 SHH131083 SRD131083 TAZ131083 TKV131083 TUR131083 UEN131083 UOJ131083 UYF131083 VIB131083 VRX131083 WBT131083 WLP131083 WVL131083 D196619 IZ196619 SV196619 ACR196619 AMN196619 AWJ196619 BGF196619 BQB196619 BZX196619 CJT196619 CTP196619 DDL196619 DNH196619 DXD196619 EGZ196619 EQV196619 FAR196619 FKN196619 FUJ196619 GEF196619 GOB196619 GXX196619 HHT196619 HRP196619 IBL196619 ILH196619 IVD196619 JEZ196619 JOV196619 JYR196619 KIN196619 KSJ196619 LCF196619 LMB196619 LVX196619 MFT196619 MPP196619 MZL196619 NJH196619 NTD196619 OCZ196619 OMV196619 OWR196619 PGN196619 PQJ196619 QAF196619 QKB196619 QTX196619 RDT196619 RNP196619 RXL196619 SHH196619 SRD196619 TAZ196619 TKV196619 TUR196619 UEN196619 UOJ196619 UYF196619 VIB196619 VRX196619 WBT196619 WLP196619 WVL196619 D262155 IZ262155 SV262155 ACR262155 AMN262155 AWJ262155 BGF262155 BQB262155 BZX262155 CJT262155 CTP262155 DDL262155 DNH262155 DXD262155 EGZ262155 EQV262155 FAR262155 FKN262155 FUJ262155 GEF262155 GOB262155 GXX262155 HHT262155 HRP262155 IBL262155 ILH262155 IVD262155 JEZ262155 JOV262155 JYR262155 KIN262155 KSJ262155 LCF262155 LMB262155 LVX262155 MFT262155 MPP262155 MZL262155 NJH262155 NTD262155 OCZ262155 OMV262155 OWR262155 PGN262155 PQJ262155 QAF262155 QKB262155 QTX262155 RDT262155 RNP262155 RXL262155 SHH262155 SRD262155 TAZ262155 TKV262155 TUR262155 UEN262155 UOJ262155 UYF262155 VIB262155 VRX262155 WBT262155 WLP262155 WVL262155 D327691 IZ327691 SV327691 ACR327691 AMN327691 AWJ327691 BGF327691 BQB327691 BZX327691 CJT327691 CTP327691 DDL327691 DNH327691 DXD327691 EGZ327691 EQV327691 FAR327691 FKN327691 FUJ327691 GEF327691 GOB327691 GXX327691 HHT327691 HRP327691 IBL327691 ILH327691 IVD327691 JEZ327691 JOV327691 JYR327691 KIN327691 KSJ327691 LCF327691 LMB327691 LVX327691 MFT327691 MPP327691 MZL327691 NJH327691 NTD327691 OCZ327691 OMV327691 OWR327691 PGN327691 PQJ327691 QAF327691 QKB327691 QTX327691 RDT327691 RNP327691 RXL327691 SHH327691 SRD327691 TAZ327691 TKV327691 TUR327691 UEN327691 UOJ327691 UYF327691 VIB327691 VRX327691 WBT327691 WLP327691 WVL327691 D393227 IZ393227 SV393227 ACR393227 AMN393227 AWJ393227 BGF393227 BQB393227 BZX393227 CJT393227 CTP393227 DDL393227 DNH393227 DXD393227 EGZ393227 EQV393227 FAR393227 FKN393227 FUJ393227 GEF393227 GOB393227 GXX393227 HHT393227 HRP393227 IBL393227 ILH393227 IVD393227 JEZ393227 JOV393227 JYR393227 KIN393227 KSJ393227 LCF393227 LMB393227 LVX393227 MFT393227 MPP393227 MZL393227 NJH393227 NTD393227 OCZ393227 OMV393227 OWR393227 PGN393227 PQJ393227 QAF393227 QKB393227 QTX393227 RDT393227 RNP393227 RXL393227 SHH393227 SRD393227 TAZ393227 TKV393227 TUR393227 UEN393227 UOJ393227 UYF393227 VIB393227 VRX393227 WBT393227 WLP393227 WVL393227 D458763 IZ458763 SV458763 ACR458763 AMN458763 AWJ458763 BGF458763 BQB458763 BZX458763 CJT458763 CTP458763 DDL458763 DNH458763 DXD458763 EGZ458763 EQV458763 FAR458763 FKN458763 FUJ458763 GEF458763 GOB458763 GXX458763 HHT458763 HRP458763 IBL458763 ILH458763 IVD458763 JEZ458763 JOV458763 JYR458763 KIN458763 KSJ458763 LCF458763 LMB458763 LVX458763 MFT458763 MPP458763 MZL458763 NJH458763 NTD458763 OCZ458763 OMV458763 OWR458763 PGN458763 PQJ458763 QAF458763 QKB458763 QTX458763 RDT458763 RNP458763 RXL458763 SHH458763 SRD458763 TAZ458763 TKV458763 TUR458763 UEN458763 UOJ458763 UYF458763 VIB458763 VRX458763 WBT458763 WLP458763 WVL458763 D524299 IZ524299 SV524299 ACR524299 AMN524299 AWJ524299 BGF524299 BQB524299 BZX524299 CJT524299 CTP524299 DDL524299 DNH524299 DXD524299 EGZ524299 EQV524299 FAR524299 FKN524299 FUJ524299 GEF524299 GOB524299 GXX524299 HHT524299 HRP524299 IBL524299 ILH524299 IVD524299 JEZ524299 JOV524299 JYR524299 KIN524299 KSJ524299 LCF524299 LMB524299 LVX524299 MFT524299 MPP524299 MZL524299 NJH524299 NTD524299 OCZ524299 OMV524299 OWR524299 PGN524299 PQJ524299 QAF524299 QKB524299 QTX524299 RDT524299 RNP524299 RXL524299 SHH524299 SRD524299 TAZ524299 TKV524299 TUR524299 UEN524299 UOJ524299 UYF524299 VIB524299 VRX524299 WBT524299 WLP524299 WVL524299 D589835 IZ589835 SV589835 ACR589835 AMN589835 AWJ589835 BGF589835 BQB589835 BZX589835 CJT589835 CTP589835 DDL589835 DNH589835 DXD589835 EGZ589835 EQV589835 FAR589835 FKN589835 FUJ589835 GEF589835 GOB589835 GXX589835 HHT589835 HRP589835 IBL589835 ILH589835 IVD589835 JEZ589835 JOV589835 JYR589835 KIN589835 KSJ589835 LCF589835 LMB589835 LVX589835 MFT589835 MPP589835 MZL589835 NJH589835 NTD589835 OCZ589835 OMV589835 OWR589835 PGN589835 PQJ589835 QAF589835 QKB589835 QTX589835 RDT589835 RNP589835 RXL589835 SHH589835 SRD589835 TAZ589835 TKV589835 TUR589835 UEN589835 UOJ589835 UYF589835 VIB589835 VRX589835 WBT589835 WLP589835 WVL589835 D655371 IZ655371 SV655371 ACR655371 AMN655371 AWJ655371 BGF655371 BQB655371 BZX655371 CJT655371 CTP655371 DDL655371 DNH655371 DXD655371 EGZ655371 EQV655371 FAR655371 FKN655371 FUJ655371 GEF655371 GOB655371 GXX655371 HHT655371 HRP655371 IBL655371 ILH655371 IVD655371 JEZ655371 JOV655371 JYR655371 KIN655371 KSJ655371 LCF655371 LMB655371 LVX655371 MFT655371 MPP655371 MZL655371 NJH655371 NTD655371 OCZ655371 OMV655371 OWR655371 PGN655371 PQJ655371 QAF655371 QKB655371 QTX655371 RDT655371 RNP655371 RXL655371 SHH655371 SRD655371 TAZ655371 TKV655371 TUR655371 UEN655371 UOJ655371 UYF655371 VIB655371 VRX655371 WBT655371 WLP655371 WVL655371 D720907 IZ720907 SV720907 ACR720907 AMN720907 AWJ720907 BGF720907 BQB720907 BZX720907 CJT720907 CTP720907 DDL720907 DNH720907 DXD720907 EGZ720907 EQV720907 FAR720907 FKN720907 FUJ720907 GEF720907 GOB720907 GXX720907 HHT720907 HRP720907 IBL720907 ILH720907 IVD720907 JEZ720907 JOV720907 JYR720907 KIN720907 KSJ720907 LCF720907 LMB720907 LVX720907 MFT720907 MPP720907 MZL720907 NJH720907 NTD720907 OCZ720907 OMV720907 OWR720907 PGN720907 PQJ720907 QAF720907 QKB720907 QTX720907 RDT720907 RNP720907 RXL720907 SHH720907 SRD720907 TAZ720907 TKV720907 TUR720907 UEN720907 UOJ720907 UYF720907 VIB720907 VRX720907 WBT720907 WLP720907 WVL720907 D786443 IZ786443 SV786443 ACR786443 AMN786443 AWJ786443 BGF786443 BQB786443 BZX786443 CJT786443 CTP786443 DDL786443 DNH786443 DXD786443 EGZ786443 EQV786443 FAR786443 FKN786443 FUJ786443 GEF786443 GOB786443 GXX786443 HHT786443 HRP786443 IBL786443 ILH786443 IVD786443 JEZ786443 JOV786443 JYR786443 KIN786443 KSJ786443 LCF786443 LMB786443 LVX786443 MFT786443 MPP786443 MZL786443 NJH786443 NTD786443 OCZ786443 OMV786443 OWR786443 PGN786443 PQJ786443 QAF786443 QKB786443 QTX786443 RDT786443 RNP786443 RXL786443 SHH786443 SRD786443 TAZ786443 TKV786443 TUR786443 UEN786443 UOJ786443 UYF786443 VIB786443 VRX786443 WBT786443 WLP786443 WVL786443 D851979 IZ851979 SV851979 ACR851979 AMN851979 AWJ851979 BGF851979 BQB851979 BZX851979 CJT851979 CTP851979 DDL851979 DNH851979 DXD851979 EGZ851979 EQV851979 FAR851979 FKN851979 FUJ851979 GEF851979 GOB851979 GXX851979 HHT851979 HRP851979 IBL851979 ILH851979 IVD851979 JEZ851979 JOV851979 JYR851979 KIN851979 KSJ851979 LCF851979 LMB851979 LVX851979 MFT851979 MPP851979 MZL851979 NJH851979 NTD851979 OCZ851979 OMV851979 OWR851979 PGN851979 PQJ851979 QAF851979 QKB851979 QTX851979 RDT851979 RNP851979 RXL851979 SHH851979 SRD851979 TAZ851979 TKV851979 TUR851979 UEN851979 UOJ851979 UYF851979 VIB851979 VRX851979 WBT851979 WLP851979 WVL851979 D917515 IZ917515 SV917515 ACR917515 AMN917515 AWJ917515 BGF917515 BQB917515 BZX917515 CJT917515 CTP917515 DDL917515 DNH917515 DXD917515 EGZ917515 EQV917515 FAR917515 FKN917515 FUJ917515 GEF917515 GOB917515 GXX917515 HHT917515 HRP917515 IBL917515 ILH917515 IVD917515 JEZ917515 JOV917515 JYR917515 KIN917515 KSJ917515 LCF917515 LMB917515 LVX917515 MFT917515 MPP917515 MZL917515 NJH917515 NTD917515 OCZ917515 OMV917515 OWR917515 PGN917515 PQJ917515 QAF917515 QKB917515 QTX917515 RDT917515 RNP917515 RXL917515 SHH917515 SRD917515 TAZ917515 TKV917515 TUR917515 UEN917515 UOJ917515 UYF917515 VIB917515 VRX917515 WBT917515 WLP917515 WVL917515 D983051 IZ983051 SV983051 ACR983051 AMN983051 AWJ983051 BGF983051 BQB983051 BZX983051 CJT983051 CTP983051 DDL983051 DNH983051 DXD983051 EGZ983051 EQV983051 FAR983051 FKN983051 FUJ983051 GEF983051 GOB983051 GXX983051 HHT983051 HRP983051 IBL983051 ILH983051 IVD983051 JEZ983051 JOV983051 JYR983051 KIN983051 KSJ983051 LCF983051 LMB983051 LVX983051 MFT983051 MPP983051 MZL983051 NJH983051 NTD983051 OCZ983051 OMV983051 OWR983051 PGN983051 PQJ983051 QAF983051 QKB983051 QTX983051 RDT983051 RNP983051 RXL983051 SHH983051 SRD983051 TAZ983051 TKV983051 TUR983051 UEN983051 UOJ983051 UYF983051 VIB983051 VRX983051 WBT983051 WLP983051 WVL983051" xr:uid="{00000000-0002-0000-1100-000000000000}"/>
    <dataValidation type="date" operator="greaterThanOrEqual" allowBlank="1" showInputMessage="1" showErrorMessage="1" errorTitle="Date" error="Please enter a valid date greater than or equal to January 1, 1900." sqref="D9:D10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D65545:D65546 IZ65545:IZ65546 SV65545:SV65546 ACR65545:ACR65546 AMN65545:AMN65546 AWJ65545:AWJ65546 BGF65545:BGF65546 BQB65545:BQB65546 BZX65545:BZX65546 CJT65545:CJT65546 CTP65545:CTP65546 DDL65545:DDL65546 DNH65545:DNH65546 DXD65545:DXD65546 EGZ65545:EGZ65546 EQV65545:EQV65546 FAR65545:FAR65546 FKN65545:FKN65546 FUJ65545:FUJ65546 GEF65545:GEF65546 GOB65545:GOB65546 GXX65545:GXX65546 HHT65545:HHT65546 HRP65545:HRP65546 IBL65545:IBL65546 ILH65545:ILH65546 IVD65545:IVD65546 JEZ65545:JEZ65546 JOV65545:JOV65546 JYR65545:JYR65546 KIN65545:KIN65546 KSJ65545:KSJ65546 LCF65545:LCF65546 LMB65545:LMB65546 LVX65545:LVX65546 MFT65545:MFT65546 MPP65545:MPP65546 MZL65545:MZL65546 NJH65545:NJH65546 NTD65545:NTD65546 OCZ65545:OCZ65546 OMV65545:OMV65546 OWR65545:OWR65546 PGN65545:PGN65546 PQJ65545:PQJ65546 QAF65545:QAF65546 QKB65545:QKB65546 QTX65545:QTX65546 RDT65545:RDT65546 RNP65545:RNP65546 RXL65545:RXL65546 SHH65545:SHH65546 SRD65545:SRD65546 TAZ65545:TAZ65546 TKV65545:TKV65546 TUR65545:TUR65546 UEN65545:UEN65546 UOJ65545:UOJ65546 UYF65545:UYF65546 VIB65545:VIB65546 VRX65545:VRX65546 WBT65545:WBT65546 WLP65545:WLP65546 WVL65545:WVL65546 D131081:D131082 IZ131081:IZ131082 SV131081:SV131082 ACR131081:ACR131082 AMN131081:AMN131082 AWJ131081:AWJ131082 BGF131081:BGF131082 BQB131081:BQB131082 BZX131081:BZX131082 CJT131081:CJT131082 CTP131081:CTP131082 DDL131081:DDL131082 DNH131081:DNH131082 DXD131081:DXD131082 EGZ131081:EGZ131082 EQV131081:EQV131082 FAR131081:FAR131082 FKN131081:FKN131082 FUJ131081:FUJ131082 GEF131081:GEF131082 GOB131081:GOB131082 GXX131081:GXX131082 HHT131081:HHT131082 HRP131081:HRP131082 IBL131081:IBL131082 ILH131081:ILH131082 IVD131081:IVD131082 JEZ131081:JEZ131082 JOV131081:JOV131082 JYR131081:JYR131082 KIN131081:KIN131082 KSJ131081:KSJ131082 LCF131081:LCF131082 LMB131081:LMB131082 LVX131081:LVX131082 MFT131081:MFT131082 MPP131081:MPP131082 MZL131081:MZL131082 NJH131081:NJH131082 NTD131081:NTD131082 OCZ131081:OCZ131082 OMV131081:OMV131082 OWR131081:OWR131082 PGN131081:PGN131082 PQJ131081:PQJ131082 QAF131081:QAF131082 QKB131081:QKB131082 QTX131081:QTX131082 RDT131081:RDT131082 RNP131081:RNP131082 RXL131081:RXL131082 SHH131081:SHH131082 SRD131081:SRD131082 TAZ131081:TAZ131082 TKV131081:TKV131082 TUR131081:TUR131082 UEN131081:UEN131082 UOJ131081:UOJ131082 UYF131081:UYF131082 VIB131081:VIB131082 VRX131081:VRX131082 WBT131081:WBT131082 WLP131081:WLP131082 WVL131081:WVL131082 D196617:D196618 IZ196617:IZ196618 SV196617:SV196618 ACR196617:ACR196618 AMN196617:AMN196618 AWJ196617:AWJ196618 BGF196617:BGF196618 BQB196617:BQB196618 BZX196617:BZX196618 CJT196617:CJT196618 CTP196617:CTP196618 DDL196617:DDL196618 DNH196617:DNH196618 DXD196617:DXD196618 EGZ196617:EGZ196618 EQV196617:EQV196618 FAR196617:FAR196618 FKN196617:FKN196618 FUJ196617:FUJ196618 GEF196617:GEF196618 GOB196617:GOB196618 GXX196617:GXX196618 HHT196617:HHT196618 HRP196617:HRP196618 IBL196617:IBL196618 ILH196617:ILH196618 IVD196617:IVD196618 JEZ196617:JEZ196618 JOV196617:JOV196618 JYR196617:JYR196618 KIN196617:KIN196618 KSJ196617:KSJ196618 LCF196617:LCF196618 LMB196617:LMB196618 LVX196617:LVX196618 MFT196617:MFT196618 MPP196617:MPP196618 MZL196617:MZL196618 NJH196617:NJH196618 NTD196617:NTD196618 OCZ196617:OCZ196618 OMV196617:OMV196618 OWR196617:OWR196618 PGN196617:PGN196618 PQJ196617:PQJ196618 QAF196617:QAF196618 QKB196617:QKB196618 QTX196617:QTX196618 RDT196617:RDT196618 RNP196617:RNP196618 RXL196617:RXL196618 SHH196617:SHH196618 SRD196617:SRD196618 TAZ196617:TAZ196618 TKV196617:TKV196618 TUR196617:TUR196618 UEN196617:UEN196618 UOJ196617:UOJ196618 UYF196617:UYF196618 VIB196617:VIB196618 VRX196617:VRX196618 WBT196617:WBT196618 WLP196617:WLP196618 WVL196617:WVL196618 D262153:D262154 IZ262153:IZ262154 SV262153:SV262154 ACR262153:ACR262154 AMN262153:AMN262154 AWJ262153:AWJ262154 BGF262153:BGF262154 BQB262153:BQB262154 BZX262153:BZX262154 CJT262153:CJT262154 CTP262153:CTP262154 DDL262153:DDL262154 DNH262153:DNH262154 DXD262153:DXD262154 EGZ262153:EGZ262154 EQV262153:EQV262154 FAR262153:FAR262154 FKN262153:FKN262154 FUJ262153:FUJ262154 GEF262153:GEF262154 GOB262153:GOB262154 GXX262153:GXX262154 HHT262153:HHT262154 HRP262153:HRP262154 IBL262153:IBL262154 ILH262153:ILH262154 IVD262153:IVD262154 JEZ262153:JEZ262154 JOV262153:JOV262154 JYR262153:JYR262154 KIN262153:KIN262154 KSJ262153:KSJ262154 LCF262153:LCF262154 LMB262153:LMB262154 LVX262153:LVX262154 MFT262153:MFT262154 MPP262153:MPP262154 MZL262153:MZL262154 NJH262153:NJH262154 NTD262153:NTD262154 OCZ262153:OCZ262154 OMV262153:OMV262154 OWR262153:OWR262154 PGN262153:PGN262154 PQJ262153:PQJ262154 QAF262153:QAF262154 QKB262153:QKB262154 QTX262153:QTX262154 RDT262153:RDT262154 RNP262153:RNP262154 RXL262153:RXL262154 SHH262153:SHH262154 SRD262153:SRD262154 TAZ262153:TAZ262154 TKV262153:TKV262154 TUR262153:TUR262154 UEN262153:UEN262154 UOJ262153:UOJ262154 UYF262153:UYF262154 VIB262153:VIB262154 VRX262153:VRX262154 WBT262153:WBT262154 WLP262153:WLP262154 WVL262153:WVL262154 D327689:D327690 IZ327689:IZ327690 SV327689:SV327690 ACR327689:ACR327690 AMN327689:AMN327690 AWJ327689:AWJ327690 BGF327689:BGF327690 BQB327689:BQB327690 BZX327689:BZX327690 CJT327689:CJT327690 CTP327689:CTP327690 DDL327689:DDL327690 DNH327689:DNH327690 DXD327689:DXD327690 EGZ327689:EGZ327690 EQV327689:EQV327690 FAR327689:FAR327690 FKN327689:FKN327690 FUJ327689:FUJ327690 GEF327689:GEF327690 GOB327689:GOB327690 GXX327689:GXX327690 HHT327689:HHT327690 HRP327689:HRP327690 IBL327689:IBL327690 ILH327689:ILH327690 IVD327689:IVD327690 JEZ327689:JEZ327690 JOV327689:JOV327690 JYR327689:JYR327690 KIN327689:KIN327690 KSJ327689:KSJ327690 LCF327689:LCF327690 LMB327689:LMB327690 LVX327689:LVX327690 MFT327689:MFT327690 MPP327689:MPP327690 MZL327689:MZL327690 NJH327689:NJH327690 NTD327689:NTD327690 OCZ327689:OCZ327690 OMV327689:OMV327690 OWR327689:OWR327690 PGN327689:PGN327690 PQJ327689:PQJ327690 QAF327689:QAF327690 QKB327689:QKB327690 QTX327689:QTX327690 RDT327689:RDT327690 RNP327689:RNP327690 RXL327689:RXL327690 SHH327689:SHH327690 SRD327689:SRD327690 TAZ327689:TAZ327690 TKV327689:TKV327690 TUR327689:TUR327690 UEN327689:UEN327690 UOJ327689:UOJ327690 UYF327689:UYF327690 VIB327689:VIB327690 VRX327689:VRX327690 WBT327689:WBT327690 WLP327689:WLP327690 WVL327689:WVL327690 D393225:D393226 IZ393225:IZ393226 SV393225:SV393226 ACR393225:ACR393226 AMN393225:AMN393226 AWJ393225:AWJ393226 BGF393225:BGF393226 BQB393225:BQB393226 BZX393225:BZX393226 CJT393225:CJT393226 CTP393225:CTP393226 DDL393225:DDL393226 DNH393225:DNH393226 DXD393225:DXD393226 EGZ393225:EGZ393226 EQV393225:EQV393226 FAR393225:FAR393226 FKN393225:FKN393226 FUJ393225:FUJ393226 GEF393225:GEF393226 GOB393225:GOB393226 GXX393225:GXX393226 HHT393225:HHT393226 HRP393225:HRP393226 IBL393225:IBL393226 ILH393225:ILH393226 IVD393225:IVD393226 JEZ393225:JEZ393226 JOV393225:JOV393226 JYR393225:JYR393226 KIN393225:KIN393226 KSJ393225:KSJ393226 LCF393225:LCF393226 LMB393225:LMB393226 LVX393225:LVX393226 MFT393225:MFT393226 MPP393225:MPP393226 MZL393225:MZL393226 NJH393225:NJH393226 NTD393225:NTD393226 OCZ393225:OCZ393226 OMV393225:OMV393226 OWR393225:OWR393226 PGN393225:PGN393226 PQJ393225:PQJ393226 QAF393225:QAF393226 QKB393225:QKB393226 QTX393225:QTX393226 RDT393225:RDT393226 RNP393225:RNP393226 RXL393225:RXL393226 SHH393225:SHH393226 SRD393225:SRD393226 TAZ393225:TAZ393226 TKV393225:TKV393226 TUR393225:TUR393226 UEN393225:UEN393226 UOJ393225:UOJ393226 UYF393225:UYF393226 VIB393225:VIB393226 VRX393225:VRX393226 WBT393225:WBT393226 WLP393225:WLP393226 WVL393225:WVL393226 D458761:D458762 IZ458761:IZ458762 SV458761:SV458762 ACR458761:ACR458762 AMN458761:AMN458762 AWJ458761:AWJ458762 BGF458761:BGF458762 BQB458761:BQB458762 BZX458761:BZX458762 CJT458761:CJT458762 CTP458761:CTP458762 DDL458761:DDL458762 DNH458761:DNH458762 DXD458761:DXD458762 EGZ458761:EGZ458762 EQV458761:EQV458762 FAR458761:FAR458762 FKN458761:FKN458762 FUJ458761:FUJ458762 GEF458761:GEF458762 GOB458761:GOB458762 GXX458761:GXX458762 HHT458761:HHT458762 HRP458761:HRP458762 IBL458761:IBL458762 ILH458761:ILH458762 IVD458761:IVD458762 JEZ458761:JEZ458762 JOV458761:JOV458762 JYR458761:JYR458762 KIN458761:KIN458762 KSJ458761:KSJ458762 LCF458761:LCF458762 LMB458761:LMB458762 LVX458761:LVX458762 MFT458761:MFT458762 MPP458761:MPP458762 MZL458761:MZL458762 NJH458761:NJH458762 NTD458761:NTD458762 OCZ458761:OCZ458762 OMV458761:OMV458762 OWR458761:OWR458762 PGN458761:PGN458762 PQJ458761:PQJ458762 QAF458761:QAF458762 QKB458761:QKB458762 QTX458761:QTX458762 RDT458761:RDT458762 RNP458761:RNP458762 RXL458761:RXL458762 SHH458761:SHH458762 SRD458761:SRD458762 TAZ458761:TAZ458762 TKV458761:TKV458762 TUR458761:TUR458762 UEN458761:UEN458762 UOJ458761:UOJ458762 UYF458761:UYF458762 VIB458761:VIB458762 VRX458761:VRX458762 WBT458761:WBT458762 WLP458761:WLP458762 WVL458761:WVL458762 D524297:D524298 IZ524297:IZ524298 SV524297:SV524298 ACR524297:ACR524298 AMN524297:AMN524298 AWJ524297:AWJ524298 BGF524297:BGF524298 BQB524297:BQB524298 BZX524297:BZX524298 CJT524297:CJT524298 CTP524297:CTP524298 DDL524297:DDL524298 DNH524297:DNH524298 DXD524297:DXD524298 EGZ524297:EGZ524298 EQV524297:EQV524298 FAR524297:FAR524298 FKN524297:FKN524298 FUJ524297:FUJ524298 GEF524297:GEF524298 GOB524297:GOB524298 GXX524297:GXX524298 HHT524297:HHT524298 HRP524297:HRP524298 IBL524297:IBL524298 ILH524297:ILH524298 IVD524297:IVD524298 JEZ524297:JEZ524298 JOV524297:JOV524298 JYR524297:JYR524298 KIN524297:KIN524298 KSJ524297:KSJ524298 LCF524297:LCF524298 LMB524297:LMB524298 LVX524297:LVX524298 MFT524297:MFT524298 MPP524297:MPP524298 MZL524297:MZL524298 NJH524297:NJH524298 NTD524297:NTD524298 OCZ524297:OCZ524298 OMV524297:OMV524298 OWR524297:OWR524298 PGN524297:PGN524298 PQJ524297:PQJ524298 QAF524297:QAF524298 QKB524297:QKB524298 QTX524297:QTX524298 RDT524297:RDT524298 RNP524297:RNP524298 RXL524297:RXL524298 SHH524297:SHH524298 SRD524297:SRD524298 TAZ524297:TAZ524298 TKV524297:TKV524298 TUR524297:TUR524298 UEN524297:UEN524298 UOJ524297:UOJ524298 UYF524297:UYF524298 VIB524297:VIB524298 VRX524297:VRX524298 WBT524297:WBT524298 WLP524297:WLP524298 WVL524297:WVL524298 D589833:D589834 IZ589833:IZ589834 SV589833:SV589834 ACR589833:ACR589834 AMN589833:AMN589834 AWJ589833:AWJ589834 BGF589833:BGF589834 BQB589833:BQB589834 BZX589833:BZX589834 CJT589833:CJT589834 CTP589833:CTP589834 DDL589833:DDL589834 DNH589833:DNH589834 DXD589833:DXD589834 EGZ589833:EGZ589834 EQV589833:EQV589834 FAR589833:FAR589834 FKN589833:FKN589834 FUJ589833:FUJ589834 GEF589833:GEF589834 GOB589833:GOB589834 GXX589833:GXX589834 HHT589833:HHT589834 HRP589833:HRP589834 IBL589833:IBL589834 ILH589833:ILH589834 IVD589833:IVD589834 JEZ589833:JEZ589834 JOV589833:JOV589834 JYR589833:JYR589834 KIN589833:KIN589834 KSJ589833:KSJ589834 LCF589833:LCF589834 LMB589833:LMB589834 LVX589833:LVX589834 MFT589833:MFT589834 MPP589833:MPP589834 MZL589833:MZL589834 NJH589833:NJH589834 NTD589833:NTD589834 OCZ589833:OCZ589834 OMV589833:OMV589834 OWR589833:OWR589834 PGN589833:PGN589834 PQJ589833:PQJ589834 QAF589833:QAF589834 QKB589833:QKB589834 QTX589833:QTX589834 RDT589833:RDT589834 RNP589833:RNP589834 RXL589833:RXL589834 SHH589833:SHH589834 SRD589833:SRD589834 TAZ589833:TAZ589834 TKV589833:TKV589834 TUR589833:TUR589834 UEN589833:UEN589834 UOJ589833:UOJ589834 UYF589833:UYF589834 VIB589833:VIB589834 VRX589833:VRX589834 WBT589833:WBT589834 WLP589833:WLP589834 WVL589833:WVL589834 D655369:D655370 IZ655369:IZ655370 SV655369:SV655370 ACR655369:ACR655370 AMN655369:AMN655370 AWJ655369:AWJ655370 BGF655369:BGF655370 BQB655369:BQB655370 BZX655369:BZX655370 CJT655369:CJT655370 CTP655369:CTP655370 DDL655369:DDL655370 DNH655369:DNH655370 DXD655369:DXD655370 EGZ655369:EGZ655370 EQV655369:EQV655370 FAR655369:FAR655370 FKN655369:FKN655370 FUJ655369:FUJ655370 GEF655369:GEF655370 GOB655369:GOB655370 GXX655369:GXX655370 HHT655369:HHT655370 HRP655369:HRP655370 IBL655369:IBL655370 ILH655369:ILH655370 IVD655369:IVD655370 JEZ655369:JEZ655370 JOV655369:JOV655370 JYR655369:JYR655370 KIN655369:KIN655370 KSJ655369:KSJ655370 LCF655369:LCF655370 LMB655369:LMB655370 LVX655369:LVX655370 MFT655369:MFT655370 MPP655369:MPP655370 MZL655369:MZL655370 NJH655369:NJH655370 NTD655369:NTD655370 OCZ655369:OCZ655370 OMV655369:OMV655370 OWR655369:OWR655370 PGN655369:PGN655370 PQJ655369:PQJ655370 QAF655369:QAF655370 QKB655369:QKB655370 QTX655369:QTX655370 RDT655369:RDT655370 RNP655369:RNP655370 RXL655369:RXL655370 SHH655369:SHH655370 SRD655369:SRD655370 TAZ655369:TAZ655370 TKV655369:TKV655370 TUR655369:TUR655370 UEN655369:UEN655370 UOJ655369:UOJ655370 UYF655369:UYF655370 VIB655369:VIB655370 VRX655369:VRX655370 WBT655369:WBT655370 WLP655369:WLP655370 WVL655369:WVL655370 D720905:D720906 IZ720905:IZ720906 SV720905:SV720906 ACR720905:ACR720906 AMN720905:AMN720906 AWJ720905:AWJ720906 BGF720905:BGF720906 BQB720905:BQB720906 BZX720905:BZX720906 CJT720905:CJT720906 CTP720905:CTP720906 DDL720905:DDL720906 DNH720905:DNH720906 DXD720905:DXD720906 EGZ720905:EGZ720906 EQV720905:EQV720906 FAR720905:FAR720906 FKN720905:FKN720906 FUJ720905:FUJ720906 GEF720905:GEF720906 GOB720905:GOB720906 GXX720905:GXX720906 HHT720905:HHT720906 HRP720905:HRP720906 IBL720905:IBL720906 ILH720905:ILH720906 IVD720905:IVD720906 JEZ720905:JEZ720906 JOV720905:JOV720906 JYR720905:JYR720906 KIN720905:KIN720906 KSJ720905:KSJ720906 LCF720905:LCF720906 LMB720905:LMB720906 LVX720905:LVX720906 MFT720905:MFT720906 MPP720905:MPP720906 MZL720905:MZL720906 NJH720905:NJH720906 NTD720905:NTD720906 OCZ720905:OCZ720906 OMV720905:OMV720906 OWR720905:OWR720906 PGN720905:PGN720906 PQJ720905:PQJ720906 QAF720905:QAF720906 QKB720905:QKB720906 QTX720905:QTX720906 RDT720905:RDT720906 RNP720905:RNP720906 RXL720905:RXL720906 SHH720905:SHH720906 SRD720905:SRD720906 TAZ720905:TAZ720906 TKV720905:TKV720906 TUR720905:TUR720906 UEN720905:UEN720906 UOJ720905:UOJ720906 UYF720905:UYF720906 VIB720905:VIB720906 VRX720905:VRX720906 WBT720905:WBT720906 WLP720905:WLP720906 WVL720905:WVL720906 D786441:D786442 IZ786441:IZ786442 SV786441:SV786442 ACR786441:ACR786442 AMN786441:AMN786442 AWJ786441:AWJ786442 BGF786441:BGF786442 BQB786441:BQB786442 BZX786441:BZX786442 CJT786441:CJT786442 CTP786441:CTP786442 DDL786441:DDL786442 DNH786441:DNH786442 DXD786441:DXD786442 EGZ786441:EGZ786442 EQV786441:EQV786442 FAR786441:FAR786442 FKN786441:FKN786442 FUJ786441:FUJ786442 GEF786441:GEF786442 GOB786441:GOB786442 GXX786441:GXX786442 HHT786441:HHT786442 HRP786441:HRP786442 IBL786441:IBL786442 ILH786441:ILH786442 IVD786441:IVD786442 JEZ786441:JEZ786442 JOV786441:JOV786442 JYR786441:JYR786442 KIN786441:KIN786442 KSJ786441:KSJ786442 LCF786441:LCF786442 LMB786441:LMB786442 LVX786441:LVX786442 MFT786441:MFT786442 MPP786441:MPP786442 MZL786441:MZL786442 NJH786441:NJH786442 NTD786441:NTD786442 OCZ786441:OCZ786442 OMV786441:OMV786442 OWR786441:OWR786442 PGN786441:PGN786442 PQJ786441:PQJ786442 QAF786441:QAF786442 QKB786441:QKB786442 QTX786441:QTX786442 RDT786441:RDT786442 RNP786441:RNP786442 RXL786441:RXL786442 SHH786441:SHH786442 SRD786441:SRD786442 TAZ786441:TAZ786442 TKV786441:TKV786442 TUR786441:TUR786442 UEN786441:UEN786442 UOJ786441:UOJ786442 UYF786441:UYF786442 VIB786441:VIB786442 VRX786441:VRX786442 WBT786441:WBT786442 WLP786441:WLP786442 WVL786441:WVL786442 D851977:D851978 IZ851977:IZ851978 SV851977:SV851978 ACR851977:ACR851978 AMN851977:AMN851978 AWJ851977:AWJ851978 BGF851977:BGF851978 BQB851977:BQB851978 BZX851977:BZX851978 CJT851977:CJT851978 CTP851977:CTP851978 DDL851977:DDL851978 DNH851977:DNH851978 DXD851977:DXD851978 EGZ851977:EGZ851978 EQV851977:EQV851978 FAR851977:FAR851978 FKN851977:FKN851978 FUJ851977:FUJ851978 GEF851977:GEF851978 GOB851977:GOB851978 GXX851977:GXX851978 HHT851977:HHT851978 HRP851977:HRP851978 IBL851977:IBL851978 ILH851977:ILH851978 IVD851977:IVD851978 JEZ851977:JEZ851978 JOV851977:JOV851978 JYR851977:JYR851978 KIN851977:KIN851978 KSJ851977:KSJ851978 LCF851977:LCF851978 LMB851977:LMB851978 LVX851977:LVX851978 MFT851977:MFT851978 MPP851977:MPP851978 MZL851977:MZL851978 NJH851977:NJH851978 NTD851977:NTD851978 OCZ851977:OCZ851978 OMV851977:OMV851978 OWR851977:OWR851978 PGN851977:PGN851978 PQJ851977:PQJ851978 QAF851977:QAF851978 QKB851977:QKB851978 QTX851977:QTX851978 RDT851977:RDT851978 RNP851977:RNP851978 RXL851977:RXL851978 SHH851977:SHH851978 SRD851977:SRD851978 TAZ851977:TAZ851978 TKV851977:TKV851978 TUR851977:TUR851978 UEN851977:UEN851978 UOJ851977:UOJ851978 UYF851977:UYF851978 VIB851977:VIB851978 VRX851977:VRX851978 WBT851977:WBT851978 WLP851977:WLP851978 WVL851977:WVL851978 D917513:D917514 IZ917513:IZ917514 SV917513:SV917514 ACR917513:ACR917514 AMN917513:AMN917514 AWJ917513:AWJ917514 BGF917513:BGF917514 BQB917513:BQB917514 BZX917513:BZX917514 CJT917513:CJT917514 CTP917513:CTP917514 DDL917513:DDL917514 DNH917513:DNH917514 DXD917513:DXD917514 EGZ917513:EGZ917514 EQV917513:EQV917514 FAR917513:FAR917514 FKN917513:FKN917514 FUJ917513:FUJ917514 GEF917513:GEF917514 GOB917513:GOB917514 GXX917513:GXX917514 HHT917513:HHT917514 HRP917513:HRP917514 IBL917513:IBL917514 ILH917513:ILH917514 IVD917513:IVD917514 JEZ917513:JEZ917514 JOV917513:JOV917514 JYR917513:JYR917514 KIN917513:KIN917514 KSJ917513:KSJ917514 LCF917513:LCF917514 LMB917513:LMB917514 LVX917513:LVX917514 MFT917513:MFT917514 MPP917513:MPP917514 MZL917513:MZL917514 NJH917513:NJH917514 NTD917513:NTD917514 OCZ917513:OCZ917514 OMV917513:OMV917514 OWR917513:OWR917514 PGN917513:PGN917514 PQJ917513:PQJ917514 QAF917513:QAF917514 QKB917513:QKB917514 QTX917513:QTX917514 RDT917513:RDT917514 RNP917513:RNP917514 RXL917513:RXL917514 SHH917513:SHH917514 SRD917513:SRD917514 TAZ917513:TAZ917514 TKV917513:TKV917514 TUR917513:TUR917514 UEN917513:UEN917514 UOJ917513:UOJ917514 UYF917513:UYF917514 VIB917513:VIB917514 VRX917513:VRX917514 WBT917513:WBT917514 WLP917513:WLP917514 WVL917513:WVL917514 D983049:D983050 IZ983049:IZ983050 SV983049:SV983050 ACR983049:ACR983050 AMN983049:AMN983050 AWJ983049:AWJ983050 BGF983049:BGF983050 BQB983049:BQB983050 BZX983049:BZX983050 CJT983049:CJT983050 CTP983049:CTP983050 DDL983049:DDL983050 DNH983049:DNH983050 DXD983049:DXD983050 EGZ983049:EGZ983050 EQV983049:EQV983050 FAR983049:FAR983050 FKN983049:FKN983050 FUJ983049:FUJ983050 GEF983049:GEF983050 GOB983049:GOB983050 GXX983049:GXX983050 HHT983049:HHT983050 HRP983049:HRP983050 IBL983049:IBL983050 ILH983049:ILH983050 IVD983049:IVD983050 JEZ983049:JEZ983050 JOV983049:JOV983050 JYR983049:JYR983050 KIN983049:KIN983050 KSJ983049:KSJ983050 LCF983049:LCF983050 LMB983049:LMB983050 LVX983049:LVX983050 MFT983049:MFT983050 MPP983049:MPP983050 MZL983049:MZL983050 NJH983049:NJH983050 NTD983049:NTD983050 OCZ983049:OCZ983050 OMV983049:OMV983050 OWR983049:OWR983050 PGN983049:PGN983050 PQJ983049:PQJ983050 QAF983049:QAF983050 QKB983049:QKB983050 QTX983049:QTX983050 RDT983049:RDT983050 RNP983049:RNP983050 RXL983049:RXL983050 SHH983049:SHH983050 SRD983049:SRD983050 TAZ983049:TAZ983050 TKV983049:TKV983050 TUR983049:TUR983050 UEN983049:UEN983050 UOJ983049:UOJ983050 UYF983049:UYF983050 VIB983049:VIB983050 VRX983049:VRX983050 WBT983049:WBT983050 WLP983049:WLP983050 WVL983049:WVL983050" xr:uid="{00000000-0002-0000-1100-000001000000}">
      <formula1>1</formula1>
    </dataValidation>
    <dataValidation type="whole" allowBlank="1" showInputMessage="1" showErrorMessage="1" errorTitle="Years" error="Please enter a whole number of years from 1 to 30." sqref="D8 IZ8 SV8 ACR8 AMN8 AWJ8 BGF8 BQB8 BZX8 CJT8 CTP8 DDL8 DNH8 DXD8 EGZ8 EQV8 FAR8 FKN8 FUJ8 GEF8 GOB8 GXX8 HHT8 HRP8 IBL8 ILH8 IVD8 JEZ8 JOV8 JYR8 KIN8 KSJ8 LCF8 LMB8 LVX8 MFT8 MPP8 MZL8 NJH8 NTD8 OCZ8 OMV8 OWR8 PGN8 PQJ8 QAF8 QKB8 QTX8 RDT8 RNP8 RXL8 SHH8 SRD8 TAZ8 TKV8 TUR8 UEN8 UOJ8 UYF8 VIB8 VRX8 WBT8 WLP8 WVL8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xr:uid="{00000000-0002-0000-1100-000002000000}">
      <formula1>1</formula1>
      <formula2>30</formula2>
    </dataValidation>
  </dataValidations>
  <printOptions horizontalCentered="1"/>
  <pageMargins left="0.74803149606299213" right="0.51181102362204722" top="0" bottom="0.39370078740157483" header="0" footer="0"/>
  <pageSetup scale="58" orientation="landscape" r:id="rId1"/>
  <headerFooter alignWithMargins="0">
    <oddHeader xml:space="preserve">&amp;C&amp;"-,מודגש"&amp;14&amp;E
</oddHeader>
    <oddFooter>&amp;L&amp;F&amp;C&amp;D</oddFooter>
  </headerFooter>
  <rowBreaks count="1" manualBreakCount="1">
    <brk id="78"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גיליון17"/>
  <dimension ref="A1:Z60"/>
  <sheetViews>
    <sheetView showGridLines="0" rightToLeft="1" zoomScale="70" zoomScaleNormal="70" workbookViewId="0">
      <selection activeCell="A5" sqref="A5:XFD57"/>
    </sheetView>
  </sheetViews>
  <sheetFormatPr defaultColWidth="0" defaultRowHeight="15" zeroHeight="1"/>
  <cols>
    <col min="1" max="1" width="17.375" style="85" bestFit="1" customWidth="1"/>
    <col min="2" max="2" width="15.625" style="85" bestFit="1" customWidth="1"/>
    <col min="3" max="3" width="19.75" style="85" bestFit="1" customWidth="1"/>
    <col min="4" max="4" width="16.75" style="85" bestFit="1" customWidth="1"/>
    <col min="5" max="5" width="17.875" style="85" bestFit="1" customWidth="1"/>
    <col min="6" max="6" width="14.125" style="85" bestFit="1" customWidth="1"/>
    <col min="7" max="8" width="14.375" style="85" bestFit="1" customWidth="1"/>
    <col min="9" max="9" width="16" style="85" bestFit="1" customWidth="1"/>
    <col min="10" max="10" width="2.25" style="85" hidden="1" customWidth="1"/>
    <col min="11" max="26" width="0" style="85" hidden="1" customWidth="1"/>
    <col min="27" max="16384" width="15.375" style="85" hidden="1"/>
  </cols>
  <sheetData>
    <row r="1" spans="1:3"/>
    <row r="2" spans="1:3" ht="34.5">
      <c r="C2" s="594" t="s">
        <v>537</v>
      </c>
    </row>
    <row r="3" spans="1:3"/>
    <row r="4" spans="1:3"/>
    <row r="7" spans="1:3" ht="18.75" hidden="1" customHeight="1"/>
    <row r="8" spans="1:3" hidden="1">
      <c r="A8" s="85" t="s">
        <v>336</v>
      </c>
      <c r="B8" s="214">
        <v>1</v>
      </c>
      <c r="C8" s="215">
        <f>'נתוני הקמה'!B24</f>
        <v>0</v>
      </c>
    </row>
    <row r="10" spans="1:3" hidden="1">
      <c r="A10" s="85" t="s">
        <v>337</v>
      </c>
      <c r="B10" s="214">
        <v>0.1</v>
      </c>
      <c r="C10" s="215">
        <f>B10*C8</f>
        <v>0</v>
      </c>
    </row>
    <row r="12" spans="1:3" hidden="1">
      <c r="A12" s="85" t="s">
        <v>338</v>
      </c>
      <c r="B12" s="214">
        <f>B8-B10</f>
        <v>0.9</v>
      </c>
      <c r="C12" s="216">
        <f>C8-C10</f>
        <v>0</v>
      </c>
    </row>
    <row r="13" spans="1:3" hidden="1">
      <c r="A13" s="85" t="s">
        <v>413</v>
      </c>
      <c r="C13" s="215" t="e">
        <f>מימון!E21+מימון!E25</f>
        <v>#N/A</v>
      </c>
    </row>
    <row r="14" spans="1:3" ht="15.75" hidden="1" thickBot="1">
      <c r="A14" s="85" t="s">
        <v>414</v>
      </c>
      <c r="C14" s="270" t="e">
        <f>SUM(C12:C13)</f>
        <v>#N/A</v>
      </c>
    </row>
    <row r="15" spans="1:3" ht="15.75" hidden="1" thickTop="1"/>
    <row r="16" spans="1:3" hidden="1">
      <c r="A16" s="1034" t="s">
        <v>339</v>
      </c>
      <c r="B16" s="1034"/>
      <c r="C16" s="1034"/>
    </row>
    <row r="18" spans="1:26" hidden="1">
      <c r="A18" s="85" t="s">
        <v>341</v>
      </c>
      <c r="B18" s="217">
        <v>0.08</v>
      </c>
    </row>
    <row r="19" spans="1:26" hidden="1">
      <c r="B19" s="217"/>
    </row>
    <row r="20" spans="1:26" hidden="1">
      <c r="A20" s="85" t="s">
        <v>344</v>
      </c>
      <c r="B20" s="217">
        <v>0.04</v>
      </c>
      <c r="C20" s="85" t="s">
        <v>499</v>
      </c>
    </row>
    <row r="21" spans="1:26" hidden="1">
      <c r="A21" s="85" t="s">
        <v>344</v>
      </c>
      <c r="B21" s="217">
        <v>0.12</v>
      </c>
      <c r="C21" s="85" t="s">
        <v>345</v>
      </c>
    </row>
    <row r="22" spans="1:26" hidden="1">
      <c r="A22" s="85" t="s">
        <v>356</v>
      </c>
      <c r="B22" s="217">
        <v>0.4</v>
      </c>
    </row>
    <row r="23" spans="1:26" hidden="1">
      <c r="B23" s="217"/>
    </row>
    <row r="24" spans="1:26" ht="15.75" hidden="1">
      <c r="A24" s="218"/>
      <c r="B24" s="215"/>
      <c r="C24" s="215"/>
      <c r="D24" s="215"/>
      <c r="E24" s="215"/>
      <c r="F24" s="215"/>
      <c r="G24" s="215"/>
      <c r="H24" s="215"/>
      <c r="I24" s="215"/>
      <c r="J24" s="215"/>
      <c r="K24" s="215"/>
      <c r="L24" s="215"/>
      <c r="M24" s="215"/>
      <c r="N24" s="215"/>
      <c r="O24" s="215"/>
      <c r="P24" s="215"/>
      <c r="Q24" s="215"/>
      <c r="R24" s="215"/>
      <c r="S24" s="215"/>
      <c r="T24" s="215"/>
      <c r="U24" s="215"/>
      <c r="V24" s="215"/>
      <c r="W24" s="215"/>
      <c r="X24" s="215"/>
      <c r="Y24" s="215"/>
      <c r="Z24" s="215"/>
    </row>
    <row r="25" spans="1:26" ht="15.75" hidden="1">
      <c r="A25" s="219" t="s">
        <v>349</v>
      </c>
      <c r="B25" s="220" t="e">
        <f>IRR(G30:G56)</f>
        <v>#VALUE!</v>
      </c>
    </row>
    <row r="26" spans="1:26" s="222" customFormat="1" ht="15.75" hidden="1">
      <c r="A26" s="219" t="s">
        <v>359</v>
      </c>
      <c r="B26" s="254">
        <f>COUNTIF(J30:J56,0)-A31</f>
        <v>-2</v>
      </c>
    </row>
    <row r="27" spans="1:26" s="222" customFormat="1" ht="15.75" hidden="1">
      <c r="A27" s="219" t="s">
        <v>348</v>
      </c>
      <c r="B27" s="254" t="e">
        <f>I56</f>
        <v>#N/A</v>
      </c>
    </row>
    <row r="29" spans="1:26" s="223" customFormat="1" ht="15.75" hidden="1">
      <c r="B29" s="223" t="s">
        <v>340</v>
      </c>
      <c r="C29" s="223" t="s">
        <v>358</v>
      </c>
      <c r="D29" s="223" t="s">
        <v>342</v>
      </c>
      <c r="E29" s="223" t="s">
        <v>346</v>
      </c>
      <c r="F29" s="223" t="s">
        <v>351</v>
      </c>
      <c r="G29" s="223" t="s">
        <v>347</v>
      </c>
      <c r="H29" s="218" t="s">
        <v>357</v>
      </c>
      <c r="I29" s="218" t="s">
        <v>316</v>
      </c>
    </row>
    <row r="30" spans="1:26" hidden="1">
      <c r="A30" s="85">
        <v>1</v>
      </c>
      <c r="B30" s="215" t="e">
        <f>$C$14/2*-1</f>
        <v>#N/A</v>
      </c>
      <c r="C30" s="215">
        <v>0</v>
      </c>
      <c r="D30" s="215">
        <v>0</v>
      </c>
      <c r="E30" s="215">
        <v>0</v>
      </c>
      <c r="F30" s="215">
        <v>0</v>
      </c>
      <c r="G30" s="216" t="e">
        <f>B30+C30+D30+E30+F30</f>
        <v>#N/A</v>
      </c>
      <c r="H30" s="215" t="e">
        <f>G30/(1+$B$18)^(A30-0.5)</f>
        <v>#N/A</v>
      </c>
      <c r="I30" s="215" t="e">
        <f>H30</f>
        <v>#N/A</v>
      </c>
      <c r="J30" s="85" t="e">
        <f>IF(I30&gt;0,1,0)</f>
        <v>#N/A</v>
      </c>
    </row>
    <row r="31" spans="1:26" hidden="1">
      <c r="A31" s="85">
        <v>2</v>
      </c>
      <c r="B31" s="215" t="e">
        <f>$C$14/2*-1</f>
        <v>#N/A</v>
      </c>
      <c r="C31" s="215">
        <v>0</v>
      </c>
      <c r="D31" s="215">
        <v>0</v>
      </c>
      <c r="E31" s="215">
        <v>0</v>
      </c>
      <c r="F31" s="215">
        <v>0</v>
      </c>
      <c r="G31" s="216" t="e">
        <f t="shared" ref="G31:G56" si="0">B31+C31+D31+E31+F31</f>
        <v>#N/A</v>
      </c>
      <c r="H31" s="215" t="e">
        <f t="shared" ref="H31:H54" si="1">G31/(1+$B$18)^(A31-0.5)</f>
        <v>#N/A</v>
      </c>
      <c r="I31" s="215" t="e">
        <f>I30+H31</f>
        <v>#N/A</v>
      </c>
      <c r="J31" s="85" t="e">
        <f t="shared" ref="J31:J56" si="2">IF(I31&gt;0,1,0)</f>
        <v>#N/A</v>
      </c>
    </row>
    <row r="32" spans="1:26" hidden="1">
      <c r="A32" s="85">
        <v>3</v>
      </c>
      <c r="B32" s="215">
        <v>0</v>
      </c>
      <c r="C32" s="215" t="e">
        <f>'רווח והפסד'!C40+'רווח והפסד'!C26</f>
        <v>#N/A</v>
      </c>
      <c r="D32" s="215" t="e">
        <f>('רווח והפסד'!$C$38-'רווח והפסד'!$C$26-'רווח והפסד'!$C$16)*'כדאיות למשק'!$B$20</f>
        <v>#N/A</v>
      </c>
      <c r="E32" s="215">
        <f>'רווח והפסד'!$C$16*'כדאיות למשק'!$B$21</f>
        <v>0</v>
      </c>
      <c r="F32" s="215">
        <v>0</v>
      </c>
      <c r="G32" s="216" t="e">
        <f t="shared" si="0"/>
        <v>#N/A</v>
      </c>
      <c r="H32" s="215" t="e">
        <f t="shared" si="1"/>
        <v>#N/A</v>
      </c>
      <c r="I32" s="215" t="e">
        <f t="shared" ref="I32:I54" si="3">I31+H32</f>
        <v>#N/A</v>
      </c>
      <c r="J32" s="85" t="e">
        <f t="shared" si="2"/>
        <v>#N/A</v>
      </c>
    </row>
    <row r="33" spans="1:10" hidden="1">
      <c r="A33" s="85">
        <v>4</v>
      </c>
      <c r="B33" s="215">
        <v>0</v>
      </c>
      <c r="C33" s="215" t="e">
        <f>'רווח והפסד'!D40+'רווח והפסד'!D26</f>
        <v>#N/A</v>
      </c>
      <c r="D33" s="215" t="e">
        <f>('רווח והפסד'!$D$38-'רווח והפסד'!$D$26-'רווח והפסד'!$D$16)*'כדאיות למשק'!$B$20</f>
        <v>#N/A</v>
      </c>
      <c r="E33" s="215">
        <f>'רווח והפסד'!$D$16*'כדאיות למשק'!$B$21</f>
        <v>0</v>
      </c>
      <c r="F33" s="215">
        <v>0</v>
      </c>
      <c r="G33" s="216" t="e">
        <f t="shared" si="0"/>
        <v>#N/A</v>
      </c>
      <c r="H33" s="215" t="e">
        <f t="shared" si="1"/>
        <v>#N/A</v>
      </c>
      <c r="I33" s="215" t="e">
        <f t="shared" si="3"/>
        <v>#N/A</v>
      </c>
      <c r="J33" s="85" t="e">
        <f t="shared" si="2"/>
        <v>#N/A</v>
      </c>
    </row>
    <row r="34" spans="1:10" hidden="1">
      <c r="A34" s="85">
        <v>5</v>
      </c>
      <c r="B34" s="215">
        <v>0</v>
      </c>
      <c r="C34" s="215" t="e">
        <f>'רווח והפסד'!E40+'רווח והפסד'!E26</f>
        <v>#N/A</v>
      </c>
      <c r="D34" s="215" t="e">
        <f>('רווח והפסד'!$E$38-'רווח והפסד'!$E$26-'רווח והפסד'!$E$16)*'כדאיות למשק'!$B$20</f>
        <v>#N/A</v>
      </c>
      <c r="E34" s="215">
        <f>'רווח והפסד'!$E$16*'כדאיות למשק'!$B$21</f>
        <v>0</v>
      </c>
      <c r="F34" s="215">
        <v>0</v>
      </c>
      <c r="G34" s="216" t="e">
        <f t="shared" si="0"/>
        <v>#N/A</v>
      </c>
      <c r="H34" s="215" t="e">
        <f t="shared" si="1"/>
        <v>#N/A</v>
      </c>
      <c r="I34" s="215" t="e">
        <f t="shared" si="3"/>
        <v>#N/A</v>
      </c>
      <c r="J34" s="85" t="e">
        <f t="shared" si="2"/>
        <v>#N/A</v>
      </c>
    </row>
    <row r="35" spans="1:10" hidden="1">
      <c r="A35" s="85">
        <v>6</v>
      </c>
      <c r="B35" s="215">
        <v>0</v>
      </c>
      <c r="C35" s="215" t="e">
        <f>'רווח והפסד'!F40+'רווח והפסד'!F26</f>
        <v>#N/A</v>
      </c>
      <c r="D35" s="215" t="e">
        <f>('רווח והפסד'!$F$38-'רווח והפסד'!$F$26-'רווח והפסד'!$F$16)*'כדאיות למשק'!$B$20</f>
        <v>#N/A</v>
      </c>
      <c r="E35" s="215">
        <f>'רווח והפסד'!$F$16*'כדאיות למשק'!$B$21</f>
        <v>0</v>
      </c>
      <c r="F35" s="215">
        <v>0</v>
      </c>
      <c r="G35" s="216" t="e">
        <f t="shared" si="0"/>
        <v>#N/A</v>
      </c>
      <c r="H35" s="215" t="e">
        <f t="shared" si="1"/>
        <v>#N/A</v>
      </c>
      <c r="I35" s="215" t="e">
        <f t="shared" si="3"/>
        <v>#N/A</v>
      </c>
      <c r="J35" s="85" t="e">
        <f t="shared" si="2"/>
        <v>#N/A</v>
      </c>
    </row>
    <row r="36" spans="1:10" hidden="1">
      <c r="A36" s="85">
        <v>7</v>
      </c>
      <c r="B36" s="215">
        <v>0</v>
      </c>
      <c r="C36" s="215" t="e">
        <f>'רווח והפסד'!G40+'רווח והפסד'!G26</f>
        <v>#N/A</v>
      </c>
      <c r="D36" s="215" t="e">
        <f>('רווח והפסד'!$F$38-'רווח והפסד'!$F$26-'רווח והפסד'!$F$16)*'כדאיות למשק'!$B$20</f>
        <v>#N/A</v>
      </c>
      <c r="E36" s="215">
        <f>'רווח והפסד'!$F$16*'כדאיות למשק'!$B$21</f>
        <v>0</v>
      </c>
      <c r="F36" s="215">
        <v>0</v>
      </c>
      <c r="G36" s="216" t="e">
        <f t="shared" si="0"/>
        <v>#N/A</v>
      </c>
      <c r="H36" s="215" t="e">
        <f t="shared" si="1"/>
        <v>#N/A</v>
      </c>
      <c r="I36" s="215" t="e">
        <f t="shared" si="3"/>
        <v>#N/A</v>
      </c>
      <c r="J36" s="85" t="e">
        <f t="shared" si="2"/>
        <v>#N/A</v>
      </c>
    </row>
    <row r="37" spans="1:10" hidden="1">
      <c r="A37" s="85">
        <v>8</v>
      </c>
      <c r="B37" s="215">
        <v>0</v>
      </c>
      <c r="C37" s="215" t="e">
        <f>'רווח והפסד'!H40+'רווח והפסד'!H26</f>
        <v>#N/A</v>
      </c>
      <c r="D37" s="215" t="e">
        <f>('רווח והפסד'!$F$38-'רווח והפסד'!$F$26-'רווח והפסד'!$F$16)*'כדאיות למשק'!$B$20</f>
        <v>#N/A</v>
      </c>
      <c r="E37" s="215">
        <f>'רווח והפסד'!$F$16*'כדאיות למשק'!$B$21</f>
        <v>0</v>
      </c>
      <c r="F37" s="215">
        <v>0</v>
      </c>
      <c r="G37" s="216" t="e">
        <f t="shared" si="0"/>
        <v>#N/A</v>
      </c>
      <c r="H37" s="215" t="e">
        <f t="shared" si="1"/>
        <v>#N/A</v>
      </c>
      <c r="I37" s="215" t="e">
        <f t="shared" si="3"/>
        <v>#N/A</v>
      </c>
      <c r="J37" s="85" t="e">
        <f t="shared" si="2"/>
        <v>#N/A</v>
      </c>
    </row>
    <row r="38" spans="1:10" hidden="1">
      <c r="A38" s="85">
        <v>9</v>
      </c>
      <c r="B38" s="215">
        <v>0</v>
      </c>
      <c r="C38" s="215" t="e">
        <f>'רווח והפסד'!I40+'רווח והפסד'!I26</f>
        <v>#N/A</v>
      </c>
      <c r="D38" s="215" t="e">
        <f>('רווח והפסד'!$F$38-'רווח והפסד'!$F$26-'רווח והפסד'!$F$16)*'כדאיות למשק'!$B$20</f>
        <v>#N/A</v>
      </c>
      <c r="E38" s="215">
        <f>'רווח והפסד'!$F$16*'כדאיות למשק'!$B$21</f>
        <v>0</v>
      </c>
      <c r="F38" s="215">
        <v>0</v>
      </c>
      <c r="G38" s="216" t="e">
        <f t="shared" si="0"/>
        <v>#N/A</v>
      </c>
      <c r="H38" s="215" t="e">
        <f t="shared" si="1"/>
        <v>#N/A</v>
      </c>
      <c r="I38" s="215" t="e">
        <f t="shared" si="3"/>
        <v>#N/A</v>
      </c>
      <c r="J38" s="85" t="e">
        <f t="shared" si="2"/>
        <v>#N/A</v>
      </c>
    </row>
    <row r="39" spans="1:10" hidden="1">
      <c r="A39" s="85">
        <v>10</v>
      </c>
      <c r="B39" s="215">
        <v>0</v>
      </c>
      <c r="C39" s="215" t="e">
        <f>'רווח והפסד'!J40+'רווח והפסד'!J26</f>
        <v>#N/A</v>
      </c>
      <c r="D39" s="215" t="e">
        <f>('רווח והפסד'!$F$38-'רווח והפסד'!$F$26-'רווח והפסד'!$F$16)*'כדאיות למשק'!$B$20</f>
        <v>#N/A</v>
      </c>
      <c r="E39" s="215">
        <f>'רווח והפסד'!$F$16*'כדאיות למשק'!$B$21</f>
        <v>0</v>
      </c>
      <c r="F39" s="215">
        <v>0</v>
      </c>
      <c r="G39" s="216" t="e">
        <f t="shared" si="0"/>
        <v>#N/A</v>
      </c>
      <c r="H39" s="215" t="e">
        <f t="shared" si="1"/>
        <v>#N/A</v>
      </c>
      <c r="I39" s="215" t="e">
        <f t="shared" si="3"/>
        <v>#N/A</v>
      </c>
      <c r="J39" s="85" t="e">
        <f t="shared" si="2"/>
        <v>#N/A</v>
      </c>
    </row>
    <row r="40" spans="1:10" hidden="1">
      <c r="A40" s="85">
        <v>11</v>
      </c>
      <c r="B40" s="215">
        <v>0</v>
      </c>
      <c r="C40" s="215" t="e">
        <f>'רווח והפסד'!K40+'רווח והפסד'!K26</f>
        <v>#N/A</v>
      </c>
      <c r="D40" s="215" t="e">
        <f>('רווח והפסד'!$F$38-'רווח והפסד'!$F$26-'רווח והפסד'!$F$16)*'כדאיות למשק'!$B$20</f>
        <v>#N/A</v>
      </c>
      <c r="E40" s="215">
        <f>'רווח והפסד'!$F$16*'כדאיות למשק'!$B$21</f>
        <v>0</v>
      </c>
      <c r="F40" s="215">
        <v>0</v>
      </c>
      <c r="G40" s="216" t="e">
        <f t="shared" si="0"/>
        <v>#N/A</v>
      </c>
      <c r="H40" s="215" t="e">
        <f t="shared" si="1"/>
        <v>#N/A</v>
      </c>
      <c r="I40" s="215" t="e">
        <f t="shared" si="3"/>
        <v>#N/A</v>
      </c>
      <c r="J40" s="85" t="e">
        <f t="shared" si="2"/>
        <v>#N/A</v>
      </c>
    </row>
    <row r="41" spans="1:10" hidden="1">
      <c r="A41" s="85">
        <v>12</v>
      </c>
      <c r="B41" s="215">
        <v>0</v>
      </c>
      <c r="C41" s="215" t="e">
        <f>'רווח והפסד'!L40+'רווח והפסד'!L26</f>
        <v>#N/A</v>
      </c>
      <c r="D41" s="215" t="e">
        <f>('רווח והפסד'!$F$38-'רווח והפסד'!$F$26-'רווח והפסד'!$F$16)*'כדאיות למשק'!$B$20</f>
        <v>#N/A</v>
      </c>
      <c r="E41" s="215">
        <f>'רווח והפסד'!$F$16*'כדאיות למשק'!$B$21</f>
        <v>0</v>
      </c>
      <c r="F41" s="215">
        <v>0</v>
      </c>
      <c r="G41" s="216" t="e">
        <f t="shared" si="0"/>
        <v>#N/A</v>
      </c>
      <c r="H41" s="215" t="e">
        <f t="shared" si="1"/>
        <v>#N/A</v>
      </c>
      <c r="I41" s="215" t="e">
        <f t="shared" si="3"/>
        <v>#N/A</v>
      </c>
      <c r="J41" s="85" t="e">
        <f t="shared" si="2"/>
        <v>#N/A</v>
      </c>
    </row>
    <row r="42" spans="1:10" hidden="1">
      <c r="A42" s="85">
        <v>13</v>
      </c>
      <c r="B42" s="215">
        <v>0</v>
      </c>
      <c r="C42" s="215" t="e">
        <f>'רווח והפסד'!M40+'רווח והפסד'!M26</f>
        <v>#N/A</v>
      </c>
      <c r="D42" s="215" t="e">
        <f>('רווח והפסד'!$F$38-'רווח והפסד'!$F$26-'רווח והפסד'!$F$16)*'כדאיות למשק'!$B$20</f>
        <v>#N/A</v>
      </c>
      <c r="E42" s="215">
        <f>'רווח והפסד'!$F$16*'כדאיות למשק'!$B$21</f>
        <v>0</v>
      </c>
      <c r="F42" s="215">
        <v>0</v>
      </c>
      <c r="G42" s="216" t="e">
        <f t="shared" si="0"/>
        <v>#N/A</v>
      </c>
      <c r="H42" s="215" t="e">
        <f t="shared" si="1"/>
        <v>#N/A</v>
      </c>
      <c r="I42" s="215" t="e">
        <f t="shared" si="3"/>
        <v>#N/A</v>
      </c>
      <c r="J42" s="85" t="e">
        <f t="shared" si="2"/>
        <v>#N/A</v>
      </c>
    </row>
    <row r="43" spans="1:10" hidden="1">
      <c r="A43" s="85">
        <v>14</v>
      </c>
      <c r="B43" s="215">
        <v>0</v>
      </c>
      <c r="C43" s="215" t="e">
        <f>'רווח והפסד'!N40+'רווח והפסד'!N26</f>
        <v>#N/A</v>
      </c>
      <c r="D43" s="215" t="e">
        <f>('רווח והפסד'!$F$38-'רווח והפסד'!$F$26-'רווח והפסד'!$F$16)*'כדאיות למשק'!$B$20</f>
        <v>#N/A</v>
      </c>
      <c r="E43" s="215">
        <f>'רווח והפסד'!$F$16*'כדאיות למשק'!$B$21</f>
        <v>0</v>
      </c>
      <c r="F43" s="215">
        <v>0</v>
      </c>
      <c r="G43" s="216" t="e">
        <f t="shared" si="0"/>
        <v>#N/A</v>
      </c>
      <c r="H43" s="215" t="e">
        <f t="shared" si="1"/>
        <v>#N/A</v>
      </c>
      <c r="I43" s="215" t="e">
        <f t="shared" si="3"/>
        <v>#N/A</v>
      </c>
      <c r="J43" s="85" t="e">
        <f t="shared" si="2"/>
        <v>#N/A</v>
      </c>
    </row>
    <row r="44" spans="1:10" hidden="1">
      <c r="A44" s="85">
        <v>15</v>
      </c>
      <c r="B44" s="215">
        <v>0</v>
      </c>
      <c r="C44" s="215" t="e">
        <f>'רווח והפסד'!O40+'רווח והפסד'!O26</f>
        <v>#N/A</v>
      </c>
      <c r="D44" s="215" t="e">
        <f>('רווח והפסד'!$F$38-'רווח והפסד'!$F$26-'רווח והפסד'!$F$16)*'כדאיות למשק'!$B$20</f>
        <v>#N/A</v>
      </c>
      <c r="E44" s="215">
        <f>'רווח והפסד'!$F$16*'כדאיות למשק'!$B$21</f>
        <v>0</v>
      </c>
      <c r="F44" s="215">
        <v>0</v>
      </c>
      <c r="G44" s="216" t="e">
        <f t="shared" si="0"/>
        <v>#N/A</v>
      </c>
      <c r="H44" s="215" t="e">
        <f t="shared" si="1"/>
        <v>#N/A</v>
      </c>
      <c r="I44" s="215" t="e">
        <f t="shared" si="3"/>
        <v>#N/A</v>
      </c>
      <c r="J44" s="85" t="e">
        <f t="shared" si="2"/>
        <v>#N/A</v>
      </c>
    </row>
    <row r="45" spans="1:10" hidden="1">
      <c r="A45" s="85">
        <v>16</v>
      </c>
      <c r="B45" s="215">
        <v>0</v>
      </c>
      <c r="C45" s="215" t="e">
        <f>'רווח והפסד'!P40+'רווח והפסד'!P26</f>
        <v>#N/A</v>
      </c>
      <c r="D45" s="215" t="e">
        <f>('רווח והפסד'!$F$38-'רווח והפסד'!$F$26-'רווח והפסד'!$F$16)*'כדאיות למשק'!$B$20</f>
        <v>#N/A</v>
      </c>
      <c r="E45" s="215">
        <f>'רווח והפסד'!$F$16*'כדאיות למשק'!$B$21</f>
        <v>0</v>
      </c>
      <c r="F45" s="215">
        <v>0</v>
      </c>
      <c r="G45" s="216" t="e">
        <f t="shared" si="0"/>
        <v>#N/A</v>
      </c>
      <c r="H45" s="215" t="e">
        <f t="shared" si="1"/>
        <v>#N/A</v>
      </c>
      <c r="I45" s="215" t="e">
        <f t="shared" si="3"/>
        <v>#N/A</v>
      </c>
      <c r="J45" s="85" t="e">
        <f t="shared" si="2"/>
        <v>#N/A</v>
      </c>
    </row>
    <row r="46" spans="1:10" hidden="1">
      <c r="A46" s="85">
        <v>17</v>
      </c>
      <c r="B46" s="215">
        <v>0</v>
      </c>
      <c r="C46" s="215" t="e">
        <f>'רווח והפסד'!Q40+'רווח והפסד'!Q26</f>
        <v>#N/A</v>
      </c>
      <c r="D46" s="215" t="e">
        <f>('רווח והפסד'!$F$38-'רווח והפסד'!$F$26-'רווח והפסד'!$F$16)*'כדאיות למשק'!$B$20</f>
        <v>#N/A</v>
      </c>
      <c r="E46" s="215">
        <f>'רווח והפסד'!$F$16*'כדאיות למשק'!$B$21</f>
        <v>0</v>
      </c>
      <c r="F46" s="215">
        <v>0</v>
      </c>
      <c r="G46" s="216" t="e">
        <f t="shared" si="0"/>
        <v>#N/A</v>
      </c>
      <c r="H46" s="215" t="e">
        <f t="shared" si="1"/>
        <v>#N/A</v>
      </c>
      <c r="I46" s="215" t="e">
        <f t="shared" si="3"/>
        <v>#N/A</v>
      </c>
      <c r="J46" s="85" t="e">
        <f t="shared" si="2"/>
        <v>#N/A</v>
      </c>
    </row>
    <row r="47" spans="1:10" hidden="1">
      <c r="A47" s="85">
        <v>18</v>
      </c>
      <c r="B47" s="215">
        <v>0</v>
      </c>
      <c r="C47" s="215" t="e">
        <f>'רווח והפסד'!R40+'רווח והפסד'!R26</f>
        <v>#N/A</v>
      </c>
      <c r="D47" s="215" t="e">
        <f>('רווח והפסד'!$F$38-'רווח והפסד'!$F$26-'רווח והפסד'!$F$16)*'כדאיות למשק'!$B$20</f>
        <v>#N/A</v>
      </c>
      <c r="E47" s="215">
        <f>'רווח והפסד'!$F$16*'כדאיות למשק'!$B$21</f>
        <v>0</v>
      </c>
      <c r="F47" s="215">
        <v>0</v>
      </c>
      <c r="G47" s="216" t="e">
        <f t="shared" si="0"/>
        <v>#N/A</v>
      </c>
      <c r="H47" s="215" t="e">
        <f t="shared" si="1"/>
        <v>#N/A</v>
      </c>
      <c r="I47" s="215" t="e">
        <f t="shared" si="3"/>
        <v>#N/A</v>
      </c>
      <c r="J47" s="85" t="e">
        <f t="shared" si="2"/>
        <v>#N/A</v>
      </c>
    </row>
    <row r="48" spans="1:10" hidden="1">
      <c r="A48" s="85">
        <v>19</v>
      </c>
      <c r="B48" s="215">
        <v>0</v>
      </c>
      <c r="C48" s="215" t="e">
        <f>'רווח והפסד'!S40+'רווח והפסד'!S26</f>
        <v>#N/A</v>
      </c>
      <c r="D48" s="215" t="e">
        <f>('רווח והפסד'!$F$38-'רווח והפסד'!$F$26-'רווח והפסד'!$F$16)*'כדאיות למשק'!$B$20</f>
        <v>#N/A</v>
      </c>
      <c r="E48" s="215">
        <f>'רווח והפסד'!$F$16*'כדאיות למשק'!$B$21</f>
        <v>0</v>
      </c>
      <c r="F48" s="215">
        <v>0</v>
      </c>
      <c r="G48" s="216" t="e">
        <f t="shared" si="0"/>
        <v>#N/A</v>
      </c>
      <c r="H48" s="215" t="e">
        <f t="shared" si="1"/>
        <v>#N/A</v>
      </c>
      <c r="I48" s="215" t="e">
        <f t="shared" si="3"/>
        <v>#N/A</v>
      </c>
      <c r="J48" s="85" t="e">
        <f t="shared" si="2"/>
        <v>#N/A</v>
      </c>
    </row>
    <row r="49" spans="1:10" hidden="1">
      <c r="A49" s="85">
        <v>20</v>
      </c>
      <c r="B49" s="215">
        <v>0</v>
      </c>
      <c r="C49" s="215" t="e">
        <f>'רווח והפסד'!T40+'רווח והפסד'!T26</f>
        <v>#N/A</v>
      </c>
      <c r="D49" s="215" t="e">
        <f>('רווח והפסד'!$F$38-'רווח והפסד'!$F$26-'רווח והפסד'!$F$16)*'כדאיות למשק'!$B$20</f>
        <v>#N/A</v>
      </c>
      <c r="E49" s="215">
        <f>'רווח והפסד'!$F$16*'כדאיות למשק'!$B$21</f>
        <v>0</v>
      </c>
      <c r="F49" s="215">
        <v>0</v>
      </c>
      <c r="G49" s="216" t="e">
        <f t="shared" si="0"/>
        <v>#N/A</v>
      </c>
      <c r="H49" s="215" t="e">
        <f t="shared" si="1"/>
        <v>#N/A</v>
      </c>
      <c r="I49" s="215" t="e">
        <f t="shared" si="3"/>
        <v>#N/A</v>
      </c>
      <c r="J49" s="85" t="e">
        <f t="shared" si="2"/>
        <v>#N/A</v>
      </c>
    </row>
    <row r="50" spans="1:10" hidden="1">
      <c r="A50" s="85">
        <v>21</v>
      </c>
      <c r="B50" s="215">
        <v>0</v>
      </c>
      <c r="C50" s="215" t="e">
        <f>'רווח והפסד'!U40+'רווח והפסד'!U26</f>
        <v>#N/A</v>
      </c>
      <c r="D50" s="215" t="e">
        <f>('רווח והפסד'!$F$38-'רווח והפסד'!$F$26-'רווח והפסד'!$F$16)*'כדאיות למשק'!$B$20</f>
        <v>#N/A</v>
      </c>
      <c r="E50" s="215">
        <f>'רווח והפסד'!$F$16*'כדאיות למשק'!$B$21</f>
        <v>0</v>
      </c>
      <c r="F50" s="215">
        <v>0</v>
      </c>
      <c r="G50" s="216" t="e">
        <f t="shared" si="0"/>
        <v>#N/A</v>
      </c>
      <c r="H50" s="215" t="e">
        <f t="shared" si="1"/>
        <v>#N/A</v>
      </c>
      <c r="I50" s="215" t="e">
        <f t="shared" si="3"/>
        <v>#N/A</v>
      </c>
      <c r="J50" s="85" t="e">
        <f t="shared" si="2"/>
        <v>#N/A</v>
      </c>
    </row>
    <row r="51" spans="1:10" hidden="1">
      <c r="A51" s="85">
        <v>22</v>
      </c>
      <c r="B51" s="215">
        <v>0</v>
      </c>
      <c r="C51" s="215" t="e">
        <f>'רווח והפסד'!V40+'רווח והפסד'!V26</f>
        <v>#N/A</v>
      </c>
      <c r="D51" s="215" t="e">
        <f>('רווח והפסד'!$F$38-'רווח והפסד'!$F$26-'רווח והפסד'!$F$16)*'כדאיות למשק'!$B$20</f>
        <v>#N/A</v>
      </c>
      <c r="E51" s="215">
        <f>'רווח והפסד'!$F$16*'כדאיות למשק'!$B$21</f>
        <v>0</v>
      </c>
      <c r="F51" s="215">
        <v>0</v>
      </c>
      <c r="G51" s="216" t="e">
        <f t="shared" si="0"/>
        <v>#N/A</v>
      </c>
      <c r="H51" s="215" t="e">
        <f t="shared" si="1"/>
        <v>#N/A</v>
      </c>
      <c r="I51" s="215" t="e">
        <f t="shared" si="3"/>
        <v>#N/A</v>
      </c>
      <c r="J51" s="85" t="e">
        <f t="shared" si="2"/>
        <v>#N/A</v>
      </c>
    </row>
    <row r="52" spans="1:10" hidden="1">
      <c r="A52" s="85">
        <v>23</v>
      </c>
      <c r="B52" s="215">
        <v>0</v>
      </c>
      <c r="C52" s="215" t="e">
        <f>'רווח והפסד'!W40+'רווח והפסד'!W26</f>
        <v>#N/A</v>
      </c>
      <c r="D52" s="215" t="e">
        <f>('רווח והפסד'!$F$38-'רווח והפסד'!$F$26-'רווח והפסד'!$F$16)*'כדאיות למשק'!$B$20</f>
        <v>#N/A</v>
      </c>
      <c r="E52" s="215">
        <f>'רווח והפסד'!$F$16*'כדאיות למשק'!$B$21</f>
        <v>0</v>
      </c>
      <c r="F52" s="215">
        <v>0</v>
      </c>
      <c r="G52" s="216" t="e">
        <f t="shared" si="0"/>
        <v>#N/A</v>
      </c>
      <c r="H52" s="215" t="e">
        <f t="shared" si="1"/>
        <v>#N/A</v>
      </c>
      <c r="I52" s="215" t="e">
        <f t="shared" si="3"/>
        <v>#N/A</v>
      </c>
      <c r="J52" s="85" t="e">
        <f t="shared" si="2"/>
        <v>#N/A</v>
      </c>
    </row>
    <row r="53" spans="1:10" hidden="1">
      <c r="A53" s="85">
        <v>24</v>
      </c>
      <c r="B53" s="215">
        <v>0</v>
      </c>
      <c r="C53" s="215" t="e">
        <f>'רווח והפסד'!X40+'רווח והפסד'!X26</f>
        <v>#N/A</v>
      </c>
      <c r="D53" s="215" t="e">
        <f>('רווח והפסד'!$F$38-'רווח והפסד'!$F$26-'רווח והפסד'!$F$16)*'כדאיות למשק'!$B$20</f>
        <v>#N/A</v>
      </c>
      <c r="E53" s="215">
        <f>'רווח והפסד'!$F$16*'כדאיות למשק'!$B$21</f>
        <v>0</v>
      </c>
      <c r="F53" s="215">
        <v>0</v>
      </c>
      <c r="G53" s="216" t="e">
        <f t="shared" si="0"/>
        <v>#N/A</v>
      </c>
      <c r="H53" s="215" t="e">
        <f t="shared" si="1"/>
        <v>#N/A</v>
      </c>
      <c r="I53" s="215" t="e">
        <f t="shared" si="3"/>
        <v>#N/A</v>
      </c>
      <c r="J53" s="85" t="e">
        <f t="shared" si="2"/>
        <v>#N/A</v>
      </c>
    </row>
    <row r="54" spans="1:10" hidden="1">
      <c r="A54" s="85">
        <v>25</v>
      </c>
      <c r="B54" s="215">
        <v>0</v>
      </c>
      <c r="C54" s="215" t="e">
        <f>'רווח והפסד'!Y40+'רווח והפסד'!Y26</f>
        <v>#N/A</v>
      </c>
      <c r="D54" s="215" t="e">
        <f>('רווח והפסד'!$F$38-'רווח והפסד'!$F$26-'רווח והפסד'!$F$16)*'כדאיות למשק'!$B$20</f>
        <v>#N/A</v>
      </c>
      <c r="E54" s="215">
        <f>'רווח והפסד'!$F$16*'כדאיות למשק'!$B$21</f>
        <v>0</v>
      </c>
      <c r="F54" s="215">
        <v>0</v>
      </c>
      <c r="G54" s="216" t="e">
        <f t="shared" si="0"/>
        <v>#N/A</v>
      </c>
      <c r="H54" s="215" t="e">
        <f t="shared" si="1"/>
        <v>#N/A</v>
      </c>
      <c r="I54" s="215" t="e">
        <f t="shared" si="3"/>
        <v>#N/A</v>
      </c>
      <c r="J54" s="85" t="e">
        <f t="shared" si="2"/>
        <v>#N/A</v>
      </c>
    </row>
    <row r="55" spans="1:10" hidden="1">
      <c r="A55" s="85">
        <v>26</v>
      </c>
      <c r="B55" s="215">
        <v>0</v>
      </c>
      <c r="C55" s="215" t="e">
        <f>'רווח והפסד'!Z40+'רווח והפסד'!Z26</f>
        <v>#N/A</v>
      </c>
      <c r="D55" s="215" t="e">
        <f>('רווח והפסד'!$F$38-'רווח והפסד'!$F$26-'רווח והפסד'!$F$16)*'כדאיות למשק'!$B$20</f>
        <v>#N/A</v>
      </c>
      <c r="E55" s="215">
        <f>'רווח והפסד'!$F$16*'כדאיות למשק'!$B$21</f>
        <v>0</v>
      </c>
      <c r="F55" s="215">
        <v>0</v>
      </c>
      <c r="G55" s="216" t="e">
        <f t="shared" si="0"/>
        <v>#N/A</v>
      </c>
      <c r="H55" s="215" t="e">
        <f>G55/(1+$B$18)^(A55-0.5)</f>
        <v>#N/A</v>
      </c>
      <c r="I55" s="215" t="e">
        <f>I54+H55</f>
        <v>#N/A</v>
      </c>
      <c r="J55" s="85" t="e">
        <f t="shared" si="2"/>
        <v>#N/A</v>
      </c>
    </row>
    <row r="56" spans="1:10" hidden="1">
      <c r="A56" s="85">
        <v>27</v>
      </c>
      <c r="B56" s="215">
        <v>0</v>
      </c>
      <c r="C56" s="215" t="e">
        <f>'רווח והפסד'!AA40+'רווח והפסד'!AA26</f>
        <v>#N/A</v>
      </c>
      <c r="D56" s="215" t="e">
        <f>('רווח והפסד'!$F$38-'רווח והפסד'!$F$26-'רווח והפסד'!$F$16)*'כדאיות למשק'!$B$20</f>
        <v>#N/A</v>
      </c>
      <c r="E56" s="215">
        <f>'רווח והפסד'!$F$16*'כדאיות למשק'!$B$21</f>
        <v>0</v>
      </c>
      <c r="F56" s="215">
        <f>B22*C12</f>
        <v>0</v>
      </c>
      <c r="G56" s="216" t="e">
        <f t="shared" si="0"/>
        <v>#N/A</v>
      </c>
      <c r="H56" s="215" t="e">
        <f>G56/(1+$B$18)^(A56-0.5)</f>
        <v>#N/A</v>
      </c>
      <c r="I56" s="215" t="e">
        <f>I55+H56</f>
        <v>#N/A</v>
      </c>
      <c r="J56" s="85" t="e">
        <f t="shared" si="2"/>
        <v>#N/A</v>
      </c>
    </row>
    <row r="58" spans="1:10"/>
    <row r="59" spans="1:10"/>
    <row r="60" spans="1:10"/>
  </sheetData>
  <sheetProtection algorithmName="SHA-512" hashValue="WND77RDGKpVnBeebipAGk9eyK4D/7gfq9syp4Qr6Kab98SxJLNnqeTX0kW3sVi417N2KpqL60JHZUOn1wM6zAg==" saltValue="+lVvsdDE5wb6aj40KAA8RA==" spinCount="100000" sheet="1" objects="1" scenarios="1" selectLockedCells="1" selectUnlockedCells="1"/>
  <mergeCells count="1">
    <mergeCell ref="A16:C16"/>
  </mergeCells>
  <printOptions horizontalCentered="1"/>
  <pageMargins left="0.70866141732283472" right="0.70866141732283472" top="0.55118110236220474" bottom="0" header="0" footer="0"/>
  <pageSetup scale="76" orientation="landscape" verticalDpi="0" r:id="rId1"/>
  <headerFooter>
    <oddHeader xml:space="preserve">&amp;C&amp;"-,מודגש"&amp;14&amp;Eתוכנה לסקר כלכלי
כדאיות למשק
</oddHeader>
    <oddFooter>&amp;L&amp;F&amp;C&amp;D</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גיליון18"/>
  <dimension ref="A2:L47"/>
  <sheetViews>
    <sheetView showGridLines="0" rightToLeft="1" view="pageBreakPreview" zoomScale="75" zoomScaleNormal="75" zoomScaleSheetLayoutView="75" workbookViewId="0">
      <selection activeCell="B17" sqref="B17"/>
    </sheetView>
  </sheetViews>
  <sheetFormatPr defaultColWidth="11.625" defaultRowHeight="15"/>
  <cols>
    <col min="1" max="1" width="17.375" style="85" bestFit="1" customWidth="1"/>
    <col min="2" max="2" width="15.625" style="85" bestFit="1" customWidth="1"/>
    <col min="3" max="3" width="20" style="85" bestFit="1" customWidth="1"/>
    <col min="4" max="4" width="15.875" style="85" bestFit="1" customWidth="1"/>
    <col min="5" max="5" width="15.875" style="85" customWidth="1"/>
    <col min="6" max="8" width="14.375" style="85" bestFit="1" customWidth="1"/>
    <col min="9" max="9" width="2.25" style="85" hidden="1" customWidth="1"/>
    <col min="10" max="16384" width="11.625" style="85"/>
  </cols>
  <sheetData>
    <row r="2" spans="1:3">
      <c r="A2" s="85" t="s">
        <v>336</v>
      </c>
      <c r="B2" s="214">
        <v>1</v>
      </c>
      <c r="C2" s="215">
        <f>'נתוני הקמה'!B24</f>
        <v>0</v>
      </c>
    </row>
    <row r="4" spans="1:3">
      <c r="A4" s="85" t="s">
        <v>360</v>
      </c>
      <c r="B4" s="214">
        <v>0.2</v>
      </c>
      <c r="C4" s="215" t="e">
        <f>פחת!F9</f>
        <v>#N/A</v>
      </c>
    </row>
    <row r="6" spans="1:3">
      <c r="A6" s="85" t="s">
        <v>338</v>
      </c>
      <c r="B6" s="214">
        <f>B2-B4</f>
        <v>0.8</v>
      </c>
      <c r="C6" s="216" t="e">
        <f>C2-C4</f>
        <v>#N/A</v>
      </c>
    </row>
    <row r="7" spans="1:3">
      <c r="A7" s="85" t="s">
        <v>413</v>
      </c>
      <c r="C7" s="215" t="e">
        <f>מימון!E21+מימון!E25</f>
        <v>#N/A</v>
      </c>
    </row>
    <row r="8" spans="1:3" ht="15.75" thickBot="1">
      <c r="A8" s="85" t="s">
        <v>414</v>
      </c>
      <c r="C8" s="270" t="e">
        <f>SUM(C6:C7)</f>
        <v>#N/A</v>
      </c>
    </row>
    <row r="9" spans="1:3" ht="15.75" thickTop="1"/>
    <row r="10" spans="1:3">
      <c r="A10" s="1035" t="s">
        <v>339</v>
      </c>
      <c r="B10" s="1035"/>
      <c r="C10" s="1035"/>
    </row>
    <row r="12" spans="1:3">
      <c r="A12" s="85" t="s">
        <v>341</v>
      </c>
      <c r="B12" s="239" t="e">
        <f>'מקורות מימון'!E11</f>
        <v>#DIV/0!</v>
      </c>
      <c r="C12" s="85" t="s">
        <v>350</v>
      </c>
    </row>
    <row r="13" spans="1:3">
      <c r="B13" s="239"/>
    </row>
    <row r="14" spans="1:3">
      <c r="A14" s="85" t="s">
        <v>356</v>
      </c>
      <c r="B14" s="239">
        <v>0.4</v>
      </c>
      <c r="C14" s="215" t="e">
        <f>C8*B14</f>
        <v>#N/A</v>
      </c>
    </row>
    <row r="15" spans="1:3">
      <c r="B15" s="217"/>
    </row>
    <row r="16" spans="1:3" ht="15.75">
      <c r="A16" s="219" t="s">
        <v>349</v>
      </c>
      <c r="B16" s="224" t="e">
        <f>IRR(F21:F47)</f>
        <v>#VALUE!</v>
      </c>
    </row>
    <row r="17" spans="1:12" ht="15.75">
      <c r="A17" s="219" t="s">
        <v>359</v>
      </c>
      <c r="B17" s="254">
        <f ca="1">COUNTIF(I21:I47,0)-A22</f>
        <v>-2</v>
      </c>
    </row>
    <row r="18" spans="1:12" ht="15.75">
      <c r="A18" s="219" t="s">
        <v>348</v>
      </c>
      <c r="B18" s="254" t="e">
        <f ca="1">H47</f>
        <v>#N/A</v>
      </c>
    </row>
    <row r="19" spans="1:12">
      <c r="B19" s="215"/>
      <c r="C19" s="215"/>
      <c r="D19" s="215"/>
      <c r="E19" s="215"/>
      <c r="F19" s="215"/>
      <c r="G19" s="215"/>
      <c r="H19" s="215"/>
      <c r="I19" s="215"/>
      <c r="J19" s="215"/>
      <c r="K19" s="215"/>
      <c r="L19" s="215"/>
    </row>
    <row r="20" spans="1:12" s="223" customFormat="1" ht="15.75">
      <c r="B20" s="241" t="s">
        <v>340</v>
      </c>
      <c r="C20" s="241" t="s">
        <v>358</v>
      </c>
      <c r="D20" s="241" t="s">
        <v>361</v>
      </c>
      <c r="E20" s="241"/>
      <c r="F20" s="241" t="s">
        <v>347</v>
      </c>
      <c r="G20" s="218" t="s">
        <v>357</v>
      </c>
      <c r="H20" s="218" t="s">
        <v>316</v>
      </c>
      <c r="I20" s="241"/>
      <c r="J20" s="241"/>
      <c r="K20" s="241"/>
    </row>
    <row r="21" spans="1:12">
      <c r="A21" s="85">
        <v>1</v>
      </c>
      <c r="B21" s="215" t="e">
        <f>$C$8/2*-1</f>
        <v>#N/A</v>
      </c>
      <c r="D21" s="215">
        <v>0</v>
      </c>
      <c r="E21" s="215"/>
      <c r="F21" s="215" t="e">
        <f>B21+C21-D21</f>
        <v>#N/A</v>
      </c>
      <c r="G21" s="215" t="e">
        <f>F21/(1+$B$12)^(A21-0.5)</f>
        <v>#N/A</v>
      </c>
      <c r="H21" s="216" t="e">
        <f>G21</f>
        <v>#N/A</v>
      </c>
      <c r="I21" s="85" t="e">
        <f>IF(H21&gt;0,1,0)</f>
        <v>#N/A</v>
      </c>
    </row>
    <row r="22" spans="1:12">
      <c r="A22" s="85">
        <v>2</v>
      </c>
      <c r="B22" s="215" t="e">
        <f>$C$8/2*-1</f>
        <v>#N/A</v>
      </c>
      <c r="D22" s="215">
        <v>0</v>
      </c>
      <c r="E22" s="215"/>
      <c r="F22" s="215" t="e">
        <f t="shared" ref="F22:F46" si="0">B22+C22-D22</f>
        <v>#N/A</v>
      </c>
      <c r="G22" s="215" t="e">
        <f t="shared" ref="G22:G47" si="1">F22/(1+$B$12)^(A22-0.5)</f>
        <v>#N/A</v>
      </c>
      <c r="H22" s="216" t="e">
        <f>H21+G22</f>
        <v>#N/A</v>
      </c>
      <c r="I22" s="85" t="e">
        <f t="shared" ref="I22:I47" si="2">IF(H22&gt;0,1,0)</f>
        <v>#N/A</v>
      </c>
    </row>
    <row r="23" spans="1:12">
      <c r="A23" s="85">
        <v>3</v>
      </c>
      <c r="B23" s="215">
        <v>0</v>
      </c>
      <c r="C23" s="215" t="e">
        <f>'רווח והפסד'!C40+'רווח והפסד'!C26</f>
        <v>#N/A</v>
      </c>
      <c r="D23" s="215" t="e">
        <f ca="1">'רווח והפסד'!C48</f>
        <v>#N/A</v>
      </c>
      <c r="E23" s="215"/>
      <c r="F23" s="215" t="e">
        <f t="shared" ca="1" si="0"/>
        <v>#N/A</v>
      </c>
      <c r="G23" s="215" t="e">
        <f t="shared" ca="1" si="1"/>
        <v>#N/A</v>
      </c>
      <c r="H23" s="216" t="e">
        <f t="shared" ref="H23:H47" ca="1" si="3">H22+G23</f>
        <v>#N/A</v>
      </c>
      <c r="I23" s="85" t="e">
        <f t="shared" ca="1" si="2"/>
        <v>#N/A</v>
      </c>
    </row>
    <row r="24" spans="1:12">
      <c r="A24" s="85">
        <v>4</v>
      </c>
      <c r="B24" s="215">
        <v>0</v>
      </c>
      <c r="C24" s="215" t="e">
        <f>'רווח והפסד'!D40+'רווח והפסד'!D26</f>
        <v>#N/A</v>
      </c>
      <c r="D24" s="215" t="e">
        <f ca="1">'רווח והפסד'!D48</f>
        <v>#N/A</v>
      </c>
      <c r="E24" s="215"/>
      <c r="F24" s="215" t="e">
        <f t="shared" ca="1" si="0"/>
        <v>#N/A</v>
      </c>
      <c r="G24" s="215" t="e">
        <f t="shared" ca="1" si="1"/>
        <v>#N/A</v>
      </c>
      <c r="H24" s="216" t="e">
        <f t="shared" ca="1" si="3"/>
        <v>#N/A</v>
      </c>
      <c r="I24" s="85" t="e">
        <f t="shared" ca="1" si="2"/>
        <v>#N/A</v>
      </c>
    </row>
    <row r="25" spans="1:12">
      <c r="A25" s="85">
        <v>5</v>
      </c>
      <c r="B25" s="215">
        <v>0</v>
      </c>
      <c r="C25" s="215" t="e">
        <f>'רווח והפסד'!E$40+'רווח והפסד'!E$26</f>
        <v>#N/A</v>
      </c>
      <c r="D25" s="215" t="e">
        <f ca="1">'רווח והפסד'!E48</f>
        <v>#N/A</v>
      </c>
      <c r="E25" s="215"/>
      <c r="F25" s="215" t="e">
        <f t="shared" ca="1" si="0"/>
        <v>#N/A</v>
      </c>
      <c r="G25" s="215" t="e">
        <f t="shared" ca="1" si="1"/>
        <v>#N/A</v>
      </c>
      <c r="H25" s="216" t="e">
        <f t="shared" ca="1" si="3"/>
        <v>#N/A</v>
      </c>
      <c r="I25" s="85" t="e">
        <f t="shared" ca="1" si="2"/>
        <v>#N/A</v>
      </c>
    </row>
    <row r="26" spans="1:12">
      <c r="A26" s="85">
        <v>6</v>
      </c>
      <c r="B26" s="215">
        <v>0</v>
      </c>
      <c r="C26" s="215" t="e">
        <f>'רווח והפסד'!F40+'רווח והפסד'!F26</f>
        <v>#N/A</v>
      </c>
      <c r="D26" s="215" t="e">
        <f ca="1">'רווח והפסד'!F48</f>
        <v>#N/A</v>
      </c>
      <c r="E26" s="215"/>
      <c r="F26" s="215" t="e">
        <f t="shared" ca="1" si="0"/>
        <v>#N/A</v>
      </c>
      <c r="G26" s="215" t="e">
        <f t="shared" ca="1" si="1"/>
        <v>#N/A</v>
      </c>
      <c r="H26" s="216" t="e">
        <f t="shared" ca="1" si="3"/>
        <v>#N/A</v>
      </c>
      <c r="I26" s="85" t="e">
        <f t="shared" ca="1" si="2"/>
        <v>#N/A</v>
      </c>
    </row>
    <row r="27" spans="1:12">
      <c r="A27" s="85">
        <v>7</v>
      </c>
      <c r="B27" s="215">
        <v>0</v>
      </c>
      <c r="C27" s="215" t="e">
        <f>'רווח והפסד'!G40+'רווח והפסד'!G26</f>
        <v>#N/A</v>
      </c>
      <c r="D27" s="215" t="e">
        <f ca="1">'רווח והפסד'!G48</f>
        <v>#N/A</v>
      </c>
      <c r="E27" s="215"/>
      <c r="F27" s="215" t="e">
        <f t="shared" ca="1" si="0"/>
        <v>#N/A</v>
      </c>
      <c r="G27" s="215" t="e">
        <f t="shared" ca="1" si="1"/>
        <v>#N/A</v>
      </c>
      <c r="H27" s="216" t="e">
        <f t="shared" ca="1" si="3"/>
        <v>#N/A</v>
      </c>
      <c r="I27" s="85" t="e">
        <f t="shared" ca="1" si="2"/>
        <v>#N/A</v>
      </c>
    </row>
    <row r="28" spans="1:12">
      <c r="A28" s="85">
        <v>8</v>
      </c>
      <c r="B28" s="215">
        <v>0</v>
      </c>
      <c r="C28" s="215" t="e">
        <f>'רווח והפסד'!H40+'רווח והפסד'!H26</f>
        <v>#N/A</v>
      </c>
      <c r="D28" s="215" t="e">
        <f ca="1">'רווח והפסד'!H48</f>
        <v>#N/A</v>
      </c>
      <c r="E28" s="215"/>
      <c r="F28" s="215" t="e">
        <f t="shared" ca="1" si="0"/>
        <v>#N/A</v>
      </c>
      <c r="G28" s="215" t="e">
        <f t="shared" ca="1" si="1"/>
        <v>#N/A</v>
      </c>
      <c r="H28" s="216" t="e">
        <f t="shared" ca="1" si="3"/>
        <v>#N/A</v>
      </c>
      <c r="I28" s="85" t="e">
        <f t="shared" ca="1" si="2"/>
        <v>#N/A</v>
      </c>
    </row>
    <row r="29" spans="1:12">
      <c r="A29" s="85">
        <v>9</v>
      </c>
      <c r="B29" s="215">
        <v>0</v>
      </c>
      <c r="C29" s="215" t="e">
        <f>'רווח והפסד'!I40+'רווח והפסד'!I26</f>
        <v>#N/A</v>
      </c>
      <c r="D29" s="215" t="e">
        <f ca="1">'רווח והפסד'!I48</f>
        <v>#N/A</v>
      </c>
      <c r="E29" s="215"/>
      <c r="F29" s="215" t="e">
        <f t="shared" ca="1" si="0"/>
        <v>#N/A</v>
      </c>
      <c r="G29" s="215" t="e">
        <f t="shared" ca="1" si="1"/>
        <v>#N/A</v>
      </c>
      <c r="H29" s="216" t="e">
        <f t="shared" ca="1" si="3"/>
        <v>#N/A</v>
      </c>
      <c r="I29" s="85" t="e">
        <f t="shared" ca="1" si="2"/>
        <v>#N/A</v>
      </c>
    </row>
    <row r="30" spans="1:12">
      <c r="A30" s="85">
        <v>10</v>
      </c>
      <c r="B30" s="215">
        <v>0</v>
      </c>
      <c r="C30" s="215" t="e">
        <f>'רווח והפסד'!J40+'רווח והפסד'!J26</f>
        <v>#N/A</v>
      </c>
      <c r="D30" s="215" t="e">
        <f ca="1">'רווח והפסד'!J48</f>
        <v>#N/A</v>
      </c>
      <c r="E30" s="215"/>
      <c r="F30" s="215" t="e">
        <f t="shared" ca="1" si="0"/>
        <v>#N/A</v>
      </c>
      <c r="G30" s="215" t="e">
        <f t="shared" ca="1" si="1"/>
        <v>#N/A</v>
      </c>
      <c r="H30" s="216" t="e">
        <f t="shared" ca="1" si="3"/>
        <v>#N/A</v>
      </c>
      <c r="I30" s="85" t="e">
        <f t="shared" ca="1" si="2"/>
        <v>#N/A</v>
      </c>
    </row>
    <row r="31" spans="1:12">
      <c r="A31" s="85">
        <v>11</v>
      </c>
      <c r="B31" s="215">
        <v>0</v>
      </c>
      <c r="C31" s="215" t="e">
        <f>'רווח והפסד'!K40+'רווח והפסד'!K26</f>
        <v>#N/A</v>
      </c>
      <c r="D31" s="215" t="e">
        <f ca="1">'רווח והפסד'!K48</f>
        <v>#N/A</v>
      </c>
      <c r="E31" s="215"/>
      <c r="F31" s="215" t="e">
        <f t="shared" ca="1" si="0"/>
        <v>#N/A</v>
      </c>
      <c r="G31" s="215" t="e">
        <f t="shared" ca="1" si="1"/>
        <v>#N/A</v>
      </c>
      <c r="H31" s="216" t="e">
        <f t="shared" ca="1" si="3"/>
        <v>#N/A</v>
      </c>
      <c r="I31" s="85" t="e">
        <f t="shared" ca="1" si="2"/>
        <v>#N/A</v>
      </c>
    </row>
    <row r="32" spans="1:12">
      <c r="A32" s="85">
        <v>12</v>
      </c>
      <c r="B32" s="215">
        <v>0</v>
      </c>
      <c r="C32" s="215" t="e">
        <f>'רווח והפסד'!L40+'רווח והפסד'!L26</f>
        <v>#N/A</v>
      </c>
      <c r="D32" s="215" t="e">
        <f ca="1">'רווח והפסד'!L48</f>
        <v>#N/A</v>
      </c>
      <c r="E32" s="215"/>
      <c r="F32" s="215" t="e">
        <f t="shared" ca="1" si="0"/>
        <v>#N/A</v>
      </c>
      <c r="G32" s="215" t="e">
        <f t="shared" ca="1" si="1"/>
        <v>#N/A</v>
      </c>
      <c r="H32" s="216" t="e">
        <f t="shared" ca="1" si="3"/>
        <v>#N/A</v>
      </c>
      <c r="I32" s="85" t="e">
        <f t="shared" ca="1" si="2"/>
        <v>#N/A</v>
      </c>
    </row>
    <row r="33" spans="1:9">
      <c r="A33" s="85">
        <v>13</v>
      </c>
      <c r="B33" s="215">
        <v>0</v>
      </c>
      <c r="C33" s="215" t="e">
        <f>'רווח והפסד'!M40+'רווח והפסד'!M26</f>
        <v>#N/A</v>
      </c>
      <c r="D33" s="215" t="e">
        <f ca="1">'רווח והפסד'!M48</f>
        <v>#N/A</v>
      </c>
      <c r="E33" s="215"/>
      <c r="F33" s="215" t="e">
        <f t="shared" ca="1" si="0"/>
        <v>#N/A</v>
      </c>
      <c r="G33" s="215" t="e">
        <f t="shared" ca="1" si="1"/>
        <v>#N/A</v>
      </c>
      <c r="H33" s="216" t="e">
        <f t="shared" ca="1" si="3"/>
        <v>#N/A</v>
      </c>
      <c r="I33" s="85" t="e">
        <f t="shared" ca="1" si="2"/>
        <v>#N/A</v>
      </c>
    </row>
    <row r="34" spans="1:9">
      <c r="A34" s="85">
        <v>14</v>
      </c>
      <c r="B34" s="215">
        <v>0</v>
      </c>
      <c r="C34" s="215" t="e">
        <f>'רווח והפסד'!N40+'רווח והפסד'!N26</f>
        <v>#N/A</v>
      </c>
      <c r="D34" s="215" t="e">
        <f ca="1">'רווח והפסד'!N48</f>
        <v>#N/A</v>
      </c>
      <c r="E34" s="215"/>
      <c r="F34" s="215" t="e">
        <f t="shared" ca="1" si="0"/>
        <v>#N/A</v>
      </c>
      <c r="G34" s="215" t="e">
        <f t="shared" ca="1" si="1"/>
        <v>#N/A</v>
      </c>
      <c r="H34" s="216" t="e">
        <f t="shared" ca="1" si="3"/>
        <v>#N/A</v>
      </c>
      <c r="I34" s="85" t="e">
        <f t="shared" ca="1" si="2"/>
        <v>#N/A</v>
      </c>
    </row>
    <row r="35" spans="1:9">
      <c r="A35" s="85">
        <v>15</v>
      </c>
      <c r="B35" s="215">
        <v>0</v>
      </c>
      <c r="C35" s="215" t="e">
        <f>'רווח והפסד'!O40+'רווח והפסד'!O26</f>
        <v>#N/A</v>
      </c>
      <c r="D35" s="215" t="e">
        <f ca="1">'רווח והפסד'!O48</f>
        <v>#N/A</v>
      </c>
      <c r="E35" s="215"/>
      <c r="F35" s="215" t="e">
        <f t="shared" ca="1" si="0"/>
        <v>#N/A</v>
      </c>
      <c r="G35" s="215" t="e">
        <f t="shared" ca="1" si="1"/>
        <v>#N/A</v>
      </c>
      <c r="H35" s="216" t="e">
        <f t="shared" ca="1" si="3"/>
        <v>#N/A</v>
      </c>
      <c r="I35" s="85" t="e">
        <f t="shared" ca="1" si="2"/>
        <v>#N/A</v>
      </c>
    </row>
    <row r="36" spans="1:9">
      <c r="A36" s="85">
        <v>16</v>
      </c>
      <c r="B36" s="215">
        <v>0</v>
      </c>
      <c r="C36" s="215" t="e">
        <f>'רווח והפסד'!P40+'רווח והפסד'!P26</f>
        <v>#N/A</v>
      </c>
      <c r="D36" s="215" t="e">
        <f ca="1">'רווח והפסד'!P48</f>
        <v>#N/A</v>
      </c>
      <c r="E36" s="215"/>
      <c r="F36" s="215" t="e">
        <f t="shared" ca="1" si="0"/>
        <v>#N/A</v>
      </c>
      <c r="G36" s="215" t="e">
        <f t="shared" ca="1" si="1"/>
        <v>#N/A</v>
      </c>
      <c r="H36" s="216" t="e">
        <f t="shared" ca="1" si="3"/>
        <v>#N/A</v>
      </c>
      <c r="I36" s="85" t="e">
        <f t="shared" ca="1" si="2"/>
        <v>#N/A</v>
      </c>
    </row>
    <row r="37" spans="1:9">
      <c r="A37" s="85">
        <v>17</v>
      </c>
      <c r="B37" s="215">
        <v>0</v>
      </c>
      <c r="C37" s="215" t="e">
        <f>'רווח והפסד'!Q40+'רווח והפסד'!Q26</f>
        <v>#N/A</v>
      </c>
      <c r="D37" s="215" t="e">
        <f ca="1">'רווח והפסד'!Q48</f>
        <v>#N/A</v>
      </c>
      <c r="E37" s="215"/>
      <c r="F37" s="215" t="e">
        <f t="shared" ca="1" si="0"/>
        <v>#N/A</v>
      </c>
      <c r="G37" s="215" t="e">
        <f t="shared" ca="1" si="1"/>
        <v>#N/A</v>
      </c>
      <c r="H37" s="216" t="e">
        <f t="shared" ca="1" si="3"/>
        <v>#N/A</v>
      </c>
      <c r="I37" s="85" t="e">
        <f t="shared" ca="1" si="2"/>
        <v>#N/A</v>
      </c>
    </row>
    <row r="38" spans="1:9">
      <c r="A38" s="85">
        <v>18</v>
      </c>
      <c r="B38" s="215">
        <v>0</v>
      </c>
      <c r="C38" s="215" t="e">
        <f>'רווח והפסד'!R40+'רווח והפסד'!R26</f>
        <v>#N/A</v>
      </c>
      <c r="D38" s="215" t="e">
        <f ca="1">'רווח והפסד'!R48</f>
        <v>#N/A</v>
      </c>
      <c r="E38" s="215"/>
      <c r="F38" s="215" t="e">
        <f t="shared" ca="1" si="0"/>
        <v>#N/A</v>
      </c>
      <c r="G38" s="215" t="e">
        <f t="shared" ca="1" si="1"/>
        <v>#N/A</v>
      </c>
      <c r="H38" s="216" t="e">
        <f t="shared" ca="1" si="3"/>
        <v>#N/A</v>
      </c>
      <c r="I38" s="85" t="e">
        <f t="shared" ca="1" si="2"/>
        <v>#N/A</v>
      </c>
    </row>
    <row r="39" spans="1:9">
      <c r="A39" s="85">
        <v>19</v>
      </c>
      <c r="B39" s="215">
        <v>0</v>
      </c>
      <c r="C39" s="215" t="e">
        <f>'רווח והפסד'!S40+'רווח והפסד'!S26</f>
        <v>#N/A</v>
      </c>
      <c r="D39" s="215" t="e">
        <f ca="1">'רווח והפסד'!S48</f>
        <v>#N/A</v>
      </c>
      <c r="E39" s="215"/>
      <c r="F39" s="215" t="e">
        <f t="shared" ca="1" si="0"/>
        <v>#N/A</v>
      </c>
      <c r="G39" s="215" t="e">
        <f t="shared" ca="1" si="1"/>
        <v>#N/A</v>
      </c>
      <c r="H39" s="216" t="e">
        <f t="shared" ca="1" si="3"/>
        <v>#N/A</v>
      </c>
      <c r="I39" s="85" t="e">
        <f t="shared" ca="1" si="2"/>
        <v>#N/A</v>
      </c>
    </row>
    <row r="40" spans="1:9">
      <c r="A40" s="85">
        <v>20</v>
      </c>
      <c r="B40" s="215">
        <v>0</v>
      </c>
      <c r="C40" s="215" t="e">
        <f>'רווח והפסד'!T40+'רווח והפסד'!T26</f>
        <v>#N/A</v>
      </c>
      <c r="D40" s="215" t="e">
        <f ca="1">'רווח והפסד'!T48</f>
        <v>#N/A</v>
      </c>
      <c r="E40" s="215"/>
      <c r="F40" s="215" t="e">
        <f t="shared" ca="1" si="0"/>
        <v>#N/A</v>
      </c>
      <c r="G40" s="215" t="e">
        <f t="shared" ca="1" si="1"/>
        <v>#N/A</v>
      </c>
      <c r="H40" s="216" t="e">
        <f t="shared" ca="1" si="3"/>
        <v>#N/A</v>
      </c>
      <c r="I40" s="85" t="e">
        <f t="shared" ca="1" si="2"/>
        <v>#N/A</v>
      </c>
    </row>
    <row r="41" spans="1:9">
      <c r="A41" s="85">
        <v>21</v>
      </c>
      <c r="B41" s="215">
        <v>0</v>
      </c>
      <c r="C41" s="215" t="e">
        <f>'רווח והפסד'!U40+'רווח והפסד'!U26</f>
        <v>#N/A</v>
      </c>
      <c r="D41" s="215" t="e">
        <f ca="1">'רווח והפסד'!U48</f>
        <v>#N/A</v>
      </c>
      <c r="E41" s="215"/>
      <c r="F41" s="215" t="e">
        <f t="shared" ca="1" si="0"/>
        <v>#N/A</v>
      </c>
      <c r="G41" s="215" t="e">
        <f t="shared" ca="1" si="1"/>
        <v>#N/A</v>
      </c>
      <c r="H41" s="216" t="e">
        <f t="shared" ca="1" si="3"/>
        <v>#N/A</v>
      </c>
      <c r="I41" s="85" t="e">
        <f t="shared" ca="1" si="2"/>
        <v>#N/A</v>
      </c>
    </row>
    <row r="42" spans="1:9">
      <c r="A42" s="85">
        <v>22</v>
      </c>
      <c r="B42" s="215">
        <v>0</v>
      </c>
      <c r="C42" s="215" t="e">
        <f>'רווח והפסד'!V40+'רווח והפסד'!V26</f>
        <v>#N/A</v>
      </c>
      <c r="D42" s="215" t="e">
        <f ca="1">'רווח והפסד'!V48</f>
        <v>#N/A</v>
      </c>
      <c r="E42" s="215"/>
      <c r="F42" s="215" t="e">
        <f t="shared" ca="1" si="0"/>
        <v>#N/A</v>
      </c>
      <c r="G42" s="215" t="e">
        <f t="shared" ca="1" si="1"/>
        <v>#N/A</v>
      </c>
      <c r="H42" s="216" t="e">
        <f t="shared" ca="1" si="3"/>
        <v>#N/A</v>
      </c>
      <c r="I42" s="85" t="e">
        <f t="shared" ca="1" si="2"/>
        <v>#N/A</v>
      </c>
    </row>
    <row r="43" spans="1:9">
      <c r="A43" s="85">
        <v>23</v>
      </c>
      <c r="B43" s="215">
        <v>0</v>
      </c>
      <c r="C43" s="215" t="e">
        <f>'רווח והפסד'!W40+'רווח והפסד'!W26</f>
        <v>#N/A</v>
      </c>
      <c r="D43" s="215" t="e">
        <f ca="1">'רווח והפסד'!W48</f>
        <v>#N/A</v>
      </c>
      <c r="E43" s="215"/>
      <c r="F43" s="215" t="e">
        <f t="shared" ca="1" si="0"/>
        <v>#N/A</v>
      </c>
      <c r="G43" s="215" t="e">
        <f t="shared" ca="1" si="1"/>
        <v>#N/A</v>
      </c>
      <c r="H43" s="216" t="e">
        <f t="shared" ca="1" si="3"/>
        <v>#N/A</v>
      </c>
      <c r="I43" s="85" t="e">
        <f t="shared" ca="1" si="2"/>
        <v>#N/A</v>
      </c>
    </row>
    <row r="44" spans="1:9">
      <c r="A44" s="85">
        <v>24</v>
      </c>
      <c r="B44" s="215">
        <v>0</v>
      </c>
      <c r="C44" s="215" t="e">
        <f>'רווח והפסד'!X40+'רווח והפסד'!X26</f>
        <v>#N/A</v>
      </c>
      <c r="D44" s="215" t="e">
        <f ca="1">'רווח והפסד'!X48</f>
        <v>#N/A</v>
      </c>
      <c r="E44" s="215"/>
      <c r="F44" s="215" t="e">
        <f t="shared" ca="1" si="0"/>
        <v>#N/A</v>
      </c>
      <c r="G44" s="215" t="e">
        <f t="shared" ca="1" si="1"/>
        <v>#N/A</v>
      </c>
      <c r="H44" s="216" t="e">
        <f t="shared" ca="1" si="3"/>
        <v>#N/A</v>
      </c>
      <c r="I44" s="85" t="e">
        <f t="shared" ca="1" si="2"/>
        <v>#N/A</v>
      </c>
    </row>
    <row r="45" spans="1:9">
      <c r="A45" s="85">
        <v>25</v>
      </c>
      <c r="B45" s="215">
        <v>0</v>
      </c>
      <c r="C45" s="215" t="e">
        <f>'רווח והפסד'!Y40+'רווח והפסד'!Y26</f>
        <v>#N/A</v>
      </c>
      <c r="D45" s="215" t="e">
        <f ca="1">'רווח והפסד'!Y48</f>
        <v>#N/A</v>
      </c>
      <c r="E45" s="215"/>
      <c r="F45" s="215" t="e">
        <f t="shared" ca="1" si="0"/>
        <v>#N/A</v>
      </c>
      <c r="G45" s="215" t="e">
        <f t="shared" ca="1" si="1"/>
        <v>#N/A</v>
      </c>
      <c r="H45" s="216" t="e">
        <f t="shared" ca="1" si="3"/>
        <v>#N/A</v>
      </c>
      <c r="I45" s="85" t="e">
        <f t="shared" ca="1" si="2"/>
        <v>#N/A</v>
      </c>
    </row>
    <row r="46" spans="1:9">
      <c r="A46" s="85">
        <v>26</v>
      </c>
      <c r="B46" s="215">
        <v>0</v>
      </c>
      <c r="C46" s="215" t="e">
        <f>'רווח והפסד'!Z40+'רווח והפסד'!Z26</f>
        <v>#N/A</v>
      </c>
      <c r="D46" s="215" t="e">
        <f ca="1">'רווח והפסד'!Z48</f>
        <v>#N/A</v>
      </c>
      <c r="E46" s="215"/>
      <c r="F46" s="215" t="e">
        <f t="shared" ca="1" si="0"/>
        <v>#N/A</v>
      </c>
      <c r="G46" s="215" t="e">
        <f t="shared" ca="1" si="1"/>
        <v>#N/A</v>
      </c>
      <c r="H46" s="216" t="e">
        <f t="shared" ca="1" si="3"/>
        <v>#N/A</v>
      </c>
      <c r="I46" s="85" t="e">
        <f t="shared" ca="1" si="2"/>
        <v>#N/A</v>
      </c>
    </row>
    <row r="47" spans="1:9">
      <c r="A47" s="85">
        <v>27</v>
      </c>
      <c r="B47" s="215">
        <v>0</v>
      </c>
      <c r="C47" s="215" t="e">
        <f>'רווח והפסד'!AA40+'רווח והפסד'!AA26</f>
        <v>#N/A</v>
      </c>
      <c r="D47" s="215" t="e">
        <f ca="1">'רווח והפסד'!AA48</f>
        <v>#N/A</v>
      </c>
      <c r="E47" s="215" t="e">
        <f>C14</f>
        <v>#N/A</v>
      </c>
      <c r="F47" s="215" t="e">
        <f ca="1">B47+C47-D47+E47</f>
        <v>#N/A</v>
      </c>
      <c r="G47" s="215" t="e">
        <f t="shared" ca="1" si="1"/>
        <v>#N/A</v>
      </c>
      <c r="H47" s="216" t="e">
        <f t="shared" ca="1" si="3"/>
        <v>#N/A</v>
      </c>
      <c r="I47" s="85" t="e">
        <f t="shared" ca="1" si="2"/>
        <v>#N/A</v>
      </c>
    </row>
  </sheetData>
  <sheetProtection algorithmName="SHA-512" hashValue="dcHFoVYam1z5qGzDuLOKrsXBAwKWA6/8MrgypJFdYCDNPZhlzdQzbXZFO+8TnyM62khxhL9RiaJ+J+yR/cl2pA==" saltValue="+MgEjgg6JStO5Wo7oHKtbw==" spinCount="100000" sheet="1" objects="1" scenarios="1" selectLockedCells="1" selectUnlockedCells="1"/>
  <mergeCells count="1">
    <mergeCell ref="A10:C10"/>
  </mergeCells>
  <printOptions horizontalCentered="1"/>
  <pageMargins left="0.70866141732283472" right="0.70866141732283472" top="0.55118110236220474" bottom="0" header="0" footer="0"/>
  <pageSetup scale="80" orientation="landscape" r:id="rId1"/>
  <headerFooter>
    <oddHeader xml:space="preserve">&amp;C&amp;"-,מודגש"&amp;14&amp;Eתוכנה לסקר כלכלי
כדאיות לפירמה
</oddHeader>
    <oddFooter>&amp;L&amp;F&amp;C&amp;D</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גיליון19"/>
  <dimension ref="A1:H44"/>
  <sheetViews>
    <sheetView showGridLines="0" rightToLeft="1" zoomScale="80" zoomScaleNormal="80" workbookViewId="0">
      <selection activeCell="C8" sqref="C8"/>
    </sheetView>
  </sheetViews>
  <sheetFormatPr defaultColWidth="0" defaultRowHeight="15" zeroHeight="1"/>
  <cols>
    <col min="1" max="1" width="17.375" style="85" bestFit="1" customWidth="1"/>
    <col min="2" max="2" width="17.875" style="85" bestFit="1" customWidth="1"/>
    <col min="3" max="3" width="15.125" style="85" bestFit="1" customWidth="1"/>
    <col min="4" max="4" width="14.625" style="85" customWidth="1"/>
    <col min="5" max="5" width="14.75" style="85" bestFit="1" customWidth="1"/>
    <col min="6" max="7" width="14.375" style="85" bestFit="1" customWidth="1"/>
    <col min="8" max="8" width="9.125" style="85" hidden="1" customWidth="1"/>
    <col min="9" max="16384" width="9" style="85" hidden="1"/>
  </cols>
  <sheetData>
    <row r="1" spans="1:8"/>
    <row r="2" spans="1:8">
      <c r="A2" s="85" t="s">
        <v>352</v>
      </c>
      <c r="B2" s="214">
        <v>1</v>
      </c>
      <c r="C2" s="215">
        <f>'מקורות מימון'!B4</f>
        <v>0</v>
      </c>
      <c r="D2" s="215"/>
      <c r="E2" s="215"/>
    </row>
    <row r="3" spans="1:8"/>
    <row r="4" spans="1:8">
      <c r="A4" s="1035" t="s">
        <v>339</v>
      </c>
      <c r="B4" s="1035"/>
      <c r="C4" s="1035"/>
      <c r="D4" s="238"/>
      <c r="E4" s="238"/>
    </row>
    <row r="5" spans="1:8"/>
    <row r="6" spans="1:8">
      <c r="A6" s="85" t="s">
        <v>341</v>
      </c>
      <c r="B6" s="239">
        <f>'מקורות מימון'!D4</f>
        <v>0.12</v>
      </c>
      <c r="C6" s="85" t="s">
        <v>511</v>
      </c>
    </row>
    <row r="7" spans="1:8">
      <c r="B7" s="217"/>
    </row>
    <row r="8" spans="1:8">
      <c r="A8" s="85" t="s">
        <v>356</v>
      </c>
      <c r="B8" s="217"/>
      <c r="C8" s="215" t="e">
        <f>'כדאיות לפירמה'!C14</f>
        <v>#N/A</v>
      </c>
    </row>
    <row r="9" spans="1:8"/>
    <row r="10" spans="1:8" ht="15.75">
      <c r="A10" s="219" t="s">
        <v>349</v>
      </c>
      <c r="B10" s="224" t="e">
        <f ca="1">IRR(E15:E41)</f>
        <v>#VALUE!</v>
      </c>
    </row>
    <row r="11" spans="1:8" ht="15.75">
      <c r="A11" s="223" t="s">
        <v>359</v>
      </c>
      <c r="B11" s="254">
        <f ca="1">COUNTIF(H15:H41,0)-A16</f>
        <v>0</v>
      </c>
    </row>
    <row r="12" spans="1:8" ht="15.75">
      <c r="A12" s="223" t="s">
        <v>348</v>
      </c>
      <c r="B12" s="221" t="e">
        <f ca="1">G41</f>
        <v>#N/A</v>
      </c>
    </row>
    <row r="13" spans="1:8"/>
    <row r="14" spans="1:8" s="240" customFormat="1" ht="15.75">
      <c r="B14" s="240" t="s">
        <v>340</v>
      </c>
      <c r="C14" s="240" t="s">
        <v>347</v>
      </c>
      <c r="D14" s="240" t="s">
        <v>356</v>
      </c>
      <c r="E14" s="240" t="s">
        <v>347</v>
      </c>
      <c r="F14" s="240" t="s">
        <v>357</v>
      </c>
      <c r="G14" s="240" t="s">
        <v>316</v>
      </c>
    </row>
    <row r="15" spans="1:8">
      <c r="A15" s="85">
        <v>1</v>
      </c>
      <c r="B15" s="215">
        <f>C2/2*-1</f>
        <v>0</v>
      </c>
      <c r="C15" s="215"/>
      <c r="D15" s="215"/>
      <c r="E15" s="215">
        <f>B15+C15</f>
        <v>0</v>
      </c>
      <c r="F15" s="215">
        <f>E15/(1+$B$6)^(A15-0.5)</f>
        <v>0</v>
      </c>
      <c r="G15" s="215">
        <f>F15</f>
        <v>0</v>
      </c>
      <c r="H15" s="85">
        <f>IF(G15&gt;0,1,0)</f>
        <v>0</v>
      </c>
    </row>
    <row r="16" spans="1:8">
      <c r="A16" s="85">
        <v>2</v>
      </c>
      <c r="B16" s="215">
        <f>C2/2*-1</f>
        <v>0</v>
      </c>
      <c r="C16" s="215"/>
      <c r="D16" s="215"/>
      <c r="E16" s="215">
        <f t="shared" ref="E16:E40" si="0">B16+C16</f>
        <v>0</v>
      </c>
      <c r="F16" s="215">
        <f t="shared" ref="F16:F41" si="1">E16/(1+$B$6)^(A16-0.5)</f>
        <v>0</v>
      </c>
      <c r="G16" s="215">
        <f>G15+F16</f>
        <v>0</v>
      </c>
      <c r="H16" s="85">
        <f t="shared" ref="H16:H41" si="2">IF(G16&gt;0,1,0)</f>
        <v>0</v>
      </c>
    </row>
    <row r="17" spans="1:8">
      <c r="A17" s="85">
        <v>3</v>
      </c>
      <c r="B17" s="215">
        <v>0</v>
      </c>
      <c r="C17" s="215" t="e">
        <f ca="1">'תזרים מזומנים'!B12</f>
        <v>#N/A</v>
      </c>
      <c r="D17" s="215"/>
      <c r="E17" s="215" t="e">
        <f t="shared" ca="1" si="0"/>
        <v>#N/A</v>
      </c>
      <c r="F17" s="215" t="e">
        <f t="shared" ca="1" si="1"/>
        <v>#N/A</v>
      </c>
      <c r="G17" s="215" t="e">
        <f t="shared" ref="G17:G41" ca="1" si="3">G16+F17</f>
        <v>#N/A</v>
      </c>
      <c r="H17" s="85" t="e">
        <f t="shared" ca="1" si="2"/>
        <v>#N/A</v>
      </c>
    </row>
    <row r="18" spans="1:8">
      <c r="A18" s="85">
        <v>4</v>
      </c>
      <c r="B18" s="215">
        <v>0</v>
      </c>
      <c r="C18" s="215" t="e">
        <f ca="1">'תזרים מזומנים'!C12</f>
        <v>#N/A</v>
      </c>
      <c r="D18" s="215"/>
      <c r="E18" s="215" t="e">
        <f t="shared" ca="1" si="0"/>
        <v>#N/A</v>
      </c>
      <c r="F18" s="215" t="e">
        <f t="shared" ca="1" si="1"/>
        <v>#N/A</v>
      </c>
      <c r="G18" s="215" t="e">
        <f t="shared" ca="1" si="3"/>
        <v>#N/A</v>
      </c>
      <c r="H18" s="85" t="e">
        <f t="shared" ca="1" si="2"/>
        <v>#N/A</v>
      </c>
    </row>
    <row r="19" spans="1:8">
      <c r="A19" s="85">
        <v>5</v>
      </c>
      <c r="B19" s="215">
        <v>0</v>
      </c>
      <c r="C19" s="215" t="e">
        <f ca="1">'תזרים מזומנים'!D12</f>
        <v>#N/A</v>
      </c>
      <c r="D19" s="215"/>
      <c r="E19" s="215" t="e">
        <f t="shared" ca="1" si="0"/>
        <v>#N/A</v>
      </c>
      <c r="F19" s="215" t="e">
        <f t="shared" ca="1" si="1"/>
        <v>#N/A</v>
      </c>
      <c r="G19" s="215" t="e">
        <f t="shared" ca="1" si="3"/>
        <v>#N/A</v>
      </c>
      <c r="H19" s="85" t="e">
        <f t="shared" ca="1" si="2"/>
        <v>#N/A</v>
      </c>
    </row>
    <row r="20" spans="1:8">
      <c r="A20" s="85">
        <v>6</v>
      </c>
      <c r="B20" s="215">
        <v>0</v>
      </c>
      <c r="C20" s="215" t="e">
        <f ca="1">'תזרים מזומנים'!E12</f>
        <v>#N/A</v>
      </c>
      <c r="D20" s="215"/>
      <c r="E20" s="215" t="e">
        <f t="shared" ca="1" si="0"/>
        <v>#N/A</v>
      </c>
      <c r="F20" s="215" t="e">
        <f t="shared" ca="1" si="1"/>
        <v>#N/A</v>
      </c>
      <c r="G20" s="215" t="e">
        <f t="shared" ca="1" si="3"/>
        <v>#N/A</v>
      </c>
      <c r="H20" s="85" t="e">
        <f t="shared" ca="1" si="2"/>
        <v>#N/A</v>
      </c>
    </row>
    <row r="21" spans="1:8">
      <c r="A21" s="85">
        <v>7</v>
      </c>
      <c r="B21" s="215">
        <v>0</v>
      </c>
      <c r="C21" s="215" t="e">
        <f ca="1">'תזרים מזומנים'!F12</f>
        <v>#N/A</v>
      </c>
      <c r="D21" s="215"/>
      <c r="E21" s="215" t="e">
        <f t="shared" ca="1" si="0"/>
        <v>#N/A</v>
      </c>
      <c r="F21" s="215" t="e">
        <f t="shared" ca="1" si="1"/>
        <v>#N/A</v>
      </c>
      <c r="G21" s="215" t="e">
        <f t="shared" ca="1" si="3"/>
        <v>#N/A</v>
      </c>
      <c r="H21" s="85" t="e">
        <f t="shared" ca="1" si="2"/>
        <v>#N/A</v>
      </c>
    </row>
    <row r="22" spans="1:8">
      <c r="A22" s="85">
        <v>8</v>
      </c>
      <c r="B22" s="215">
        <v>0</v>
      </c>
      <c r="C22" s="215" t="e">
        <f ca="1">'תזרים מזומנים'!G12</f>
        <v>#N/A</v>
      </c>
      <c r="D22" s="215"/>
      <c r="E22" s="215" t="e">
        <f t="shared" ca="1" si="0"/>
        <v>#N/A</v>
      </c>
      <c r="F22" s="215" t="e">
        <f t="shared" ca="1" si="1"/>
        <v>#N/A</v>
      </c>
      <c r="G22" s="215" t="e">
        <f t="shared" ca="1" si="3"/>
        <v>#N/A</v>
      </c>
      <c r="H22" s="85" t="e">
        <f t="shared" ca="1" si="2"/>
        <v>#N/A</v>
      </c>
    </row>
    <row r="23" spans="1:8">
      <c r="A23" s="85">
        <v>9</v>
      </c>
      <c r="B23" s="215">
        <v>0</v>
      </c>
      <c r="C23" s="215" t="e">
        <f ca="1">'תזרים מזומנים'!H12</f>
        <v>#N/A</v>
      </c>
      <c r="D23" s="215"/>
      <c r="E23" s="215" t="e">
        <f t="shared" ca="1" si="0"/>
        <v>#N/A</v>
      </c>
      <c r="F23" s="215" t="e">
        <f t="shared" ca="1" si="1"/>
        <v>#N/A</v>
      </c>
      <c r="G23" s="215" t="e">
        <f t="shared" ca="1" si="3"/>
        <v>#N/A</v>
      </c>
      <c r="H23" s="85" t="e">
        <f t="shared" ca="1" si="2"/>
        <v>#N/A</v>
      </c>
    </row>
    <row r="24" spans="1:8">
      <c r="A24" s="85">
        <v>10</v>
      </c>
      <c r="B24" s="215">
        <v>0</v>
      </c>
      <c r="C24" s="215" t="e">
        <f ca="1">'תזרים מזומנים'!I12</f>
        <v>#N/A</v>
      </c>
      <c r="D24" s="215"/>
      <c r="E24" s="215" t="e">
        <f t="shared" ca="1" si="0"/>
        <v>#N/A</v>
      </c>
      <c r="F24" s="215" t="e">
        <f t="shared" ca="1" si="1"/>
        <v>#N/A</v>
      </c>
      <c r="G24" s="215" t="e">
        <f t="shared" ca="1" si="3"/>
        <v>#N/A</v>
      </c>
      <c r="H24" s="85" t="e">
        <f t="shared" ca="1" si="2"/>
        <v>#N/A</v>
      </c>
    </row>
    <row r="25" spans="1:8">
      <c r="A25" s="85">
        <v>11</v>
      </c>
      <c r="B25" s="215">
        <v>0</v>
      </c>
      <c r="C25" s="215" t="e">
        <f ca="1">'תזרים מזומנים'!J12</f>
        <v>#N/A</v>
      </c>
      <c r="D25" s="215"/>
      <c r="E25" s="215" t="e">
        <f t="shared" ca="1" si="0"/>
        <v>#N/A</v>
      </c>
      <c r="F25" s="215" t="e">
        <f t="shared" ca="1" si="1"/>
        <v>#N/A</v>
      </c>
      <c r="G25" s="215" t="e">
        <f t="shared" ca="1" si="3"/>
        <v>#N/A</v>
      </c>
      <c r="H25" s="85" t="e">
        <f t="shared" ca="1" si="2"/>
        <v>#N/A</v>
      </c>
    </row>
    <row r="26" spans="1:8">
      <c r="A26" s="85">
        <v>12</v>
      </c>
      <c r="B26" s="215">
        <v>0</v>
      </c>
      <c r="C26" s="215" t="e">
        <f ca="1">'תזרים מזומנים'!K12</f>
        <v>#N/A</v>
      </c>
      <c r="D26" s="215"/>
      <c r="E26" s="215" t="e">
        <f t="shared" ca="1" si="0"/>
        <v>#N/A</v>
      </c>
      <c r="F26" s="215" t="e">
        <f t="shared" ca="1" si="1"/>
        <v>#N/A</v>
      </c>
      <c r="G26" s="215" t="e">
        <f t="shared" ca="1" si="3"/>
        <v>#N/A</v>
      </c>
      <c r="H26" s="85" t="e">
        <f t="shared" ca="1" si="2"/>
        <v>#N/A</v>
      </c>
    </row>
    <row r="27" spans="1:8">
      <c r="A27" s="85">
        <v>13</v>
      </c>
      <c r="B27" s="215">
        <v>0</v>
      </c>
      <c r="C27" s="215" t="e">
        <f ca="1">'תזרים מזומנים'!B26</f>
        <v>#N/A</v>
      </c>
      <c r="D27" s="215"/>
      <c r="E27" s="215" t="e">
        <f t="shared" ca="1" si="0"/>
        <v>#N/A</v>
      </c>
      <c r="F27" s="215" t="e">
        <f t="shared" ca="1" si="1"/>
        <v>#N/A</v>
      </c>
      <c r="G27" s="215" t="e">
        <f t="shared" ca="1" si="3"/>
        <v>#N/A</v>
      </c>
      <c r="H27" s="85" t="e">
        <f t="shared" ca="1" si="2"/>
        <v>#N/A</v>
      </c>
    </row>
    <row r="28" spans="1:8">
      <c r="A28" s="85">
        <v>14</v>
      </c>
      <c r="B28" s="215">
        <v>0</v>
      </c>
      <c r="C28" s="215" t="e">
        <f ca="1">'תזרים מזומנים'!C26</f>
        <v>#N/A</v>
      </c>
      <c r="D28" s="215"/>
      <c r="E28" s="215" t="e">
        <f t="shared" ca="1" si="0"/>
        <v>#N/A</v>
      </c>
      <c r="F28" s="215" t="e">
        <f t="shared" ca="1" si="1"/>
        <v>#N/A</v>
      </c>
      <c r="G28" s="215" t="e">
        <f t="shared" ca="1" si="3"/>
        <v>#N/A</v>
      </c>
      <c r="H28" s="85" t="e">
        <f t="shared" ca="1" si="2"/>
        <v>#N/A</v>
      </c>
    </row>
    <row r="29" spans="1:8">
      <c r="A29" s="85">
        <v>15</v>
      </c>
      <c r="B29" s="215">
        <v>0</v>
      </c>
      <c r="C29" s="215" t="e">
        <f ca="1">'תזרים מזומנים'!D26</f>
        <v>#N/A</v>
      </c>
      <c r="D29" s="215"/>
      <c r="E29" s="215" t="e">
        <f t="shared" ca="1" si="0"/>
        <v>#N/A</v>
      </c>
      <c r="F29" s="215" t="e">
        <f t="shared" ca="1" si="1"/>
        <v>#N/A</v>
      </c>
      <c r="G29" s="215" t="e">
        <f t="shared" ca="1" si="3"/>
        <v>#N/A</v>
      </c>
      <c r="H29" s="85" t="e">
        <f t="shared" ca="1" si="2"/>
        <v>#N/A</v>
      </c>
    </row>
    <row r="30" spans="1:8">
      <c r="A30" s="85">
        <v>16</v>
      </c>
      <c r="B30" s="215">
        <v>0</v>
      </c>
      <c r="C30" s="215" t="e">
        <f ca="1">'תזרים מזומנים'!E26</f>
        <v>#N/A</v>
      </c>
      <c r="D30" s="215"/>
      <c r="E30" s="215" t="e">
        <f t="shared" ca="1" si="0"/>
        <v>#N/A</v>
      </c>
      <c r="F30" s="215" t="e">
        <f t="shared" ca="1" si="1"/>
        <v>#N/A</v>
      </c>
      <c r="G30" s="215" t="e">
        <f t="shared" ca="1" si="3"/>
        <v>#N/A</v>
      </c>
      <c r="H30" s="85" t="e">
        <f t="shared" ca="1" si="2"/>
        <v>#N/A</v>
      </c>
    </row>
    <row r="31" spans="1:8">
      <c r="A31" s="85">
        <v>17</v>
      </c>
      <c r="B31" s="215">
        <v>0</v>
      </c>
      <c r="C31" s="215" t="e">
        <f ca="1">'תזרים מזומנים'!F26</f>
        <v>#N/A</v>
      </c>
      <c r="D31" s="215"/>
      <c r="E31" s="215" t="e">
        <f t="shared" ca="1" si="0"/>
        <v>#N/A</v>
      </c>
      <c r="F31" s="215" t="e">
        <f t="shared" ca="1" si="1"/>
        <v>#N/A</v>
      </c>
      <c r="G31" s="215" t="e">
        <f t="shared" ca="1" si="3"/>
        <v>#N/A</v>
      </c>
      <c r="H31" s="85" t="e">
        <f t="shared" ca="1" si="2"/>
        <v>#N/A</v>
      </c>
    </row>
    <row r="32" spans="1:8">
      <c r="A32" s="85">
        <v>18</v>
      </c>
      <c r="B32" s="215">
        <v>0</v>
      </c>
      <c r="C32" s="215" t="e">
        <f ca="1">'תזרים מזומנים'!G26</f>
        <v>#N/A</v>
      </c>
      <c r="D32" s="215"/>
      <c r="E32" s="215" t="e">
        <f t="shared" ca="1" si="0"/>
        <v>#N/A</v>
      </c>
      <c r="F32" s="215" t="e">
        <f t="shared" ca="1" si="1"/>
        <v>#N/A</v>
      </c>
      <c r="G32" s="215" t="e">
        <f t="shared" ca="1" si="3"/>
        <v>#N/A</v>
      </c>
      <c r="H32" s="85" t="e">
        <f t="shared" ca="1" si="2"/>
        <v>#N/A</v>
      </c>
    </row>
    <row r="33" spans="1:8">
      <c r="A33" s="85">
        <v>19</v>
      </c>
      <c r="B33" s="215">
        <v>0</v>
      </c>
      <c r="C33" s="215" t="e">
        <f ca="1">'תזרים מזומנים'!H26</f>
        <v>#N/A</v>
      </c>
      <c r="D33" s="215"/>
      <c r="E33" s="215" t="e">
        <f t="shared" ca="1" si="0"/>
        <v>#N/A</v>
      </c>
      <c r="F33" s="215" t="e">
        <f t="shared" ca="1" si="1"/>
        <v>#N/A</v>
      </c>
      <c r="G33" s="215" t="e">
        <f t="shared" ca="1" si="3"/>
        <v>#N/A</v>
      </c>
      <c r="H33" s="85" t="e">
        <f t="shared" ca="1" si="2"/>
        <v>#N/A</v>
      </c>
    </row>
    <row r="34" spans="1:8">
      <c r="A34" s="85">
        <v>20</v>
      </c>
      <c r="B34" s="215">
        <v>0</v>
      </c>
      <c r="C34" s="215" t="e">
        <f ca="1">'תזרים מזומנים'!I26</f>
        <v>#N/A</v>
      </c>
      <c r="D34" s="215"/>
      <c r="E34" s="215" t="e">
        <f t="shared" ca="1" si="0"/>
        <v>#N/A</v>
      </c>
      <c r="F34" s="215" t="e">
        <f t="shared" ca="1" si="1"/>
        <v>#N/A</v>
      </c>
      <c r="G34" s="215" t="e">
        <f t="shared" ca="1" si="3"/>
        <v>#N/A</v>
      </c>
      <c r="H34" s="85" t="e">
        <f t="shared" ca="1" si="2"/>
        <v>#N/A</v>
      </c>
    </row>
    <row r="35" spans="1:8">
      <c r="A35" s="85">
        <v>21</v>
      </c>
      <c r="B35" s="215">
        <v>0</v>
      </c>
      <c r="C35" s="215" t="e">
        <f ca="1">'תזרים מזומנים'!J26</f>
        <v>#N/A</v>
      </c>
      <c r="D35" s="215"/>
      <c r="E35" s="215" t="e">
        <f t="shared" ca="1" si="0"/>
        <v>#N/A</v>
      </c>
      <c r="F35" s="215" t="e">
        <f t="shared" ca="1" si="1"/>
        <v>#N/A</v>
      </c>
      <c r="G35" s="215" t="e">
        <f t="shared" ca="1" si="3"/>
        <v>#N/A</v>
      </c>
      <c r="H35" s="85" t="e">
        <f t="shared" ca="1" si="2"/>
        <v>#N/A</v>
      </c>
    </row>
    <row r="36" spans="1:8">
      <c r="A36" s="85">
        <v>22</v>
      </c>
      <c r="B36" s="215">
        <v>0</v>
      </c>
      <c r="C36" s="215" t="e">
        <f ca="1">'תזרים מזומנים'!K26</f>
        <v>#N/A</v>
      </c>
      <c r="D36" s="215"/>
      <c r="E36" s="215" t="e">
        <f t="shared" ca="1" si="0"/>
        <v>#N/A</v>
      </c>
      <c r="F36" s="215" t="e">
        <f t="shared" ca="1" si="1"/>
        <v>#N/A</v>
      </c>
      <c r="G36" s="215" t="e">
        <f t="shared" ca="1" si="3"/>
        <v>#N/A</v>
      </c>
      <c r="H36" s="85" t="e">
        <f t="shared" ca="1" si="2"/>
        <v>#N/A</v>
      </c>
    </row>
    <row r="37" spans="1:8">
      <c r="A37" s="85">
        <v>23</v>
      </c>
      <c r="B37" s="215">
        <v>0</v>
      </c>
      <c r="C37" s="215" t="e">
        <f ca="1">'תזרים מזומנים'!B41</f>
        <v>#N/A</v>
      </c>
      <c r="D37" s="215"/>
      <c r="E37" s="215" t="e">
        <f t="shared" ca="1" si="0"/>
        <v>#N/A</v>
      </c>
      <c r="F37" s="215" t="e">
        <f t="shared" ca="1" si="1"/>
        <v>#N/A</v>
      </c>
      <c r="G37" s="215" t="e">
        <f t="shared" ca="1" si="3"/>
        <v>#N/A</v>
      </c>
      <c r="H37" s="85" t="e">
        <f t="shared" ca="1" si="2"/>
        <v>#N/A</v>
      </c>
    </row>
    <row r="38" spans="1:8">
      <c r="A38" s="85">
        <v>24</v>
      </c>
      <c r="B38" s="215">
        <v>0</v>
      </c>
      <c r="C38" s="215" t="e">
        <f ca="1">C37</f>
        <v>#N/A</v>
      </c>
      <c r="D38" s="215"/>
      <c r="E38" s="215" t="e">
        <f t="shared" ca="1" si="0"/>
        <v>#N/A</v>
      </c>
      <c r="F38" s="215" t="e">
        <f t="shared" ca="1" si="1"/>
        <v>#N/A</v>
      </c>
      <c r="G38" s="215" t="e">
        <f t="shared" ca="1" si="3"/>
        <v>#N/A</v>
      </c>
      <c r="H38" s="85" t="e">
        <f t="shared" ca="1" si="2"/>
        <v>#N/A</v>
      </c>
    </row>
    <row r="39" spans="1:8">
      <c r="A39" s="85">
        <v>25</v>
      </c>
      <c r="B39" s="215">
        <v>0</v>
      </c>
      <c r="C39" s="215" t="e">
        <f ca="1">C38</f>
        <v>#N/A</v>
      </c>
      <c r="D39" s="215"/>
      <c r="E39" s="215" t="e">
        <f t="shared" ca="1" si="0"/>
        <v>#N/A</v>
      </c>
      <c r="F39" s="215" t="e">
        <f t="shared" ca="1" si="1"/>
        <v>#N/A</v>
      </c>
      <c r="G39" s="215" t="e">
        <f t="shared" ca="1" si="3"/>
        <v>#N/A</v>
      </c>
      <c r="H39" s="85" t="e">
        <f t="shared" ca="1" si="2"/>
        <v>#N/A</v>
      </c>
    </row>
    <row r="40" spans="1:8">
      <c r="A40" s="85">
        <v>26</v>
      </c>
      <c r="B40" s="215">
        <v>0</v>
      </c>
      <c r="C40" s="215" t="e">
        <f ca="1">C39</f>
        <v>#N/A</v>
      </c>
      <c r="D40" s="215"/>
      <c r="E40" s="215" t="e">
        <f t="shared" ca="1" si="0"/>
        <v>#N/A</v>
      </c>
      <c r="F40" s="215" t="e">
        <f t="shared" ca="1" si="1"/>
        <v>#N/A</v>
      </c>
      <c r="G40" s="215" t="e">
        <f t="shared" ca="1" si="3"/>
        <v>#N/A</v>
      </c>
      <c r="H40" s="85" t="e">
        <f t="shared" ca="1" si="2"/>
        <v>#N/A</v>
      </c>
    </row>
    <row r="41" spans="1:8">
      <c r="A41" s="85">
        <v>27</v>
      </c>
      <c r="B41" s="215">
        <v>0</v>
      </c>
      <c r="C41" s="215" t="e">
        <f ca="1">C40</f>
        <v>#N/A</v>
      </c>
      <c r="D41" s="215" t="e">
        <f>C8</f>
        <v>#N/A</v>
      </c>
      <c r="E41" s="215" t="e">
        <f ca="1">B41+C41+D41</f>
        <v>#N/A</v>
      </c>
      <c r="F41" s="215" t="e">
        <f t="shared" ca="1" si="1"/>
        <v>#N/A</v>
      </c>
      <c r="G41" s="215" t="e">
        <f t="shared" ca="1" si="3"/>
        <v>#N/A</v>
      </c>
      <c r="H41" s="85" t="e">
        <f t="shared" ca="1" si="2"/>
        <v>#N/A</v>
      </c>
    </row>
    <row r="42" spans="1:8" hidden="1">
      <c r="B42" s="215"/>
      <c r="C42" s="215"/>
      <c r="D42" s="215"/>
      <c r="E42" s="215"/>
      <c r="F42" s="215"/>
      <c r="G42" s="215"/>
      <c r="H42" s="215"/>
    </row>
    <row r="43" spans="1:8" hidden="1">
      <c r="B43" s="215"/>
      <c r="C43" s="215"/>
      <c r="D43" s="215"/>
      <c r="E43" s="215"/>
      <c r="F43" s="215"/>
      <c r="G43" s="215"/>
      <c r="H43" s="215"/>
    </row>
    <row r="44" spans="1:8" hidden="1">
      <c r="B44" s="215"/>
      <c r="C44" s="215"/>
      <c r="D44" s="215"/>
      <c r="E44" s="215"/>
      <c r="F44" s="215"/>
      <c r="G44" s="215"/>
      <c r="H44" s="215"/>
    </row>
  </sheetData>
  <sheetProtection algorithmName="SHA-512" hashValue="UWtQUk8O7FTDpVzKNEwv1/O/XiQiKZjvF6e4bbu/z+SWhWhWNLDVt3nEwYTZL6P3/7KpLQzT+iyqflufTnXjFw==" saltValue="L2aleP56sR1hwwk8QuteKw==" spinCount="100000" sheet="1" objects="1" scenarios="1" selectLockedCells="1"/>
  <mergeCells count="1">
    <mergeCell ref="A4:C4"/>
  </mergeCells>
  <printOptions horizontalCentered="1"/>
  <pageMargins left="0.70866141732283472" right="0.70866141732283472" top="0.55118110236220474" bottom="0" header="0" footer="0"/>
  <pageSetup scale="92" orientation="landscape" verticalDpi="0" r:id="rId1"/>
  <headerFooter>
    <oddHeader xml:space="preserve">&amp;C&amp;"-,מודגש"&amp;14&amp;Eתוכנה לסקר כלכלי
כדאיות ליזם
</oddHeader>
    <oddFooter>&amp;L&amp;F&amp;C&amp;D</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גיליון20"/>
  <dimension ref="A1:Z42"/>
  <sheetViews>
    <sheetView showGridLines="0" rightToLeft="1" zoomScale="80" zoomScaleNormal="80" workbookViewId="0">
      <selection activeCell="B2" sqref="B2"/>
    </sheetView>
  </sheetViews>
  <sheetFormatPr defaultColWidth="0" defaultRowHeight="14.25" zeroHeight="1"/>
  <cols>
    <col min="1" max="1" width="15.375" bestFit="1" customWidth="1"/>
    <col min="2" max="11" width="12.25" bestFit="1" customWidth="1"/>
    <col min="12" max="16" width="9.875" hidden="1" customWidth="1"/>
    <col min="17" max="26" width="10.875" hidden="1" customWidth="1"/>
    <col min="27" max="16384" width="9" hidden="1"/>
  </cols>
  <sheetData>
    <row r="1" spans="1:11" s="183" customFormat="1" ht="15">
      <c r="A1" s="543" t="s">
        <v>419</v>
      </c>
      <c r="B1" s="543">
        <v>1</v>
      </c>
      <c r="C1" s="543">
        <v>2</v>
      </c>
      <c r="D1" s="543">
        <v>3</v>
      </c>
      <c r="E1" s="543">
        <v>4</v>
      </c>
      <c r="F1" s="543">
        <v>5</v>
      </c>
      <c r="G1" s="543">
        <v>6</v>
      </c>
      <c r="H1" s="543">
        <v>7</v>
      </c>
      <c r="I1" s="543">
        <v>8</v>
      </c>
      <c r="J1" s="543">
        <v>9</v>
      </c>
      <c r="K1" s="543">
        <v>10</v>
      </c>
    </row>
    <row r="2" spans="1:11" s="479" customFormat="1" ht="31.5">
      <c r="A2" s="932" t="s">
        <v>615</v>
      </c>
      <c r="B2" s="931" t="e">
        <f>'רווח והפסד'!C40</f>
        <v>#N/A</v>
      </c>
      <c r="C2" s="931" t="e">
        <f>'רווח והפסד'!D40</f>
        <v>#N/A</v>
      </c>
      <c r="D2" s="931" t="e">
        <f>'רווח והפסד'!E40</f>
        <v>#N/A</v>
      </c>
      <c r="E2" s="931" t="e">
        <f>'רווח והפסד'!F40</f>
        <v>#N/A</v>
      </c>
      <c r="F2" s="931" t="e">
        <f>'רווח והפסד'!G40</f>
        <v>#N/A</v>
      </c>
      <c r="G2" s="931" t="e">
        <f>'רווח והפסד'!H40</f>
        <v>#N/A</v>
      </c>
      <c r="H2" s="931" t="e">
        <f>'רווח והפסד'!I40</f>
        <v>#N/A</v>
      </c>
      <c r="I2" s="931" t="e">
        <f>'רווח והפסד'!J40</f>
        <v>#N/A</v>
      </c>
      <c r="J2" s="931" t="e">
        <f>'רווח והפסד'!K40</f>
        <v>#N/A</v>
      </c>
      <c r="K2" s="931" t="e">
        <f>'רווח והפסד'!L40</f>
        <v>#N/A</v>
      </c>
    </row>
    <row r="3" spans="1:11">
      <c r="B3" s="212"/>
      <c r="C3" s="212"/>
      <c r="D3" s="212"/>
      <c r="E3" s="212"/>
      <c r="F3" s="212"/>
      <c r="G3" s="212"/>
      <c r="H3" s="212"/>
      <c r="I3" s="212"/>
      <c r="J3" s="212"/>
      <c r="K3" s="212"/>
    </row>
    <row r="4" spans="1:11" ht="15">
      <c r="A4" s="1" t="s">
        <v>343</v>
      </c>
      <c r="B4" s="212"/>
      <c r="C4" s="212"/>
      <c r="D4" s="212"/>
      <c r="E4" s="212"/>
      <c r="F4" s="212"/>
      <c r="G4" s="212"/>
      <c r="H4" s="212"/>
      <c r="I4" s="212"/>
      <c r="J4" s="212"/>
      <c r="K4" s="212"/>
    </row>
    <row r="5" spans="1:11">
      <c r="A5" t="s">
        <v>199</v>
      </c>
      <c r="B5" s="212" t="e">
        <f>'רווח והפסד'!C26</f>
        <v>#N/A</v>
      </c>
      <c r="C5" s="212" t="e">
        <f>'רווח והפסד'!D26</f>
        <v>#N/A</v>
      </c>
      <c r="D5" s="212" t="e">
        <f>'רווח והפסד'!E26</f>
        <v>#N/A</v>
      </c>
      <c r="E5" s="212" t="e">
        <f>'רווח והפסד'!F26</f>
        <v>#N/A</v>
      </c>
      <c r="F5" s="212" t="e">
        <f>'רווח והפסד'!G26</f>
        <v>#N/A</v>
      </c>
      <c r="G5" s="212" t="e">
        <f>'רווח והפסד'!H26</f>
        <v>#N/A</v>
      </c>
      <c r="H5" s="212" t="e">
        <f>'רווח והפסד'!I26</f>
        <v>#N/A</v>
      </c>
      <c r="I5" s="212" t="e">
        <f>'רווח והפסד'!J26</f>
        <v>#N/A</v>
      </c>
      <c r="J5" s="212" t="e">
        <f>'רווח והפסד'!K26</f>
        <v>#N/A</v>
      </c>
      <c r="K5" s="212" t="e">
        <f>'רווח והפסד'!L26</f>
        <v>#N/A</v>
      </c>
    </row>
    <row r="6" spans="1:11">
      <c r="B6" s="212"/>
      <c r="C6" s="212"/>
      <c r="D6" s="212"/>
      <c r="E6" s="212"/>
      <c r="F6" s="212"/>
      <c r="G6" s="212"/>
      <c r="H6" s="212"/>
      <c r="I6" s="212"/>
      <c r="J6" s="212"/>
      <c r="K6" s="212"/>
    </row>
    <row r="7" spans="1:11" ht="15">
      <c r="A7" s="1" t="s">
        <v>353</v>
      </c>
      <c r="B7" s="212"/>
      <c r="C7" s="212"/>
      <c r="D7" s="212"/>
      <c r="E7" s="212"/>
      <c r="F7" s="212"/>
      <c r="G7" s="212"/>
      <c r="H7" s="212"/>
      <c r="I7" s="212"/>
      <c r="J7" s="212"/>
      <c r="K7" s="212"/>
    </row>
    <row r="8" spans="1:11">
      <c r="A8" t="s">
        <v>208</v>
      </c>
      <c r="B8" s="212" t="e">
        <f ca="1">'רווח והפסד'!C48</f>
        <v>#N/A</v>
      </c>
      <c r="C8" s="212" t="e">
        <f ca="1">'רווח והפסד'!D48</f>
        <v>#N/A</v>
      </c>
      <c r="D8" s="212" t="e">
        <f ca="1">'רווח והפסד'!E48</f>
        <v>#N/A</v>
      </c>
      <c r="E8" s="212" t="e">
        <f ca="1">'רווח והפסד'!F48</f>
        <v>#N/A</v>
      </c>
      <c r="F8" s="212" t="e">
        <f ca="1">'רווח והפסד'!G48</f>
        <v>#N/A</v>
      </c>
      <c r="G8" s="212" t="e">
        <f ca="1">'רווח והפסד'!H48</f>
        <v>#N/A</v>
      </c>
      <c r="H8" s="212" t="e">
        <f ca="1">'רווח והפסד'!I48</f>
        <v>#N/A</v>
      </c>
      <c r="I8" s="212" t="e">
        <f ca="1">'רווח והפסד'!J48</f>
        <v>#N/A</v>
      </c>
      <c r="J8" s="212" t="e">
        <f ca="1">'רווח והפסד'!K48</f>
        <v>#N/A</v>
      </c>
      <c r="K8" s="212" t="e">
        <f ca="1">'רווח והפסד'!L48</f>
        <v>#N/A</v>
      </c>
    </row>
    <row r="9" spans="1:11">
      <c r="A9" t="s">
        <v>375</v>
      </c>
      <c r="B9" s="212" t="e">
        <f ca="1">'רווח והפסד'!C43</f>
        <v>#N/A</v>
      </c>
      <c r="C9" s="212" t="e">
        <f ca="1">'רווח והפסד'!D43</f>
        <v>#N/A</v>
      </c>
      <c r="D9" s="212" t="e">
        <f ca="1">'רווח והפסד'!E43</f>
        <v>#N/A</v>
      </c>
      <c r="E9" s="212" t="e">
        <f ca="1">'רווח והפסד'!F43</f>
        <v>#N/A</v>
      </c>
      <c r="F9" s="212" t="e">
        <f ca="1">'רווח והפסד'!G43</f>
        <v>#N/A</v>
      </c>
      <c r="G9" s="212" t="e">
        <f ca="1">'רווח והפסד'!H43</f>
        <v>#N/A</v>
      </c>
      <c r="H9" s="212" t="e">
        <f ca="1">'רווח והפסד'!I43</f>
        <v>#N/A</v>
      </c>
      <c r="I9" s="212" t="e">
        <f ca="1">'רווח והפסד'!J43</f>
        <v>#N/A</v>
      </c>
      <c r="J9" s="212" t="e">
        <f ca="1">'רווח והפסד'!K43</f>
        <v>#N/A</v>
      </c>
      <c r="K9" s="212" t="e">
        <f ca="1">'רווח והפסד'!L43</f>
        <v>#N/A</v>
      </c>
    </row>
    <row r="10" spans="1:11">
      <c r="A10" t="s">
        <v>330</v>
      </c>
      <c r="B10" s="212" t="e">
        <f ca="1">'חישוב הלוואה'!$K21</f>
        <v>#N/A</v>
      </c>
      <c r="C10" s="212" t="e">
        <f ca="1">'חישוב הלוואה'!$K25</f>
        <v>#N/A</v>
      </c>
      <c r="D10" s="212" t="e">
        <f ca="1">'חישוב הלוואה'!$K29</f>
        <v>#N/A</v>
      </c>
      <c r="E10" s="212" t="e">
        <f ca="1">'חישוב הלוואה'!$K33</f>
        <v>#N/A</v>
      </c>
      <c r="F10" s="212" t="e">
        <f ca="1">'חישוב הלוואה'!$K37</f>
        <v>#N/A</v>
      </c>
      <c r="G10" s="212" t="e">
        <f ca="1">'חישוב הלוואה'!$K41</f>
        <v>#N/A</v>
      </c>
      <c r="H10" s="212" t="e">
        <f ca="1">'חישוב הלוואה'!$K45</f>
        <v>#N/A</v>
      </c>
      <c r="I10" s="212" t="e">
        <f ca="1">'חישוב הלוואה'!$K49</f>
        <v>#N/A</v>
      </c>
      <c r="J10" s="212" t="e">
        <f ca="1">'חישוב הלוואה'!$K53</f>
        <v>#N/A</v>
      </c>
      <c r="K10" s="212" t="e">
        <f ca="1">'חישוב הלוואה'!$K57</f>
        <v>#N/A</v>
      </c>
    </row>
    <row r="11" spans="1:11">
      <c r="B11" s="212"/>
      <c r="C11" s="212"/>
      <c r="D11" s="212"/>
      <c r="E11" s="212"/>
      <c r="F11" s="212"/>
      <c r="G11" s="212"/>
    </row>
    <row r="12" spans="1:11" ht="15" thickBot="1">
      <c r="A12" s="541" t="s">
        <v>347</v>
      </c>
      <c r="B12" s="542" t="e">
        <f ca="1">B2+B5-B8-B10-B9</f>
        <v>#N/A</v>
      </c>
      <c r="C12" s="542" t="e">
        <f t="shared" ref="C12:K12" ca="1" si="0">C2+C5-C8-C10-C9</f>
        <v>#N/A</v>
      </c>
      <c r="D12" s="542" t="e">
        <f t="shared" ca="1" si="0"/>
        <v>#N/A</v>
      </c>
      <c r="E12" s="542" t="e">
        <f t="shared" ca="1" si="0"/>
        <v>#N/A</v>
      </c>
      <c r="F12" s="542" t="e">
        <f t="shared" ca="1" si="0"/>
        <v>#N/A</v>
      </c>
      <c r="G12" s="542" t="e">
        <f t="shared" ca="1" si="0"/>
        <v>#N/A</v>
      </c>
      <c r="H12" s="542" t="e">
        <f t="shared" ca="1" si="0"/>
        <v>#N/A</v>
      </c>
      <c r="I12" s="542" t="e">
        <f t="shared" ca="1" si="0"/>
        <v>#N/A</v>
      </c>
      <c r="J12" s="542" t="e">
        <f t="shared" ca="1" si="0"/>
        <v>#N/A</v>
      </c>
      <c r="K12" s="542" t="e">
        <f t="shared" ca="1" si="0"/>
        <v>#N/A</v>
      </c>
    </row>
    <row r="13" spans="1:11" ht="15" thickTop="1">
      <c r="B13" s="212"/>
      <c r="C13" s="212"/>
      <c r="D13" s="212"/>
      <c r="E13" s="212"/>
      <c r="F13" s="212"/>
      <c r="G13" s="212"/>
    </row>
    <row r="14" spans="1:11">
      <c r="B14" s="212"/>
      <c r="C14" s="212"/>
      <c r="D14" s="212"/>
      <c r="E14" s="212"/>
      <c r="F14" s="212"/>
      <c r="G14" s="180"/>
      <c r="H14" s="180"/>
      <c r="I14" s="180"/>
      <c r="J14" s="180"/>
      <c r="K14" s="180"/>
    </row>
    <row r="15" spans="1:11" s="183" customFormat="1" ht="15">
      <c r="A15" s="543" t="s">
        <v>419</v>
      </c>
      <c r="B15" s="543">
        <v>11</v>
      </c>
      <c r="C15" s="543">
        <v>12</v>
      </c>
      <c r="D15" s="543">
        <v>13</v>
      </c>
      <c r="E15" s="543">
        <v>14</v>
      </c>
      <c r="F15" s="543">
        <v>15</v>
      </c>
      <c r="G15" s="543">
        <v>16</v>
      </c>
      <c r="H15" s="543">
        <v>17</v>
      </c>
      <c r="I15" s="543">
        <v>18</v>
      </c>
      <c r="J15" s="543">
        <v>19</v>
      </c>
      <c r="K15" s="543">
        <v>20</v>
      </c>
    </row>
    <row r="16" spans="1:11" s="479" customFormat="1" ht="31.5">
      <c r="A16" s="932" t="str">
        <f>A2</f>
        <v>רווח הפסד תפעולי לפני מימון</v>
      </c>
      <c r="B16" s="931" t="e">
        <f>'רווח והפסד'!M40</f>
        <v>#N/A</v>
      </c>
      <c r="C16" s="931" t="e">
        <f>'רווח והפסד'!N40</f>
        <v>#N/A</v>
      </c>
      <c r="D16" s="931" t="e">
        <f>'רווח והפסד'!O40</f>
        <v>#N/A</v>
      </c>
      <c r="E16" s="931" t="e">
        <f>'רווח והפסד'!P40</f>
        <v>#N/A</v>
      </c>
      <c r="F16" s="931" t="e">
        <f>'רווח והפסד'!Q40</f>
        <v>#N/A</v>
      </c>
      <c r="G16" s="931" t="e">
        <f>'רווח והפסד'!R40</f>
        <v>#N/A</v>
      </c>
      <c r="H16" s="931" t="e">
        <f>'רווח והפסד'!S40</f>
        <v>#N/A</v>
      </c>
      <c r="I16" s="931" t="e">
        <f>'רווח והפסד'!T40</f>
        <v>#N/A</v>
      </c>
      <c r="J16" s="931" t="e">
        <f>'רווח והפסד'!U40</f>
        <v>#N/A</v>
      </c>
      <c r="K16" s="931" t="e">
        <f>'רווח והפסד'!V40</f>
        <v>#N/A</v>
      </c>
    </row>
    <row r="17" spans="1:11">
      <c r="B17" s="212"/>
      <c r="C17" s="212"/>
      <c r="D17" s="212"/>
      <c r="E17" s="212"/>
      <c r="F17" s="212"/>
      <c r="G17" s="212"/>
      <c r="H17" s="212"/>
      <c r="I17" s="212"/>
      <c r="J17" s="212"/>
      <c r="K17" s="212"/>
    </row>
    <row r="18" spans="1:11" ht="15">
      <c r="A18" s="1" t="s">
        <v>343</v>
      </c>
      <c r="B18" s="212"/>
      <c r="C18" s="212"/>
      <c r="D18" s="212"/>
      <c r="E18" s="212"/>
      <c r="F18" s="212"/>
      <c r="G18" s="212"/>
      <c r="H18" s="212"/>
      <c r="I18" s="212"/>
      <c r="J18" s="212"/>
      <c r="K18" s="212"/>
    </row>
    <row r="19" spans="1:11">
      <c r="A19" t="s">
        <v>199</v>
      </c>
      <c r="B19" s="212" t="e">
        <f>'רווח והפסד'!M26</f>
        <v>#N/A</v>
      </c>
      <c r="C19" s="212" t="e">
        <f>'רווח והפסד'!N26</f>
        <v>#N/A</v>
      </c>
      <c r="D19" s="212" t="e">
        <f>'רווח והפסד'!O26</f>
        <v>#N/A</v>
      </c>
      <c r="E19" s="212" t="e">
        <f>'רווח והפסד'!P26</f>
        <v>#N/A</v>
      </c>
      <c r="F19" s="212" t="e">
        <f>'רווח והפסד'!Q26</f>
        <v>#N/A</v>
      </c>
      <c r="G19" s="212" t="e">
        <f>'רווח והפסד'!R26</f>
        <v>#N/A</v>
      </c>
      <c r="H19" s="212" t="e">
        <f>'רווח והפסד'!S26</f>
        <v>#N/A</v>
      </c>
      <c r="I19" s="212" t="e">
        <f>'רווח והפסד'!T26</f>
        <v>#N/A</v>
      </c>
      <c r="J19" s="212" t="e">
        <f>'רווח והפסד'!U26</f>
        <v>#N/A</v>
      </c>
      <c r="K19" s="212" t="e">
        <f>'רווח והפסד'!V26</f>
        <v>#N/A</v>
      </c>
    </row>
    <row r="20" spans="1:11">
      <c r="B20" s="212"/>
      <c r="C20" s="212"/>
      <c r="D20" s="212"/>
      <c r="E20" s="212"/>
      <c r="F20" s="212"/>
      <c r="G20" s="212"/>
      <c r="H20" s="212"/>
      <c r="I20" s="212"/>
      <c r="J20" s="212"/>
      <c r="K20" s="212"/>
    </row>
    <row r="21" spans="1:11" ht="15">
      <c r="A21" s="1" t="s">
        <v>353</v>
      </c>
      <c r="B21" s="212"/>
      <c r="C21" s="212"/>
      <c r="D21" s="212"/>
      <c r="E21" s="212"/>
      <c r="F21" s="212"/>
      <c r="G21" s="212"/>
      <c r="H21" s="212"/>
      <c r="I21" s="212"/>
      <c r="J21" s="212"/>
      <c r="K21" s="212"/>
    </row>
    <row r="22" spans="1:11">
      <c r="A22" t="s">
        <v>208</v>
      </c>
      <c r="B22" s="212" t="e">
        <f ca="1">'רווח והפסד'!M48</f>
        <v>#N/A</v>
      </c>
      <c r="C22" s="212" t="e">
        <f ca="1">'רווח והפסד'!N48</f>
        <v>#N/A</v>
      </c>
      <c r="D22" s="212" t="e">
        <f ca="1">'רווח והפסד'!O48</f>
        <v>#N/A</v>
      </c>
      <c r="E22" s="212" t="e">
        <f ca="1">'רווח והפסד'!P48</f>
        <v>#N/A</v>
      </c>
      <c r="F22" s="212" t="e">
        <f ca="1">'רווח והפסד'!Q48</f>
        <v>#N/A</v>
      </c>
      <c r="G22" s="212" t="e">
        <f ca="1">'רווח והפסד'!R48</f>
        <v>#N/A</v>
      </c>
      <c r="H22" s="212" t="e">
        <f ca="1">'רווח והפסד'!S48</f>
        <v>#N/A</v>
      </c>
      <c r="I22" s="212" t="e">
        <f ca="1">'רווח והפסד'!T48</f>
        <v>#N/A</v>
      </c>
      <c r="J22" s="212" t="e">
        <f ca="1">'רווח והפסד'!U48</f>
        <v>#N/A</v>
      </c>
      <c r="K22" s="212" t="e">
        <f ca="1">'רווח והפסד'!V48</f>
        <v>#N/A</v>
      </c>
    </row>
    <row r="23" spans="1:11">
      <c r="A23" t="s">
        <v>375</v>
      </c>
      <c r="B23" s="212" t="e">
        <f ca="1">'רווח והפסד'!M43</f>
        <v>#N/A</v>
      </c>
      <c r="C23" s="212" t="e">
        <f ca="1">'רווח והפסד'!N43</f>
        <v>#N/A</v>
      </c>
      <c r="D23" s="212" t="e">
        <f ca="1">'רווח והפסד'!O43</f>
        <v>#N/A</v>
      </c>
      <c r="E23" s="212" t="e">
        <f ca="1">'רווח והפסד'!P43</f>
        <v>#N/A</v>
      </c>
      <c r="F23" s="212" t="e">
        <f ca="1">'רווח והפסד'!Q43</f>
        <v>#N/A</v>
      </c>
      <c r="G23" s="212" t="e">
        <f ca="1">'רווח והפסד'!R43</f>
        <v>#N/A</v>
      </c>
      <c r="H23" s="212" t="e">
        <f ca="1">'רווח והפסד'!S43</f>
        <v>#N/A</v>
      </c>
      <c r="I23" s="212" t="e">
        <f ca="1">'רווח והפסד'!T43</f>
        <v>#N/A</v>
      </c>
      <c r="J23" s="212" t="e">
        <f ca="1">'רווח והפסד'!U43</f>
        <v>#N/A</v>
      </c>
      <c r="K23" s="212" t="e">
        <f ca="1">'רווח והפסד'!V43</f>
        <v>#N/A</v>
      </c>
    </row>
    <row r="24" spans="1:11">
      <c r="A24" t="s">
        <v>330</v>
      </c>
      <c r="B24" s="212" t="e">
        <f ca="1">'חישוב הלוואה'!$K61</f>
        <v>#N/A</v>
      </c>
      <c r="C24" s="212" t="e">
        <f ca="1">'חישוב הלוואה'!$K65</f>
        <v>#N/A</v>
      </c>
      <c r="D24" s="212" t="e">
        <f ca="1">'חישוב הלוואה'!$K69</f>
        <v>#N/A</v>
      </c>
      <c r="E24" s="212" t="e">
        <f ca="1">'חישוב הלוואה'!$K73</f>
        <v>#N/A</v>
      </c>
      <c r="F24" s="212" t="e">
        <f ca="1">'חישוב הלוואה'!$K77</f>
        <v>#N/A</v>
      </c>
      <c r="G24" s="212" t="e">
        <f ca="1">'חישוב הלוואה'!$K81</f>
        <v>#N/A</v>
      </c>
      <c r="H24" s="212" t="e">
        <f ca="1">'חישוב הלוואה'!$K85</f>
        <v>#N/A</v>
      </c>
      <c r="I24" s="212" t="e">
        <f ca="1">'חישוב הלוואה'!$K89</f>
        <v>#N/A</v>
      </c>
      <c r="J24" s="212" t="e">
        <f ca="1">'חישוב הלוואה'!$K93</f>
        <v>#N/A</v>
      </c>
      <c r="K24" s="212" t="e">
        <f ca="1">'חישוב הלוואה'!$K97</f>
        <v>#N/A</v>
      </c>
    </row>
    <row r="25" spans="1:11"/>
    <row r="26" spans="1:11" ht="15" thickBot="1">
      <c r="A26" s="541" t="s">
        <v>347</v>
      </c>
      <c r="B26" s="542" t="e">
        <f t="shared" ref="B26:K26" ca="1" si="1">B16+B19-B22-B24-B23</f>
        <v>#N/A</v>
      </c>
      <c r="C26" s="542" t="e">
        <f t="shared" ca="1" si="1"/>
        <v>#N/A</v>
      </c>
      <c r="D26" s="542" t="e">
        <f t="shared" ca="1" si="1"/>
        <v>#N/A</v>
      </c>
      <c r="E26" s="542" t="e">
        <f t="shared" ca="1" si="1"/>
        <v>#N/A</v>
      </c>
      <c r="F26" s="542" t="e">
        <f t="shared" ca="1" si="1"/>
        <v>#N/A</v>
      </c>
      <c r="G26" s="542" t="e">
        <f t="shared" ca="1" si="1"/>
        <v>#N/A</v>
      </c>
      <c r="H26" s="542" t="e">
        <f t="shared" ca="1" si="1"/>
        <v>#N/A</v>
      </c>
      <c r="I26" s="542" t="e">
        <f t="shared" ca="1" si="1"/>
        <v>#N/A</v>
      </c>
      <c r="J26" s="542" t="e">
        <f t="shared" ca="1" si="1"/>
        <v>#N/A</v>
      </c>
      <c r="K26" s="542" t="e">
        <f t="shared" ca="1" si="1"/>
        <v>#N/A</v>
      </c>
    </row>
    <row r="27" spans="1:11" ht="15" thickTop="1"/>
    <row r="28" spans="1:11"/>
    <row r="29" spans="1:11"/>
    <row r="30" spans="1:11" s="183" customFormat="1" ht="15">
      <c r="A30" s="543" t="s">
        <v>419</v>
      </c>
      <c r="B30" s="543">
        <v>21</v>
      </c>
      <c r="C30" s="543">
        <v>22</v>
      </c>
      <c r="D30" s="543">
        <v>23</v>
      </c>
      <c r="E30" s="543">
        <v>24</v>
      </c>
      <c r="F30" s="543">
        <v>25</v>
      </c>
    </row>
    <row r="31" spans="1:11" s="479" customFormat="1" ht="31.5">
      <c r="A31" s="932" t="str">
        <f>A2</f>
        <v>רווח הפסד תפעולי לפני מימון</v>
      </c>
      <c r="B31" s="931" t="e">
        <f>'רווח והפסד'!W40</f>
        <v>#N/A</v>
      </c>
      <c r="C31" s="931" t="e">
        <f>'רווח והפסד'!X40</f>
        <v>#N/A</v>
      </c>
      <c r="D31" s="931" t="e">
        <f>'רווח והפסד'!Y40</f>
        <v>#N/A</v>
      </c>
      <c r="E31" s="931" t="e">
        <f>'רווח והפסד'!Z40</f>
        <v>#N/A</v>
      </c>
      <c r="F31" s="931" t="e">
        <f>'רווח והפסד'!AA40</f>
        <v>#N/A</v>
      </c>
    </row>
    <row r="32" spans="1:11">
      <c r="B32" s="212"/>
      <c r="C32" s="212"/>
      <c r="D32" s="212"/>
      <c r="E32" s="212"/>
      <c r="F32" s="212"/>
    </row>
    <row r="33" spans="1:11" ht="15">
      <c r="A33" s="1" t="s">
        <v>343</v>
      </c>
      <c r="B33" s="212"/>
      <c r="C33" s="212"/>
      <c r="D33" s="212"/>
      <c r="E33" s="212"/>
      <c r="F33" s="212"/>
    </row>
    <row r="34" spans="1:11">
      <c r="A34" t="s">
        <v>199</v>
      </c>
      <c r="B34" s="212" t="e">
        <f>'רווח והפסד'!W26</f>
        <v>#N/A</v>
      </c>
      <c r="C34" s="212" t="e">
        <f>'רווח והפסד'!X26</f>
        <v>#N/A</v>
      </c>
      <c r="D34" s="212" t="e">
        <f>'רווח והפסד'!Y26</f>
        <v>#N/A</v>
      </c>
      <c r="E34" s="212" t="e">
        <f>'רווח והפסד'!Z26</f>
        <v>#N/A</v>
      </c>
      <c r="F34" s="212" t="e">
        <f>'רווח והפסד'!AA26</f>
        <v>#N/A</v>
      </c>
    </row>
    <row r="35" spans="1:11">
      <c r="B35" s="212"/>
      <c r="C35" s="212"/>
      <c r="D35" s="212"/>
      <c r="E35" s="212"/>
      <c r="F35" s="212"/>
    </row>
    <row r="36" spans="1:11" ht="15">
      <c r="A36" s="1" t="s">
        <v>353</v>
      </c>
      <c r="B36" s="212"/>
      <c r="C36" s="212"/>
      <c r="D36" s="212"/>
      <c r="E36" s="212"/>
      <c r="F36" s="212"/>
    </row>
    <row r="37" spans="1:11">
      <c r="A37" t="s">
        <v>208</v>
      </c>
      <c r="B37" s="212" t="e">
        <f ca="1">'רווח והפסד'!W48</f>
        <v>#N/A</v>
      </c>
      <c r="C37" s="212" t="e">
        <f ca="1">'רווח והפסד'!X48</f>
        <v>#N/A</v>
      </c>
      <c r="D37" s="212" t="e">
        <f ca="1">'רווח והפסד'!Y48</f>
        <v>#N/A</v>
      </c>
      <c r="E37" s="212" t="e">
        <f ca="1">'רווח והפסד'!Z48</f>
        <v>#N/A</v>
      </c>
      <c r="F37" s="212" t="e">
        <f ca="1">'רווח והפסד'!AA48</f>
        <v>#N/A</v>
      </c>
    </row>
    <row r="38" spans="1:11">
      <c r="A38" t="s">
        <v>375</v>
      </c>
      <c r="B38" s="212" t="e">
        <f ca="1">'רווח והפסד'!W43</f>
        <v>#N/A</v>
      </c>
      <c r="C38" s="212" t="e">
        <f ca="1">'רווח והפסד'!X43</f>
        <v>#N/A</v>
      </c>
      <c r="D38" s="212" t="e">
        <f ca="1">'רווח והפסד'!Y43</f>
        <v>#N/A</v>
      </c>
      <c r="E38" s="212" t="e">
        <f ca="1">'רווח והפסד'!Z43</f>
        <v>#N/A</v>
      </c>
      <c r="F38" s="212" t="e">
        <f ca="1">'רווח והפסד'!AA43</f>
        <v>#N/A</v>
      </c>
    </row>
    <row r="39" spans="1:11">
      <c r="A39" t="s">
        <v>330</v>
      </c>
      <c r="B39" s="212" t="e">
        <f ca="1">'חישוב הלוואה'!$K101</f>
        <v>#N/A</v>
      </c>
      <c r="C39" s="212" t="e">
        <f ca="1">'חישוב הלוואה'!$K105</f>
        <v>#N/A</v>
      </c>
      <c r="D39" s="212" t="e">
        <f ca="1">'חישוב הלוואה'!$K109</f>
        <v>#N/A</v>
      </c>
      <c r="E39" s="212" t="e">
        <f ca="1">'חישוב הלוואה'!$K113</f>
        <v>#N/A</v>
      </c>
      <c r="F39" s="212" t="e">
        <f ca="1">'חישוב הלוואה'!$K117</f>
        <v>#N/A</v>
      </c>
    </row>
    <row r="40" spans="1:11"/>
    <row r="41" spans="1:11" ht="15" thickBot="1">
      <c r="A41" s="541" t="s">
        <v>347</v>
      </c>
      <c r="B41" s="542" t="e">
        <f ca="1">B31+B34-B37-B39-B38</f>
        <v>#N/A</v>
      </c>
      <c r="C41" s="542" t="e">
        <f ca="1">C31+C34-C37-C39-C38</f>
        <v>#N/A</v>
      </c>
      <c r="D41" s="542" t="e">
        <f ca="1">D31+D34-D37-D39-D38</f>
        <v>#N/A</v>
      </c>
      <c r="E41" s="542" t="e">
        <f ca="1">E31+E34-E37-E39-E38</f>
        <v>#N/A</v>
      </c>
      <c r="F41" s="542" t="e">
        <f ca="1">F31+F34-F37-F39-F38</f>
        <v>#N/A</v>
      </c>
      <c r="G41" s="542"/>
      <c r="H41" s="542"/>
      <c r="I41" s="542"/>
      <c r="J41" s="542"/>
      <c r="K41" s="542"/>
    </row>
    <row r="42" spans="1:11" ht="15" thickTop="1"/>
  </sheetData>
  <sheetProtection algorithmName="SHA-512" hashValue="uStCDKHBmPcybrjgkTMD93+pGmDoSnbm/upoD8vO7NW7m2vMgB2in5mhKFJWCFwy/E38UoiPPn1aBvGcgQ5RNA==" saltValue="9ZpPlggxkiSPFFEfGgXMlA==" spinCount="100000" sheet="1" objects="1" scenarios="1" selectLockedCells="1"/>
  <printOptions horizontalCentered="1"/>
  <pageMargins left="0.70866141732283472" right="0.70866141732283472" top="0.74803149606299213" bottom="0" header="0.31496062992125984" footer="0.31496062992125984"/>
  <pageSetup scale="81" orientation="landscape" verticalDpi="0" r:id="rId1"/>
  <headerFooter>
    <oddHeader xml:space="preserve">&amp;C&amp;"-,מודגש"&amp;14&amp;Eתוכנה לסקר כלכלי
תזרים מזומנים
</oddHeader>
    <oddFooter>&amp;L&amp;F&amp;C&amp;D</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גיליון9"/>
  <dimension ref="A1:P101"/>
  <sheetViews>
    <sheetView showGridLines="0" rightToLeft="1" topLeftCell="A12" zoomScale="70" zoomScaleNormal="70" workbookViewId="0">
      <selection activeCell="A74" sqref="A74"/>
    </sheetView>
  </sheetViews>
  <sheetFormatPr defaultColWidth="13.625" defaultRowHeight="14.25"/>
  <cols>
    <col min="1" max="1" width="8.625" bestFit="1" customWidth="1"/>
    <col min="2" max="2" width="15.625" bestFit="1" customWidth="1"/>
    <col min="3" max="4" width="13.375" bestFit="1" customWidth="1"/>
    <col min="5" max="7" width="12.875" bestFit="1" customWidth="1"/>
    <col min="8" max="15" width="13.25" bestFit="1" customWidth="1"/>
  </cols>
  <sheetData>
    <row r="1" spans="1:16" hidden="1">
      <c r="B1" t="s">
        <v>392</v>
      </c>
    </row>
    <row r="2" spans="1:16" hidden="1">
      <c r="B2" t="s">
        <v>139</v>
      </c>
      <c r="C2" s="105">
        <v>1</v>
      </c>
    </row>
    <row r="3" spans="1:16" hidden="1">
      <c r="B3" t="s">
        <v>140</v>
      </c>
      <c r="C3" s="105">
        <v>1</v>
      </c>
    </row>
    <row r="4" spans="1:16" ht="15.75" hidden="1">
      <c r="B4" s="375">
        <v>0.1</v>
      </c>
      <c r="C4" s="105">
        <v>1</v>
      </c>
    </row>
    <row r="5" spans="1:16" hidden="1">
      <c r="B5" t="s">
        <v>147</v>
      </c>
      <c r="C5" s="105">
        <v>1</v>
      </c>
    </row>
    <row r="6" spans="1:16" hidden="1">
      <c r="B6" t="s">
        <v>264</v>
      </c>
      <c r="C6" s="105">
        <v>1</v>
      </c>
    </row>
    <row r="7" spans="1:16" hidden="1">
      <c r="B7" t="s">
        <v>309</v>
      </c>
      <c r="C7" s="105">
        <v>1</v>
      </c>
    </row>
    <row r="8" spans="1:16" hidden="1">
      <c r="B8" t="s">
        <v>312</v>
      </c>
      <c r="C8" s="105">
        <v>1</v>
      </c>
    </row>
    <row r="9" spans="1:16" hidden="1">
      <c r="B9" t="s">
        <v>313</v>
      </c>
      <c r="C9" s="105">
        <v>1</v>
      </c>
    </row>
    <row r="10" spans="1:16" hidden="1">
      <c r="C10" s="105"/>
    </row>
    <row r="11" spans="1:16" ht="15" hidden="1">
      <c r="C11" s="1"/>
    </row>
    <row r="12" spans="1:16" ht="15" customHeight="1">
      <c r="A12" s="1036" t="s">
        <v>611</v>
      </c>
      <c r="B12" s="1036"/>
      <c r="C12" s="1036"/>
      <c r="D12" s="1036"/>
      <c r="E12" s="1036"/>
      <c r="F12" s="1036"/>
      <c r="G12" s="1036"/>
      <c r="H12" s="1036"/>
      <c r="I12" s="1036"/>
      <c r="J12" s="1036"/>
      <c r="K12" s="1036"/>
      <c r="L12" s="1036"/>
      <c r="M12" s="1036"/>
      <c r="N12" s="1036"/>
      <c r="O12" s="1036"/>
      <c r="P12" s="1036"/>
    </row>
    <row r="13" spans="1:16" ht="15">
      <c r="C13" s="1"/>
    </row>
    <row r="14" spans="1:16" ht="15">
      <c r="A14" s="494" t="s">
        <v>420</v>
      </c>
      <c r="B14" s="494" t="s">
        <v>473</v>
      </c>
      <c r="C14" s="274" t="e">
        <f t="shared" ref="C14:H14" si="0">$I$14*C15</f>
        <v>#N/A</v>
      </c>
      <c r="D14" s="274" t="e">
        <f t="shared" si="0"/>
        <v>#N/A</v>
      </c>
      <c r="E14" s="274" t="e">
        <f t="shared" si="0"/>
        <v>#N/A</v>
      </c>
      <c r="F14" s="274" t="e">
        <f t="shared" si="0"/>
        <v>#N/A</v>
      </c>
      <c r="G14" s="274" t="e">
        <f t="shared" si="0"/>
        <v>#N/A</v>
      </c>
      <c r="H14" s="274" t="e">
        <f t="shared" si="0"/>
        <v>#N/A</v>
      </c>
      <c r="I14" s="275" t="e">
        <f>'נ.בסיס לינה'!$Q$17</f>
        <v>#N/A</v>
      </c>
      <c r="J14" s="274" t="e">
        <f t="shared" ref="J14:O14" si="1">$I$14*J15</f>
        <v>#N/A</v>
      </c>
      <c r="K14" s="274" t="e">
        <f t="shared" si="1"/>
        <v>#N/A</v>
      </c>
      <c r="L14" s="274" t="e">
        <f t="shared" si="1"/>
        <v>#N/A</v>
      </c>
      <c r="M14" s="274" t="e">
        <f t="shared" si="1"/>
        <v>#N/A</v>
      </c>
      <c r="N14" s="274" t="e">
        <f t="shared" si="1"/>
        <v>#N/A</v>
      </c>
      <c r="O14" s="274" t="e">
        <f t="shared" si="1"/>
        <v>#N/A</v>
      </c>
      <c r="P14" s="276" t="s">
        <v>134</v>
      </c>
    </row>
    <row r="15" spans="1:16" s="280" customFormat="1" ht="15.75" thickBot="1">
      <c r="A15" s="489"/>
      <c r="B15" s="278" t="e">
        <f>'רווח והפסד'!E40+'רווח והפסד'!E26</f>
        <v>#N/A</v>
      </c>
      <c r="C15" s="279">
        <v>0.7</v>
      </c>
      <c r="D15" s="279">
        <v>0.75</v>
      </c>
      <c r="E15" s="279">
        <v>0.8</v>
      </c>
      <c r="F15" s="279">
        <v>0.85</v>
      </c>
      <c r="G15" s="279">
        <v>0.9</v>
      </c>
      <c r="H15" s="279">
        <v>0.95</v>
      </c>
      <c r="I15" s="687">
        <v>1</v>
      </c>
      <c r="J15" s="279">
        <v>1.05</v>
      </c>
      <c r="K15" s="279">
        <v>1.1000000000000001</v>
      </c>
      <c r="L15" s="279">
        <v>1.1499999999999999</v>
      </c>
      <c r="M15" s="279">
        <v>1.2</v>
      </c>
      <c r="N15" s="279">
        <v>1.25</v>
      </c>
      <c r="O15" s="279">
        <v>1.3</v>
      </c>
      <c r="P15" s="277" t="s">
        <v>473</v>
      </c>
    </row>
    <row r="16" spans="1:16" ht="15">
      <c r="A16" s="490" t="e">
        <f t="shared" ref="A16:A21" si="2">$A$22*B16</f>
        <v>#DIV/0!</v>
      </c>
      <c r="B16" s="486">
        <v>0.7</v>
      </c>
      <c r="C16" s="243" t="e">
        <f t="dataTable" ref="C16:O28" dt2D="1" dtr="1" r1="C2" r2="C3"/>
        <v>#N/A</v>
      </c>
      <c r="D16" s="243" t="e">
        <v>#N/A</v>
      </c>
      <c r="E16" s="243" t="e">
        <v>#N/A</v>
      </c>
      <c r="F16" s="243" t="e">
        <v>#N/A</v>
      </c>
      <c r="G16" s="243" t="e">
        <v>#N/A</v>
      </c>
      <c r="H16" s="243" t="e">
        <v>#N/A</v>
      </c>
      <c r="I16" s="243" t="e">
        <v>#N/A</v>
      </c>
      <c r="J16" s="243" t="e">
        <v>#N/A</v>
      </c>
      <c r="K16" s="243" t="e">
        <v>#N/A</v>
      </c>
      <c r="L16" s="243" t="e">
        <v>#N/A</v>
      </c>
      <c r="M16" s="243" t="e">
        <v>#N/A</v>
      </c>
      <c r="N16" s="243" t="e">
        <v>#N/A</v>
      </c>
      <c r="O16" s="212" t="e">
        <v>#N/A</v>
      </c>
    </row>
    <row r="17" spans="1:16" ht="15">
      <c r="A17" s="491" t="e">
        <f t="shared" si="2"/>
        <v>#DIV/0!</v>
      </c>
      <c r="B17" s="486">
        <v>0.75</v>
      </c>
      <c r="C17" s="243" t="e">
        <v>#N/A</v>
      </c>
      <c r="D17" s="243" t="e">
        <v>#N/A</v>
      </c>
      <c r="E17" s="243" t="e">
        <v>#N/A</v>
      </c>
      <c r="F17" s="243" t="e">
        <v>#N/A</v>
      </c>
      <c r="G17" s="243" t="e">
        <v>#N/A</v>
      </c>
      <c r="H17" s="243" t="e">
        <v>#N/A</v>
      </c>
      <c r="I17" s="243" t="e">
        <v>#N/A</v>
      </c>
      <c r="J17" s="243" t="e">
        <v>#N/A</v>
      </c>
      <c r="K17" s="243" t="e">
        <v>#N/A</v>
      </c>
      <c r="L17" s="243" t="e">
        <v>#N/A</v>
      </c>
      <c r="M17" s="243" t="e">
        <v>#N/A</v>
      </c>
      <c r="N17" s="243" t="e">
        <v>#N/A</v>
      </c>
      <c r="O17" s="212" t="e">
        <v>#N/A</v>
      </c>
    </row>
    <row r="18" spans="1:16" ht="15">
      <c r="A18" s="491" t="e">
        <f t="shared" si="2"/>
        <v>#DIV/0!</v>
      </c>
      <c r="B18" s="486">
        <v>0.8</v>
      </c>
      <c r="C18" s="243" t="e">
        <v>#N/A</v>
      </c>
      <c r="D18" s="243" t="e">
        <v>#N/A</v>
      </c>
      <c r="E18" s="243" t="e">
        <v>#N/A</v>
      </c>
      <c r="F18" s="243" t="e">
        <v>#N/A</v>
      </c>
      <c r="G18" s="243" t="e">
        <v>#N/A</v>
      </c>
      <c r="H18" s="243" t="e">
        <v>#N/A</v>
      </c>
      <c r="I18" s="243" t="e">
        <v>#N/A</v>
      </c>
      <c r="J18" s="243" t="e">
        <v>#N/A</v>
      </c>
      <c r="K18" s="243" t="e">
        <v>#N/A</v>
      </c>
      <c r="L18" s="243" t="e">
        <v>#N/A</v>
      </c>
      <c r="M18" s="243" t="e">
        <v>#N/A</v>
      </c>
      <c r="N18" s="243" t="e">
        <v>#N/A</v>
      </c>
      <c r="O18" s="212" t="e">
        <v>#N/A</v>
      </c>
    </row>
    <row r="19" spans="1:16" ht="15">
      <c r="A19" s="491" t="e">
        <f t="shared" si="2"/>
        <v>#DIV/0!</v>
      </c>
      <c r="B19" s="486">
        <v>0.85</v>
      </c>
      <c r="C19" s="243" t="e">
        <v>#N/A</v>
      </c>
      <c r="D19" s="243" t="e">
        <v>#N/A</v>
      </c>
      <c r="E19" s="243" t="e">
        <v>#N/A</v>
      </c>
      <c r="F19" s="243" t="e">
        <v>#N/A</v>
      </c>
      <c r="G19" s="243" t="e">
        <v>#N/A</v>
      </c>
      <c r="H19" s="243" t="e">
        <v>#N/A</v>
      </c>
      <c r="I19" s="243" t="e">
        <v>#N/A</v>
      </c>
      <c r="J19" s="243" t="e">
        <v>#N/A</v>
      </c>
      <c r="K19" s="243" t="e">
        <v>#N/A</v>
      </c>
      <c r="L19" s="243" t="e">
        <v>#N/A</v>
      </c>
      <c r="M19" s="243" t="e">
        <v>#N/A</v>
      </c>
      <c r="N19" s="243" t="e">
        <v>#N/A</v>
      </c>
      <c r="O19" s="212" t="e">
        <v>#N/A</v>
      </c>
    </row>
    <row r="20" spans="1:16" ht="15">
      <c r="A20" s="491" t="e">
        <f t="shared" si="2"/>
        <v>#DIV/0!</v>
      </c>
      <c r="B20" s="486">
        <v>0.9</v>
      </c>
      <c r="C20" s="243" t="e">
        <v>#N/A</v>
      </c>
      <c r="D20" s="243" t="e">
        <v>#N/A</v>
      </c>
      <c r="E20" s="243" t="e">
        <v>#N/A</v>
      </c>
      <c r="F20" s="243" t="e">
        <v>#N/A</v>
      </c>
      <c r="G20" s="243" t="e">
        <v>#N/A</v>
      </c>
      <c r="H20" s="243" t="e">
        <v>#N/A</v>
      </c>
      <c r="I20" s="243" t="e">
        <v>#N/A</v>
      </c>
      <c r="J20" s="243" t="e">
        <v>#N/A</v>
      </c>
      <c r="K20" s="243" t="e">
        <v>#N/A</v>
      </c>
      <c r="L20" s="243" t="e">
        <v>#N/A</v>
      </c>
      <c r="M20" s="243" t="e">
        <v>#N/A</v>
      </c>
      <c r="N20" s="243" t="e">
        <v>#N/A</v>
      </c>
      <c r="O20" s="212" t="e">
        <v>#N/A</v>
      </c>
    </row>
    <row r="21" spans="1:16" ht="15">
      <c r="A21" s="491" t="e">
        <f t="shared" si="2"/>
        <v>#DIV/0!</v>
      </c>
      <c r="B21" s="486">
        <v>0.95</v>
      </c>
      <c r="C21" s="243" t="e">
        <v>#N/A</v>
      </c>
      <c r="D21" s="243" t="e">
        <v>#N/A</v>
      </c>
      <c r="E21" s="243" t="e">
        <v>#N/A</v>
      </c>
      <c r="F21" s="243" t="e">
        <v>#N/A</v>
      </c>
      <c r="G21" s="243" t="e">
        <v>#N/A</v>
      </c>
      <c r="H21" s="243" t="e">
        <v>#N/A</v>
      </c>
      <c r="I21" s="243" t="e">
        <v>#N/A</v>
      </c>
      <c r="J21" s="243" t="e">
        <v>#N/A</v>
      </c>
      <c r="K21" s="243" t="e">
        <v>#N/A</v>
      </c>
      <c r="L21" s="243" t="e">
        <v>#N/A</v>
      </c>
      <c r="M21" s="243" t="e">
        <v>#N/A</v>
      </c>
      <c r="N21" s="243" t="e">
        <v>#N/A</v>
      </c>
      <c r="O21" s="212" t="e">
        <v>#N/A</v>
      </c>
    </row>
    <row r="22" spans="1:16" ht="15">
      <c r="A22" s="492" t="e">
        <f>'נ.בסיס לינה'!$F$11</f>
        <v>#DIV/0!</v>
      </c>
      <c r="B22" s="487">
        <v>1</v>
      </c>
      <c r="C22" s="243" t="e">
        <v>#N/A</v>
      </c>
      <c r="D22" s="243" t="e">
        <v>#N/A</v>
      </c>
      <c r="E22" s="243" t="e">
        <v>#N/A</v>
      </c>
      <c r="F22" s="243" t="e">
        <v>#N/A</v>
      </c>
      <c r="G22" s="243" t="e">
        <v>#N/A</v>
      </c>
      <c r="H22" s="243" t="e">
        <v>#N/A</v>
      </c>
      <c r="I22" s="242" t="e">
        <v>#N/A</v>
      </c>
      <c r="J22" s="243" t="e">
        <v>#N/A</v>
      </c>
      <c r="K22" s="243" t="e">
        <v>#N/A</v>
      </c>
      <c r="L22" s="243" t="e">
        <v>#N/A</v>
      </c>
      <c r="M22" s="243" t="e">
        <v>#N/A</v>
      </c>
      <c r="N22" s="243" t="e">
        <v>#N/A</v>
      </c>
      <c r="O22" s="212" t="e">
        <v>#N/A</v>
      </c>
    </row>
    <row r="23" spans="1:16" ht="15">
      <c r="A23" s="491" t="e">
        <f t="shared" ref="A23:A28" si="3">$A$22*B23</f>
        <v>#DIV/0!</v>
      </c>
      <c r="B23" s="486">
        <v>1.05</v>
      </c>
      <c r="C23" s="243" t="e">
        <v>#N/A</v>
      </c>
      <c r="D23" s="243" t="e">
        <v>#N/A</v>
      </c>
      <c r="E23" s="243" t="e">
        <v>#N/A</v>
      </c>
      <c r="F23" s="243" t="e">
        <v>#N/A</v>
      </c>
      <c r="G23" s="243" t="e">
        <v>#N/A</v>
      </c>
      <c r="H23" s="243" t="e">
        <v>#N/A</v>
      </c>
      <c r="I23" s="243" t="e">
        <v>#N/A</v>
      </c>
      <c r="J23" s="243" t="e">
        <v>#N/A</v>
      </c>
      <c r="K23" s="243" t="e">
        <v>#N/A</v>
      </c>
      <c r="L23" s="243" t="e">
        <v>#N/A</v>
      </c>
      <c r="M23" s="243" t="e">
        <v>#N/A</v>
      </c>
      <c r="N23" s="243" t="e">
        <v>#N/A</v>
      </c>
      <c r="O23" s="212" t="e">
        <v>#N/A</v>
      </c>
    </row>
    <row r="24" spans="1:16" ht="15">
      <c r="A24" s="491" t="e">
        <f t="shared" si="3"/>
        <v>#DIV/0!</v>
      </c>
      <c r="B24" s="486">
        <v>1.1000000000000001</v>
      </c>
      <c r="C24" s="243" t="e">
        <v>#N/A</v>
      </c>
      <c r="D24" s="243" t="e">
        <v>#N/A</v>
      </c>
      <c r="E24" s="243" t="e">
        <v>#N/A</v>
      </c>
      <c r="F24" s="243" t="e">
        <v>#N/A</v>
      </c>
      <c r="G24" s="243" t="e">
        <v>#N/A</v>
      </c>
      <c r="H24" s="243" t="e">
        <v>#N/A</v>
      </c>
      <c r="I24" s="243" t="e">
        <v>#N/A</v>
      </c>
      <c r="J24" s="243" t="e">
        <v>#N/A</v>
      </c>
      <c r="K24" s="243" t="e">
        <v>#N/A</v>
      </c>
      <c r="L24" s="243" t="e">
        <v>#N/A</v>
      </c>
      <c r="M24" s="243" t="e">
        <v>#N/A</v>
      </c>
      <c r="N24" s="243" t="e">
        <v>#N/A</v>
      </c>
      <c r="O24" s="212" t="e">
        <v>#N/A</v>
      </c>
    </row>
    <row r="25" spans="1:16" ht="15">
      <c r="A25" s="491" t="e">
        <f t="shared" si="3"/>
        <v>#DIV/0!</v>
      </c>
      <c r="B25" s="486">
        <v>1.1499999999999999</v>
      </c>
      <c r="C25" s="243" t="e">
        <v>#N/A</v>
      </c>
      <c r="D25" s="243" t="e">
        <v>#N/A</v>
      </c>
      <c r="E25" s="243" t="e">
        <v>#N/A</v>
      </c>
      <c r="F25" s="243" t="e">
        <v>#N/A</v>
      </c>
      <c r="G25" s="243" t="e">
        <v>#N/A</v>
      </c>
      <c r="H25" s="243" t="e">
        <v>#N/A</v>
      </c>
      <c r="I25" s="243" t="e">
        <v>#N/A</v>
      </c>
      <c r="J25" s="243" t="e">
        <v>#N/A</v>
      </c>
      <c r="K25" s="243" t="e">
        <v>#N/A</v>
      </c>
      <c r="L25" s="243" t="e">
        <v>#N/A</v>
      </c>
      <c r="M25" s="243" t="e">
        <v>#N/A</v>
      </c>
      <c r="N25" s="243" t="e">
        <v>#N/A</v>
      </c>
      <c r="O25" s="212" t="e">
        <v>#N/A</v>
      </c>
    </row>
    <row r="26" spans="1:16" ht="15">
      <c r="A26" s="491" t="e">
        <f t="shared" si="3"/>
        <v>#DIV/0!</v>
      </c>
      <c r="B26" s="486">
        <v>1.2</v>
      </c>
      <c r="C26" s="243" t="e">
        <v>#N/A</v>
      </c>
      <c r="D26" s="243" t="e">
        <v>#N/A</v>
      </c>
      <c r="E26" s="243" t="e">
        <v>#N/A</v>
      </c>
      <c r="F26" s="243" t="e">
        <v>#N/A</v>
      </c>
      <c r="G26" s="243" t="e">
        <v>#N/A</v>
      </c>
      <c r="H26" s="243" t="e">
        <v>#N/A</v>
      </c>
      <c r="I26" s="243" t="e">
        <v>#N/A</v>
      </c>
      <c r="J26" s="243" t="e">
        <v>#N/A</v>
      </c>
      <c r="K26" s="243" t="e">
        <v>#N/A</v>
      </c>
      <c r="L26" s="243" t="e">
        <v>#N/A</v>
      </c>
      <c r="M26" s="243" t="e">
        <v>#N/A</v>
      </c>
      <c r="N26" s="243" t="e">
        <v>#N/A</v>
      </c>
      <c r="O26" s="212" t="e">
        <v>#N/A</v>
      </c>
    </row>
    <row r="27" spans="1:16" ht="15">
      <c r="A27" s="491" t="e">
        <f t="shared" si="3"/>
        <v>#DIV/0!</v>
      </c>
      <c r="B27" s="486">
        <v>1.25</v>
      </c>
      <c r="C27" s="243" t="e">
        <v>#N/A</v>
      </c>
      <c r="D27" s="243" t="e">
        <v>#N/A</v>
      </c>
      <c r="E27" s="243" t="e">
        <v>#N/A</v>
      </c>
      <c r="F27" s="243" t="e">
        <v>#N/A</v>
      </c>
      <c r="G27" s="243" t="e">
        <v>#N/A</v>
      </c>
      <c r="H27" s="243" t="e">
        <v>#N/A</v>
      </c>
      <c r="I27" s="243" t="e">
        <v>#N/A</v>
      </c>
      <c r="J27" s="243" t="e">
        <v>#N/A</v>
      </c>
      <c r="K27" s="243" t="e">
        <v>#N/A</v>
      </c>
      <c r="L27" s="243" t="e">
        <v>#N/A</v>
      </c>
      <c r="M27" s="243" t="e">
        <v>#N/A</v>
      </c>
      <c r="N27" s="243" t="e">
        <v>#N/A</v>
      </c>
      <c r="O27" s="212" t="e">
        <v>#N/A</v>
      </c>
    </row>
    <row r="28" spans="1:16" ht="15.75" thickBot="1">
      <c r="A28" s="493" t="e">
        <f t="shared" si="3"/>
        <v>#DIV/0!</v>
      </c>
      <c r="B28" s="488">
        <v>1.3</v>
      </c>
      <c r="C28" s="243" t="e">
        <v>#N/A</v>
      </c>
      <c r="D28" s="243" t="e">
        <v>#N/A</v>
      </c>
      <c r="E28" s="243" t="e">
        <v>#N/A</v>
      </c>
      <c r="F28" s="243" t="e">
        <v>#N/A</v>
      </c>
      <c r="G28" s="243" t="e">
        <v>#N/A</v>
      </c>
      <c r="H28" s="243" t="e">
        <v>#N/A</v>
      </c>
      <c r="I28" s="243" t="e">
        <v>#N/A</v>
      </c>
      <c r="J28" s="243" t="e">
        <v>#N/A</v>
      </c>
      <c r="K28" s="243" t="e">
        <v>#N/A</v>
      </c>
      <c r="L28" s="243" t="e">
        <v>#N/A</v>
      </c>
      <c r="M28" s="243" t="e">
        <v>#N/A</v>
      </c>
      <c r="N28" s="243" t="e">
        <v>#N/A</v>
      </c>
      <c r="O28" s="212" t="e">
        <v>#N/A</v>
      </c>
    </row>
    <row r="32" spans="1:16" ht="18">
      <c r="A32" s="1036" t="s">
        <v>612</v>
      </c>
      <c r="B32" s="1036"/>
      <c r="C32" s="1036"/>
      <c r="D32" s="1036"/>
      <c r="E32" s="1036"/>
      <c r="F32" s="1036"/>
      <c r="G32" s="1036"/>
      <c r="H32" s="1036"/>
      <c r="I32" s="1036"/>
      <c r="J32" s="1036"/>
      <c r="K32" s="1036"/>
      <c r="L32" s="1036"/>
      <c r="M32" s="1036"/>
      <c r="N32" s="1036"/>
      <c r="O32" s="1036"/>
      <c r="P32" s="1036"/>
    </row>
    <row r="33" spans="1:16" ht="13.5" customHeight="1"/>
    <row r="34" spans="1:16" ht="15">
      <c r="A34" s="494" t="s">
        <v>420</v>
      </c>
      <c r="B34" s="494" t="s">
        <v>473</v>
      </c>
      <c r="C34" s="274" t="e">
        <f t="shared" ref="C34:H34" si="4">$I$14*C35</f>
        <v>#N/A</v>
      </c>
      <c r="D34" s="274" t="e">
        <f t="shared" si="4"/>
        <v>#N/A</v>
      </c>
      <c r="E34" s="274" t="e">
        <f t="shared" si="4"/>
        <v>#N/A</v>
      </c>
      <c r="F34" s="274" t="e">
        <f t="shared" si="4"/>
        <v>#N/A</v>
      </c>
      <c r="G34" s="274" t="e">
        <f t="shared" si="4"/>
        <v>#N/A</v>
      </c>
      <c r="H34" s="274" t="e">
        <f t="shared" si="4"/>
        <v>#N/A</v>
      </c>
      <c r="I34" s="275" t="e">
        <f>'נ.בסיס לינה'!$Q$17</f>
        <v>#N/A</v>
      </c>
      <c r="J34" s="274" t="e">
        <f t="shared" ref="J34:O34" si="5">$I$14*J35</f>
        <v>#N/A</v>
      </c>
      <c r="K34" s="274" t="e">
        <f t="shared" si="5"/>
        <v>#N/A</v>
      </c>
      <c r="L34" s="274" t="e">
        <f t="shared" si="5"/>
        <v>#N/A</v>
      </c>
      <c r="M34" s="274" t="e">
        <f t="shared" si="5"/>
        <v>#N/A</v>
      </c>
      <c r="N34" s="274" t="e">
        <f t="shared" si="5"/>
        <v>#N/A</v>
      </c>
      <c r="O34" s="274" t="e">
        <f t="shared" si="5"/>
        <v>#N/A</v>
      </c>
      <c r="P34" s="276" t="s">
        <v>134</v>
      </c>
    </row>
    <row r="35" spans="1:16" s="280" customFormat="1" ht="15.75" thickBot="1">
      <c r="A35" s="489"/>
      <c r="B35" s="278" t="e">
        <f>'כדאיות למשק'!I56</f>
        <v>#N/A</v>
      </c>
      <c r="C35" s="279">
        <v>0.7</v>
      </c>
      <c r="D35" s="279">
        <v>0.75</v>
      </c>
      <c r="E35" s="279">
        <v>0.8</v>
      </c>
      <c r="F35" s="279">
        <v>0.85</v>
      </c>
      <c r="G35" s="279">
        <v>0.9</v>
      </c>
      <c r="H35" s="279">
        <v>0.95</v>
      </c>
      <c r="I35" s="687">
        <v>1</v>
      </c>
      <c r="J35" s="279">
        <v>1.05</v>
      </c>
      <c r="K35" s="279">
        <v>1.1000000000000001</v>
      </c>
      <c r="L35" s="279">
        <v>1.1499999999999999</v>
      </c>
      <c r="M35" s="279">
        <v>1.2</v>
      </c>
      <c r="N35" s="279">
        <v>1.25</v>
      </c>
      <c r="O35" s="279">
        <v>1.3</v>
      </c>
      <c r="P35" s="277" t="s">
        <v>473</v>
      </c>
    </row>
    <row r="36" spans="1:16" ht="15">
      <c r="A36" s="490" t="e">
        <f t="shared" ref="A36:A41" si="6">$A$22*B36</f>
        <v>#DIV/0!</v>
      </c>
      <c r="B36" s="255">
        <v>0.7</v>
      </c>
      <c r="C36" s="243" t="e">
        <f t="dataTable" ref="C36:O48" dt2D="1" dtr="1" r1="C2" r2="C3" ca="1"/>
        <v>#N/A</v>
      </c>
      <c r="D36" s="243" t="e">
        <v>#N/A</v>
      </c>
      <c r="E36" s="243" t="e">
        <v>#N/A</v>
      </c>
      <c r="F36" s="243" t="e">
        <v>#N/A</v>
      </c>
      <c r="G36" s="243" t="e">
        <v>#N/A</v>
      </c>
      <c r="H36" s="243" t="e">
        <v>#N/A</v>
      </c>
      <c r="I36" s="243" t="e">
        <v>#N/A</v>
      </c>
      <c r="J36" s="243" t="e">
        <v>#N/A</v>
      </c>
      <c r="K36" s="243" t="e">
        <v>#N/A</v>
      </c>
      <c r="L36" s="243" t="e">
        <v>#N/A</v>
      </c>
      <c r="M36" s="243" t="e">
        <v>#N/A</v>
      </c>
      <c r="N36" s="212" t="e">
        <v>#N/A</v>
      </c>
      <c r="O36" s="212" t="e">
        <v>#N/A</v>
      </c>
    </row>
    <row r="37" spans="1:16" ht="15">
      <c r="A37" s="491" t="e">
        <f t="shared" si="6"/>
        <v>#DIV/0!</v>
      </c>
      <c r="B37" s="255">
        <v>0.75</v>
      </c>
      <c r="C37" s="243" t="e">
        <v>#N/A</v>
      </c>
      <c r="D37" s="243" t="e">
        <v>#N/A</v>
      </c>
      <c r="E37" s="243" t="e">
        <v>#N/A</v>
      </c>
      <c r="F37" s="243" t="e">
        <v>#N/A</v>
      </c>
      <c r="G37" s="243" t="e">
        <v>#N/A</v>
      </c>
      <c r="H37" s="243" t="e">
        <v>#N/A</v>
      </c>
      <c r="I37" s="243" t="e">
        <v>#N/A</v>
      </c>
      <c r="J37" s="243" t="e">
        <v>#N/A</v>
      </c>
      <c r="K37" s="243" t="e">
        <v>#N/A</v>
      </c>
      <c r="L37" s="243" t="e">
        <v>#N/A</v>
      </c>
      <c r="M37" s="243" t="e">
        <v>#N/A</v>
      </c>
      <c r="N37" s="212" t="e">
        <v>#N/A</v>
      </c>
      <c r="O37" s="212" t="e">
        <v>#N/A</v>
      </c>
    </row>
    <row r="38" spans="1:16" ht="15">
      <c r="A38" s="491" t="e">
        <f t="shared" si="6"/>
        <v>#DIV/0!</v>
      </c>
      <c r="B38" s="255">
        <v>0.8</v>
      </c>
      <c r="C38" s="243" t="e">
        <v>#N/A</v>
      </c>
      <c r="D38" s="243" t="e">
        <v>#N/A</v>
      </c>
      <c r="E38" s="243" t="e">
        <v>#N/A</v>
      </c>
      <c r="F38" s="243" t="e">
        <v>#N/A</v>
      </c>
      <c r="G38" s="243" t="e">
        <v>#N/A</v>
      </c>
      <c r="H38" s="243" t="e">
        <v>#N/A</v>
      </c>
      <c r="I38" s="243" t="e">
        <v>#N/A</v>
      </c>
      <c r="J38" s="243" t="e">
        <v>#N/A</v>
      </c>
      <c r="K38" s="243" t="e">
        <v>#N/A</v>
      </c>
      <c r="L38" s="243" t="e">
        <v>#N/A</v>
      </c>
      <c r="M38" s="243" t="e">
        <v>#N/A</v>
      </c>
      <c r="N38" s="212" t="e">
        <v>#N/A</v>
      </c>
      <c r="O38" s="212" t="e">
        <v>#N/A</v>
      </c>
    </row>
    <row r="39" spans="1:16" ht="15">
      <c r="A39" s="491" t="e">
        <f t="shared" si="6"/>
        <v>#DIV/0!</v>
      </c>
      <c r="B39" s="255">
        <v>0.85</v>
      </c>
      <c r="C39" s="243" t="e">
        <v>#N/A</v>
      </c>
      <c r="D39" s="243" t="e">
        <v>#N/A</v>
      </c>
      <c r="E39" s="243" t="e">
        <v>#N/A</v>
      </c>
      <c r="F39" s="243" t="e">
        <v>#N/A</v>
      </c>
      <c r="G39" s="243" t="e">
        <v>#N/A</v>
      </c>
      <c r="H39" s="243" t="e">
        <v>#N/A</v>
      </c>
      <c r="I39" s="243" t="e">
        <v>#N/A</v>
      </c>
      <c r="J39" s="243" t="e">
        <v>#N/A</v>
      </c>
      <c r="K39" s="243" t="e">
        <v>#N/A</v>
      </c>
      <c r="L39" s="243" t="e">
        <v>#N/A</v>
      </c>
      <c r="M39" s="243" t="e">
        <v>#N/A</v>
      </c>
      <c r="N39" s="212" t="e">
        <v>#N/A</v>
      </c>
      <c r="O39" s="212" t="e">
        <v>#N/A</v>
      </c>
    </row>
    <row r="40" spans="1:16" ht="15">
      <c r="A40" s="491" t="e">
        <f t="shared" si="6"/>
        <v>#DIV/0!</v>
      </c>
      <c r="B40" s="255">
        <v>0.9</v>
      </c>
      <c r="C40" s="243" t="e">
        <v>#N/A</v>
      </c>
      <c r="D40" s="243" t="e">
        <v>#N/A</v>
      </c>
      <c r="E40" s="243" t="e">
        <v>#N/A</v>
      </c>
      <c r="F40" s="243" t="e">
        <v>#N/A</v>
      </c>
      <c r="G40" s="243" t="e">
        <v>#N/A</v>
      </c>
      <c r="H40" s="243" t="e">
        <v>#N/A</v>
      </c>
      <c r="I40" s="243" t="e">
        <v>#N/A</v>
      </c>
      <c r="J40" s="243" t="e">
        <v>#N/A</v>
      </c>
      <c r="K40" s="243" t="e">
        <v>#N/A</v>
      </c>
      <c r="L40" s="243" t="e">
        <v>#N/A</v>
      </c>
      <c r="M40" s="243" t="e">
        <v>#N/A</v>
      </c>
      <c r="N40" s="212" t="e">
        <v>#N/A</v>
      </c>
      <c r="O40" s="212" t="e">
        <v>#N/A</v>
      </c>
    </row>
    <row r="41" spans="1:16" ht="15">
      <c r="A41" s="491" t="e">
        <f t="shared" si="6"/>
        <v>#DIV/0!</v>
      </c>
      <c r="B41" s="255">
        <v>0.95</v>
      </c>
      <c r="C41" s="243" t="e">
        <v>#N/A</v>
      </c>
      <c r="D41" s="243" t="e">
        <v>#N/A</v>
      </c>
      <c r="E41" s="243" t="e">
        <v>#N/A</v>
      </c>
      <c r="F41" s="243" t="e">
        <v>#N/A</v>
      </c>
      <c r="G41" s="243" t="e">
        <v>#N/A</v>
      </c>
      <c r="H41" s="243" t="e">
        <v>#N/A</v>
      </c>
      <c r="I41" s="243" t="e">
        <v>#N/A</v>
      </c>
      <c r="J41" s="243" t="e">
        <v>#N/A</v>
      </c>
      <c r="K41" s="243" t="e">
        <v>#N/A</v>
      </c>
      <c r="L41" s="243" t="e">
        <v>#N/A</v>
      </c>
      <c r="M41" s="243" t="e">
        <v>#N/A</v>
      </c>
      <c r="N41" s="212" t="e">
        <v>#N/A</v>
      </c>
      <c r="O41" s="212" t="e">
        <v>#N/A</v>
      </c>
    </row>
    <row r="42" spans="1:16" ht="15">
      <c r="A42" s="492" t="e">
        <f>'נ.בסיס לינה'!$F$11</f>
        <v>#DIV/0!</v>
      </c>
      <c r="B42" s="256">
        <v>1</v>
      </c>
      <c r="C42" s="243" t="e">
        <v>#N/A</v>
      </c>
      <c r="D42" s="243" t="e">
        <v>#N/A</v>
      </c>
      <c r="E42" s="243" t="e">
        <v>#N/A</v>
      </c>
      <c r="F42" s="243" t="e">
        <v>#N/A</v>
      </c>
      <c r="G42" s="243" t="e">
        <v>#N/A</v>
      </c>
      <c r="H42" s="243" t="e">
        <v>#N/A</v>
      </c>
      <c r="I42" s="242" t="e">
        <v>#N/A</v>
      </c>
      <c r="J42" s="243" t="e">
        <v>#N/A</v>
      </c>
      <c r="K42" s="243" t="e">
        <v>#N/A</v>
      </c>
      <c r="L42" s="243" t="e">
        <v>#N/A</v>
      </c>
      <c r="M42" s="243" t="e">
        <v>#N/A</v>
      </c>
      <c r="N42" s="212" t="e">
        <v>#N/A</v>
      </c>
      <c r="O42" s="212" t="e">
        <v>#N/A</v>
      </c>
    </row>
    <row r="43" spans="1:16" ht="15">
      <c r="A43" s="491" t="e">
        <f t="shared" ref="A43:A48" si="7">$A$22*B43</f>
        <v>#DIV/0!</v>
      </c>
      <c r="B43" s="255">
        <v>1.05</v>
      </c>
      <c r="C43" s="243" t="e">
        <v>#N/A</v>
      </c>
      <c r="D43" s="243" t="e">
        <v>#N/A</v>
      </c>
      <c r="E43" s="243" t="e">
        <v>#N/A</v>
      </c>
      <c r="F43" s="243" t="e">
        <v>#N/A</v>
      </c>
      <c r="G43" s="243" t="e">
        <v>#N/A</v>
      </c>
      <c r="H43" s="243" t="e">
        <v>#N/A</v>
      </c>
      <c r="I43" s="243" t="e">
        <v>#N/A</v>
      </c>
      <c r="J43" s="243" t="e">
        <v>#N/A</v>
      </c>
      <c r="K43" s="243" t="e">
        <v>#N/A</v>
      </c>
      <c r="L43" s="243" t="e">
        <v>#N/A</v>
      </c>
      <c r="M43" s="243" t="e">
        <v>#N/A</v>
      </c>
      <c r="N43" s="212" t="e">
        <v>#N/A</v>
      </c>
      <c r="O43" s="212" t="e">
        <v>#N/A</v>
      </c>
    </row>
    <row r="44" spans="1:16" ht="15">
      <c r="A44" s="491" t="e">
        <f t="shared" si="7"/>
        <v>#DIV/0!</v>
      </c>
      <c r="B44" s="255">
        <v>1.1000000000000001</v>
      </c>
      <c r="C44" s="243" t="e">
        <v>#N/A</v>
      </c>
      <c r="D44" s="243" t="e">
        <v>#N/A</v>
      </c>
      <c r="E44" s="243" t="e">
        <v>#N/A</v>
      </c>
      <c r="F44" s="243" t="e">
        <v>#N/A</v>
      </c>
      <c r="G44" s="243" t="e">
        <v>#N/A</v>
      </c>
      <c r="H44" s="243" t="e">
        <v>#N/A</v>
      </c>
      <c r="I44" s="243" t="e">
        <v>#N/A</v>
      </c>
      <c r="J44" s="243" t="e">
        <v>#N/A</v>
      </c>
      <c r="K44" s="243" t="e">
        <v>#N/A</v>
      </c>
      <c r="L44" s="243" t="e">
        <v>#N/A</v>
      </c>
      <c r="M44" s="243" t="e">
        <v>#N/A</v>
      </c>
      <c r="N44" s="212" t="e">
        <v>#N/A</v>
      </c>
      <c r="O44" s="212" t="e">
        <v>#N/A</v>
      </c>
    </row>
    <row r="45" spans="1:16" ht="15">
      <c r="A45" s="491" t="e">
        <f t="shared" si="7"/>
        <v>#DIV/0!</v>
      </c>
      <c r="B45" s="255">
        <v>1.1499999999999999</v>
      </c>
      <c r="C45" s="243" t="e">
        <v>#N/A</v>
      </c>
      <c r="D45" s="243" t="e">
        <v>#N/A</v>
      </c>
      <c r="E45" s="243" t="e">
        <v>#N/A</v>
      </c>
      <c r="F45" s="243" t="e">
        <v>#N/A</v>
      </c>
      <c r="G45" s="243" t="e">
        <v>#N/A</v>
      </c>
      <c r="H45" s="243" t="e">
        <v>#N/A</v>
      </c>
      <c r="I45" s="243" t="e">
        <v>#N/A</v>
      </c>
      <c r="J45" s="243" t="e">
        <v>#N/A</v>
      </c>
      <c r="K45" s="243" t="e">
        <v>#N/A</v>
      </c>
      <c r="L45" s="243" t="e">
        <v>#N/A</v>
      </c>
      <c r="M45" s="243" t="e">
        <v>#N/A</v>
      </c>
      <c r="N45" s="212" t="e">
        <v>#N/A</v>
      </c>
      <c r="O45" s="212" t="e">
        <v>#N/A</v>
      </c>
    </row>
    <row r="46" spans="1:16" ht="15">
      <c r="A46" s="491" t="e">
        <f t="shared" si="7"/>
        <v>#DIV/0!</v>
      </c>
      <c r="B46" s="255">
        <v>1.2</v>
      </c>
      <c r="C46" s="243" t="e">
        <v>#N/A</v>
      </c>
      <c r="D46" s="243" t="e">
        <v>#N/A</v>
      </c>
      <c r="E46" s="243" t="e">
        <v>#N/A</v>
      </c>
      <c r="F46" s="243" t="e">
        <v>#N/A</v>
      </c>
      <c r="G46" s="243" t="e">
        <v>#N/A</v>
      </c>
      <c r="H46" s="243" t="e">
        <v>#N/A</v>
      </c>
      <c r="I46" s="243" t="e">
        <v>#N/A</v>
      </c>
      <c r="J46" s="243" t="e">
        <v>#N/A</v>
      </c>
      <c r="K46" s="243" t="e">
        <v>#N/A</v>
      </c>
      <c r="L46" s="243" t="e">
        <v>#N/A</v>
      </c>
      <c r="M46" s="243" t="e">
        <v>#N/A</v>
      </c>
      <c r="N46" s="212" t="e">
        <v>#N/A</v>
      </c>
      <c r="O46" s="212" t="e">
        <v>#N/A</v>
      </c>
    </row>
    <row r="47" spans="1:16" ht="15">
      <c r="A47" s="491" t="e">
        <f t="shared" si="7"/>
        <v>#DIV/0!</v>
      </c>
      <c r="B47" s="255">
        <v>1.25</v>
      </c>
      <c r="C47" s="243" t="e">
        <v>#N/A</v>
      </c>
      <c r="D47" s="243" t="e">
        <v>#N/A</v>
      </c>
      <c r="E47" s="243" t="e">
        <v>#N/A</v>
      </c>
      <c r="F47" s="243" t="e">
        <v>#N/A</v>
      </c>
      <c r="G47" s="243" t="e">
        <v>#N/A</v>
      </c>
      <c r="H47" s="243" t="e">
        <v>#N/A</v>
      </c>
      <c r="I47" s="243" t="e">
        <v>#N/A</v>
      </c>
      <c r="J47" s="243" t="e">
        <v>#N/A</v>
      </c>
      <c r="K47" s="243" t="e">
        <v>#N/A</v>
      </c>
      <c r="L47" s="243" t="e">
        <v>#N/A</v>
      </c>
      <c r="M47" s="243" t="e">
        <v>#N/A</v>
      </c>
      <c r="N47" s="212" t="e">
        <v>#N/A</v>
      </c>
      <c r="O47" s="212" t="e">
        <v>#N/A</v>
      </c>
    </row>
    <row r="48" spans="1:16" ht="15.75" thickBot="1">
      <c r="A48" s="493" t="e">
        <f t="shared" si="7"/>
        <v>#DIV/0!</v>
      </c>
      <c r="B48" s="257">
        <v>1.3</v>
      </c>
      <c r="C48" s="243" t="e">
        <v>#N/A</v>
      </c>
      <c r="D48" s="243" t="e">
        <v>#N/A</v>
      </c>
      <c r="E48" s="243" t="e">
        <v>#N/A</v>
      </c>
      <c r="F48" s="243" t="e">
        <v>#N/A</v>
      </c>
      <c r="G48" s="243" t="e">
        <v>#N/A</v>
      </c>
      <c r="H48" s="243" t="e">
        <v>#N/A</v>
      </c>
      <c r="I48" s="243" t="e">
        <v>#N/A</v>
      </c>
      <c r="J48" s="243" t="e">
        <v>#N/A</v>
      </c>
      <c r="K48" s="243" t="e">
        <v>#N/A</v>
      </c>
      <c r="L48" s="243" t="e">
        <v>#N/A</v>
      </c>
      <c r="M48" s="243" t="e">
        <v>#N/A</v>
      </c>
      <c r="N48" s="212" t="e">
        <v>#N/A</v>
      </c>
      <c r="O48" s="212" t="e">
        <v>#N/A</v>
      </c>
    </row>
    <row r="52" spans="1:16" ht="18">
      <c r="A52" s="1036" t="s">
        <v>613</v>
      </c>
      <c r="B52" s="1036"/>
      <c r="C52" s="1036"/>
      <c r="D52" s="1036"/>
      <c r="E52" s="1036"/>
      <c r="F52" s="1036"/>
      <c r="G52" s="1036"/>
      <c r="H52" s="1036"/>
      <c r="I52" s="1036"/>
      <c r="J52" s="1036"/>
      <c r="K52" s="1036"/>
      <c r="L52" s="1036"/>
      <c r="M52" s="1036"/>
      <c r="N52" s="1036"/>
      <c r="O52" s="1036"/>
      <c r="P52" s="1036"/>
    </row>
    <row r="54" spans="1:16" ht="15">
      <c r="A54" s="494" t="s">
        <v>420</v>
      </c>
      <c r="B54" s="494" t="s">
        <v>473</v>
      </c>
      <c r="C54" s="274" t="e">
        <f t="shared" ref="C54:H54" si="8">$I$14*C55</f>
        <v>#N/A</v>
      </c>
      <c r="D54" s="274" t="e">
        <f t="shared" si="8"/>
        <v>#N/A</v>
      </c>
      <c r="E54" s="274" t="e">
        <f t="shared" si="8"/>
        <v>#N/A</v>
      </c>
      <c r="F54" s="274" t="e">
        <f t="shared" si="8"/>
        <v>#N/A</v>
      </c>
      <c r="G54" s="274" t="e">
        <f t="shared" si="8"/>
        <v>#N/A</v>
      </c>
      <c r="H54" s="274" t="e">
        <f t="shared" si="8"/>
        <v>#N/A</v>
      </c>
      <c r="I54" s="275" t="e">
        <f>'נ.בסיס לינה'!$Q$17</f>
        <v>#N/A</v>
      </c>
      <c r="J54" s="274" t="e">
        <f t="shared" ref="J54:O54" si="9">$I$14*J55</f>
        <v>#N/A</v>
      </c>
      <c r="K54" s="274" t="e">
        <f t="shared" si="9"/>
        <v>#N/A</v>
      </c>
      <c r="L54" s="274" t="e">
        <f t="shared" si="9"/>
        <v>#N/A</v>
      </c>
      <c r="M54" s="274" t="e">
        <f t="shared" si="9"/>
        <v>#N/A</v>
      </c>
      <c r="N54" s="274" t="e">
        <f t="shared" si="9"/>
        <v>#N/A</v>
      </c>
      <c r="O54" s="274" t="e">
        <f t="shared" si="9"/>
        <v>#N/A</v>
      </c>
      <c r="P54" s="276" t="s">
        <v>134</v>
      </c>
    </row>
    <row r="55" spans="1:16" s="280" customFormat="1" ht="15.75" thickBot="1">
      <c r="A55" s="489"/>
      <c r="B55" s="281" t="e">
        <f>'כדאיות למשק'!B25</f>
        <v>#VALUE!</v>
      </c>
      <c r="C55" s="279">
        <v>0.7</v>
      </c>
      <c r="D55" s="279">
        <v>0.75</v>
      </c>
      <c r="E55" s="279">
        <v>0.8</v>
      </c>
      <c r="F55" s="279">
        <v>0.85</v>
      </c>
      <c r="G55" s="279">
        <v>0.9</v>
      </c>
      <c r="H55" s="279">
        <v>0.95</v>
      </c>
      <c r="I55" s="687">
        <v>1</v>
      </c>
      <c r="J55" s="279">
        <v>1.05</v>
      </c>
      <c r="K55" s="279">
        <v>1.1000000000000001</v>
      </c>
      <c r="L55" s="279">
        <v>1.1499999999999999</v>
      </c>
      <c r="M55" s="279">
        <v>1.2</v>
      </c>
      <c r="N55" s="279">
        <v>1.25</v>
      </c>
      <c r="O55" s="279">
        <v>1.3</v>
      </c>
      <c r="P55" s="277" t="s">
        <v>473</v>
      </c>
    </row>
    <row r="56" spans="1:16" ht="15">
      <c r="A56" s="490" t="e">
        <f t="shared" ref="A56:A61" si="10">$A$22*B56</f>
        <v>#DIV/0!</v>
      </c>
      <c r="B56" s="255">
        <v>0.7</v>
      </c>
      <c r="C56" s="244" t="e">
        <f t="dataTable" ref="C56:O68" dt2D="1" dtr="1" r1="C2" r2="C3" ca="1"/>
        <v>#VALUE!</v>
      </c>
      <c r="D56" s="244" t="e">
        <v>#VALUE!</v>
      </c>
      <c r="E56" s="244" t="e">
        <v>#VALUE!</v>
      </c>
      <c r="F56" s="244" t="e">
        <v>#VALUE!</v>
      </c>
      <c r="G56" s="244" t="e">
        <v>#VALUE!</v>
      </c>
      <c r="H56" s="244" t="e">
        <v>#VALUE!</v>
      </c>
      <c r="I56" s="244" t="e">
        <v>#VALUE!</v>
      </c>
      <c r="J56" s="244" t="e">
        <v>#VALUE!</v>
      </c>
      <c r="K56" s="244" t="e">
        <v>#VALUE!</v>
      </c>
      <c r="L56" s="244" t="e">
        <v>#VALUE!</v>
      </c>
      <c r="M56" s="244" t="e">
        <v>#VALUE!</v>
      </c>
      <c r="N56" s="213" t="e">
        <v>#VALUE!</v>
      </c>
      <c r="O56" s="213" t="e">
        <v>#VALUE!</v>
      </c>
    </row>
    <row r="57" spans="1:16" ht="15">
      <c r="A57" s="491" t="e">
        <f t="shared" si="10"/>
        <v>#DIV/0!</v>
      </c>
      <c r="B57" s="255">
        <v>0.75</v>
      </c>
      <c r="C57" s="244" t="e">
        <v>#VALUE!</v>
      </c>
      <c r="D57" s="244" t="e">
        <v>#VALUE!</v>
      </c>
      <c r="E57" s="244" t="e">
        <v>#VALUE!</v>
      </c>
      <c r="F57" s="244" t="e">
        <v>#VALUE!</v>
      </c>
      <c r="G57" s="244" t="e">
        <v>#VALUE!</v>
      </c>
      <c r="H57" s="244" t="e">
        <v>#VALUE!</v>
      </c>
      <c r="I57" s="244" t="e">
        <v>#VALUE!</v>
      </c>
      <c r="J57" s="244" t="e">
        <v>#VALUE!</v>
      </c>
      <c r="K57" s="244" t="e">
        <v>#VALUE!</v>
      </c>
      <c r="L57" s="244" t="e">
        <v>#VALUE!</v>
      </c>
      <c r="M57" s="244" t="e">
        <v>#VALUE!</v>
      </c>
      <c r="N57" s="213" t="e">
        <v>#VALUE!</v>
      </c>
      <c r="O57" s="213" t="e">
        <v>#VALUE!</v>
      </c>
    </row>
    <row r="58" spans="1:16" ht="15">
      <c r="A58" s="491" t="e">
        <f t="shared" si="10"/>
        <v>#DIV/0!</v>
      </c>
      <c r="B58" s="255">
        <v>0.8</v>
      </c>
      <c r="C58" s="244" t="e">
        <v>#VALUE!</v>
      </c>
      <c r="D58" s="244" t="e">
        <v>#VALUE!</v>
      </c>
      <c r="E58" s="244" t="e">
        <v>#VALUE!</v>
      </c>
      <c r="F58" s="244" t="e">
        <v>#VALUE!</v>
      </c>
      <c r="G58" s="244" t="e">
        <v>#VALUE!</v>
      </c>
      <c r="H58" s="244" t="e">
        <v>#VALUE!</v>
      </c>
      <c r="I58" s="244" t="e">
        <v>#VALUE!</v>
      </c>
      <c r="J58" s="244" t="e">
        <v>#VALUE!</v>
      </c>
      <c r="K58" s="244" t="e">
        <v>#VALUE!</v>
      </c>
      <c r="L58" s="244" t="e">
        <v>#VALUE!</v>
      </c>
      <c r="M58" s="244" t="e">
        <v>#VALUE!</v>
      </c>
      <c r="N58" s="213" t="e">
        <v>#VALUE!</v>
      </c>
      <c r="O58" s="213" t="e">
        <v>#VALUE!</v>
      </c>
    </row>
    <row r="59" spans="1:16" ht="15">
      <c r="A59" s="491" t="e">
        <f t="shared" si="10"/>
        <v>#DIV/0!</v>
      </c>
      <c r="B59" s="255">
        <v>0.85</v>
      </c>
      <c r="C59" s="244" t="e">
        <v>#VALUE!</v>
      </c>
      <c r="D59" s="244" t="e">
        <v>#VALUE!</v>
      </c>
      <c r="E59" s="244" t="e">
        <v>#VALUE!</v>
      </c>
      <c r="F59" s="244" t="e">
        <v>#VALUE!</v>
      </c>
      <c r="G59" s="244" t="e">
        <v>#VALUE!</v>
      </c>
      <c r="H59" s="244" t="e">
        <v>#VALUE!</v>
      </c>
      <c r="I59" s="244" t="e">
        <v>#VALUE!</v>
      </c>
      <c r="J59" s="244" t="e">
        <v>#VALUE!</v>
      </c>
      <c r="K59" s="244" t="e">
        <v>#VALUE!</v>
      </c>
      <c r="L59" s="244" t="e">
        <v>#VALUE!</v>
      </c>
      <c r="M59" s="244" t="e">
        <v>#VALUE!</v>
      </c>
      <c r="N59" s="213" t="e">
        <v>#VALUE!</v>
      </c>
      <c r="O59" s="213" t="e">
        <v>#VALUE!</v>
      </c>
    </row>
    <row r="60" spans="1:16" ht="15">
      <c r="A60" s="491" t="e">
        <f t="shared" si="10"/>
        <v>#DIV/0!</v>
      </c>
      <c r="B60" s="255">
        <v>0.9</v>
      </c>
      <c r="C60" s="244" t="e">
        <v>#VALUE!</v>
      </c>
      <c r="D60" s="244" t="e">
        <v>#VALUE!</v>
      </c>
      <c r="E60" s="244" t="e">
        <v>#VALUE!</v>
      </c>
      <c r="F60" s="244" t="e">
        <v>#VALUE!</v>
      </c>
      <c r="G60" s="244" t="e">
        <v>#VALUE!</v>
      </c>
      <c r="H60" s="244" t="e">
        <v>#VALUE!</v>
      </c>
      <c r="I60" s="244" t="e">
        <v>#VALUE!</v>
      </c>
      <c r="J60" s="244" t="e">
        <v>#VALUE!</v>
      </c>
      <c r="K60" s="244" t="e">
        <v>#VALUE!</v>
      </c>
      <c r="L60" s="244" t="e">
        <v>#VALUE!</v>
      </c>
      <c r="M60" s="244" t="e">
        <v>#VALUE!</v>
      </c>
      <c r="N60" s="213" t="e">
        <v>#VALUE!</v>
      </c>
      <c r="O60" s="213" t="e">
        <v>#VALUE!</v>
      </c>
    </row>
    <row r="61" spans="1:16" ht="15">
      <c r="A61" s="491" t="e">
        <f t="shared" si="10"/>
        <v>#DIV/0!</v>
      </c>
      <c r="B61" s="255">
        <v>0.95</v>
      </c>
      <c r="C61" s="244" t="e">
        <v>#VALUE!</v>
      </c>
      <c r="D61" s="244" t="e">
        <v>#VALUE!</v>
      </c>
      <c r="E61" s="244" t="e">
        <v>#VALUE!</v>
      </c>
      <c r="F61" s="244" t="e">
        <v>#VALUE!</v>
      </c>
      <c r="G61" s="244" t="e">
        <v>#VALUE!</v>
      </c>
      <c r="H61" s="244" t="e">
        <v>#VALUE!</v>
      </c>
      <c r="I61" s="244" t="e">
        <v>#VALUE!</v>
      </c>
      <c r="J61" s="244" t="e">
        <v>#VALUE!</v>
      </c>
      <c r="K61" s="244" t="e">
        <v>#VALUE!</v>
      </c>
      <c r="L61" s="244" t="e">
        <v>#VALUE!</v>
      </c>
      <c r="M61" s="244" t="e">
        <v>#VALUE!</v>
      </c>
      <c r="N61" s="213" t="e">
        <v>#VALUE!</v>
      </c>
      <c r="O61" s="213" t="e">
        <v>#VALUE!</v>
      </c>
    </row>
    <row r="62" spans="1:16" ht="15">
      <c r="A62" s="492" t="e">
        <f>'נ.בסיס לינה'!$F$11</f>
        <v>#DIV/0!</v>
      </c>
      <c r="B62" s="256">
        <v>1</v>
      </c>
      <c r="C62" s="244" t="e">
        <v>#VALUE!</v>
      </c>
      <c r="D62" s="244" t="e">
        <v>#VALUE!</v>
      </c>
      <c r="E62" s="244" t="e">
        <v>#VALUE!</v>
      </c>
      <c r="F62" s="244" t="e">
        <v>#VALUE!</v>
      </c>
      <c r="G62" s="244" t="e">
        <v>#VALUE!</v>
      </c>
      <c r="H62" s="244" t="e">
        <v>#VALUE!</v>
      </c>
      <c r="I62" s="245" t="e">
        <v>#VALUE!</v>
      </c>
      <c r="J62" s="244" t="e">
        <v>#VALUE!</v>
      </c>
      <c r="K62" s="244" t="e">
        <v>#VALUE!</v>
      </c>
      <c r="L62" s="244" t="e">
        <v>#VALUE!</v>
      </c>
      <c r="M62" s="244" t="e">
        <v>#VALUE!</v>
      </c>
      <c r="N62" s="213" t="e">
        <v>#VALUE!</v>
      </c>
      <c r="O62" s="213" t="e">
        <v>#VALUE!</v>
      </c>
    </row>
    <row r="63" spans="1:16" ht="15">
      <c r="A63" s="491" t="e">
        <f t="shared" ref="A63:A68" si="11">$A$22*B63</f>
        <v>#DIV/0!</v>
      </c>
      <c r="B63" s="255">
        <v>1.05</v>
      </c>
      <c r="C63" s="244" t="e">
        <v>#VALUE!</v>
      </c>
      <c r="D63" s="244" t="e">
        <v>#VALUE!</v>
      </c>
      <c r="E63" s="244" t="e">
        <v>#VALUE!</v>
      </c>
      <c r="F63" s="244" t="e">
        <v>#VALUE!</v>
      </c>
      <c r="G63" s="244" t="e">
        <v>#VALUE!</v>
      </c>
      <c r="H63" s="244" t="e">
        <v>#VALUE!</v>
      </c>
      <c r="I63" s="244" t="e">
        <v>#VALUE!</v>
      </c>
      <c r="J63" s="244" t="e">
        <v>#VALUE!</v>
      </c>
      <c r="K63" s="244" t="e">
        <v>#VALUE!</v>
      </c>
      <c r="L63" s="244" t="e">
        <v>#VALUE!</v>
      </c>
      <c r="M63" s="244" t="e">
        <v>#VALUE!</v>
      </c>
      <c r="N63" s="213" t="e">
        <v>#VALUE!</v>
      </c>
      <c r="O63" s="213" t="e">
        <v>#VALUE!</v>
      </c>
    </row>
    <row r="64" spans="1:16" ht="15">
      <c r="A64" s="491" t="e">
        <f t="shared" si="11"/>
        <v>#DIV/0!</v>
      </c>
      <c r="B64" s="255">
        <v>1.1000000000000001</v>
      </c>
      <c r="C64" s="244" t="e">
        <v>#VALUE!</v>
      </c>
      <c r="D64" s="244" t="e">
        <v>#VALUE!</v>
      </c>
      <c r="E64" s="244" t="e">
        <v>#VALUE!</v>
      </c>
      <c r="F64" s="244" t="e">
        <v>#VALUE!</v>
      </c>
      <c r="G64" s="244" t="e">
        <v>#VALUE!</v>
      </c>
      <c r="H64" s="244" t="e">
        <v>#VALUE!</v>
      </c>
      <c r="I64" s="244" t="e">
        <v>#VALUE!</v>
      </c>
      <c r="J64" s="244" t="e">
        <v>#VALUE!</v>
      </c>
      <c r="K64" s="244" t="e">
        <v>#VALUE!</v>
      </c>
      <c r="L64" s="244" t="e">
        <v>#VALUE!</v>
      </c>
      <c r="M64" s="244" t="e">
        <v>#VALUE!</v>
      </c>
      <c r="N64" s="213" t="e">
        <v>#VALUE!</v>
      </c>
      <c r="O64" s="213" t="e">
        <v>#VALUE!</v>
      </c>
    </row>
    <row r="65" spans="1:16" ht="15">
      <c r="A65" s="491" t="e">
        <f t="shared" si="11"/>
        <v>#DIV/0!</v>
      </c>
      <c r="B65" s="255">
        <v>1.1499999999999999</v>
      </c>
      <c r="C65" s="244" t="e">
        <v>#VALUE!</v>
      </c>
      <c r="D65" s="244" t="e">
        <v>#VALUE!</v>
      </c>
      <c r="E65" s="244" t="e">
        <v>#VALUE!</v>
      </c>
      <c r="F65" s="244" t="e">
        <v>#VALUE!</v>
      </c>
      <c r="G65" s="244" t="e">
        <v>#VALUE!</v>
      </c>
      <c r="H65" s="244" t="e">
        <v>#VALUE!</v>
      </c>
      <c r="I65" s="244" t="e">
        <v>#VALUE!</v>
      </c>
      <c r="J65" s="244" t="e">
        <v>#VALUE!</v>
      </c>
      <c r="K65" s="244" t="e">
        <v>#VALUE!</v>
      </c>
      <c r="L65" s="244" t="e">
        <v>#VALUE!</v>
      </c>
      <c r="M65" s="244" t="e">
        <v>#VALUE!</v>
      </c>
      <c r="N65" s="213" t="e">
        <v>#VALUE!</v>
      </c>
      <c r="O65" s="213" t="e">
        <v>#VALUE!</v>
      </c>
    </row>
    <row r="66" spans="1:16" ht="15">
      <c r="A66" s="491" t="e">
        <f t="shared" si="11"/>
        <v>#DIV/0!</v>
      </c>
      <c r="B66" s="255">
        <v>1.2</v>
      </c>
      <c r="C66" s="244" t="e">
        <v>#VALUE!</v>
      </c>
      <c r="D66" s="244" t="e">
        <v>#VALUE!</v>
      </c>
      <c r="E66" s="244" t="e">
        <v>#VALUE!</v>
      </c>
      <c r="F66" s="244" t="e">
        <v>#VALUE!</v>
      </c>
      <c r="G66" s="244" t="e">
        <v>#VALUE!</v>
      </c>
      <c r="H66" s="244" t="e">
        <v>#VALUE!</v>
      </c>
      <c r="I66" s="244" t="e">
        <v>#VALUE!</v>
      </c>
      <c r="J66" s="244" t="e">
        <v>#VALUE!</v>
      </c>
      <c r="K66" s="244" t="e">
        <v>#VALUE!</v>
      </c>
      <c r="L66" s="244" t="e">
        <v>#VALUE!</v>
      </c>
      <c r="M66" s="244" t="e">
        <v>#VALUE!</v>
      </c>
      <c r="N66" s="213" t="e">
        <v>#VALUE!</v>
      </c>
      <c r="O66" s="213" t="e">
        <v>#VALUE!</v>
      </c>
    </row>
    <row r="67" spans="1:16" ht="15">
      <c r="A67" s="491" t="e">
        <f t="shared" si="11"/>
        <v>#DIV/0!</v>
      </c>
      <c r="B67" s="255">
        <v>1.25</v>
      </c>
      <c r="C67" s="244" t="e">
        <v>#VALUE!</v>
      </c>
      <c r="D67" s="244" t="e">
        <v>#VALUE!</v>
      </c>
      <c r="E67" s="244" t="e">
        <v>#VALUE!</v>
      </c>
      <c r="F67" s="244" t="e">
        <v>#VALUE!</v>
      </c>
      <c r="G67" s="244" t="e">
        <v>#VALUE!</v>
      </c>
      <c r="H67" s="244" t="e">
        <v>#VALUE!</v>
      </c>
      <c r="I67" s="244" t="e">
        <v>#VALUE!</v>
      </c>
      <c r="J67" s="244" t="e">
        <v>#VALUE!</v>
      </c>
      <c r="K67" s="244" t="e">
        <v>#VALUE!</v>
      </c>
      <c r="L67" s="244" t="e">
        <v>#VALUE!</v>
      </c>
      <c r="M67" s="244" t="e">
        <v>#VALUE!</v>
      </c>
      <c r="N67" s="213" t="e">
        <v>#VALUE!</v>
      </c>
      <c r="O67" s="213" t="e">
        <v>#VALUE!</v>
      </c>
    </row>
    <row r="68" spans="1:16" ht="15.75" thickBot="1">
      <c r="A68" s="493" t="e">
        <f t="shared" si="11"/>
        <v>#DIV/0!</v>
      </c>
      <c r="B68" s="257">
        <v>1.3</v>
      </c>
      <c r="C68" s="244" t="e">
        <v>#VALUE!</v>
      </c>
      <c r="D68" s="244" t="e">
        <v>#VALUE!</v>
      </c>
      <c r="E68" s="244" t="e">
        <v>#VALUE!</v>
      </c>
      <c r="F68" s="244" t="e">
        <v>#VALUE!</v>
      </c>
      <c r="G68" s="244" t="e">
        <v>#VALUE!</v>
      </c>
      <c r="H68" s="244" t="e">
        <v>#VALUE!</v>
      </c>
      <c r="I68" s="244" t="e">
        <v>#VALUE!</v>
      </c>
      <c r="J68" s="244" t="e">
        <v>#VALUE!</v>
      </c>
      <c r="K68" s="244" t="e">
        <v>#VALUE!</v>
      </c>
      <c r="L68" s="244" t="e">
        <v>#VALUE!</v>
      </c>
      <c r="M68" s="244" t="e">
        <v>#VALUE!</v>
      </c>
      <c r="N68" s="213" t="e">
        <v>#VALUE!</v>
      </c>
      <c r="O68" s="213" t="e">
        <v>#VALUE!</v>
      </c>
    </row>
    <row r="72" spans="1:16" ht="18">
      <c r="A72" s="1036" t="s">
        <v>614</v>
      </c>
      <c r="B72" s="1036"/>
      <c r="C72" s="1036"/>
      <c r="D72" s="1036"/>
      <c r="E72" s="1036"/>
      <c r="F72" s="1036"/>
      <c r="G72" s="1036"/>
      <c r="H72" s="1036"/>
      <c r="I72" s="1036"/>
      <c r="J72" s="1036"/>
      <c r="K72" s="1036"/>
      <c r="L72" s="1036"/>
      <c r="M72" s="1036"/>
      <c r="N72" s="1036"/>
      <c r="O72" s="1036"/>
      <c r="P72" s="1036"/>
    </row>
    <row r="74" spans="1:16" ht="15">
      <c r="A74" s="494" t="s">
        <v>420</v>
      </c>
      <c r="B74" s="494" t="s">
        <v>473</v>
      </c>
      <c r="C74" s="274" t="e">
        <f t="shared" ref="C74:H74" si="12">$I$14*C75</f>
        <v>#N/A</v>
      </c>
      <c r="D74" s="274" t="e">
        <f t="shared" si="12"/>
        <v>#N/A</v>
      </c>
      <c r="E74" s="274" t="e">
        <f t="shared" si="12"/>
        <v>#N/A</v>
      </c>
      <c r="F74" s="274" t="e">
        <f t="shared" si="12"/>
        <v>#N/A</v>
      </c>
      <c r="G74" s="274" t="e">
        <f t="shared" si="12"/>
        <v>#N/A</v>
      </c>
      <c r="H74" s="274" t="e">
        <f t="shared" si="12"/>
        <v>#N/A</v>
      </c>
      <c r="I74" s="275" t="e">
        <f>'נ.בסיס לינה'!$Q$17</f>
        <v>#N/A</v>
      </c>
      <c r="J74" s="274" t="e">
        <f t="shared" ref="J74:O74" si="13">$I$14*J75</f>
        <v>#N/A</v>
      </c>
      <c r="K74" s="274" t="e">
        <f t="shared" si="13"/>
        <v>#N/A</v>
      </c>
      <c r="L74" s="274" t="e">
        <f t="shared" si="13"/>
        <v>#N/A</v>
      </c>
      <c r="M74" s="274" t="e">
        <f t="shared" si="13"/>
        <v>#N/A</v>
      </c>
      <c r="N74" s="274" t="e">
        <f t="shared" si="13"/>
        <v>#N/A</v>
      </c>
      <c r="O74" s="274" t="e">
        <f t="shared" si="13"/>
        <v>#N/A</v>
      </c>
      <c r="P74" s="276" t="s">
        <v>134</v>
      </c>
    </row>
    <row r="75" spans="1:16" s="280" customFormat="1" ht="15.75" thickBot="1">
      <c r="A75" s="489"/>
      <c r="B75" s="278">
        <f>'כדאיות למשק'!B26</f>
        <v>-2</v>
      </c>
      <c r="C75" s="279">
        <v>0.7</v>
      </c>
      <c r="D75" s="279">
        <v>0.75</v>
      </c>
      <c r="E75" s="279">
        <v>0.8</v>
      </c>
      <c r="F75" s="279">
        <v>0.85</v>
      </c>
      <c r="G75" s="279">
        <v>0.9</v>
      </c>
      <c r="H75" s="279">
        <v>0.95</v>
      </c>
      <c r="I75" s="687">
        <v>1</v>
      </c>
      <c r="J75" s="279">
        <v>1.05</v>
      </c>
      <c r="K75" s="279">
        <v>1.1000000000000001</v>
      </c>
      <c r="L75" s="279">
        <v>1.1499999999999999</v>
      </c>
      <c r="M75" s="279">
        <v>1.2</v>
      </c>
      <c r="N75" s="279">
        <v>1.25</v>
      </c>
      <c r="O75" s="279">
        <v>1.3</v>
      </c>
      <c r="P75" s="277" t="s">
        <v>473</v>
      </c>
    </row>
    <row r="76" spans="1:16" ht="15">
      <c r="A76" s="490" t="e">
        <f t="shared" ref="A76:A81" si="14">$A$22*B76</f>
        <v>#DIV/0!</v>
      </c>
      <c r="B76" s="255">
        <v>0.7</v>
      </c>
      <c r="C76" s="243">
        <f t="dataTable" ref="C76:O88" dt2D="1" dtr="1" r1="C2" r2="C3" ca="1"/>
        <v>-2</v>
      </c>
      <c r="D76" s="243">
        <v>-2</v>
      </c>
      <c r="E76" s="243">
        <v>-2</v>
      </c>
      <c r="F76" s="243">
        <v>-2</v>
      </c>
      <c r="G76" s="243">
        <v>-2</v>
      </c>
      <c r="H76" s="243">
        <v>-2</v>
      </c>
      <c r="I76" s="243">
        <v>-2</v>
      </c>
      <c r="J76" s="243">
        <v>-2</v>
      </c>
      <c r="K76" s="243">
        <v>-2</v>
      </c>
      <c r="L76" s="243">
        <v>-2</v>
      </c>
      <c r="M76" s="243">
        <v>-2</v>
      </c>
      <c r="N76" s="212">
        <v>-2</v>
      </c>
      <c r="O76" s="212">
        <v>-2</v>
      </c>
    </row>
    <row r="77" spans="1:16" ht="15">
      <c r="A77" s="491" t="e">
        <f t="shared" si="14"/>
        <v>#DIV/0!</v>
      </c>
      <c r="B77" s="255">
        <v>0.75</v>
      </c>
      <c r="C77" s="243">
        <v>-2</v>
      </c>
      <c r="D77" s="243">
        <v>-2</v>
      </c>
      <c r="E77" s="243">
        <v>-2</v>
      </c>
      <c r="F77" s="243">
        <v>-2</v>
      </c>
      <c r="G77" s="243">
        <v>-2</v>
      </c>
      <c r="H77" s="243">
        <v>-2</v>
      </c>
      <c r="I77" s="243">
        <v>-2</v>
      </c>
      <c r="J77" s="243">
        <v>-2</v>
      </c>
      <c r="K77" s="243">
        <v>-2</v>
      </c>
      <c r="L77" s="243">
        <v>-2</v>
      </c>
      <c r="M77" s="243">
        <v>-2</v>
      </c>
      <c r="N77" s="212">
        <v>-2</v>
      </c>
      <c r="O77" s="212">
        <v>-2</v>
      </c>
    </row>
    <row r="78" spans="1:16" ht="15">
      <c r="A78" s="491" t="e">
        <f t="shared" si="14"/>
        <v>#DIV/0!</v>
      </c>
      <c r="B78" s="255">
        <v>0.8</v>
      </c>
      <c r="C78" s="243">
        <v>-2</v>
      </c>
      <c r="D78" s="243">
        <v>-2</v>
      </c>
      <c r="E78" s="243">
        <v>-2</v>
      </c>
      <c r="F78" s="243">
        <v>-2</v>
      </c>
      <c r="G78" s="243">
        <v>-2</v>
      </c>
      <c r="H78" s="243">
        <v>-2</v>
      </c>
      <c r="I78" s="243">
        <v>-2</v>
      </c>
      <c r="J78" s="243">
        <v>-2</v>
      </c>
      <c r="K78" s="243">
        <v>-2</v>
      </c>
      <c r="L78" s="243">
        <v>-2</v>
      </c>
      <c r="M78" s="243">
        <v>-2</v>
      </c>
      <c r="N78" s="212">
        <v>-2</v>
      </c>
      <c r="O78" s="212">
        <v>-2</v>
      </c>
    </row>
    <row r="79" spans="1:16" ht="15">
      <c r="A79" s="491" t="e">
        <f t="shared" si="14"/>
        <v>#DIV/0!</v>
      </c>
      <c r="B79" s="255">
        <v>0.85</v>
      </c>
      <c r="C79" s="243">
        <v>-2</v>
      </c>
      <c r="D79" s="243">
        <v>-2</v>
      </c>
      <c r="E79" s="243">
        <v>-2</v>
      </c>
      <c r="F79" s="243">
        <v>-2</v>
      </c>
      <c r="G79" s="243">
        <v>-2</v>
      </c>
      <c r="H79" s="243">
        <v>-2</v>
      </c>
      <c r="I79" s="243">
        <v>-2</v>
      </c>
      <c r="J79" s="243">
        <v>-2</v>
      </c>
      <c r="K79" s="243">
        <v>-2</v>
      </c>
      <c r="L79" s="243">
        <v>-2</v>
      </c>
      <c r="M79" s="243">
        <v>-2</v>
      </c>
      <c r="N79" s="212">
        <v>-2</v>
      </c>
      <c r="O79" s="212">
        <v>-2</v>
      </c>
    </row>
    <row r="80" spans="1:16" ht="15">
      <c r="A80" s="491" t="e">
        <f t="shared" si="14"/>
        <v>#DIV/0!</v>
      </c>
      <c r="B80" s="255">
        <v>0.9</v>
      </c>
      <c r="C80" s="243">
        <v>-2</v>
      </c>
      <c r="D80" s="243">
        <v>-2</v>
      </c>
      <c r="E80" s="243">
        <v>-2</v>
      </c>
      <c r="F80" s="243">
        <v>-2</v>
      </c>
      <c r="G80" s="243">
        <v>-2</v>
      </c>
      <c r="H80" s="243">
        <v>-2</v>
      </c>
      <c r="I80" s="243">
        <v>-2</v>
      </c>
      <c r="J80" s="243">
        <v>-2</v>
      </c>
      <c r="K80" s="243">
        <v>-2</v>
      </c>
      <c r="L80" s="243">
        <v>-2</v>
      </c>
      <c r="M80" s="243">
        <v>-2</v>
      </c>
      <c r="N80" s="212">
        <v>-2</v>
      </c>
      <c r="O80" s="212">
        <v>-2</v>
      </c>
    </row>
    <row r="81" spans="1:15" ht="15">
      <c r="A81" s="491" t="e">
        <f t="shared" si="14"/>
        <v>#DIV/0!</v>
      </c>
      <c r="B81" s="255">
        <v>0.95</v>
      </c>
      <c r="C81" s="243">
        <v>-2</v>
      </c>
      <c r="D81" s="243">
        <v>-2</v>
      </c>
      <c r="E81" s="243">
        <v>-2</v>
      </c>
      <c r="F81" s="243">
        <v>-2</v>
      </c>
      <c r="G81" s="243">
        <v>-2</v>
      </c>
      <c r="H81" s="243">
        <v>-2</v>
      </c>
      <c r="I81" s="243">
        <v>-2</v>
      </c>
      <c r="J81" s="243">
        <v>-2</v>
      </c>
      <c r="K81" s="243">
        <v>-2</v>
      </c>
      <c r="L81" s="243">
        <v>-2</v>
      </c>
      <c r="M81" s="243">
        <v>-2</v>
      </c>
      <c r="N81" s="212">
        <v>-2</v>
      </c>
      <c r="O81" s="212">
        <v>-2</v>
      </c>
    </row>
    <row r="82" spans="1:15" ht="15">
      <c r="A82" s="492" t="e">
        <f>'נ.בסיס לינה'!$F$11</f>
        <v>#DIV/0!</v>
      </c>
      <c r="B82" s="256">
        <v>1</v>
      </c>
      <c r="C82" s="243">
        <v>-2</v>
      </c>
      <c r="D82" s="243">
        <v>-2</v>
      </c>
      <c r="E82" s="243">
        <v>-2</v>
      </c>
      <c r="F82" s="243">
        <v>-2</v>
      </c>
      <c r="G82" s="243">
        <v>-2</v>
      </c>
      <c r="H82" s="243">
        <v>-2</v>
      </c>
      <c r="I82" s="242">
        <v>-2</v>
      </c>
      <c r="J82" s="243">
        <v>-2</v>
      </c>
      <c r="K82" s="243">
        <v>-2</v>
      </c>
      <c r="L82" s="243">
        <v>-2</v>
      </c>
      <c r="M82" s="243">
        <v>-2</v>
      </c>
      <c r="N82" s="212">
        <v>-2</v>
      </c>
      <c r="O82" s="212">
        <v>-2</v>
      </c>
    </row>
    <row r="83" spans="1:15" ht="15">
      <c r="A83" s="491" t="e">
        <f t="shared" ref="A83:A88" si="15">$A$22*B83</f>
        <v>#DIV/0!</v>
      </c>
      <c r="B83" s="255">
        <v>1.05</v>
      </c>
      <c r="C83" s="243">
        <v>-2</v>
      </c>
      <c r="D83" s="243">
        <v>-2</v>
      </c>
      <c r="E83" s="243">
        <v>-2</v>
      </c>
      <c r="F83" s="243">
        <v>-2</v>
      </c>
      <c r="G83" s="243">
        <v>-2</v>
      </c>
      <c r="H83" s="243">
        <v>-2</v>
      </c>
      <c r="I83" s="243">
        <v>-2</v>
      </c>
      <c r="J83" s="243">
        <v>-2</v>
      </c>
      <c r="K83" s="243">
        <v>-2</v>
      </c>
      <c r="L83" s="243">
        <v>-2</v>
      </c>
      <c r="M83" s="243">
        <v>-2</v>
      </c>
      <c r="N83" s="212">
        <v>-2</v>
      </c>
      <c r="O83" s="212">
        <v>-2</v>
      </c>
    </row>
    <row r="84" spans="1:15" ht="15">
      <c r="A84" s="491" t="e">
        <f t="shared" si="15"/>
        <v>#DIV/0!</v>
      </c>
      <c r="B84" s="255">
        <v>1.1000000000000001</v>
      </c>
      <c r="C84" s="243">
        <v>-2</v>
      </c>
      <c r="D84" s="243">
        <v>-2</v>
      </c>
      <c r="E84" s="243">
        <v>-2</v>
      </c>
      <c r="F84" s="243">
        <v>-2</v>
      </c>
      <c r="G84" s="243">
        <v>-2</v>
      </c>
      <c r="H84" s="243">
        <v>-2</v>
      </c>
      <c r="I84" s="243">
        <v>-2</v>
      </c>
      <c r="J84" s="243">
        <v>-2</v>
      </c>
      <c r="K84" s="243">
        <v>-2</v>
      </c>
      <c r="L84" s="243">
        <v>-2</v>
      </c>
      <c r="M84" s="243">
        <v>-2</v>
      </c>
      <c r="N84" s="212">
        <v>-2</v>
      </c>
      <c r="O84" s="212">
        <v>-2</v>
      </c>
    </row>
    <row r="85" spans="1:15" ht="15">
      <c r="A85" s="491" t="e">
        <f t="shared" si="15"/>
        <v>#DIV/0!</v>
      </c>
      <c r="B85" s="255">
        <v>1.1499999999999999</v>
      </c>
      <c r="C85" s="243">
        <v>-2</v>
      </c>
      <c r="D85" s="243">
        <v>-2</v>
      </c>
      <c r="E85" s="243">
        <v>-2</v>
      </c>
      <c r="F85" s="243">
        <v>-2</v>
      </c>
      <c r="G85" s="243">
        <v>-2</v>
      </c>
      <c r="H85" s="243">
        <v>-2</v>
      </c>
      <c r="I85" s="243">
        <v>-2</v>
      </c>
      <c r="J85" s="243">
        <v>-2</v>
      </c>
      <c r="K85" s="243">
        <v>-2</v>
      </c>
      <c r="L85" s="243">
        <v>-2</v>
      </c>
      <c r="M85" s="243">
        <v>-2</v>
      </c>
      <c r="N85" s="212">
        <v>-2</v>
      </c>
      <c r="O85" s="212">
        <v>-2</v>
      </c>
    </row>
    <row r="86" spans="1:15" ht="15">
      <c r="A86" s="491" t="e">
        <f t="shared" si="15"/>
        <v>#DIV/0!</v>
      </c>
      <c r="B86" s="255">
        <v>1.2</v>
      </c>
      <c r="C86" s="243">
        <v>-2</v>
      </c>
      <c r="D86" s="243">
        <v>-2</v>
      </c>
      <c r="E86" s="243">
        <v>-2</v>
      </c>
      <c r="F86" s="243">
        <v>-2</v>
      </c>
      <c r="G86" s="243">
        <v>-2</v>
      </c>
      <c r="H86" s="243">
        <v>-2</v>
      </c>
      <c r="I86" s="243">
        <v>-2</v>
      </c>
      <c r="J86" s="243">
        <v>-2</v>
      </c>
      <c r="K86" s="243">
        <v>-2</v>
      </c>
      <c r="L86" s="243">
        <v>-2</v>
      </c>
      <c r="M86" s="243">
        <v>-2</v>
      </c>
      <c r="N86" s="212">
        <v>-2</v>
      </c>
      <c r="O86" s="212">
        <v>-2</v>
      </c>
    </row>
    <row r="87" spans="1:15" ht="15">
      <c r="A87" s="491" t="e">
        <f t="shared" si="15"/>
        <v>#DIV/0!</v>
      </c>
      <c r="B87" s="255">
        <v>1.25</v>
      </c>
      <c r="C87" s="243">
        <v>-2</v>
      </c>
      <c r="D87" s="243">
        <v>-2</v>
      </c>
      <c r="E87" s="243">
        <v>-2</v>
      </c>
      <c r="F87" s="243">
        <v>-2</v>
      </c>
      <c r="G87" s="243">
        <v>-2</v>
      </c>
      <c r="H87" s="243">
        <v>-2</v>
      </c>
      <c r="I87" s="243">
        <v>-2</v>
      </c>
      <c r="J87" s="243">
        <v>-2</v>
      </c>
      <c r="K87" s="243">
        <v>-2</v>
      </c>
      <c r="L87" s="243">
        <v>-2</v>
      </c>
      <c r="M87" s="243">
        <v>-2</v>
      </c>
      <c r="N87" s="212">
        <v>-2</v>
      </c>
      <c r="O87" s="212">
        <v>-2</v>
      </c>
    </row>
    <row r="88" spans="1:15" ht="15.75" thickBot="1">
      <c r="A88" s="493" t="e">
        <f t="shared" si="15"/>
        <v>#DIV/0!</v>
      </c>
      <c r="B88" s="257">
        <v>1.3</v>
      </c>
      <c r="C88" s="243">
        <v>-2</v>
      </c>
      <c r="D88" s="243">
        <v>-2</v>
      </c>
      <c r="E88" s="243">
        <v>-2</v>
      </c>
      <c r="F88" s="243">
        <v>-2</v>
      </c>
      <c r="G88" s="243">
        <v>-2</v>
      </c>
      <c r="H88" s="243">
        <v>-2</v>
      </c>
      <c r="I88" s="243">
        <v>-2</v>
      </c>
      <c r="J88" s="243">
        <v>-2</v>
      </c>
      <c r="K88" s="243">
        <v>-2</v>
      </c>
      <c r="L88" s="243">
        <v>-2</v>
      </c>
      <c r="M88" s="243">
        <v>-2</v>
      </c>
      <c r="N88" s="212">
        <v>-2</v>
      </c>
      <c r="O88" s="212">
        <v>-2</v>
      </c>
    </row>
    <row r="101" spans="2:2">
      <c r="B101" s="273"/>
    </row>
  </sheetData>
  <sheetProtection algorithmName="SHA-512" hashValue="D8VQ29NEP99B/q+4zgFAtJv73e1s/NUHAStffGWcV8F+u+cL+owMvkud37gEEJFV7LMHzNSoMRbwZxbXc/cbwg==" saltValue="h+uctA/QLrYCK8L1U1eBfw==" spinCount="100000" sheet="1" objects="1" scenarios="1" selectLockedCells="1" selectUnlockedCells="1"/>
  <mergeCells count="4">
    <mergeCell ref="A12:P12"/>
    <mergeCell ref="A32:P32"/>
    <mergeCell ref="A52:P52"/>
    <mergeCell ref="A72:P72"/>
  </mergeCells>
  <conditionalFormatting sqref="C16:O28">
    <cfRule type="cellIs" dxfId="3" priority="1" operator="lessThan">
      <formula>0</formula>
    </cfRule>
  </conditionalFormatting>
  <conditionalFormatting sqref="I36:I41 C36:H48 J36:O48 I43:I48">
    <cfRule type="cellIs" dxfId="2" priority="2" operator="lessThan">
      <formula>0</formula>
    </cfRule>
  </conditionalFormatting>
  <conditionalFormatting sqref="I56:I61 C56:H68 J56:O68 I63:I68">
    <cfRule type="cellIs" dxfId="1" priority="3" operator="lessThan">
      <formula>0.08</formula>
    </cfRule>
  </conditionalFormatting>
  <conditionalFormatting sqref="I76:I81 C76:H88 J76:O88 I83:I88">
    <cfRule type="cellIs" dxfId="0" priority="4" operator="greaterThan">
      <formula>24</formula>
    </cfRule>
  </conditionalFormatting>
  <printOptions horizontalCentered="1"/>
  <pageMargins left="0.70866141732283472" right="0.70866141732283472" top="0.74803149606299213" bottom="0" header="0.31496062992125984" footer="0.31496062992125984"/>
  <pageSetup scale="52" orientation="landscape" verticalDpi="0" r:id="rId1"/>
  <headerFooter>
    <oddHeader xml:space="preserve">&amp;C&amp;"-,מודגש"&amp;14&amp;Eתוכנה לסקר כלכלי
חישוב רגישויות
</oddHeader>
    <oddFooter>&amp;L&amp;F&amp;C&amp;D</oddFooter>
  </headerFooter>
  <rowBreaks count="1" manualBreakCount="1">
    <brk id="50" max="16383"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5567-51DC-45E1-A300-51D9FFCB8062}">
  <dimension ref="A1"/>
  <sheetViews>
    <sheetView rightToLeft="1" workbookViewId="0"/>
  </sheetViews>
  <sheetFormatPr defaultRowHeight="14.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גיליון21"/>
  <dimension ref="A1:J39"/>
  <sheetViews>
    <sheetView rightToLeft="1" workbookViewId="0">
      <selection activeCell="D28" sqref="D28"/>
    </sheetView>
  </sheetViews>
  <sheetFormatPr defaultRowHeight="14.25"/>
  <cols>
    <col min="1" max="1" width="23.625" customWidth="1"/>
    <col min="2" max="2" width="12.375" bestFit="1" customWidth="1"/>
    <col min="3" max="3" width="20.75" bestFit="1" customWidth="1"/>
    <col min="4" max="5" width="12.375" bestFit="1" customWidth="1"/>
    <col min="6" max="7" width="7.875" bestFit="1" customWidth="1"/>
  </cols>
  <sheetData>
    <row r="1" spans="1:10">
      <c r="A1" s="271"/>
      <c r="B1" s="271"/>
      <c r="C1" s="271"/>
      <c r="D1" s="271"/>
      <c r="E1" s="271"/>
      <c r="F1" s="271"/>
      <c r="G1" s="271"/>
      <c r="H1" s="271"/>
    </row>
    <row r="2" spans="1:10">
      <c r="A2" s="271"/>
      <c r="B2" s="699" t="s">
        <v>459</v>
      </c>
      <c r="C2" s="699" t="s">
        <v>458</v>
      </c>
      <c r="D2" s="699" t="s">
        <v>457</v>
      </c>
      <c r="E2" s="699" t="s">
        <v>456</v>
      </c>
      <c r="F2" s="271"/>
      <c r="G2" s="271"/>
      <c r="H2" s="271"/>
    </row>
    <row r="3" spans="1:10" ht="18">
      <c r="A3" s="271" t="s">
        <v>134</v>
      </c>
      <c r="B3" s="700">
        <v>0.499</v>
      </c>
      <c r="C3" s="700">
        <v>0.52600000000000002</v>
      </c>
      <c r="D3" s="700">
        <v>0.56899999999999995</v>
      </c>
      <c r="E3" s="700">
        <v>0.59</v>
      </c>
      <c r="F3" s="271"/>
      <c r="G3" s="271"/>
      <c r="H3" s="271"/>
    </row>
    <row r="4" spans="1:10">
      <c r="A4" s="271"/>
      <c r="B4" s="271"/>
      <c r="C4" s="271"/>
      <c r="D4" s="271"/>
      <c r="E4" s="271"/>
      <c r="F4" s="271"/>
      <c r="G4" s="271"/>
      <c r="H4" s="271"/>
    </row>
    <row r="5" spans="1:10" ht="18">
      <c r="A5" s="271" t="s">
        <v>487</v>
      </c>
      <c r="B5" s="701">
        <v>0.39</v>
      </c>
      <c r="C5" s="701">
        <v>0.45</v>
      </c>
      <c r="D5" s="701">
        <v>0.57999999999999996</v>
      </c>
      <c r="E5" s="701">
        <v>0.81</v>
      </c>
      <c r="F5" s="271"/>
      <c r="G5" s="271"/>
      <c r="H5" s="271"/>
    </row>
    <row r="6" spans="1:10" ht="18">
      <c r="A6" s="271" t="s">
        <v>488</v>
      </c>
      <c r="B6" s="702">
        <v>0.252</v>
      </c>
      <c r="C6" s="702">
        <v>0.248</v>
      </c>
      <c r="D6" s="702">
        <v>0.25700000000000001</v>
      </c>
      <c r="E6" s="702">
        <v>0.22700000000000001</v>
      </c>
      <c r="F6" s="271"/>
      <c r="G6" s="271"/>
      <c r="H6" s="271"/>
    </row>
    <row r="7" spans="1:10">
      <c r="A7" s="271"/>
      <c r="B7" s="271"/>
      <c r="C7" s="271"/>
      <c r="D7" s="271"/>
      <c r="E7" s="271"/>
      <c r="F7" s="271"/>
      <c r="G7" s="271"/>
      <c r="H7" s="271"/>
    </row>
    <row r="8" spans="1:10" ht="18">
      <c r="A8" s="271" t="s">
        <v>354</v>
      </c>
      <c r="B8" s="703">
        <v>30.6</v>
      </c>
      <c r="C8" s="703">
        <v>32.1</v>
      </c>
      <c r="D8" s="703">
        <v>44.7</v>
      </c>
      <c r="E8" s="703">
        <v>78.400000000000006</v>
      </c>
      <c r="F8" s="271"/>
      <c r="G8" s="271"/>
      <c r="H8" s="271"/>
    </row>
    <row r="9" spans="1:10" ht="18">
      <c r="A9" s="271" t="s">
        <v>486</v>
      </c>
      <c r="B9" s="704">
        <f>B8*3.8</f>
        <v>116.28</v>
      </c>
      <c r="C9" s="704">
        <f>C8*3.8</f>
        <v>121.98</v>
      </c>
      <c r="D9" s="704">
        <f>D8*3.8</f>
        <v>169.86</v>
      </c>
      <c r="E9" s="704">
        <f>E8*3.8</f>
        <v>297.92</v>
      </c>
      <c r="F9" s="271"/>
      <c r="G9" s="271"/>
      <c r="H9" s="271"/>
    </row>
    <row r="10" spans="1:10">
      <c r="A10" s="271"/>
      <c r="B10" s="271"/>
      <c r="C10" s="271"/>
      <c r="D10" s="271"/>
      <c r="E10" s="271"/>
      <c r="F10" s="271"/>
      <c r="G10" s="271"/>
      <c r="H10" s="271"/>
    </row>
    <row r="11" spans="1:10">
      <c r="A11" s="271" t="s">
        <v>489</v>
      </c>
      <c r="B11" s="705">
        <v>6000</v>
      </c>
      <c r="C11" s="271"/>
      <c r="D11" s="271"/>
      <c r="E11" s="271"/>
      <c r="F11" s="271"/>
      <c r="G11" s="271"/>
      <c r="H11" s="271"/>
    </row>
    <row r="12" spans="1:10">
      <c r="A12" s="271"/>
      <c r="B12" s="271"/>
      <c r="C12" s="271"/>
      <c r="D12" s="271"/>
      <c r="E12" s="271"/>
      <c r="F12" s="271"/>
      <c r="G12" s="271"/>
      <c r="H12" s="271"/>
    </row>
    <row r="13" spans="1:10">
      <c r="A13" s="271"/>
      <c r="B13" s="271"/>
      <c r="C13" s="271"/>
      <c r="D13" s="271"/>
      <c r="E13" s="271"/>
      <c r="F13" s="271"/>
      <c r="G13" s="271"/>
      <c r="H13" s="271"/>
    </row>
    <row r="14" spans="1:10" ht="15">
      <c r="A14" s="706" t="s">
        <v>485</v>
      </c>
      <c r="B14" s="706" t="s">
        <v>102</v>
      </c>
      <c r="C14" s="706" t="s">
        <v>99</v>
      </c>
      <c r="D14" s="706" t="s">
        <v>96</v>
      </c>
      <c r="E14" s="271"/>
      <c r="F14" s="271"/>
      <c r="G14" s="706"/>
      <c r="H14" s="707"/>
      <c r="I14" s="213"/>
      <c r="J14" s="213"/>
    </row>
    <row r="15" spans="1:10" ht="15">
      <c r="A15" s="706" t="str">
        <f>מנהל!C18</f>
        <v>אילת</v>
      </c>
      <c r="B15" s="708">
        <f>'נתוני תפוסה'!G20/100</f>
        <v>0.67700000000000005</v>
      </c>
      <c r="C15" s="708">
        <v>0.14699999999999999</v>
      </c>
      <c r="D15" s="708">
        <f t="shared" ref="D15:D21" si="0">1-C15</f>
        <v>0.85299999999999998</v>
      </c>
      <c r="E15" s="707"/>
      <c r="F15" s="271"/>
      <c r="G15" s="706"/>
      <c r="H15" s="707"/>
      <c r="I15" s="213"/>
      <c r="J15" s="213"/>
    </row>
    <row r="16" spans="1:10" ht="15">
      <c r="A16" s="706" t="str">
        <f>מנהל!C19</f>
        <v>ים המלח</v>
      </c>
      <c r="B16" s="708">
        <v>0.73899999999999999</v>
      </c>
      <c r="C16" s="708">
        <v>0.26400000000000001</v>
      </c>
      <c r="D16" s="708">
        <f t="shared" si="0"/>
        <v>0.73599999999999999</v>
      </c>
      <c r="E16" s="707"/>
      <c r="F16" s="271"/>
      <c r="G16" s="706"/>
      <c r="H16" s="707"/>
      <c r="I16" s="213"/>
      <c r="J16" s="213"/>
    </row>
    <row r="17" spans="1:10" ht="15">
      <c r="A17" s="706" t="str">
        <f>מנהל!C20</f>
        <v>ירושלים</v>
      </c>
      <c r="B17" s="708">
        <v>0.66400000000000003</v>
      </c>
      <c r="C17" s="708">
        <v>0.875</v>
      </c>
      <c r="D17" s="708">
        <f t="shared" si="0"/>
        <v>0.125</v>
      </c>
      <c r="E17" s="707"/>
      <c r="F17" s="271"/>
      <c r="G17" s="706"/>
      <c r="H17" s="707"/>
      <c r="I17" s="213"/>
      <c r="J17" s="213"/>
    </row>
    <row r="18" spans="1:10" ht="15">
      <c r="A18" s="706" t="str">
        <f>מנהל!C21</f>
        <v>החוף</v>
      </c>
      <c r="B18" s="708">
        <f>AVERAGE('נתוני תפוסה'!G19,'נתוני תפוסה'!G23,'נתוני תפוסה'!G24,'נתוני תפוסה'!G29,'נתוני תפוסה'!G32)/100</f>
        <v>0.66639999999999999</v>
      </c>
      <c r="C18" s="708">
        <f>AVERAGE('נתוני תפוסה'!D19,'נתוני תפוסה'!D23,'נתוני תפוסה'!D24,'נתוני תפוסה'!D29,'נתוני תפוסה'!D32)/100</f>
        <v>0.63900000000000012</v>
      </c>
      <c r="D18" s="708">
        <f t="shared" si="0"/>
        <v>0.36099999999999988</v>
      </c>
      <c r="E18" s="707"/>
      <c r="F18" s="271"/>
      <c r="G18" s="706"/>
      <c r="H18" s="707"/>
      <c r="I18" s="213"/>
      <c r="J18" s="213"/>
    </row>
    <row r="19" spans="1:10" ht="15">
      <c r="A19" s="706" t="str">
        <f>מנהל!C22</f>
        <v>צפון - כנרת - גליל</v>
      </c>
      <c r="B19" s="708">
        <f>'נתוני תפוסה'!G27/100</f>
        <v>0.6</v>
      </c>
      <c r="C19" s="708">
        <f>'נתוני תפוסה'!D27/100</f>
        <v>0.47399999999999998</v>
      </c>
      <c r="D19" s="708">
        <f t="shared" si="0"/>
        <v>0.52600000000000002</v>
      </c>
      <c r="E19" s="707"/>
      <c r="F19" s="271"/>
      <c r="G19" s="706"/>
      <c r="H19" s="707"/>
      <c r="I19" s="213"/>
      <c r="J19" s="213"/>
    </row>
    <row r="20" spans="1:10" ht="15">
      <c r="A20" s="706" t="str">
        <f>מנהל!C23</f>
        <v>דרום ואחר</v>
      </c>
      <c r="B20" s="708">
        <f>AVERAGE('נתוני תפוסה'!G21,'נתוני תפוסה'!G22,'נתוני תפוסה'!G25,'נתוני תפוסה'!G28,'נתוני תפוסה'!G30,'נתוני תפוסה'!G31)/100</f>
        <v>0.42383333333333334</v>
      </c>
      <c r="C20" s="708">
        <f>AVERAGE('נתוני תפוסה'!D21,'נתוני תפוסה'!D22,'נתוני תפוסה'!D25,'נתוני תפוסה'!D28,'נתוני תפוסה'!D30,'נתוני תפוסה'!D31)/100</f>
        <v>0.29349999999999998</v>
      </c>
      <c r="D20" s="708">
        <f t="shared" si="0"/>
        <v>0.70650000000000002</v>
      </c>
      <c r="E20" s="707"/>
      <c r="F20" s="271"/>
      <c r="G20" s="706"/>
      <c r="H20" s="707"/>
      <c r="I20" s="213"/>
      <c r="J20" s="213"/>
    </row>
    <row r="21" spans="1:10" ht="15">
      <c r="A21" s="706" t="str">
        <f>מנהל!C24</f>
        <v>תל אביב - יפו</v>
      </c>
      <c r="B21" s="708">
        <v>0.752</v>
      </c>
      <c r="C21" s="708">
        <v>0.82599999999999996</v>
      </c>
      <c r="D21" s="708">
        <f t="shared" si="0"/>
        <v>0.17400000000000004</v>
      </c>
      <c r="E21" s="707"/>
      <c r="F21" s="271"/>
      <c r="G21" s="706"/>
      <c r="H21" s="707"/>
      <c r="I21" s="213"/>
      <c r="J21" s="213"/>
    </row>
    <row r="22" spans="1:10" ht="15">
      <c r="A22" s="706" t="str">
        <f>מנהל!C25</f>
        <v>אחר</v>
      </c>
      <c r="B22" s="708"/>
      <c r="C22" s="708"/>
      <c r="D22" s="708"/>
      <c r="E22" s="707"/>
      <c r="F22" s="271"/>
      <c r="G22" s="271"/>
      <c r="H22" s="271"/>
    </row>
    <row r="23" spans="1:10" ht="15.75" thickBot="1">
      <c r="A23" s="709" t="s">
        <v>484</v>
      </c>
      <c r="B23" s="710">
        <f>AVERAGE(B15:B22)</f>
        <v>0.64603333333333335</v>
      </c>
      <c r="C23" s="710">
        <f>AVERAGE(C15:C22)</f>
        <v>0.50264285714285717</v>
      </c>
      <c r="D23" s="710">
        <f>AVERAGE(D15:D22)</f>
        <v>0.49735714285714289</v>
      </c>
      <c r="E23" s="707"/>
      <c r="F23" s="271"/>
      <c r="G23" s="271"/>
      <c r="H23" s="271"/>
    </row>
    <row r="24" spans="1:10" ht="15" thickTop="1">
      <c r="A24" s="271"/>
      <c r="B24" s="707"/>
      <c r="C24" s="707"/>
      <c r="D24" s="707"/>
      <c r="E24" s="707"/>
      <c r="F24" s="271"/>
      <c r="G24" s="271"/>
      <c r="H24" s="271"/>
    </row>
    <row r="25" spans="1:10" ht="15" thickBot="1">
      <c r="A25" s="271"/>
      <c r="B25" s="707"/>
      <c r="C25" s="707"/>
      <c r="D25" s="707"/>
      <c r="E25" s="707"/>
      <c r="F25" s="271"/>
      <c r="G25" s="271"/>
      <c r="H25" s="271"/>
    </row>
    <row r="26" spans="1:10" ht="15.75" thickBot="1">
      <c r="A26" s="271"/>
      <c r="B26" s="271"/>
      <c r="C26" s="711" t="s">
        <v>16</v>
      </c>
      <c r="D26" s="712" t="s">
        <v>456</v>
      </c>
      <c r="E26" s="712" t="s">
        <v>457</v>
      </c>
      <c r="F26" s="712" t="s">
        <v>458</v>
      </c>
      <c r="G26" s="713" t="s">
        <v>459</v>
      </c>
      <c r="H26" s="271"/>
    </row>
    <row r="27" spans="1:10" ht="16.5" thickBot="1">
      <c r="A27" s="714" t="s">
        <v>183</v>
      </c>
      <c r="B27" s="715" t="s">
        <v>184</v>
      </c>
      <c r="C27" s="716" t="s">
        <v>185</v>
      </c>
      <c r="D27" s="717"/>
      <c r="E27" s="717"/>
      <c r="F27" s="717"/>
      <c r="G27" s="718"/>
      <c r="H27" s="271"/>
    </row>
    <row r="28" spans="1:10" ht="32.25" thickBot="1">
      <c r="A28" s="719">
        <v>1</v>
      </c>
      <c r="B28" s="720" t="s">
        <v>186</v>
      </c>
      <c r="C28" s="721" t="s">
        <v>187</v>
      </c>
      <c r="D28" s="722">
        <v>0.1</v>
      </c>
      <c r="E28" s="722">
        <v>0.09</v>
      </c>
      <c r="F28" s="722">
        <v>0.08</v>
      </c>
      <c r="G28" s="723">
        <v>0.08</v>
      </c>
      <c r="H28" s="271"/>
    </row>
    <row r="29" spans="1:10" ht="32.25" thickBot="1">
      <c r="A29" s="719">
        <v>2</v>
      </c>
      <c r="B29" s="720" t="s">
        <v>188</v>
      </c>
      <c r="C29" s="721" t="s">
        <v>189</v>
      </c>
      <c r="D29" s="722">
        <v>0.65</v>
      </c>
      <c r="E29" s="722">
        <v>0.65</v>
      </c>
      <c r="F29" s="722">
        <v>0.65</v>
      </c>
      <c r="G29" s="723">
        <v>0.65</v>
      </c>
      <c r="H29" s="271"/>
    </row>
    <row r="30" spans="1:10" ht="32.25" thickBot="1">
      <c r="A30" s="719">
        <v>3</v>
      </c>
      <c r="B30" s="720" t="s">
        <v>190</v>
      </c>
      <c r="C30" s="721" t="s">
        <v>191</v>
      </c>
      <c r="D30" s="722">
        <v>0.4</v>
      </c>
      <c r="E30" s="722">
        <v>0.35</v>
      </c>
      <c r="F30" s="722">
        <v>0.33</v>
      </c>
      <c r="G30" s="723">
        <v>0.33</v>
      </c>
      <c r="H30" s="271"/>
    </row>
    <row r="31" spans="1:10" ht="16.5" thickBot="1">
      <c r="A31" s="719"/>
      <c r="B31" s="720" t="s">
        <v>355</v>
      </c>
      <c r="C31" s="721" t="s">
        <v>204</v>
      </c>
      <c r="D31" s="722"/>
      <c r="E31" s="722"/>
      <c r="F31" s="722"/>
      <c r="G31" s="723"/>
      <c r="H31" s="271"/>
    </row>
    <row r="32" spans="1:10" ht="16.5" thickBot="1">
      <c r="A32" s="724"/>
      <c r="B32" s="725"/>
      <c r="C32" s="726"/>
      <c r="D32" s="727"/>
      <c r="E32" s="727"/>
      <c r="F32" s="727"/>
      <c r="G32" s="728"/>
      <c r="H32" s="271"/>
    </row>
    <row r="33" spans="1:8" ht="16.5" thickBot="1">
      <c r="A33" s="724"/>
      <c r="B33" s="729" t="s">
        <v>202</v>
      </c>
      <c r="C33" s="730"/>
      <c r="D33" s="731"/>
      <c r="E33" s="732"/>
      <c r="F33" s="732"/>
      <c r="G33" s="733"/>
      <c r="H33" s="271"/>
    </row>
    <row r="34" spans="1:8" ht="16.5" thickBot="1">
      <c r="A34" s="719">
        <v>4</v>
      </c>
      <c r="B34" s="720" t="s">
        <v>203</v>
      </c>
      <c r="C34" s="1037" t="s">
        <v>204</v>
      </c>
      <c r="D34" s="734">
        <v>0.06</v>
      </c>
      <c r="E34" s="734">
        <v>0.05</v>
      </c>
      <c r="F34" s="734">
        <v>0.05</v>
      </c>
      <c r="G34" s="735">
        <v>0.04</v>
      </c>
      <c r="H34" s="271"/>
    </row>
    <row r="35" spans="1:8" ht="16.5" thickBot="1">
      <c r="A35" s="719">
        <v>5</v>
      </c>
      <c r="B35" s="720" t="s">
        <v>200</v>
      </c>
      <c r="C35" s="1038"/>
      <c r="D35" s="736">
        <v>0.04</v>
      </c>
      <c r="E35" s="736">
        <v>0.03</v>
      </c>
      <c r="F35" s="736">
        <v>0.03</v>
      </c>
      <c r="G35" s="737">
        <v>0.03</v>
      </c>
      <c r="H35" s="271"/>
    </row>
    <row r="36" spans="1:8" ht="16.5" thickBot="1">
      <c r="A36" s="719">
        <v>6</v>
      </c>
      <c r="B36" s="720" t="s">
        <v>194</v>
      </c>
      <c r="C36" s="1038"/>
      <c r="D36" s="736">
        <v>0.03</v>
      </c>
      <c r="E36" s="736">
        <v>2.5000000000000001E-2</v>
      </c>
      <c r="F36" s="736">
        <v>0.02</v>
      </c>
      <c r="G36" s="737">
        <v>0.02</v>
      </c>
      <c r="H36" s="271"/>
    </row>
    <row r="37" spans="1:8" ht="16.5" thickBot="1">
      <c r="A37" s="719">
        <v>7</v>
      </c>
      <c r="B37" s="720" t="s">
        <v>205</v>
      </c>
      <c r="C37" s="1038"/>
      <c r="D37" s="736">
        <v>0.04</v>
      </c>
      <c r="E37" s="736">
        <v>0.03</v>
      </c>
      <c r="F37" s="736">
        <v>0.03</v>
      </c>
      <c r="G37" s="737">
        <v>0.02</v>
      </c>
      <c r="H37" s="271"/>
    </row>
    <row r="38" spans="1:8" ht="16.5" thickBot="1">
      <c r="A38" s="738"/>
      <c r="B38" s="725" t="s">
        <v>206</v>
      </c>
      <c r="C38" s="1039"/>
      <c r="D38" s="739">
        <f>SUM(D34:D37)</f>
        <v>0.17</v>
      </c>
      <c r="E38" s="739">
        <f>SUM(E34:E37)</f>
        <v>0.13500000000000001</v>
      </c>
      <c r="F38" s="739">
        <f>SUM(F34:F37)</f>
        <v>0.13</v>
      </c>
      <c r="G38" s="740">
        <f>SUM(G34:G37)</f>
        <v>0.11000000000000001</v>
      </c>
      <c r="H38" s="271"/>
    </row>
    <row r="39" spans="1:8">
      <c r="A39" s="271"/>
      <c r="B39" s="271"/>
      <c r="C39" s="271"/>
      <c r="D39" s="271"/>
      <c r="E39" s="271"/>
      <c r="F39" s="271"/>
      <c r="G39" s="271"/>
      <c r="H39" s="271"/>
    </row>
  </sheetData>
  <sheetProtection password="C611" sheet="1" objects="1" scenarios="1"/>
  <mergeCells count="1">
    <mergeCell ref="C34:C38"/>
  </mergeCells>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גיליון26"/>
  <dimension ref="A2:H31"/>
  <sheetViews>
    <sheetView rightToLeft="1" zoomScaleNormal="100" workbookViewId="0">
      <selection activeCell="B29" sqref="B29"/>
    </sheetView>
  </sheetViews>
  <sheetFormatPr defaultColWidth="9" defaultRowHeight="15"/>
  <cols>
    <col min="1" max="1" width="19.75" style="85" bestFit="1" customWidth="1"/>
    <col min="2" max="2" width="13.375" style="85" bestFit="1" customWidth="1"/>
    <col min="3" max="3" width="12.75" style="85" bestFit="1" customWidth="1"/>
    <col min="4" max="4" width="20.25" style="85" bestFit="1" customWidth="1"/>
    <col min="5" max="5" width="13.375" style="85" bestFit="1" customWidth="1"/>
    <col min="6" max="6" width="11.625" style="85" customWidth="1"/>
    <col min="7" max="7" width="8" style="85" bestFit="1" customWidth="1"/>
    <col min="8" max="8" width="6.75" style="85" bestFit="1" customWidth="1"/>
    <col min="9" max="16384" width="9" style="85"/>
  </cols>
  <sheetData>
    <row r="2" spans="1:5" ht="15.75">
      <c r="A2" s="589" t="str">
        <f>טבלה3[[#Headers],[שם החברה]]</f>
        <v>שם החברה</v>
      </c>
      <c r="B2" s="431" t="str">
        <f>טבלה3[[#Headers],[עמודה1]]</f>
        <v>עמודה1</v>
      </c>
      <c r="D2" s="583" t="str">
        <f>'נתוני הקמה'!A15</f>
        <v>נתוני הקמה כספיים</v>
      </c>
      <c r="E2" s="583" t="str">
        <f>'נתוני הקמה'!B15</f>
        <v>בש"ח</v>
      </c>
    </row>
    <row r="3" spans="1:5" ht="15.75">
      <c r="A3" s="589" t="str">
        <f>'נתוני חברה'!A2</f>
        <v>תאריך הקמה</v>
      </c>
      <c r="B3" s="915">
        <f>'נתוני חברה'!B2</f>
        <v>0</v>
      </c>
      <c r="D3" s="589" t="str">
        <f>'נתוני הקמה'!A16</f>
        <v xml:space="preserve">עלות קרקע </v>
      </c>
      <c r="E3" s="916">
        <f>'נתוני הקמה'!B16</f>
        <v>0</v>
      </c>
    </row>
    <row r="4" spans="1:5" ht="15.75">
      <c r="A4" s="589" t="str">
        <f>'נתוני חברה'!A3</f>
        <v>מספר ח.פ</v>
      </c>
      <c r="B4" s="431">
        <f>'נתוני חברה'!B3</f>
        <v>0</v>
      </c>
      <c r="D4" s="589" t="str">
        <f>'נתוני הקמה'!A17</f>
        <v>עלות פיתוח</v>
      </c>
      <c r="E4" s="916">
        <f>'נתוני הקמה'!B17</f>
        <v>0</v>
      </c>
    </row>
    <row r="5" spans="1:5" ht="15.75">
      <c r="A5" s="589" t="str">
        <f>'נתוני חברה'!A4</f>
        <v>סוג פרוייקט</v>
      </c>
      <c r="B5" s="431">
        <f>'נתוני חברה'!B4</f>
        <v>0</v>
      </c>
      <c r="D5" s="589" t="str">
        <f>'נתוני הקמה'!A18</f>
        <v>עלות תכנון ופיקוח</v>
      </c>
      <c r="E5" s="916">
        <f>'נתוני הקמה'!B18</f>
        <v>0</v>
      </c>
    </row>
    <row r="6" spans="1:5" ht="15.75">
      <c r="A6" s="589" t="str">
        <f>'נתוני חברה'!A5</f>
        <v>סוג תת פרוייקט</v>
      </c>
      <c r="B6" s="431">
        <f>'נתוני חברה'!B5</f>
        <v>0</v>
      </c>
      <c r="D6" s="589" t="str">
        <f>'נתוני הקמה'!A19</f>
        <v>עלות בינוי</v>
      </c>
      <c r="E6" s="916">
        <f>'נתוני הקמה'!B19</f>
        <v>0</v>
      </c>
    </row>
    <row r="7" spans="1:5" ht="15.75">
      <c r="A7" s="589" t="str">
        <f>'נתוני חברה'!A6</f>
        <v>האם פרוייקט שימור</v>
      </c>
      <c r="B7" s="431">
        <f>'נתוני חברה'!B6</f>
        <v>0</v>
      </c>
      <c r="D7" s="589" t="str">
        <f>'נתוני הקמה'!A20</f>
        <v>עלות מערכות</v>
      </c>
      <c r="E7" s="916">
        <f>'נתוני הקמה'!B20</f>
        <v>0</v>
      </c>
    </row>
    <row r="8" spans="1:5" ht="15.75">
      <c r="A8" s="589" t="str">
        <f>'נתוני חברה'!A7</f>
        <v>מספר תיק</v>
      </c>
      <c r="B8" s="431">
        <f>'נתוני חברה'!B7</f>
        <v>0</v>
      </c>
      <c r="D8" s="589" t="str">
        <f>'נתוני הקמה'!A21</f>
        <v>עלות ריהוט ודקורציה</v>
      </c>
      <c r="E8" s="916">
        <f>'נתוני הקמה'!B21</f>
        <v>0</v>
      </c>
    </row>
    <row r="9" spans="1:5" ht="15.75">
      <c r="A9" s="589" t="str">
        <f>'נתוני חברה'!A8</f>
        <v>מספר תוכנית</v>
      </c>
      <c r="B9" s="431">
        <f>'נתוני חברה'!B8</f>
        <v>0</v>
      </c>
      <c r="D9" s="589" t="str">
        <f>'נתוני הקמה'!A22</f>
        <v>עלות אחרת</v>
      </c>
      <c r="E9" s="916">
        <f>'נתוני הקמה'!B22</f>
        <v>0</v>
      </c>
    </row>
    <row r="10" spans="1:5" ht="15.75">
      <c r="A10" s="589" t="str">
        <f>'נתוני חברה'!A9</f>
        <v>מספר בקשה</v>
      </c>
      <c r="B10" s="431">
        <f>'נתוני חברה'!B9</f>
        <v>0</v>
      </c>
      <c r="D10" s="585" t="str">
        <f>'נתוני הקמה'!A23</f>
        <v>סה"כ עלויות חזויות</v>
      </c>
      <c r="E10" s="586">
        <f>'נתוני הקמה'!B23</f>
        <v>0</v>
      </c>
    </row>
    <row r="11" spans="1:5" ht="15.75">
      <c r="A11" s="589" t="str">
        <f>'נתוני חברה'!A10</f>
        <v>מספר גוש</v>
      </c>
      <c r="B11" s="431">
        <f>'נתוני חברה'!B10</f>
        <v>0</v>
      </c>
      <c r="D11" s="585" t="str">
        <f>'נתוני הקמה'!A24</f>
        <v>עלויות לא כולל קרקע</v>
      </c>
      <c r="E11" s="586">
        <f>'נתוני הקמה'!B24</f>
        <v>0</v>
      </c>
    </row>
    <row r="12" spans="1:5" ht="15.75">
      <c r="A12" s="589" t="str">
        <f>'נתוני חברה'!A11</f>
        <v>מספר חלקה</v>
      </c>
      <c r="B12" s="431">
        <f>'נתוני חברה'!B11</f>
        <v>0</v>
      </c>
      <c r="D12" s="584"/>
      <c r="E12" s="587"/>
    </row>
    <row r="13" spans="1:5" ht="15.75">
      <c r="A13" s="589" t="str">
        <f>'נתוני חברה'!A12</f>
        <v>חברה זרה</v>
      </c>
      <c r="B13" s="431">
        <f>'נתוני חברה'!B12</f>
        <v>0</v>
      </c>
      <c r="D13" s="585" t="str">
        <f>'נתוני הקמה'!A26</f>
        <v>תקרת השקעות מוכרות</v>
      </c>
      <c r="E13" s="588" t="e">
        <f>'נתוני הקמה'!B26</f>
        <v>#N/A</v>
      </c>
    </row>
    <row r="14" spans="1:5" ht="15.75">
      <c r="A14" s="589" t="str">
        <f>'נתוני חברה'!A13</f>
        <v>האם יש חברת ניהול</v>
      </c>
      <c r="B14" s="431">
        <f>'נתוני חברה'!B13</f>
        <v>0</v>
      </c>
      <c r="D14" s="584"/>
      <c r="E14" s="431"/>
    </row>
    <row r="15" spans="1:5" ht="31.5">
      <c r="A15" s="917" t="str">
        <f>'נתוני חברה'!A14</f>
        <v>מוקד תיירות</v>
      </c>
      <c r="B15" s="918">
        <f>'נתוני חברה'!B14</f>
        <v>0</v>
      </c>
      <c r="D15" s="590" t="str">
        <f>'נתוני הקמה'!A28</f>
        <v>יחס בין תקרה מחושבת לעלות הקמה</v>
      </c>
      <c r="E15" s="591" t="e">
        <f>'נתוני הקמה'!B28</f>
        <v>#N/A</v>
      </c>
    </row>
    <row r="18" spans="1:8" ht="18.75" thickBot="1">
      <c r="A18" s="585" t="str">
        <f>'מקורות מימון'!A3</f>
        <v>מקור מימון</v>
      </c>
      <c r="B18" s="585" t="str">
        <f>'מקורות מימון'!B3</f>
        <v xml:space="preserve">סכום ב - ₪ </v>
      </c>
      <c r="D18" s="977" t="s">
        <v>134</v>
      </c>
      <c r="E18" s="977"/>
      <c r="F18" s="977"/>
      <c r="G18" s="75"/>
      <c r="H18" s="75"/>
    </row>
    <row r="19" spans="1:8" ht="18">
      <c r="A19" s="919" t="str">
        <f>'מקורות מימון'!A4</f>
        <v>הון מניות נפרע</v>
      </c>
      <c r="B19" s="432">
        <f>'מקורות מימון'!B4</f>
        <v>0</v>
      </c>
      <c r="D19" s="920" t="s">
        <v>75</v>
      </c>
      <c r="E19" s="98" t="s">
        <v>76</v>
      </c>
      <c r="F19" s="921" t="s">
        <v>77</v>
      </c>
      <c r="G19" s="333"/>
      <c r="H19" s="333"/>
    </row>
    <row r="20" spans="1:8" ht="15.75">
      <c r="A20" s="919" t="str">
        <f>'מקורות מימון'!A5</f>
        <v>הלוואות בעלים</v>
      </c>
      <c r="B20" s="432">
        <f>'מקורות מימון'!B5</f>
        <v>0</v>
      </c>
      <c r="D20" s="922" t="e">
        <f>'נ.בסיס לינה'!Q17</f>
        <v>#N/A</v>
      </c>
      <c r="E20" s="923" t="e">
        <f>'נ.בסיס לינה'!R17</f>
        <v>#N/A</v>
      </c>
      <c r="F20" s="922" t="e">
        <f>'נ.בסיס לינה'!S17</f>
        <v>#N/A</v>
      </c>
      <c r="G20"/>
      <c r="H20"/>
    </row>
    <row r="21" spans="1:8" ht="15.75">
      <c r="A21" s="919" t="str">
        <f>'מקורות מימון'!A6</f>
        <v>מענק השקעה</v>
      </c>
      <c r="B21" s="432" t="e">
        <f>'מקורות מימון'!B6</f>
        <v>#N/A</v>
      </c>
    </row>
    <row r="22" spans="1:8" ht="18.75" thickBot="1">
      <c r="A22" s="919" t="str">
        <f>'מקורות מימון'!A7</f>
        <v>מענק הון</v>
      </c>
      <c r="B22" s="432">
        <f>'מקורות מימון'!B7</f>
        <v>0</v>
      </c>
      <c r="D22" s="977" t="s">
        <v>512</v>
      </c>
      <c r="E22" s="977"/>
      <c r="F22" s="977"/>
    </row>
    <row r="23" spans="1:8" ht="15.75">
      <c r="A23" s="919" t="str">
        <f>'מקורות מימון'!A8</f>
        <v>הלוואות בנקאיות</v>
      </c>
      <c r="B23" s="432" t="e">
        <f>'מקורות מימון'!B8</f>
        <v>#N/A</v>
      </c>
      <c r="D23" s="920" t="s">
        <v>75</v>
      </c>
      <c r="E23" s="98" t="s">
        <v>76</v>
      </c>
      <c r="F23" s="921" t="s">
        <v>77</v>
      </c>
    </row>
    <row r="24" spans="1:8" ht="15.75">
      <c r="A24" s="919" t="str">
        <f>'מקורות מימון'!A9</f>
        <v>הלוואות בערבות מדינה</v>
      </c>
      <c r="B24" s="432">
        <f>'מקורות מימון'!B9</f>
        <v>0</v>
      </c>
      <c r="D24" s="924" t="e">
        <f ca="1">'רווח והפסד'!C49</f>
        <v>#N/A</v>
      </c>
      <c r="E24" s="925" t="e">
        <f ca="1">'רווח והפסד'!D49</f>
        <v>#N/A</v>
      </c>
      <c r="F24" s="924" t="e">
        <f ca="1">'רווח והפסד'!E49</f>
        <v>#N/A</v>
      </c>
    </row>
    <row r="25" spans="1:8" ht="15.75">
      <c r="A25" s="919" t="str">
        <f>'מקורות מימון'!A10</f>
        <v>אחר</v>
      </c>
      <c r="B25" s="432">
        <f>'מקורות מימון'!B10</f>
        <v>0</v>
      </c>
    </row>
    <row r="26" spans="1:8" ht="15.75">
      <c r="A26" s="919" t="str">
        <f>'מקורות מימון'!A11</f>
        <v>סה"כ עלויות</v>
      </c>
      <c r="B26" s="925">
        <f>'מקורות מימון'!B11</f>
        <v>0</v>
      </c>
    </row>
    <row r="28" spans="1:8" ht="15.75">
      <c r="A28" s="926" t="s">
        <v>421</v>
      </c>
      <c r="B28" s="926" t="s">
        <v>513</v>
      </c>
      <c r="C28" s="926" t="s">
        <v>514</v>
      </c>
    </row>
    <row r="29" spans="1:8" ht="15.75">
      <c r="A29" s="927" t="s">
        <v>349</v>
      </c>
      <c r="B29" s="928" t="e">
        <f>'כדאיות לפירמה'!B16</f>
        <v>#VALUE!</v>
      </c>
      <c r="C29" s="928" t="e">
        <f ca="1">'כדאיות ליזם'!B10</f>
        <v>#VALUE!</v>
      </c>
    </row>
    <row r="30" spans="1:8" ht="15.75">
      <c r="A30" s="927" t="s">
        <v>359</v>
      </c>
      <c r="B30" s="925">
        <f ca="1">'כדאיות לפירמה'!B17</f>
        <v>-2</v>
      </c>
      <c r="C30" s="925">
        <f ca="1">'כדאיות ליזם'!B11</f>
        <v>0</v>
      </c>
    </row>
    <row r="31" spans="1:8" ht="15.75">
      <c r="A31" s="927" t="s">
        <v>348</v>
      </c>
      <c r="B31" s="925" t="e">
        <f ca="1">'כדאיות לפירמה'!B18</f>
        <v>#N/A</v>
      </c>
      <c r="C31" s="925" t="e">
        <f ca="1">'כדאיות ליזם'!B12</f>
        <v>#N/A</v>
      </c>
    </row>
  </sheetData>
  <sheetProtection password="C611" sheet="1" objects="1" scenarios="1" selectLockedCells="1"/>
  <mergeCells count="2">
    <mergeCell ref="D18:F18"/>
    <mergeCell ref="D22:F22"/>
  </mergeCells>
  <printOptions horizontalCentered="1"/>
  <pageMargins left="0" right="0" top="1.1417322834645669" bottom="0.74803149606299213" header="0.31496062992125984" footer="0.31496062992125984"/>
  <pageSetup paperSize="9" orientation="portrait" verticalDpi="0" r:id="rId1"/>
  <headerFooter>
    <oddHeader xml:space="preserve">&amp;C&amp;"-,מודגש"&amp;14&amp;Eסקר כלכלי
מלון &amp;F
ריכוז נתונים
</oddHeader>
    <oddFooter>&amp;L&amp;F&amp;C&amp;D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גיליון14"/>
  <dimension ref="A1:M48"/>
  <sheetViews>
    <sheetView showGridLines="0" rightToLeft="1" view="pageBreakPreview" topLeftCell="C1" zoomScaleNormal="100" zoomScaleSheetLayoutView="100" workbookViewId="0">
      <selection activeCell="C9" sqref="C9"/>
    </sheetView>
  </sheetViews>
  <sheetFormatPr defaultColWidth="0" defaultRowHeight="14.25" zeroHeight="1"/>
  <cols>
    <col min="1" max="1" width="14.375" hidden="1" customWidth="1"/>
    <col min="2" max="2" width="0" hidden="1" customWidth="1"/>
    <col min="3" max="7" width="14.375" customWidth="1"/>
    <col min="8" max="13" width="14.375" hidden="1" customWidth="1"/>
    <col min="14" max="16384" width="9" hidden="1"/>
  </cols>
  <sheetData>
    <row r="1" spans="3:7" ht="26.25">
      <c r="C1" s="1040" t="s">
        <v>522</v>
      </c>
      <c r="D1" s="1040"/>
      <c r="E1" s="1040"/>
      <c r="F1" s="1040"/>
      <c r="G1" s="1040"/>
    </row>
    <row r="4" spans="3:7" hidden="1">
      <c r="C4" s="38"/>
      <c r="D4" s="38"/>
      <c r="E4" s="38"/>
      <c r="F4" s="38"/>
      <c r="G4" s="38"/>
    </row>
    <row r="5" spans="3:7" hidden="1">
      <c r="C5" s="38"/>
      <c r="D5" s="38"/>
      <c r="E5" s="38"/>
      <c r="F5" s="38"/>
      <c r="G5" s="38"/>
    </row>
    <row r="6" spans="3:7" hidden="1">
      <c r="C6" s="38"/>
      <c r="D6" s="38"/>
      <c r="E6" s="38"/>
      <c r="F6" s="38"/>
      <c r="G6" s="38"/>
    </row>
    <row r="7" spans="3:7" ht="45" hidden="1" customHeight="1">
      <c r="C7" s="38"/>
      <c r="D7" s="38"/>
      <c r="E7" s="38"/>
      <c r="F7" s="38"/>
      <c r="G7" s="38"/>
    </row>
    <row r="8" spans="3:7" ht="45" customHeight="1">
      <c r="C8" s="38"/>
      <c r="D8" s="38"/>
      <c r="E8" s="38"/>
      <c r="F8" s="38"/>
      <c r="G8" s="38"/>
    </row>
    <row r="9" spans="3:7" ht="45" customHeight="1">
      <c r="C9" s="38"/>
      <c r="D9" s="38"/>
      <c r="E9" s="38"/>
      <c r="F9" s="38"/>
      <c r="G9" s="38"/>
    </row>
    <row r="10" spans="3:7" ht="45" customHeight="1">
      <c r="C10" s="38"/>
      <c r="D10" s="38"/>
      <c r="E10" s="38"/>
      <c r="F10" s="38"/>
      <c r="G10" s="38"/>
    </row>
    <row r="11" spans="3:7" ht="45" customHeight="1">
      <c r="C11" s="38"/>
      <c r="D11" s="38"/>
      <c r="E11" s="38"/>
      <c r="F11" s="38"/>
      <c r="G11" s="38"/>
    </row>
    <row r="12" spans="3:7" ht="45" customHeight="1">
      <c r="C12" s="38"/>
      <c r="D12" s="38"/>
      <c r="E12" s="38"/>
      <c r="F12" s="38"/>
      <c r="G12" s="38"/>
    </row>
    <row r="13" spans="3:7" ht="45" customHeight="1">
      <c r="C13" s="38"/>
      <c r="D13" s="38"/>
      <c r="E13" s="38"/>
      <c r="F13" s="38"/>
      <c r="G13" s="38"/>
    </row>
    <row r="14" spans="3:7" ht="45" customHeight="1">
      <c r="C14" s="38"/>
      <c r="D14" s="38"/>
      <c r="E14" s="38"/>
      <c r="F14" s="38"/>
      <c r="G14" s="38"/>
    </row>
    <row r="15" spans="3:7" ht="45" customHeight="1">
      <c r="C15" s="38"/>
      <c r="D15" s="38"/>
      <c r="E15" s="38"/>
      <c r="F15" s="38"/>
      <c r="G15" s="38"/>
    </row>
    <row r="16" spans="3:7" ht="45" customHeight="1">
      <c r="C16" s="38"/>
      <c r="D16" s="38"/>
      <c r="E16" s="38"/>
      <c r="F16" s="38"/>
      <c r="G16" s="38"/>
    </row>
    <row r="17" spans="3:7" ht="45" customHeight="1">
      <c r="C17" s="38"/>
      <c r="D17" s="38"/>
      <c r="E17" s="38"/>
      <c r="F17" s="38"/>
      <c r="G17" s="38"/>
    </row>
    <row r="18" spans="3:7" ht="45" hidden="1" customHeight="1">
      <c r="D18" s="498" t="s">
        <v>503</v>
      </c>
    </row>
    <row r="19" spans="3:7" ht="45" hidden="1" customHeight="1">
      <c r="D19" s="340" t="s">
        <v>501</v>
      </c>
      <c r="E19">
        <v>1</v>
      </c>
    </row>
    <row r="20" spans="3:7" ht="45" hidden="1" customHeight="1">
      <c r="D20" s="340" t="s">
        <v>502</v>
      </c>
      <c r="E20">
        <v>2</v>
      </c>
    </row>
    <row r="21" spans="3:7" ht="45" hidden="1" customHeight="1">
      <c r="D21" s="592" t="s">
        <v>504</v>
      </c>
      <c r="E21">
        <v>3</v>
      </c>
    </row>
    <row r="22" spans="3:7" ht="45" hidden="1" customHeight="1">
      <c r="D22" s="61" t="s">
        <v>505</v>
      </c>
      <c r="E22">
        <v>4</v>
      </c>
    </row>
    <row r="23" spans="3:7" ht="45" hidden="1" customHeight="1">
      <c r="D23" s="592" t="s">
        <v>506</v>
      </c>
      <c r="E23">
        <v>5</v>
      </c>
    </row>
    <row r="24" spans="3:7" ht="45" hidden="1" customHeight="1">
      <c r="D24" s="340" t="s">
        <v>507</v>
      </c>
      <c r="E24">
        <v>6</v>
      </c>
    </row>
    <row r="25" spans="3:7" ht="45" hidden="1" customHeight="1">
      <c r="D25" s="592" t="s">
        <v>508</v>
      </c>
      <c r="E25">
        <v>7</v>
      </c>
    </row>
    <row r="26" spans="3:7" ht="45" hidden="1" customHeight="1">
      <c r="D26" s="592" t="s">
        <v>304</v>
      </c>
      <c r="E26">
        <v>8</v>
      </c>
    </row>
    <row r="27" spans="3:7" ht="45" hidden="1" customHeight="1">
      <c r="D27" s="340" t="s">
        <v>509</v>
      </c>
      <c r="E27">
        <v>9</v>
      </c>
    </row>
    <row r="28" spans="3:7" ht="45" hidden="1" customHeight="1">
      <c r="D28" s="592" t="s">
        <v>515</v>
      </c>
      <c r="E28">
        <v>10</v>
      </c>
    </row>
    <row r="29" spans="3:7" ht="45" hidden="1" customHeight="1">
      <c r="D29" s="592" t="s">
        <v>199</v>
      </c>
      <c r="E29">
        <v>11</v>
      </c>
    </row>
    <row r="30" spans="3:7" ht="45" hidden="1" customHeight="1">
      <c r="D30" s="592" t="s">
        <v>516</v>
      </c>
      <c r="E30">
        <v>12</v>
      </c>
    </row>
    <row r="31" spans="3:7" ht="45" hidden="1" customHeight="1">
      <c r="D31" s="592" t="s">
        <v>312</v>
      </c>
      <c r="E31">
        <v>13</v>
      </c>
    </row>
    <row r="32" spans="3:7" ht="45" hidden="1" customHeight="1">
      <c r="D32" s="592" t="s">
        <v>512</v>
      </c>
      <c r="E32">
        <v>14</v>
      </c>
    </row>
    <row r="33" spans="4:5" ht="45" hidden="1" customHeight="1">
      <c r="D33" s="592" t="s">
        <v>517</v>
      </c>
      <c r="E33">
        <v>15</v>
      </c>
    </row>
    <row r="34" spans="4:5" ht="45" hidden="1" customHeight="1">
      <c r="D34" s="592" t="s">
        <v>207</v>
      </c>
      <c r="E34">
        <v>16</v>
      </c>
    </row>
    <row r="35" spans="4:5" ht="45" hidden="1" customHeight="1">
      <c r="D35" s="592" t="s">
        <v>518</v>
      </c>
      <c r="E35">
        <v>17</v>
      </c>
    </row>
    <row r="36" spans="4:5" ht="45" hidden="1" customHeight="1">
      <c r="D36" s="592" t="s">
        <v>519</v>
      </c>
      <c r="E36">
        <v>18</v>
      </c>
    </row>
    <row r="37" spans="4:5" ht="45" hidden="1" customHeight="1">
      <c r="D37" s="592" t="s">
        <v>520</v>
      </c>
      <c r="E37">
        <v>19</v>
      </c>
    </row>
    <row r="38" spans="4:5" ht="45" hidden="1" customHeight="1">
      <c r="D38" s="592" t="s">
        <v>521</v>
      </c>
      <c r="E38">
        <v>20</v>
      </c>
    </row>
    <row r="39" spans="4:5" ht="45" hidden="1" customHeight="1"/>
    <row r="40" spans="4:5" ht="45" hidden="1" customHeight="1"/>
    <row r="41" spans="4:5" ht="45" hidden="1" customHeight="1"/>
    <row r="42" spans="4:5" ht="45" hidden="1" customHeight="1"/>
    <row r="43" spans="4:5" ht="45" hidden="1" customHeight="1"/>
    <row r="44" spans="4:5" ht="45" hidden="1" customHeight="1"/>
    <row r="45" spans="4:5" ht="45" hidden="1" customHeight="1"/>
    <row r="46" spans="4:5" ht="45" hidden="1" customHeight="1"/>
    <row r="47" spans="4:5" ht="45" hidden="1" customHeight="1"/>
    <row r="48" spans="4:5" ht="45" hidden="1" customHeight="1"/>
  </sheetData>
  <sheetProtection password="C611" sheet="1" objects="1" scenarios="1"/>
  <mergeCells count="1">
    <mergeCell ref="C1:G1"/>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37:B47"/>
  <sheetViews>
    <sheetView rightToLeft="1" tabSelected="1" workbookViewId="0">
      <selection activeCell="L107" sqref="L107"/>
    </sheetView>
  </sheetViews>
  <sheetFormatPr defaultRowHeight="14.25"/>
  <cols>
    <col min="1" max="1" width="19.875" bestFit="1" customWidth="1"/>
    <col min="2" max="2" width="13.375" bestFit="1" customWidth="1"/>
  </cols>
  <sheetData>
    <row r="37" spans="1:2">
      <c r="A37" t="s">
        <v>535</v>
      </c>
      <c r="B37" t="s">
        <v>178</v>
      </c>
    </row>
    <row r="38" spans="1:2">
      <c r="A38" t="s">
        <v>536</v>
      </c>
      <c r="B38" s="212" t="e">
        <f>'רווח והפסד'!C12+'רווח והפסד'!C31</f>
        <v>#N/A</v>
      </c>
    </row>
    <row r="39" spans="1:2">
      <c r="A39" t="str">
        <f>'רווח והפסד'!A13</f>
        <v>הוצאות בגין  הכנסות שונות</v>
      </c>
      <c r="B39" s="212" t="e">
        <f>'רווח והפסד'!C13</f>
        <v>#N/A</v>
      </c>
    </row>
    <row r="40" spans="1:2">
      <c r="A40" t="str">
        <f>'רווח והפסד'!A14</f>
        <v>מזון ומשקאות</v>
      </c>
      <c r="B40" s="212" t="e">
        <f>'רווח והפסד'!C14</f>
        <v>#N/A</v>
      </c>
    </row>
    <row r="41" spans="1:2">
      <c r="A41" t="str">
        <f>'רווח והפסד'!A15</f>
        <v>חברת ניהול</v>
      </c>
      <c r="B41" s="212" t="e">
        <f>'רווח והפסד'!C15</f>
        <v>#N/A</v>
      </c>
    </row>
    <row r="42" spans="1:2">
      <c r="A42" t="str">
        <f>'רווח והפסד'!A16</f>
        <v>עלות שכר עבודה</v>
      </c>
      <c r="B42" s="212">
        <f>'רווח והפסד'!C16</f>
        <v>0</v>
      </c>
    </row>
    <row r="43" spans="1:2">
      <c r="A43" t="str">
        <f>'רווח והפסד'!A20</f>
        <v>שיווק ומכירות</v>
      </c>
      <c r="B43" s="212" t="e">
        <f>'רווח והפסד'!C20+'רווח והפסד'!C33</f>
        <v>#N/A</v>
      </c>
    </row>
    <row r="44" spans="1:2">
      <c r="A44" t="str">
        <f>'רווח והפסד'!A21</f>
        <v>הנהלה וכלליות ללא שכר</v>
      </c>
      <c r="B44" s="212" t="e">
        <f>'רווח והפסד'!C21+'רווח והפסד'!C22+'רווח והפסד'!C24+'רווח והפסד'!C25+'רווח והפסד'!C34</f>
        <v>#N/A</v>
      </c>
    </row>
    <row r="45" spans="1:2">
      <c r="A45" t="str">
        <f>'רווח והפסד'!A26</f>
        <v>פחת</v>
      </c>
      <c r="B45" s="212" t="e">
        <f>'רווח והפסד'!C26</f>
        <v>#N/A</v>
      </c>
    </row>
    <row r="46" spans="1:2">
      <c r="A46" t="str">
        <f>'רווח והפסד'!A27</f>
        <v>אנרגיה</v>
      </c>
      <c r="B46" s="212" t="e">
        <f>'רווח והפסד'!C27+'רווח והפסד'!C32</f>
        <v>#N/A</v>
      </c>
    </row>
    <row r="47" spans="1:2">
      <c r="B47" s="180" t="e">
        <f>SUM(B38:B46)</f>
        <v>#N/A</v>
      </c>
    </row>
  </sheetData>
  <sheetProtection algorithmName="SHA-512" hashValue="aBpM/Afw1qjWAws6+7/l2Y5/rqhyje/5FtHGNfT9TheYQihUY6MDWjXoKNTgpdBECzlGIoWodt3M6CQKAVmZ0w==" saltValue="2W77jVgWrSJ99Zio/5/6OQ==" spinCount="100000" sheet="1" objects="1" scenarios="1"/>
  <pageMargins left="0.70866141732283472" right="0.70866141732283472" top="0.74803149606299213" bottom="0.74803149606299213" header="0.31496062992125984" footer="0.31496062992125984"/>
  <pageSetup paperSize="9" orientation="landscape" verticalDpi="0" r:id="rId1"/>
  <headerFooter>
    <oddFooter>&amp;L&amp;F&amp;C&amp;D</oddFooter>
  </headerFooter>
  <rowBreaks count="1" manualBreakCount="1">
    <brk id="34" max="16383" man="1"/>
  </row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42"/>
  <sheetViews>
    <sheetView rightToLeft="1" workbookViewId="0">
      <selection activeCell="G26" sqref="G26"/>
    </sheetView>
  </sheetViews>
  <sheetFormatPr defaultColWidth="9" defaultRowHeight="14.25" customHeight="1"/>
  <cols>
    <col min="1" max="1" width="11" style="85" bestFit="1" customWidth="1"/>
    <col min="2" max="3" width="8.25" style="85" bestFit="1" customWidth="1"/>
    <col min="4" max="4" width="8" style="85" bestFit="1" customWidth="1"/>
    <col min="5" max="6" width="9.375" style="85" bestFit="1" customWidth="1"/>
    <col min="7" max="7" width="16.75" style="85" bestFit="1" customWidth="1"/>
    <col min="8" max="8" width="11" style="85" bestFit="1" customWidth="1"/>
    <col min="9" max="9" width="7.75" style="85" bestFit="1" customWidth="1"/>
    <col min="10" max="10" width="6.625" style="85" bestFit="1" customWidth="1"/>
    <col min="11" max="11" width="9.625" style="85" bestFit="1" customWidth="1"/>
    <col min="12" max="16384" width="9" style="85"/>
  </cols>
  <sheetData>
    <row r="1" spans="1:11" ht="14.25" customHeight="1">
      <c r="A1" s="612" t="s">
        <v>539</v>
      </c>
      <c r="B1" s="613" t="s">
        <v>540</v>
      </c>
      <c r="C1" s="613" t="s">
        <v>541</v>
      </c>
      <c r="D1" s="614" t="s">
        <v>542</v>
      </c>
      <c r="E1" s="615"/>
      <c r="F1" s="616" t="s">
        <v>541</v>
      </c>
      <c r="G1" s="617" t="s">
        <v>543</v>
      </c>
      <c r="H1" s="618" t="s">
        <v>544</v>
      </c>
      <c r="I1" s="619" t="s">
        <v>99</v>
      </c>
      <c r="J1" s="620" t="s">
        <v>545</v>
      </c>
      <c r="K1" s="621" t="s">
        <v>546</v>
      </c>
    </row>
    <row r="2" spans="1:11" ht="14.25" customHeight="1">
      <c r="A2" s="612"/>
      <c r="B2" s="622" t="s">
        <v>547</v>
      </c>
      <c r="C2" s="617" t="s">
        <v>548</v>
      </c>
      <c r="D2" s="623" t="s">
        <v>549</v>
      </c>
      <c r="E2" s="623" t="s">
        <v>541</v>
      </c>
      <c r="F2" s="596"/>
      <c r="G2" s="624"/>
      <c r="H2" s="625" t="s">
        <v>550</v>
      </c>
      <c r="I2" s="626" t="s">
        <v>545</v>
      </c>
      <c r="J2" s="617" t="s">
        <v>551</v>
      </c>
      <c r="K2" s="627"/>
    </row>
    <row r="3" spans="1:11" ht="14.25" customHeight="1">
      <c r="A3" s="628"/>
      <c r="B3" s="622" t="s">
        <v>552</v>
      </c>
      <c r="C3" s="597"/>
      <c r="D3" s="598"/>
      <c r="E3" s="627"/>
      <c r="F3" s="629" t="s">
        <v>548</v>
      </c>
      <c r="G3" s="630"/>
      <c r="H3" s="631" t="s">
        <v>547</v>
      </c>
      <c r="I3" s="632" t="s">
        <v>553</v>
      </c>
      <c r="J3" s="599"/>
      <c r="K3" s="627"/>
    </row>
    <row r="4" spans="1:11" ht="14.25" customHeight="1">
      <c r="A4" s="628"/>
      <c r="B4" s="622" t="s">
        <v>554</v>
      </c>
      <c r="C4" s="597"/>
      <c r="D4" s="598"/>
      <c r="E4" s="627"/>
      <c r="F4" s="633"/>
      <c r="G4" s="630"/>
      <c r="H4" s="631" t="s">
        <v>555</v>
      </c>
      <c r="I4" s="632" t="s">
        <v>556</v>
      </c>
      <c r="J4" s="599"/>
      <c r="K4" s="627"/>
    </row>
    <row r="5" spans="1:11" ht="14.25" customHeight="1">
      <c r="A5" s="597"/>
      <c r="B5" s="600"/>
      <c r="C5" s="634"/>
      <c r="D5" s="617" t="s">
        <v>557</v>
      </c>
      <c r="E5" s="635" t="s">
        <v>548</v>
      </c>
      <c r="F5" s="636"/>
      <c r="G5" s="630"/>
      <c r="H5" s="637" t="s">
        <v>556</v>
      </c>
      <c r="I5" s="632"/>
      <c r="J5" s="627"/>
      <c r="K5" s="627"/>
    </row>
    <row r="6" spans="1:11" ht="14.25" customHeight="1">
      <c r="A6" s="638" t="s">
        <v>558</v>
      </c>
      <c r="B6" s="639" t="s">
        <v>559</v>
      </c>
      <c r="C6" s="640"/>
      <c r="D6" s="641" t="s">
        <v>560</v>
      </c>
      <c r="E6" s="639" t="s">
        <v>561</v>
      </c>
      <c r="F6" s="601"/>
      <c r="G6" s="638" t="s">
        <v>560</v>
      </c>
      <c r="H6" s="642" t="s">
        <v>558</v>
      </c>
      <c r="I6" s="639" t="s">
        <v>562</v>
      </c>
      <c r="J6" s="643"/>
      <c r="K6" s="644"/>
    </row>
    <row r="7" spans="1:11" ht="14.25" customHeight="1">
      <c r="A7" s="645" t="s">
        <v>563</v>
      </c>
      <c r="B7" s="646" t="s">
        <v>564</v>
      </c>
      <c r="C7" s="647"/>
      <c r="D7" s="648"/>
      <c r="E7" s="649"/>
      <c r="F7" s="601"/>
      <c r="G7" s="650"/>
      <c r="H7" s="645" t="s">
        <v>563</v>
      </c>
      <c r="I7" s="651" t="s">
        <v>419</v>
      </c>
      <c r="J7" s="652"/>
      <c r="K7" s="653"/>
    </row>
    <row r="8" spans="1:11" ht="14.25" customHeight="1">
      <c r="A8" s="654" t="s">
        <v>565</v>
      </c>
      <c r="B8" s="646" t="s">
        <v>566</v>
      </c>
      <c r="C8" s="646"/>
      <c r="D8" s="655" t="s">
        <v>567</v>
      </c>
      <c r="E8" s="646" t="s">
        <v>568</v>
      </c>
      <c r="F8" s="646"/>
      <c r="G8" s="656" t="s">
        <v>569</v>
      </c>
      <c r="H8" s="654" t="s">
        <v>565</v>
      </c>
      <c r="I8" s="646" t="s">
        <v>570</v>
      </c>
      <c r="J8" s="657"/>
      <c r="K8" s="658" t="s">
        <v>564</v>
      </c>
    </row>
    <row r="9" spans="1:11" ht="14.25" customHeight="1">
      <c r="A9" s="654" t="s">
        <v>571</v>
      </c>
      <c r="B9" s="646"/>
      <c r="C9" s="646"/>
      <c r="D9" s="654" t="s">
        <v>572</v>
      </c>
      <c r="E9" s="646"/>
      <c r="F9" s="646"/>
      <c r="G9" s="656"/>
      <c r="H9" s="654" t="s">
        <v>571</v>
      </c>
      <c r="I9" s="646" t="s">
        <v>573</v>
      </c>
      <c r="J9" s="657"/>
      <c r="K9" s="658" t="s">
        <v>564</v>
      </c>
    </row>
    <row r="10" spans="1:11" ht="14.25" customHeight="1">
      <c r="A10" s="602"/>
      <c r="B10" s="603" t="s">
        <v>564</v>
      </c>
      <c r="C10" s="595"/>
      <c r="D10" s="654" t="s">
        <v>574</v>
      </c>
      <c r="E10" s="595"/>
      <c r="F10" s="659"/>
      <c r="G10" s="602"/>
      <c r="H10" s="604"/>
      <c r="I10" s="595"/>
      <c r="J10" s="660"/>
      <c r="K10" s="595"/>
    </row>
    <row r="11" spans="1:11" ht="14.25" customHeight="1">
      <c r="A11" s="741">
        <v>26488</v>
      </c>
      <c r="B11" s="742">
        <v>942.6</v>
      </c>
      <c r="C11" s="742">
        <v>2195.1999999999998</v>
      </c>
      <c r="D11" s="743">
        <v>47.2</v>
      </c>
      <c r="E11" s="744">
        <v>10187.5</v>
      </c>
      <c r="F11" s="744">
        <v>21595.5</v>
      </c>
      <c r="G11" s="743">
        <v>65.900000000000006</v>
      </c>
      <c r="H11" s="745">
        <v>44213</v>
      </c>
      <c r="I11" s="746">
        <v>47501</v>
      </c>
      <c r="J11" s="747">
        <v>335</v>
      </c>
      <c r="K11" s="661" t="s">
        <v>575</v>
      </c>
    </row>
    <row r="12" spans="1:11" ht="14.25" customHeight="1">
      <c r="A12" s="748"/>
      <c r="B12" s="749"/>
      <c r="C12" s="749"/>
      <c r="D12" s="750"/>
      <c r="E12" s="751"/>
      <c r="F12" s="751"/>
      <c r="G12" s="750"/>
      <c r="H12" s="752"/>
      <c r="I12" s="753"/>
      <c r="J12" s="754"/>
      <c r="K12" s="679" t="s">
        <v>538</v>
      </c>
    </row>
    <row r="13" spans="1:11" ht="14.25" customHeight="1">
      <c r="A13" s="748">
        <v>4535</v>
      </c>
      <c r="B13" s="749">
        <v>293.8</v>
      </c>
      <c r="C13" s="749">
        <v>392.5</v>
      </c>
      <c r="D13" s="750">
        <v>87.5</v>
      </c>
      <c r="E13" s="751">
        <v>3527</v>
      </c>
      <c r="F13" s="751">
        <v>4031.5</v>
      </c>
      <c r="G13" s="750">
        <v>66.400000000000006</v>
      </c>
      <c r="H13" s="752">
        <v>8689</v>
      </c>
      <c r="I13" s="753">
        <v>9283</v>
      </c>
      <c r="J13" s="754">
        <v>69</v>
      </c>
      <c r="K13" s="679" t="s">
        <v>576</v>
      </c>
    </row>
    <row r="14" spans="1:11" ht="14.25" customHeight="1">
      <c r="A14" s="748"/>
      <c r="B14" s="749"/>
      <c r="C14" s="749"/>
      <c r="D14" s="750"/>
      <c r="E14" s="751"/>
      <c r="F14" s="751"/>
      <c r="G14" s="750"/>
      <c r="H14" s="752"/>
      <c r="I14" s="755"/>
      <c r="J14" s="754"/>
      <c r="K14" s="680" t="s">
        <v>577</v>
      </c>
    </row>
    <row r="15" spans="1:11" ht="14.25" customHeight="1">
      <c r="A15" s="748">
        <v>3865</v>
      </c>
      <c r="B15" s="749">
        <v>265.5</v>
      </c>
      <c r="C15" s="749">
        <v>351.4</v>
      </c>
      <c r="D15" s="750">
        <v>86.3</v>
      </c>
      <c r="E15" s="751">
        <v>2987.6</v>
      </c>
      <c r="F15" s="751">
        <v>3463.6</v>
      </c>
      <c r="G15" s="750">
        <v>70.3</v>
      </c>
      <c r="H15" s="752">
        <v>7143</v>
      </c>
      <c r="I15" s="753">
        <v>7343</v>
      </c>
      <c r="J15" s="754">
        <v>38</v>
      </c>
      <c r="K15" s="680" t="s">
        <v>578</v>
      </c>
    </row>
    <row r="16" spans="1:11" ht="14.25" customHeight="1">
      <c r="A16" s="756"/>
      <c r="B16" s="757"/>
      <c r="C16" s="757"/>
      <c r="D16" s="758"/>
      <c r="E16" s="759"/>
      <c r="F16" s="759"/>
      <c r="G16" s="758"/>
      <c r="H16" s="760"/>
      <c r="I16" s="759"/>
      <c r="J16" s="758"/>
      <c r="K16" s="680" t="s">
        <v>579</v>
      </c>
    </row>
    <row r="17" spans="1:12" ht="14.25" customHeight="1">
      <c r="A17" s="761">
        <v>3291</v>
      </c>
      <c r="B17" s="762">
        <v>267.8</v>
      </c>
      <c r="C17" s="762">
        <v>400.5</v>
      </c>
      <c r="D17" s="763">
        <v>82.6</v>
      </c>
      <c r="E17" s="764">
        <v>2168.5</v>
      </c>
      <c r="F17" s="764">
        <v>2626.9</v>
      </c>
      <c r="G17" s="763">
        <v>75.2</v>
      </c>
      <c r="H17" s="765">
        <v>6122</v>
      </c>
      <c r="I17" s="766">
        <v>6403</v>
      </c>
      <c r="J17" s="767">
        <v>48</v>
      </c>
      <c r="K17" s="681" t="s">
        <v>580</v>
      </c>
    </row>
    <row r="18" spans="1:12" ht="14.25" customHeight="1">
      <c r="A18" s="768"/>
      <c r="B18" s="769"/>
      <c r="C18" s="769"/>
      <c r="D18" s="770"/>
      <c r="E18" s="771"/>
      <c r="F18" s="771"/>
      <c r="G18" s="770"/>
      <c r="H18" s="772"/>
      <c r="I18" s="771"/>
      <c r="J18" s="770"/>
      <c r="K18" s="681" t="s">
        <v>581</v>
      </c>
    </row>
    <row r="19" spans="1:12" ht="14.25" customHeight="1">
      <c r="A19" s="773">
        <v>1082</v>
      </c>
      <c r="B19" s="774">
        <v>27.7</v>
      </c>
      <c r="C19" s="774">
        <v>72.7</v>
      </c>
      <c r="D19" s="775">
        <v>50.3</v>
      </c>
      <c r="E19" s="776">
        <v>270.10000000000002</v>
      </c>
      <c r="F19" s="776">
        <v>537</v>
      </c>
      <c r="G19" s="775">
        <v>66.8</v>
      </c>
      <c r="H19" s="777">
        <v>1296</v>
      </c>
      <c r="I19" s="778">
        <v>1458</v>
      </c>
      <c r="J19" s="779">
        <v>13</v>
      </c>
      <c r="K19" s="684" t="s">
        <v>582</v>
      </c>
      <c r="L19" s="85" t="s">
        <v>603</v>
      </c>
    </row>
    <row r="20" spans="1:12" ht="14.25" customHeight="1">
      <c r="A20" s="780">
        <v>7351</v>
      </c>
      <c r="B20" s="781">
        <v>93.9</v>
      </c>
      <c r="C20" s="781">
        <v>562.6</v>
      </c>
      <c r="D20" s="782">
        <v>14.7</v>
      </c>
      <c r="E20" s="783">
        <v>957.5</v>
      </c>
      <c r="F20" s="783">
        <v>6525.5</v>
      </c>
      <c r="G20" s="782">
        <v>67.7</v>
      </c>
      <c r="H20" s="784">
        <v>10602</v>
      </c>
      <c r="I20" s="785">
        <v>10914</v>
      </c>
      <c r="J20" s="786">
        <v>50</v>
      </c>
      <c r="K20" s="682" t="s">
        <v>583</v>
      </c>
    </row>
    <row r="21" spans="1:12" ht="14.25" customHeight="1">
      <c r="A21" s="787" t="s">
        <v>584</v>
      </c>
      <c r="B21" s="787" t="s">
        <v>584</v>
      </c>
      <c r="C21" s="788" t="s">
        <v>584</v>
      </c>
      <c r="D21" s="789">
        <v>32.6</v>
      </c>
      <c r="E21" s="790">
        <v>45.1</v>
      </c>
      <c r="F21" s="790">
        <v>138.5</v>
      </c>
      <c r="G21" s="789">
        <v>42.7</v>
      </c>
      <c r="H21" s="791">
        <v>489</v>
      </c>
      <c r="I21" s="792">
        <v>538</v>
      </c>
      <c r="J21" s="793">
        <v>4</v>
      </c>
      <c r="K21" s="662" t="s">
        <v>585</v>
      </c>
    </row>
    <row r="22" spans="1:12" ht="14.25" customHeight="1">
      <c r="A22" s="787" t="s">
        <v>584</v>
      </c>
      <c r="B22" s="787" t="s">
        <v>584</v>
      </c>
      <c r="C22" s="788" t="s">
        <v>584</v>
      </c>
      <c r="D22" s="789">
        <v>29.4</v>
      </c>
      <c r="E22" s="790">
        <v>26.6</v>
      </c>
      <c r="F22" s="790">
        <v>90.7</v>
      </c>
      <c r="G22" s="789">
        <v>46.1</v>
      </c>
      <c r="H22" s="791">
        <v>328</v>
      </c>
      <c r="I22" s="792">
        <v>456</v>
      </c>
      <c r="J22" s="793">
        <v>5</v>
      </c>
      <c r="K22" s="662" t="s">
        <v>586</v>
      </c>
    </row>
    <row r="23" spans="1:12" ht="14.25" customHeight="1">
      <c r="A23" s="794" t="s">
        <v>584</v>
      </c>
      <c r="B23" s="794" t="s">
        <v>584</v>
      </c>
      <c r="C23" s="795" t="s">
        <v>584</v>
      </c>
      <c r="D23" s="775">
        <v>71.400000000000006</v>
      </c>
      <c r="E23" s="776">
        <v>70.900000000000006</v>
      </c>
      <c r="F23" s="776">
        <v>99.3</v>
      </c>
      <c r="G23" s="775">
        <v>65.8</v>
      </c>
      <c r="H23" s="777">
        <v>227</v>
      </c>
      <c r="I23" s="778">
        <v>526</v>
      </c>
      <c r="J23" s="779">
        <v>5</v>
      </c>
      <c r="K23" s="684" t="s">
        <v>587</v>
      </c>
      <c r="L23" s="85" t="s">
        <v>603</v>
      </c>
    </row>
    <row r="24" spans="1:12" ht="14.25" customHeight="1">
      <c r="A24" s="796">
        <v>594</v>
      </c>
      <c r="B24" s="797">
        <v>40</v>
      </c>
      <c r="C24" s="798">
        <v>74.599999999999994</v>
      </c>
      <c r="D24" s="775">
        <v>72.900000000000006</v>
      </c>
      <c r="E24" s="776">
        <v>197.9</v>
      </c>
      <c r="F24" s="776">
        <v>271.60000000000002</v>
      </c>
      <c r="G24" s="775">
        <v>68.7</v>
      </c>
      <c r="H24" s="777">
        <v>693</v>
      </c>
      <c r="I24" s="778">
        <v>691</v>
      </c>
      <c r="J24" s="779">
        <v>5</v>
      </c>
      <c r="K24" s="684" t="s">
        <v>588</v>
      </c>
      <c r="L24" s="85" t="s">
        <v>603</v>
      </c>
    </row>
    <row r="25" spans="1:12" ht="14.25" customHeight="1">
      <c r="A25" s="787" t="s">
        <v>584</v>
      </c>
      <c r="B25" s="787" t="s">
        <v>584</v>
      </c>
      <c r="C25" s="788" t="s">
        <v>584</v>
      </c>
      <c r="D25" s="789">
        <v>20.9</v>
      </c>
      <c r="E25" s="790">
        <v>20.7</v>
      </c>
      <c r="F25" s="790">
        <v>99.2</v>
      </c>
      <c r="G25" s="789">
        <v>42.7</v>
      </c>
      <c r="H25" s="791">
        <v>277</v>
      </c>
      <c r="I25" s="792">
        <v>388</v>
      </c>
      <c r="J25" s="793">
        <v>4</v>
      </c>
      <c r="K25" s="662" t="s">
        <v>589</v>
      </c>
    </row>
    <row r="26" spans="1:12" ht="14.25" customHeight="1">
      <c r="A26" s="799"/>
      <c r="B26" s="800"/>
      <c r="C26" s="801"/>
      <c r="D26" s="802"/>
      <c r="E26" s="803"/>
      <c r="F26" s="803"/>
      <c r="G26" s="802"/>
      <c r="H26" s="804"/>
      <c r="I26" s="803"/>
      <c r="J26" s="802"/>
      <c r="K26" s="662"/>
    </row>
    <row r="27" spans="1:12" ht="14.25" customHeight="1">
      <c r="A27" s="805">
        <v>2082</v>
      </c>
      <c r="B27" s="806">
        <v>48.2</v>
      </c>
      <c r="C27" s="807">
        <v>129.6</v>
      </c>
      <c r="D27" s="808">
        <v>47.4</v>
      </c>
      <c r="E27" s="809">
        <v>785.3</v>
      </c>
      <c r="F27" s="809">
        <v>1657.6</v>
      </c>
      <c r="G27" s="808">
        <v>60</v>
      </c>
      <c r="H27" s="810">
        <v>3627</v>
      </c>
      <c r="I27" s="811">
        <v>3927</v>
      </c>
      <c r="J27" s="812">
        <v>31</v>
      </c>
      <c r="K27" s="685" t="s">
        <v>590</v>
      </c>
    </row>
    <row r="28" spans="1:12" ht="14.25" customHeight="1">
      <c r="A28" s="787" t="s">
        <v>584</v>
      </c>
      <c r="B28" s="787" t="s">
        <v>584</v>
      </c>
      <c r="C28" s="788" t="s">
        <v>584</v>
      </c>
      <c r="D28" s="789">
        <v>23.8</v>
      </c>
      <c r="E28" s="790">
        <v>31.4</v>
      </c>
      <c r="F28" s="790">
        <v>132</v>
      </c>
      <c r="G28" s="789">
        <v>43.2</v>
      </c>
      <c r="H28" s="791">
        <v>437</v>
      </c>
      <c r="I28" s="792">
        <v>511</v>
      </c>
      <c r="J28" s="793">
        <v>7</v>
      </c>
      <c r="K28" s="662" t="s">
        <v>591</v>
      </c>
    </row>
    <row r="29" spans="1:12" ht="14.25" customHeight="1">
      <c r="A29" s="796">
        <v>595</v>
      </c>
      <c r="B29" s="797">
        <v>21.5</v>
      </c>
      <c r="C29" s="798">
        <v>39.200000000000003</v>
      </c>
      <c r="D29" s="775">
        <v>68.8</v>
      </c>
      <c r="E29" s="776">
        <v>366.1</v>
      </c>
      <c r="F29" s="776">
        <v>532.20000000000005</v>
      </c>
      <c r="G29" s="775">
        <v>61.9</v>
      </c>
      <c r="H29" s="777">
        <v>1234</v>
      </c>
      <c r="I29" s="778">
        <v>1539</v>
      </c>
      <c r="J29" s="779">
        <v>18</v>
      </c>
      <c r="K29" s="684" t="s">
        <v>592</v>
      </c>
      <c r="L29" s="85" t="s">
        <v>603</v>
      </c>
    </row>
    <row r="30" spans="1:12" ht="14.25" customHeight="1">
      <c r="A30" s="787" t="s">
        <v>584</v>
      </c>
      <c r="B30" s="787" t="s">
        <v>584</v>
      </c>
      <c r="C30" s="788" t="s">
        <v>584</v>
      </c>
      <c r="D30" s="789">
        <v>43.7</v>
      </c>
      <c r="E30" s="790">
        <v>42.4</v>
      </c>
      <c r="F30" s="790">
        <v>97.1</v>
      </c>
      <c r="G30" s="789">
        <v>32.700000000000003</v>
      </c>
      <c r="H30" s="791">
        <v>389</v>
      </c>
      <c r="I30" s="792">
        <v>388</v>
      </c>
      <c r="J30" s="793">
        <v>3</v>
      </c>
      <c r="K30" s="662" t="s">
        <v>593</v>
      </c>
    </row>
    <row r="31" spans="1:12" ht="14.25" customHeight="1">
      <c r="A31" s="787" t="s">
        <v>584</v>
      </c>
      <c r="B31" s="787" t="s">
        <v>584</v>
      </c>
      <c r="C31" s="788" t="s">
        <v>584</v>
      </c>
      <c r="D31" s="789">
        <v>25.7</v>
      </c>
      <c r="E31" s="790">
        <v>28.4</v>
      </c>
      <c r="F31" s="790">
        <v>110.6</v>
      </c>
      <c r="G31" s="789">
        <v>46.9</v>
      </c>
      <c r="H31" s="791">
        <v>325</v>
      </c>
      <c r="I31" s="792">
        <v>346</v>
      </c>
      <c r="J31" s="793">
        <v>6</v>
      </c>
      <c r="K31" s="662" t="s">
        <v>594</v>
      </c>
    </row>
    <row r="32" spans="1:12" ht="14.25" customHeight="1">
      <c r="A32" s="794" t="s">
        <v>584</v>
      </c>
      <c r="B32" s="794" t="s">
        <v>584</v>
      </c>
      <c r="C32" s="795" t="s">
        <v>584</v>
      </c>
      <c r="D32" s="775">
        <v>56.1</v>
      </c>
      <c r="E32" s="776">
        <v>98.9</v>
      </c>
      <c r="F32" s="776">
        <v>176.3</v>
      </c>
      <c r="G32" s="775">
        <v>70</v>
      </c>
      <c r="H32" s="777">
        <v>464</v>
      </c>
      <c r="I32" s="778">
        <v>540</v>
      </c>
      <c r="J32" s="779">
        <v>3</v>
      </c>
      <c r="K32" s="684" t="s">
        <v>595</v>
      </c>
      <c r="L32" s="85" t="s">
        <v>603</v>
      </c>
    </row>
    <row r="33" spans="1:11" ht="14.25" customHeight="1">
      <c r="A33" s="813">
        <v>2608</v>
      </c>
      <c r="B33" s="814">
        <v>59.2</v>
      </c>
      <c r="C33" s="815">
        <v>234.6</v>
      </c>
      <c r="D33" s="816">
        <v>26.4</v>
      </c>
      <c r="E33" s="817">
        <v>578.9</v>
      </c>
      <c r="F33" s="817">
        <v>2195.3000000000002</v>
      </c>
      <c r="G33" s="816">
        <v>73.900000000000006</v>
      </c>
      <c r="H33" s="818">
        <v>3973</v>
      </c>
      <c r="I33" s="819">
        <v>4011</v>
      </c>
      <c r="J33" s="820">
        <v>15</v>
      </c>
      <c r="K33" s="683" t="s">
        <v>596</v>
      </c>
    </row>
    <row r="34" spans="1:11" ht="14.25" customHeight="1">
      <c r="A34" s="821"/>
      <c r="B34" s="822"/>
      <c r="C34" s="823"/>
      <c r="D34" s="824"/>
      <c r="E34" s="825"/>
      <c r="F34" s="825"/>
      <c r="G34" s="824"/>
      <c r="H34" s="826"/>
      <c r="I34" s="825"/>
      <c r="J34" s="824"/>
      <c r="K34" s="683" t="s">
        <v>597</v>
      </c>
    </row>
    <row r="35" spans="1:11" ht="14.25" customHeight="1">
      <c r="A35" s="827"/>
      <c r="B35" s="828"/>
      <c r="C35" s="829"/>
      <c r="D35" s="789"/>
      <c r="E35" s="790"/>
      <c r="F35" s="790"/>
      <c r="G35" s="789"/>
      <c r="H35" s="791"/>
      <c r="I35" s="792"/>
      <c r="J35" s="793"/>
      <c r="K35" s="662" t="s">
        <v>598</v>
      </c>
    </row>
    <row r="36" spans="1:11" ht="14.25" customHeight="1">
      <c r="A36" s="830">
        <v>1898</v>
      </c>
      <c r="B36" s="831">
        <v>40.200000000000003</v>
      </c>
      <c r="C36" s="832">
        <v>142.1</v>
      </c>
      <c r="D36" s="789">
        <v>41.8</v>
      </c>
      <c r="E36" s="790">
        <v>618</v>
      </c>
      <c r="F36" s="790">
        <v>1478.1</v>
      </c>
      <c r="G36" s="789">
        <v>63.3</v>
      </c>
      <c r="H36" s="791">
        <v>2929</v>
      </c>
      <c r="I36" s="792">
        <v>2894</v>
      </c>
      <c r="J36" s="793">
        <v>19</v>
      </c>
      <c r="K36" s="662" t="s">
        <v>599</v>
      </c>
    </row>
    <row r="37" spans="1:11" ht="14.25" customHeight="1">
      <c r="A37" s="663"/>
      <c r="B37" s="664"/>
      <c r="C37" s="664"/>
      <c r="D37" s="665"/>
      <c r="E37" s="666"/>
      <c r="F37" s="666"/>
      <c r="G37" s="665"/>
      <c r="H37" s="605"/>
      <c r="I37" s="606"/>
      <c r="J37" s="667"/>
      <c r="K37" s="668" t="s">
        <v>600</v>
      </c>
    </row>
    <row r="38" spans="1:11" ht="14.25" customHeight="1">
      <c r="A38" s="607"/>
      <c r="B38" s="608"/>
      <c r="C38" s="608"/>
      <c r="D38" s="609"/>
      <c r="E38" s="610"/>
      <c r="F38" s="610"/>
      <c r="G38" s="609"/>
      <c r="H38" s="611"/>
      <c r="I38" s="610"/>
      <c r="J38" s="669"/>
      <c r="K38" s="662" t="s">
        <v>601</v>
      </c>
    </row>
    <row r="39" spans="1:11" ht="14.25" customHeight="1">
      <c r="A39" s="670"/>
      <c r="B39" s="671"/>
      <c r="C39" s="671"/>
      <c r="D39" s="672"/>
      <c r="E39" s="673"/>
      <c r="F39" s="673"/>
      <c r="G39" s="672"/>
      <c r="H39" s="674"/>
      <c r="I39" s="675"/>
      <c r="J39" s="676"/>
      <c r="K39" s="677" t="s">
        <v>602</v>
      </c>
    </row>
    <row r="40" spans="1:11" ht="14.25" customHeight="1">
      <c r="A40" s="595"/>
      <c r="B40" s="595"/>
      <c r="C40" s="595"/>
      <c r="D40" s="678"/>
      <c r="E40" s="595"/>
      <c r="F40" s="595"/>
      <c r="G40" s="595"/>
      <c r="H40" s="595"/>
      <c r="I40" s="595"/>
      <c r="J40" s="595"/>
      <c r="K40" s="595"/>
    </row>
    <row r="41" spans="1:11" ht="14.25" customHeight="1">
      <c r="A41" s="595"/>
      <c r="B41" s="595"/>
      <c r="C41" s="595"/>
      <c r="D41" s="595"/>
      <c r="E41" s="595"/>
      <c r="F41" s="595"/>
      <c r="G41" s="595"/>
      <c r="H41" s="595"/>
      <c r="I41" s="595"/>
      <c r="J41" s="595"/>
      <c r="K41" s="595"/>
    </row>
    <row r="42" spans="1:11" ht="14.25" customHeight="1">
      <c r="A42" s="595"/>
      <c r="B42" s="595"/>
      <c r="C42" s="595"/>
      <c r="D42" s="595"/>
      <c r="E42" s="595"/>
      <c r="F42" s="595"/>
      <c r="G42" s="595"/>
      <c r="H42" s="595"/>
      <c r="I42" s="595"/>
      <c r="J42" s="595"/>
      <c r="K42" s="595"/>
    </row>
  </sheetData>
  <sheetProtection password="C611" sheet="1" objects="1" scenarios="1" selectLockedCells="1" selectUnlockedCells="1"/>
  <pageMargins left="0" right="0" top="0" bottom="0" header="0.31496062992125984" footer="0.31496062992125984"/>
  <pageSetup paperSize="9" orientation="landscape" verticalDpi="0" r:id="rId1"/>
  <headerFooter>
    <oddHeader xml:space="preserve">&amp;C&amp;"-,מודגש"&amp;14&amp;Eשיעורי תפוסה בישובים נבחרים
</oddHeader>
    <oddFooter>&amp;L&amp;F&amp;C&amp;D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29</vt:i4>
      </vt:variant>
      <vt:variant>
        <vt:lpstr>טווחים בעלי שם</vt:lpstr>
      </vt:variant>
      <vt:variant>
        <vt:i4>28</vt:i4>
      </vt:variant>
    </vt:vector>
  </HeadingPairs>
  <TitlesOfParts>
    <vt:vector size="57" baseType="lpstr">
      <vt:lpstr>שם הסקר</vt:lpstr>
      <vt:lpstr>תפריט</vt:lpstr>
      <vt:lpstr>מנהל</vt:lpstr>
      <vt:lpstr>נתוני חברה</vt:lpstr>
      <vt:lpstr>נתוני הקמה</vt:lpstr>
      <vt:lpstr>תקרת השקעה</vt:lpstr>
      <vt:lpstr>מקורות מימון</vt:lpstr>
      <vt:lpstr>נ.בסיס לינה</vt:lpstr>
      <vt:lpstr>הכנסות לינה</vt:lpstr>
      <vt:lpstr>מזון ומשקאות</vt:lpstr>
      <vt:lpstr>הכנסות נוספות</vt:lpstr>
      <vt:lpstr>הוצאות</vt:lpstr>
      <vt:lpstr>פחת</vt:lpstr>
      <vt:lpstr>כח אדם</vt:lpstr>
      <vt:lpstr>קבועות</vt:lpstr>
      <vt:lpstr>רווח והפסד</vt:lpstr>
      <vt:lpstr>מימון</vt:lpstr>
      <vt:lpstr>חישוב הלוואה</vt:lpstr>
      <vt:lpstr>כדאיות למשק</vt:lpstr>
      <vt:lpstr>כדאיות לפירמה</vt:lpstr>
      <vt:lpstr>כדאיות ליזם</vt:lpstr>
      <vt:lpstr>תזרים מזומנים</vt:lpstr>
      <vt:lpstr>רגישות</vt:lpstr>
      <vt:lpstr>גיליון1</vt:lpstr>
      <vt:lpstr>נתוני השוואה</vt:lpstr>
      <vt:lpstr>ריכוז</vt:lpstr>
      <vt:lpstr>דוחות</vt:lpstr>
      <vt:lpstr>גרפים</vt:lpstr>
      <vt:lpstr>נתוני תפוסה</vt:lpstr>
      <vt:lpstr>Beg_Bal</vt:lpstr>
      <vt:lpstr>Data</vt:lpstr>
      <vt:lpstr>End_Bal</vt:lpstr>
      <vt:lpstr>Extra_Pay</vt:lpstr>
      <vt:lpstr>Full_Print</vt:lpstr>
      <vt:lpstr>Int</vt:lpstr>
      <vt:lpstr>Interest_Rate</vt:lpstr>
      <vt:lpstr>Loan_Amount</vt:lpstr>
      <vt:lpstr>Loan_Start</vt:lpstr>
      <vt:lpstr>Loan_Years</vt:lpstr>
      <vt:lpstr>Num_Pmt_Per_Year</vt:lpstr>
      <vt:lpstr>Pay_Date</vt:lpstr>
      <vt:lpstr>Pay_Num</vt:lpstr>
      <vt:lpstr>Princ</vt:lpstr>
      <vt:lpstr>Sched_Pay</vt:lpstr>
      <vt:lpstr>Scheduled_Extra_Payments</vt:lpstr>
      <vt:lpstr>Scheduled_Interest_Rate</vt:lpstr>
      <vt:lpstr>Scheduled_Monthly_Payment</vt:lpstr>
      <vt:lpstr>Total_Interest</vt:lpstr>
      <vt:lpstr>Total_Pay</vt:lpstr>
      <vt:lpstr>'הכנסות לינה'!WPrint_Area_W</vt:lpstr>
      <vt:lpstr>'מזון ומשקאות'!WPrint_Area_W</vt:lpstr>
      <vt:lpstr>'נ.בסיס לינה'!WPrint_Area_W</vt:lpstr>
      <vt:lpstr>רגישות!WPrint_Area_W</vt:lpstr>
      <vt:lpstr>'שם הסקר'!WPrint_Area_W</vt:lpstr>
      <vt:lpstr>'תקרת השקעה'!WPrint_Area_W</vt:lpstr>
      <vt:lpstr>'כח אדם'!WPrint_TitlesW</vt:lpstr>
      <vt:lpstr>'רווח והפסד'!WPrint_TitlesW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Danny Gur</cp:lastModifiedBy>
  <cp:lastPrinted>2010-05-26T13:08:27Z</cp:lastPrinted>
  <dcterms:created xsi:type="dcterms:W3CDTF">2010-02-04T15:00:35Z</dcterms:created>
  <dcterms:modified xsi:type="dcterms:W3CDTF">2024-10-20T10:51:59Z</dcterms:modified>
</cp:coreProperties>
</file>