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Default Extension="wdp" ContentType="image/vnd.ms-photo"/>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drawings/drawing3.xml" ContentType="application/vnd.openxmlformats-officedocument.drawing+xml"/>
  <Override PartName="/xl/ctrlProps/ctrlProp1.xml" ContentType="application/vnd.ms-excel.controlproperties+xml"/>
  <Override PartName="/xl/ctrlProps/ctrlProp2.xml" ContentType="application/vnd.ms-excel.controlproperties+xml"/>
  <Override PartName="/xl/comments1.xml" ContentType="application/vnd.openxmlformats-officedocument.spreadsheetml.comments+xml"/>
  <Override PartName="/xl/drawings/drawing4.xml" ContentType="application/vnd.openxmlformats-officedocument.drawing+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drawings/drawing6.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6.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5"/>
  <workbookPr defaultThemeVersion="166925"/>
  <mc:AlternateContent xmlns:mc="http://schemas.openxmlformats.org/markup-compatibility/2006">
    <mc:Choice Requires="x15">
      <x15ac:absPath xmlns:x15ac="http://schemas.microsoft.com/office/spreadsheetml/2010/11/ac" url="/Users/drewhaggerty/Downloads/"/>
    </mc:Choice>
  </mc:AlternateContent>
  <xr:revisionPtr revIDLastSave="0" documentId="8_{970929A4-3DAC-C14C-9BB9-3023B6D22536}" xr6:coauthVersionLast="36" xr6:coauthVersionMax="36" xr10:uidLastSave="{00000000-0000-0000-0000-000000000000}"/>
  <bookViews>
    <workbookView xWindow="0" yWindow="0" windowWidth="25600" windowHeight="16000" activeTab="5" xr2:uid="{408F6E8B-10EE-4C18-8E6F-129B59A9091C}"/>
  </bookViews>
  <sheets>
    <sheet name="Menu" sheetId="7" r:id="rId1"/>
    <sheet name="Summary" sheetId="8" r:id="rId2"/>
    <sheet name="CB_DATA_" sheetId="12" state="veryHidden" r:id="rId3"/>
    <sheet name="Control Panel" sheetId="3" r:id="rId4"/>
    <sheet name="DCF Model" sheetId="2" r:id="rId5"/>
    <sheet name="Financial Statement Information" sheetId="1" r:id="rId6"/>
    <sheet name="NIKE BETA" sheetId="5" r:id="rId7"/>
    <sheet name="USTBill TYX" sheetId="6" r:id="rId8"/>
    <sheet name="Ratio Analysis" sheetId="19" r:id="rId9"/>
    <sheet name="DuPont" sheetId="14" r:id="rId10"/>
    <sheet name="Multiple Valuation" sheetId="15" r:id="rId11"/>
    <sheet name="Floating Bars" sheetId="18" r:id="rId12"/>
    <sheet name="Crystal Ball Report" sheetId="17" r:id="rId13"/>
  </sheets>
  <definedNames>
    <definedName name="CB_1cc3bbece4514d88b1b51e5d6fb38580" localSheetId="3" hidden="1">'Control Panel'!$D$76</definedName>
    <definedName name="CB_22c990d9e1084b7f98f130cddac021c8" localSheetId="3" hidden="1">'Control Panel'!$C$76</definedName>
    <definedName name="CB_5e58d619cb45474b934fe9021123a559" localSheetId="3" hidden="1">'Control Panel'!$I$76</definedName>
    <definedName name="CB_7125d91a2a0a4d859bf35d629727073b" localSheetId="3" hidden="1">'Control Panel'!$H$76</definedName>
    <definedName name="CB_83aa5aafafd24542b2828e36bd9891fc" localSheetId="3" hidden="1">'Control Panel'!$F$76</definedName>
    <definedName name="CB_9cefd572484342b48a2affbedde1034a" localSheetId="3" hidden="1">'Control Panel'!$E$76</definedName>
    <definedName name="CB_Block_00000000000000000000000000000000" localSheetId="3" hidden="1">"'7.0.0.0"</definedName>
    <definedName name="CB_Block_00000000000000000000000000000001" localSheetId="2" hidden="1">"'637097855869760525"</definedName>
    <definedName name="CB_Block_00000000000000000000000000000001" localSheetId="3" hidden="1">"'637097855870050163"</definedName>
    <definedName name="CB_Block_00000000000000000000000000000003" localSheetId="3" hidden="1">"'11.1.4323.0"</definedName>
    <definedName name="CB_BlockExt_00000000000000000000000000000003" localSheetId="3" hidden="1">"'11.1.2.4.400"</definedName>
    <definedName name="CB_e7a883ce06c14eddb233052522fa6800" localSheetId="3" hidden="1">'Control Panel'!$G$76</definedName>
    <definedName name="CBCR_05e26dcf1b264e5fba748506167829db" localSheetId="3" hidden="1">'Control Panel'!$D$70</definedName>
    <definedName name="CBCR_21bd3f76066842aa980e9c6bdcbcb4cd" localSheetId="3" hidden="1">MAX('Control Panel'!$G$72:$G$74)</definedName>
    <definedName name="CBCR_2a145902c6444f5b9674a7896578376c" localSheetId="3" hidden="1">MAX('Control Panel'!$E$72:$E$74)</definedName>
    <definedName name="CBCR_2ceec2878448405ea20f3a5247692ecc" localSheetId="3" hidden="1">MEDIAN('Control Panel'!$D$72:$D$74)</definedName>
    <definedName name="CBCR_343bbf01c77c44b79c69e17974a18d64" localSheetId="3" hidden="1">'Control Panel'!$H$70</definedName>
    <definedName name="CBCR_3700439660764d3fadd5fe34b1dc33be" localSheetId="3" hidden="1">MIN('Control Panel'!$G$72:$G$74)</definedName>
    <definedName name="CBCR_3d12b5a9266f4dd5984d14d29c9ee021" localSheetId="3" hidden="1">MIN('Control Panel'!$I$72:$I$74)</definedName>
    <definedName name="CBCR_40a27983f56744d59f4ed6b9a31b45f0" localSheetId="3" hidden="1">'Control Panel'!$G$70</definedName>
    <definedName name="CBCR_560ddcfb0fa04bb5848120a103b6df83" localSheetId="3" hidden="1">MAX('Control Panel'!$F$72:$F$74)</definedName>
    <definedName name="CBCR_5ccedf8e94a14589b8d4dde807efa071" localSheetId="3" hidden="1">MEDIAN('Control Panel'!$I$72:$I$74)</definedName>
    <definedName name="CBCR_5dff00acf3d84ff28f899df8302c943c" localSheetId="3" hidden="1">MEDIAN('Control Panel'!$C$72:$C$74)</definedName>
    <definedName name="CBCR_652ffbd5c73145d3afb08f68b25c1642" localSheetId="3" hidden="1">MAX('Control Panel'!$C$72:$C$74)</definedName>
    <definedName name="CBCR_6d14c1b217b74fcc8b7ed5f2bd08a03d" localSheetId="3" hidden="1">MIN('Control Panel'!$E$72:$E$74)</definedName>
    <definedName name="CBCR_762bf5ee2d524facaf5673e6853d3ce7" localSheetId="3" hidden="1">MEDIAN('Control Panel'!$E$72:$E$74)</definedName>
    <definedName name="CBCR_7f879a9f5e994093a3ebbdacdbade2b9" localSheetId="3" hidden="1">MEDIAN('Control Panel'!$G$72:$G$74)</definedName>
    <definedName name="CBCR_8290b13438d04f4aa160f649e992acae" localSheetId="3" hidden="1">MIN('Control Panel'!$F$72:$F$74)</definedName>
    <definedName name="CBCR_84222c52e63746e3acc84919ae7d6c94" localSheetId="3" hidden="1">'Control Panel'!$C$70</definedName>
    <definedName name="CBCR_8836e59d9f65480ba393c0e2ab1fa853" localSheetId="3" hidden="1">MIN('Control Panel'!$C$72:$C$74)</definedName>
    <definedName name="CBCR_8e03f548d64c47ec8879f28bc954b317" localSheetId="3" hidden="1">MEDIAN('Control Panel'!$F$72:$F$74)</definedName>
    <definedName name="CBCR_985acacfcad04c4aa1b32b041f24b3bf" localSheetId="3" hidden="1">MEDIAN('Control Panel'!$H$72:$H$74)</definedName>
    <definedName name="CBCR_a9fd09c165c040a9a0d5c1bfc8f89b05" localSheetId="3" hidden="1">MAX('Control Panel'!$D$72:$D$74)</definedName>
    <definedName name="CBCR_b57e14464d23444da4b7524a52f603f2" localSheetId="3" hidden="1">'Control Panel'!$I$70</definedName>
    <definedName name="CBCR_b897897229bf4a74b70e17b28ab06fba" localSheetId="3" hidden="1">'Control Panel'!$E$70</definedName>
    <definedName name="CBCR_d772f23bb9e744c8af3aded68e25b6c5" localSheetId="3" hidden="1">MIN('Control Panel'!$H$72:$H$74)</definedName>
    <definedName name="CBCR_d8b927a28baf47958c7e5dfaa06de31d" localSheetId="3" hidden="1">MAX('Control Panel'!$I$72:$I$74)</definedName>
    <definedName name="CBCR_ec7df5e3498f46dc8581829848f43b63" localSheetId="3" hidden="1">MIN('Control Panel'!$D$72:$D$74)</definedName>
    <definedName name="CBCR_f02d57fa11404f1cabf47f1dad2843c3" localSheetId="3" hidden="1">'Control Panel'!$F$70</definedName>
    <definedName name="CBCR_fe72e94bb8224948a0052888d61dd6a3" localSheetId="3" hidden="1">MAX('Control Panel'!$H$72:$H$74)</definedName>
    <definedName name="CBWorkbookPriority" localSheetId="2" hidden="1">-1601907181808970</definedName>
    <definedName name="CBx_8414232b49dc41458fc0d5cce593fa32" localSheetId="2" hidden="1">"'Control Panel'!$A$1"</definedName>
    <definedName name="CBx_a7afc7dcf5a548f4b28fcad0979da16e" localSheetId="2" hidden="1">"'CB_DATA_'!$A$1"</definedName>
    <definedName name="CBx_Sheet_Guid" localSheetId="2" hidden="1">"'a7afc7dc-f5a5-48f4-b28f-cad0979da16e"</definedName>
    <definedName name="CBx_Sheet_Guid" localSheetId="3" hidden="1">"'8414232b-49dc-4145-8fc0-d5cce593fa32"</definedName>
    <definedName name="CBx_SheetRef" localSheetId="2" hidden="1">CB_DATA_!$A$14</definedName>
    <definedName name="CBx_SheetRef" localSheetId="3" hidden="1">CB_DATA_!$B$14</definedName>
    <definedName name="CBx_StorageType" localSheetId="2" hidden="1">2</definedName>
    <definedName name="CBx_StorageType" localSheetId="3" hidden="1">2</definedName>
    <definedName name="_xlnm.Print_Area" localSheetId="12">'Crystal Ball Report'!$A$6:$J$261</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71" i="3" l="1"/>
  <c r="F71" i="3"/>
  <c r="C32" i="3" l="1"/>
  <c r="C15" i="3"/>
  <c r="C22" i="3"/>
  <c r="C23" i="3"/>
  <c r="C24" i="3"/>
  <c r="C48" i="3"/>
  <c r="C21" i="3"/>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B10" i="6"/>
  <c r="C44" i="3"/>
  <c r="D9" i="19"/>
  <c r="C9" i="19"/>
  <c r="D10" i="19"/>
  <c r="I55" i="2"/>
  <c r="I12" i="2" s="1"/>
  <c r="H9" i="1"/>
  <c r="H12" i="2"/>
  <c r="H71" i="3"/>
  <c r="I56" i="2"/>
  <c r="J56" i="2" s="1"/>
  <c r="H10" i="1"/>
  <c r="H13" i="2"/>
  <c r="I57" i="2"/>
  <c r="I14" i="2" s="1"/>
  <c r="H11" i="1"/>
  <c r="H14" i="2"/>
  <c r="I59" i="2"/>
  <c r="I16" i="2" s="1"/>
  <c r="H13" i="1"/>
  <c r="H16" i="2"/>
  <c r="K7" i="2"/>
  <c r="E104" i="1"/>
  <c r="E105" i="1"/>
  <c r="E106" i="1"/>
  <c r="E107" i="1"/>
  <c r="E108" i="1"/>
  <c r="E111" i="1"/>
  <c r="E112" i="1"/>
  <c r="E113" i="1"/>
  <c r="E114" i="1"/>
  <c r="E115" i="1"/>
  <c r="E117" i="1"/>
  <c r="E71" i="2"/>
  <c r="F9" i="1"/>
  <c r="F12" i="2"/>
  <c r="F72" i="2"/>
  <c r="F104" i="1"/>
  <c r="F105" i="1"/>
  <c r="F106" i="1"/>
  <c r="F107" i="1"/>
  <c r="F108" i="1"/>
  <c r="F111" i="1"/>
  <c r="F112" i="1"/>
  <c r="F113" i="1"/>
  <c r="F114" i="1"/>
  <c r="F115" i="1"/>
  <c r="F117" i="1"/>
  <c r="F71" i="2"/>
  <c r="G9" i="1"/>
  <c r="G12" i="2"/>
  <c r="G72" i="2"/>
  <c r="G104" i="1"/>
  <c r="G105" i="1"/>
  <c r="G106" i="1"/>
  <c r="G107" i="1"/>
  <c r="G108" i="1"/>
  <c r="G111" i="1"/>
  <c r="G112" i="1"/>
  <c r="G113" i="1"/>
  <c r="G114" i="1"/>
  <c r="G115" i="1"/>
  <c r="G117" i="1"/>
  <c r="G71" i="2"/>
  <c r="H72" i="2"/>
  <c r="I72" i="2"/>
  <c r="H104" i="1"/>
  <c r="H105" i="1"/>
  <c r="H106" i="1"/>
  <c r="H107" i="1"/>
  <c r="H108" i="1"/>
  <c r="H111" i="1"/>
  <c r="H112" i="1"/>
  <c r="H113" i="1"/>
  <c r="H114" i="1"/>
  <c r="H115" i="1"/>
  <c r="H117" i="1"/>
  <c r="H71" i="2"/>
  <c r="H18" i="1"/>
  <c r="H21" i="2"/>
  <c r="I22" i="2"/>
  <c r="J55" i="2"/>
  <c r="J72" i="2"/>
  <c r="K55" i="2"/>
  <c r="L55" i="2" s="1"/>
  <c r="M55" i="2" s="1"/>
  <c r="K72" i="2"/>
  <c r="L72" i="2"/>
  <c r="M72" i="2"/>
  <c r="G71" i="3"/>
  <c r="P55" i="2" s="1"/>
  <c r="N55" i="2"/>
  <c r="N56" i="2"/>
  <c r="N72" i="2"/>
  <c r="O55" i="2"/>
  <c r="O56" i="2"/>
  <c r="O59" i="2" s="1"/>
  <c r="O63" i="2" s="1"/>
  <c r="O72" i="2"/>
  <c r="P56" i="2"/>
  <c r="P59" i="2" s="1"/>
  <c r="P63" i="2" s="1"/>
  <c r="P72" i="2"/>
  <c r="Q55" i="2"/>
  <c r="Q56" i="2"/>
  <c r="Q59" i="2" s="1"/>
  <c r="Q63" i="2" s="1"/>
  <c r="Q72" i="2"/>
  <c r="R55" i="2"/>
  <c r="R56" i="2"/>
  <c r="R59" i="2" s="1"/>
  <c r="R63" i="2" s="1"/>
  <c r="R72" i="2"/>
  <c r="S55" i="2"/>
  <c r="S56" i="2"/>
  <c r="S59" i="2" s="1"/>
  <c r="S63" i="2" s="1"/>
  <c r="S72" i="2"/>
  <c r="T56" i="2"/>
  <c r="T59" i="2" s="1"/>
  <c r="T72" i="2"/>
  <c r="D72" i="3"/>
  <c r="D89" i="3" s="1"/>
  <c r="D71" i="3"/>
  <c r="G7" i="2" s="1"/>
  <c r="C11" i="3"/>
  <c r="E72" i="3"/>
  <c r="E71" i="3"/>
  <c r="I7" i="2" s="1"/>
  <c r="I30" i="2"/>
  <c r="E46" i="19"/>
  <c r="E92" i="19"/>
  <c r="C33" i="3"/>
  <c r="H11" i="15"/>
  <c r="D65" i="19"/>
  <c r="D63" i="19"/>
  <c r="G11" i="15"/>
  <c r="D11" i="15"/>
  <c r="E11" i="15"/>
  <c r="F11" i="15"/>
  <c r="D61" i="19"/>
  <c r="D59" i="19"/>
  <c r="D57" i="19"/>
  <c r="D55" i="19"/>
  <c r="D50" i="19"/>
  <c r="E50" i="19"/>
  <c r="C50" i="19"/>
  <c r="D48" i="19"/>
  <c r="E48" i="19"/>
  <c r="C48" i="19"/>
  <c r="D46" i="19"/>
  <c r="C46" i="19"/>
  <c r="D44" i="19"/>
  <c r="E44" i="19"/>
  <c r="C44" i="19"/>
  <c r="E40" i="19"/>
  <c r="D40" i="19"/>
  <c r="C40" i="19"/>
  <c r="D36" i="19"/>
  <c r="E36" i="19"/>
  <c r="C36" i="19"/>
  <c r="E32" i="19"/>
  <c r="D32" i="19"/>
  <c r="C32" i="19"/>
  <c r="D27" i="19"/>
  <c r="E27" i="19"/>
  <c r="C27" i="19"/>
  <c r="D25" i="19"/>
  <c r="E25" i="19"/>
  <c r="C25" i="19"/>
  <c r="D23" i="19"/>
  <c r="E23" i="19"/>
  <c r="C23" i="19"/>
  <c r="D21" i="19"/>
  <c r="E21" i="19"/>
  <c r="C21" i="19"/>
  <c r="D19" i="19"/>
  <c r="E19" i="19"/>
  <c r="C19" i="19"/>
  <c r="C13" i="19"/>
  <c r="D11" i="19"/>
  <c r="E11" i="19"/>
  <c r="C11" i="19"/>
  <c r="D13" i="19"/>
  <c r="E13" i="19"/>
  <c r="E9" i="19"/>
  <c r="E10" i="19"/>
  <c r="D12" i="19"/>
  <c r="E12" i="19"/>
  <c r="D14" i="19"/>
  <c r="E14" i="19"/>
  <c r="D20" i="19"/>
  <c r="E20" i="19"/>
  <c r="D22" i="19"/>
  <c r="E22" i="19"/>
  <c r="D24" i="19"/>
  <c r="E24" i="19"/>
  <c r="D26" i="19"/>
  <c r="E26" i="19"/>
  <c r="D28" i="19"/>
  <c r="E28" i="19"/>
  <c r="D33" i="19"/>
  <c r="E33" i="19"/>
  <c r="C34" i="19"/>
  <c r="D34" i="19"/>
  <c r="E34" i="19"/>
  <c r="D35" i="19"/>
  <c r="E35" i="19"/>
  <c r="D37" i="19"/>
  <c r="E37" i="19"/>
  <c r="C38" i="19"/>
  <c r="D38" i="19"/>
  <c r="E38" i="19"/>
  <c r="D39" i="19"/>
  <c r="E39" i="19"/>
  <c r="D41" i="19"/>
  <c r="E41" i="19"/>
  <c r="D45" i="19"/>
  <c r="E45" i="19"/>
  <c r="D47" i="19"/>
  <c r="E47" i="19"/>
  <c r="D49" i="19"/>
  <c r="E49" i="19"/>
  <c r="D51" i="19"/>
  <c r="E51" i="19"/>
  <c r="E72" i="19"/>
  <c r="E73" i="19"/>
  <c r="E74" i="19"/>
  <c r="E77" i="19"/>
  <c r="E78" i="19"/>
  <c r="E79" i="19"/>
  <c r="E80" i="19"/>
  <c r="E81" i="19"/>
  <c r="E84" i="19"/>
  <c r="E85" i="19"/>
  <c r="E86" i="19"/>
  <c r="E87" i="19"/>
  <c r="E88" i="19"/>
  <c r="B91" i="19"/>
  <c r="E91" i="19"/>
  <c r="B92" i="19"/>
  <c r="B93" i="19"/>
  <c r="E93" i="19"/>
  <c r="B94" i="19"/>
  <c r="E94" i="19"/>
  <c r="H12" i="18"/>
  <c r="C12" i="18"/>
  <c r="C67" i="3"/>
  <c r="D75" i="3"/>
  <c r="D12" i="18"/>
  <c r="I12" i="18"/>
  <c r="C34" i="3"/>
  <c r="D82" i="3"/>
  <c r="I34" i="2"/>
  <c r="M9" i="3"/>
  <c r="Q23" i="3"/>
  <c r="P23" i="3"/>
  <c r="O23" i="3"/>
  <c r="N23" i="3"/>
  <c r="F85" i="3"/>
  <c r="F82" i="3"/>
  <c r="F89" i="3"/>
  <c r="F80" i="3"/>
  <c r="F77" i="3"/>
  <c r="G82" i="3"/>
  <c r="G89" i="3"/>
  <c r="G80" i="3"/>
  <c r="G77" i="3"/>
  <c r="D85" i="3"/>
  <c r="D78" i="3"/>
  <c r="D86" i="3"/>
  <c r="F23" i="15"/>
  <c r="G23" i="15"/>
  <c r="H23" i="15"/>
  <c r="F26" i="15"/>
  <c r="G26" i="15"/>
  <c r="D22" i="15"/>
  <c r="E22" i="15"/>
  <c r="F22" i="15"/>
  <c r="G22" i="15"/>
  <c r="H22" i="15"/>
  <c r="D23" i="15"/>
  <c r="E23" i="15"/>
  <c r="D24" i="15"/>
  <c r="E24" i="15"/>
  <c r="F24" i="15"/>
  <c r="G24" i="15"/>
  <c r="H24" i="15"/>
  <c r="D25" i="15"/>
  <c r="E25" i="15"/>
  <c r="F25" i="15"/>
  <c r="G25" i="15"/>
  <c r="H25" i="15"/>
  <c r="D26" i="15"/>
  <c r="E26" i="15"/>
  <c r="H26" i="15"/>
  <c r="D27" i="15"/>
  <c r="E27" i="15"/>
  <c r="F27" i="15"/>
  <c r="G27" i="15"/>
  <c r="H27" i="15"/>
  <c r="E8" i="14"/>
  <c r="F8" i="14"/>
  <c r="G8" i="14"/>
  <c r="E9" i="14"/>
  <c r="F9" i="14"/>
  <c r="G9" i="14"/>
  <c r="E10" i="14"/>
  <c r="F10" i="14"/>
  <c r="G10" i="14"/>
  <c r="E11" i="14"/>
  <c r="F11" i="14"/>
  <c r="G11" i="14"/>
  <c r="I11" i="3"/>
  <c r="I12" i="3"/>
  <c r="I13" i="3"/>
  <c r="I14" i="3"/>
  <c r="I15" i="3"/>
  <c r="I16" i="3"/>
  <c r="I17" i="3"/>
  <c r="I18" i="3"/>
  <c r="I19" i="3"/>
  <c r="I20" i="3"/>
  <c r="I25" i="3"/>
  <c r="I26" i="3"/>
  <c r="I27" i="3"/>
  <c r="I28" i="3"/>
  <c r="I29" i="3"/>
  <c r="I30" i="3"/>
  <c r="I31" i="3"/>
  <c r="I32" i="3"/>
  <c r="I33" i="3"/>
  <c r="I34" i="3"/>
  <c r="I35" i="3"/>
  <c r="I43" i="3"/>
  <c r="I44" i="3"/>
  <c r="I45" i="3"/>
  <c r="I46" i="3"/>
  <c r="I47" i="3"/>
  <c r="I48" i="3"/>
  <c r="I49" i="3"/>
  <c r="I50" i="3"/>
  <c r="I51" i="3"/>
  <c r="I52" i="3"/>
  <c r="B11" i="12"/>
  <c r="A11" i="12"/>
  <c r="G55" i="3"/>
  <c r="M11" i="3"/>
  <c r="S23" i="3"/>
  <c r="T23" i="3"/>
  <c r="U23" i="3"/>
  <c r="V23" i="3"/>
  <c r="M25" i="3"/>
  <c r="M26" i="3"/>
  <c r="M27" i="3"/>
  <c r="M28" i="3"/>
  <c r="M29" i="3"/>
  <c r="M30" i="3"/>
  <c r="M31" i="3"/>
  <c r="M32" i="3"/>
  <c r="L73" i="3"/>
  <c r="L74" i="3"/>
  <c r="L75" i="3"/>
  <c r="L76" i="3"/>
  <c r="L77" i="3"/>
  <c r="L78" i="3"/>
  <c r="L79" i="3"/>
  <c r="L80" i="3"/>
  <c r="L81" i="3"/>
  <c r="L82" i="3"/>
  <c r="L83" i="3"/>
  <c r="L84" i="3"/>
  <c r="L85" i="3"/>
  <c r="L86" i="3"/>
  <c r="L87" i="3"/>
  <c r="L88" i="3"/>
  <c r="L89" i="3"/>
  <c r="L90" i="3"/>
  <c r="L72" i="3"/>
  <c r="E11" i="1"/>
  <c r="E14" i="2"/>
  <c r="E9" i="1"/>
  <c r="E12" i="2"/>
  <c r="E86" i="2"/>
  <c r="E95" i="2"/>
  <c r="E10" i="1"/>
  <c r="E13" i="2"/>
  <c r="E15" i="2"/>
  <c r="E13" i="1"/>
  <c r="E16" i="2"/>
  <c r="E17" i="2"/>
  <c r="E15" i="1"/>
  <c r="E18" i="2"/>
  <c r="E19" i="2"/>
  <c r="E91" i="2"/>
  <c r="E103" i="2"/>
  <c r="C95" i="2"/>
  <c r="C91" i="2"/>
  <c r="C103" i="2"/>
  <c r="F11" i="1"/>
  <c r="F14" i="2"/>
  <c r="F86" i="2"/>
  <c r="F70" i="2"/>
  <c r="F23" i="2"/>
  <c r="F95" i="2"/>
  <c r="F10" i="1"/>
  <c r="F13" i="2"/>
  <c r="F15" i="2"/>
  <c r="F13" i="1"/>
  <c r="F16" i="2"/>
  <c r="F17" i="2"/>
  <c r="F15" i="1"/>
  <c r="F18" i="2"/>
  <c r="F19" i="2"/>
  <c r="F91" i="2"/>
  <c r="F103" i="2"/>
  <c r="G11" i="1"/>
  <c r="G14" i="2"/>
  <c r="G86" i="2"/>
  <c r="G70" i="2"/>
  <c r="G23" i="2"/>
  <c r="G95" i="2"/>
  <c r="G10" i="1"/>
  <c r="G13" i="2"/>
  <c r="G15" i="2"/>
  <c r="G13" i="1"/>
  <c r="G16" i="2"/>
  <c r="G17" i="2"/>
  <c r="G15" i="1"/>
  <c r="G18" i="2"/>
  <c r="G19" i="2"/>
  <c r="G91" i="2"/>
  <c r="G103" i="2"/>
  <c r="H86" i="2"/>
  <c r="H70" i="2"/>
  <c r="H23" i="2"/>
  <c r="H95" i="2"/>
  <c r="H15" i="2"/>
  <c r="H17" i="2"/>
  <c r="H15" i="1"/>
  <c r="H18" i="2"/>
  <c r="H19" i="2"/>
  <c r="H91" i="2"/>
  <c r="H103" i="2"/>
  <c r="C90" i="2"/>
  <c r="C104" i="2"/>
  <c r="E87" i="2"/>
  <c r="E90" i="2"/>
  <c r="E104" i="2"/>
  <c r="F87" i="2"/>
  <c r="F90" i="2"/>
  <c r="F104" i="2"/>
  <c r="G87" i="2"/>
  <c r="G90" i="2"/>
  <c r="G104" i="2"/>
  <c r="H87" i="2"/>
  <c r="H90" i="2"/>
  <c r="H104" i="2"/>
  <c r="E85" i="2"/>
  <c r="E89" i="2"/>
  <c r="E17" i="1"/>
  <c r="E20" i="2"/>
  <c r="E18" i="1"/>
  <c r="E21" i="2"/>
  <c r="E19" i="1"/>
  <c r="E22" i="2"/>
  <c r="E24" i="2"/>
  <c r="E96" i="2"/>
  <c r="E102" i="2"/>
  <c r="F85" i="2"/>
  <c r="F89" i="2"/>
  <c r="F17" i="1"/>
  <c r="F20" i="2"/>
  <c r="F18" i="1"/>
  <c r="F21" i="2"/>
  <c r="F19" i="1"/>
  <c r="F22" i="2"/>
  <c r="F24" i="2"/>
  <c r="F96" i="2"/>
  <c r="F102" i="2"/>
  <c r="G85" i="2"/>
  <c r="G89" i="2"/>
  <c r="G17" i="1"/>
  <c r="G20" i="2"/>
  <c r="G18" i="1"/>
  <c r="G21" i="2"/>
  <c r="G19" i="1"/>
  <c r="G22" i="2"/>
  <c r="G24" i="2"/>
  <c r="G96" i="2"/>
  <c r="G102" i="2"/>
  <c r="H85" i="2"/>
  <c r="H89" i="2"/>
  <c r="H17" i="1"/>
  <c r="H20" i="2"/>
  <c r="H19" i="1"/>
  <c r="H22" i="2"/>
  <c r="H24" i="2"/>
  <c r="H96" i="2"/>
  <c r="H102" i="2"/>
  <c r="C89" i="2"/>
  <c r="C96" i="2"/>
  <c r="C102" i="2"/>
  <c r="F56" i="2"/>
  <c r="G56" i="2"/>
  <c r="H56" i="2"/>
  <c r="F55" i="2"/>
  <c r="G55" i="2"/>
  <c r="H55" i="2"/>
  <c r="H99" i="3"/>
  <c r="H98" i="3"/>
  <c r="F11" i="2"/>
  <c r="G11" i="2"/>
  <c r="H11" i="2"/>
  <c r="I11" i="2"/>
  <c r="J11" i="2"/>
  <c r="K11" i="2"/>
  <c r="L11" i="2"/>
  <c r="M11" i="2"/>
  <c r="N11" i="2"/>
  <c r="O11" i="2"/>
  <c r="P11" i="2"/>
  <c r="Q11" i="2"/>
  <c r="R11" i="2"/>
  <c r="S11" i="2"/>
  <c r="T11" i="2"/>
  <c r="B71" i="3"/>
  <c r="R70" i="3"/>
  <c r="C35" i="3"/>
  <c r="R76" i="3"/>
  <c r="G67" i="2"/>
  <c r="F67" i="2"/>
  <c r="H66" i="2"/>
  <c r="H65" i="2"/>
  <c r="G65" i="2"/>
  <c r="F65" i="2"/>
  <c r="G64" i="2"/>
  <c r="F64" i="2"/>
  <c r="H64" i="2"/>
  <c r="T63" i="2"/>
  <c r="I63" i="2"/>
  <c r="F57" i="2"/>
  <c r="H59" i="2"/>
  <c r="M71" i="3"/>
  <c r="V96" i="2"/>
  <c r="V95" i="2"/>
  <c r="C94" i="2"/>
  <c r="V94" i="2"/>
  <c r="C93" i="2"/>
  <c r="V93" i="2"/>
  <c r="C92" i="2"/>
  <c r="V92" i="2"/>
  <c r="V91" i="2"/>
  <c r="V90" i="2"/>
  <c r="V89" i="2"/>
  <c r="C88" i="2"/>
  <c r="V88" i="2"/>
  <c r="C87" i="2"/>
  <c r="V87" i="2"/>
  <c r="C86" i="2"/>
  <c r="V86" i="2"/>
  <c r="C85" i="2"/>
  <c r="V85" i="2"/>
  <c r="E94" i="2"/>
  <c r="E93" i="2"/>
  <c r="E92" i="2"/>
  <c r="E88" i="2"/>
  <c r="H94" i="2"/>
  <c r="G94" i="2"/>
  <c r="F94" i="2"/>
  <c r="H93" i="2"/>
  <c r="G93" i="2"/>
  <c r="F93" i="2"/>
  <c r="H92" i="2"/>
  <c r="G92" i="2"/>
  <c r="F92" i="2"/>
  <c r="H88" i="2"/>
  <c r="G88" i="2"/>
  <c r="F88" i="2"/>
  <c r="F84" i="2"/>
  <c r="G84" i="2"/>
  <c r="H84" i="2"/>
  <c r="I84" i="2"/>
  <c r="J84" i="2"/>
  <c r="K84" i="2"/>
  <c r="L84" i="2"/>
  <c r="M84" i="2"/>
  <c r="N84" i="2"/>
  <c r="O84" i="2"/>
  <c r="P84" i="2"/>
  <c r="Q84" i="2"/>
  <c r="R84" i="2"/>
  <c r="S84" i="2"/>
  <c r="T84" i="2"/>
  <c r="F66" i="2"/>
  <c r="F8" i="5"/>
  <c r="G8" i="5"/>
  <c r="G9" i="5"/>
  <c r="F9" i="5"/>
  <c r="G10" i="5"/>
  <c r="F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F11" i="5"/>
  <c r="F12" i="5"/>
  <c r="F13" i="5"/>
  <c r="F14" i="5"/>
  <c r="F15" i="5"/>
  <c r="F16" i="5"/>
  <c r="F17" i="5"/>
  <c r="F18" i="5"/>
  <c r="F19" i="5"/>
  <c r="F20" i="5"/>
  <c r="F21" i="5"/>
  <c r="F22" i="5"/>
  <c r="F23" i="5"/>
  <c r="F24" i="5"/>
  <c r="F25" i="5"/>
  <c r="F26" i="5"/>
  <c r="F27" i="5"/>
  <c r="F28" i="5"/>
  <c r="F29" i="5"/>
  <c r="F30" i="5"/>
  <c r="F31" i="5"/>
  <c r="F32" i="5"/>
  <c r="F33" i="5"/>
  <c r="F34" i="5"/>
  <c r="F35" i="5"/>
  <c r="F36" i="5"/>
  <c r="F37" i="5"/>
  <c r="F38" i="5"/>
  <c r="F39" i="5"/>
  <c r="F40" i="5"/>
  <c r="F41" i="5"/>
  <c r="F42" i="5"/>
  <c r="F43" i="5"/>
  <c r="F44" i="5"/>
  <c r="F45" i="5"/>
  <c r="F46" i="5"/>
  <c r="F47" i="5"/>
  <c r="F48" i="5"/>
  <c r="F49" i="5"/>
  <c r="F50" i="5"/>
  <c r="F51" i="5"/>
  <c r="F52" i="5"/>
  <c r="F53" i="5"/>
  <c r="F54" i="5"/>
  <c r="F55" i="5"/>
  <c r="F56" i="5"/>
  <c r="F57" i="5"/>
  <c r="F58" i="5"/>
  <c r="F59" i="5"/>
  <c r="F60" i="5"/>
  <c r="F61" i="5"/>
  <c r="F62" i="5"/>
  <c r="F63" i="5"/>
  <c r="F64" i="5"/>
  <c r="F65" i="5"/>
  <c r="F66" i="5"/>
  <c r="F67" i="5"/>
  <c r="F68" i="5"/>
  <c r="F69" i="5"/>
  <c r="F70" i="5"/>
  <c r="F71" i="5"/>
  <c r="F72" i="5"/>
  <c r="F73" i="5"/>
  <c r="F74" i="5"/>
  <c r="F75" i="5"/>
  <c r="F76" i="5"/>
  <c r="F77" i="5"/>
  <c r="F78" i="5"/>
  <c r="F79" i="5"/>
  <c r="F80" i="5"/>
  <c r="F81" i="5"/>
  <c r="F82" i="5"/>
  <c r="F83" i="5"/>
  <c r="F84" i="5"/>
  <c r="F85" i="5"/>
  <c r="F86" i="5"/>
  <c r="F87" i="5"/>
  <c r="F88" i="5"/>
  <c r="F89" i="5"/>
  <c r="F90" i="5"/>
  <c r="F91" i="5"/>
  <c r="F92" i="5"/>
  <c r="F93" i="5"/>
  <c r="F94" i="5"/>
  <c r="F95" i="5"/>
  <c r="F96" i="5"/>
  <c r="F97" i="5"/>
  <c r="F98" i="5"/>
  <c r="F99" i="5"/>
  <c r="F100" i="5"/>
  <c r="F101" i="5"/>
  <c r="F102" i="5"/>
  <c r="F103" i="5"/>
  <c r="F104" i="5"/>
  <c r="F105" i="5"/>
  <c r="F106" i="5"/>
  <c r="F107" i="5"/>
  <c r="F108" i="5"/>
  <c r="F109" i="5"/>
  <c r="F110" i="5"/>
  <c r="F111" i="5"/>
  <c r="F112" i="5"/>
  <c r="F113" i="5"/>
  <c r="F114" i="5"/>
  <c r="F115" i="5"/>
  <c r="F116" i="5"/>
  <c r="F117" i="5"/>
  <c r="F118" i="5"/>
  <c r="F119" i="5"/>
  <c r="F120" i="5"/>
  <c r="F121" i="5"/>
  <c r="F122" i="5"/>
  <c r="F123" i="5"/>
  <c r="F124" i="5"/>
  <c r="F125" i="5"/>
  <c r="F126" i="5"/>
  <c r="F127" i="5"/>
  <c r="F128" i="5"/>
  <c r="F129" i="5"/>
  <c r="F130" i="5"/>
  <c r="F131" i="5"/>
  <c r="F132" i="5"/>
  <c r="F133" i="5"/>
  <c r="F134" i="5"/>
  <c r="F135" i="5"/>
  <c r="F136" i="5"/>
  <c r="F137" i="5"/>
  <c r="F138" i="5"/>
  <c r="F139" i="5"/>
  <c r="F140" i="5"/>
  <c r="F141" i="5"/>
  <c r="F142" i="5"/>
  <c r="F143" i="5"/>
  <c r="F144" i="5"/>
  <c r="F145" i="5"/>
  <c r="F146" i="5"/>
  <c r="F147" i="5"/>
  <c r="F148" i="5"/>
  <c r="F149" i="5"/>
  <c r="F150" i="5"/>
  <c r="F151" i="5"/>
  <c r="F152" i="5"/>
  <c r="F153" i="5"/>
  <c r="F154" i="5"/>
  <c r="F155" i="5"/>
  <c r="F156" i="5"/>
  <c r="F157" i="5"/>
  <c r="F158" i="5"/>
  <c r="F159" i="5"/>
  <c r="F160" i="5"/>
  <c r="F161" i="5"/>
  <c r="F162" i="5"/>
  <c r="F163" i="5"/>
  <c r="F164" i="5"/>
  <c r="F165" i="5"/>
  <c r="F166" i="5"/>
  <c r="F167" i="5"/>
  <c r="F168" i="5"/>
  <c r="F169" i="5"/>
  <c r="F170" i="5"/>
  <c r="F171" i="5"/>
  <c r="F172" i="5"/>
  <c r="F173" i="5"/>
  <c r="I8" i="5"/>
  <c r="N42" i="5"/>
  <c r="K42" i="5"/>
  <c r="X8" i="5"/>
  <c r="N41" i="5"/>
  <c r="F8" i="1"/>
  <c r="G8" i="1"/>
  <c r="H8" i="1"/>
  <c r="H33" i="1"/>
  <c r="G33" i="1"/>
  <c r="F33" i="1"/>
  <c r="E33" i="1"/>
  <c r="H61" i="1"/>
  <c r="G61" i="1"/>
  <c r="F61" i="1"/>
  <c r="E61" i="1"/>
  <c r="G101" i="1"/>
  <c r="H101" i="1"/>
  <c r="F101" i="1"/>
  <c r="E101" i="1"/>
  <c r="H133" i="1"/>
  <c r="G133" i="1"/>
  <c r="F133" i="1"/>
  <c r="E133" i="1"/>
  <c r="F132" i="1"/>
  <c r="G132" i="1"/>
  <c r="H132" i="1"/>
  <c r="E132" i="1"/>
  <c r="H32" i="1"/>
  <c r="G32" i="1"/>
  <c r="F32" i="1"/>
  <c r="E32" i="1"/>
  <c r="H60" i="1"/>
  <c r="G60" i="1"/>
  <c r="F60" i="1"/>
  <c r="E60" i="1"/>
  <c r="F100" i="1"/>
  <c r="G100" i="1"/>
  <c r="H100" i="1"/>
  <c r="E100" i="1"/>
  <c r="S89" i="3"/>
  <c r="S87" i="3"/>
  <c r="S85" i="3"/>
  <c r="S83" i="3"/>
  <c r="S81" i="3"/>
  <c r="S79" i="3"/>
  <c r="S77" i="3"/>
  <c r="R72" i="3"/>
  <c r="R73" i="3"/>
  <c r="R74" i="3"/>
  <c r="R75" i="3"/>
  <c r="R77" i="3"/>
  <c r="R78" i="3"/>
  <c r="R79" i="3"/>
  <c r="R80" i="3"/>
  <c r="R81" i="3"/>
  <c r="R82" i="3"/>
  <c r="R83" i="3"/>
  <c r="R84" i="3"/>
  <c r="R85" i="3"/>
  <c r="R86" i="3"/>
  <c r="R87" i="3"/>
  <c r="R88" i="3"/>
  <c r="R89" i="3"/>
  <c r="R90" i="3"/>
  <c r="I36" i="2"/>
  <c r="F31" i="2"/>
  <c r="G31" i="2"/>
  <c r="H31" i="2"/>
  <c r="E31" i="2"/>
  <c r="G118" i="1"/>
  <c r="H20" i="1"/>
  <c r="C77" i="3"/>
  <c r="E75" i="3"/>
  <c r="F75" i="3"/>
  <c r="G75" i="3"/>
  <c r="H75" i="3"/>
  <c r="I75" i="3"/>
  <c r="F84" i="3"/>
  <c r="I90" i="3"/>
  <c r="H88" i="3"/>
  <c r="I89" i="3"/>
  <c r="H87" i="3"/>
  <c r="G86" i="3"/>
  <c r="G85" i="3"/>
  <c r="F83" i="3"/>
  <c r="E82" i="3"/>
  <c r="E81" i="3"/>
  <c r="D80" i="3"/>
  <c r="D79" i="3"/>
  <c r="C78" i="3"/>
  <c r="F88" i="3"/>
  <c r="I77" i="3"/>
  <c r="I78" i="3"/>
  <c r="I79" i="3"/>
  <c r="I80" i="3"/>
  <c r="I81" i="3"/>
  <c r="I82" i="3"/>
  <c r="I83" i="3"/>
  <c r="I84" i="3"/>
  <c r="I85" i="3"/>
  <c r="I86" i="3"/>
  <c r="I87" i="3"/>
  <c r="I88" i="3"/>
  <c r="H90" i="3"/>
  <c r="H89" i="3"/>
  <c r="H78" i="3"/>
  <c r="H79" i="3"/>
  <c r="H80" i="3"/>
  <c r="H81" i="3"/>
  <c r="H82" i="3"/>
  <c r="H83" i="3"/>
  <c r="H84" i="3"/>
  <c r="H85" i="3"/>
  <c r="H86" i="3"/>
  <c r="G90" i="3"/>
  <c r="G88" i="3"/>
  <c r="G87" i="3"/>
  <c r="G78" i="3"/>
  <c r="G79" i="3"/>
  <c r="G81" i="3"/>
  <c r="G83" i="3"/>
  <c r="G84" i="3"/>
  <c r="F90" i="3"/>
  <c r="F87" i="3"/>
  <c r="F86" i="3"/>
  <c r="F81" i="3"/>
  <c r="F78" i="3"/>
  <c r="F79" i="3"/>
  <c r="E90" i="3"/>
  <c r="E89" i="3"/>
  <c r="E88" i="3"/>
  <c r="E87" i="3"/>
  <c r="E86" i="3"/>
  <c r="E85" i="3"/>
  <c r="E84" i="3"/>
  <c r="E83" i="3"/>
  <c r="E77" i="3"/>
  <c r="E78" i="3"/>
  <c r="E79" i="3"/>
  <c r="E80" i="3"/>
  <c r="D90" i="3"/>
  <c r="D84" i="3"/>
  <c r="D83" i="3"/>
  <c r="H77" i="3"/>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I9" i="5"/>
  <c r="X9" i="5"/>
  <c r="I10" i="5"/>
  <c r="X10" i="5"/>
  <c r="I11" i="5"/>
  <c r="X11" i="5"/>
  <c r="I12" i="5"/>
  <c r="X12" i="5"/>
  <c r="X13" i="5"/>
  <c r="X14" i="5"/>
  <c r="X15" i="5"/>
  <c r="X16" i="5"/>
  <c r="X17" i="5"/>
  <c r="X18" i="5"/>
  <c r="X19" i="5"/>
  <c r="X20" i="5"/>
  <c r="X21" i="5"/>
  <c r="X22" i="5"/>
  <c r="X23" i="5"/>
  <c r="X24" i="5"/>
  <c r="X25" i="5"/>
  <c r="X26" i="5"/>
  <c r="X27" i="5"/>
  <c r="X28" i="5"/>
  <c r="X29" i="5"/>
  <c r="X30" i="5"/>
  <c r="X31" i="5"/>
  <c r="X32" i="5"/>
  <c r="X33" i="5"/>
  <c r="X34" i="5"/>
  <c r="X35" i="5"/>
  <c r="X36" i="5"/>
  <c r="X37" i="5"/>
  <c r="X38" i="5"/>
  <c r="X39" i="5"/>
  <c r="X40" i="5"/>
  <c r="K41" i="5"/>
  <c r="X41" i="5"/>
  <c r="X42" i="5"/>
  <c r="X43" i="5"/>
  <c r="X44" i="5"/>
  <c r="X45" i="5"/>
  <c r="X46" i="5"/>
  <c r="X47" i="5"/>
  <c r="X48" i="5"/>
  <c r="X49" i="5"/>
  <c r="X50" i="5"/>
  <c r="X51" i="5"/>
  <c r="X52" i="5"/>
  <c r="X53" i="5"/>
  <c r="X54" i="5"/>
  <c r="X55" i="5"/>
  <c r="X56" i="5"/>
  <c r="X57" i="5"/>
  <c r="X58" i="5"/>
  <c r="X59" i="5"/>
  <c r="X60" i="5"/>
  <c r="X61" i="5"/>
  <c r="X62" i="5"/>
  <c r="X63" i="5"/>
  <c r="X64" i="5"/>
  <c r="X65" i="5"/>
  <c r="X66" i="5"/>
  <c r="X67" i="5"/>
  <c r="X68" i="5"/>
  <c r="X69" i="5"/>
  <c r="X70" i="5"/>
  <c r="X71" i="5"/>
  <c r="X72" i="5"/>
  <c r="X73" i="5"/>
  <c r="X74" i="5"/>
  <c r="X75" i="5"/>
  <c r="X76" i="5"/>
  <c r="X77" i="5"/>
  <c r="X78" i="5"/>
  <c r="X79" i="5"/>
  <c r="X80" i="5"/>
  <c r="X81" i="5"/>
  <c r="X82" i="5"/>
  <c r="X83" i="5"/>
  <c r="X84" i="5"/>
  <c r="X85" i="5"/>
  <c r="X86" i="5"/>
  <c r="X87" i="5"/>
  <c r="X88" i="5"/>
  <c r="X89" i="5"/>
  <c r="X90" i="5"/>
  <c r="X91" i="5"/>
  <c r="X92" i="5"/>
  <c r="X93" i="5"/>
  <c r="X94" i="5"/>
  <c r="X95" i="5"/>
  <c r="X96" i="5"/>
  <c r="X97" i="5"/>
  <c r="X98" i="5"/>
  <c r="X99" i="5"/>
  <c r="X100" i="5"/>
  <c r="X101" i="5"/>
  <c r="X102" i="5"/>
  <c r="X103" i="5"/>
  <c r="X104" i="5"/>
  <c r="X105" i="5"/>
  <c r="X106" i="5"/>
  <c r="X107" i="5"/>
  <c r="X108" i="5"/>
  <c r="X109" i="5"/>
  <c r="X110" i="5"/>
  <c r="X111" i="5"/>
  <c r="X112" i="5"/>
  <c r="X113" i="5"/>
  <c r="X114" i="5"/>
  <c r="X115" i="5"/>
  <c r="X116" i="5"/>
  <c r="X117" i="5"/>
  <c r="X118" i="5"/>
  <c r="X119" i="5"/>
  <c r="X120" i="5"/>
  <c r="X121" i="5"/>
  <c r="X122" i="5"/>
  <c r="X123" i="5"/>
  <c r="X124" i="5"/>
  <c r="X125" i="5"/>
  <c r="X126" i="5"/>
  <c r="X127" i="5"/>
  <c r="X128" i="5"/>
  <c r="X129" i="5"/>
  <c r="X130" i="5"/>
  <c r="X131" i="5"/>
  <c r="X132" i="5"/>
  <c r="X133" i="5"/>
  <c r="X134" i="5"/>
  <c r="X135" i="5"/>
  <c r="X136" i="5"/>
  <c r="X137" i="5"/>
  <c r="X138" i="5"/>
  <c r="X139" i="5"/>
  <c r="X140" i="5"/>
  <c r="X141" i="5"/>
  <c r="X142" i="5"/>
  <c r="X143" i="5"/>
  <c r="X144" i="5"/>
  <c r="X145" i="5"/>
  <c r="X146" i="5"/>
  <c r="X147" i="5"/>
  <c r="X148" i="5"/>
  <c r="X149" i="5"/>
  <c r="D108" i="1"/>
  <c r="D115" i="1"/>
  <c r="D117" i="1"/>
  <c r="E118" i="1"/>
  <c r="H118" i="1"/>
  <c r="F118" i="1"/>
  <c r="H57" i="2"/>
  <c r="G20" i="1"/>
  <c r="H67" i="2"/>
  <c r="F20" i="1"/>
  <c r="G66" i="2"/>
  <c r="H63" i="2"/>
  <c r="G63" i="2"/>
  <c r="F63" i="2"/>
  <c r="H62" i="2"/>
  <c r="G62" i="2"/>
  <c r="F62" i="2"/>
  <c r="H61" i="2"/>
  <c r="G61" i="2"/>
  <c r="F61" i="2"/>
  <c r="H60" i="2"/>
  <c r="G60" i="2"/>
  <c r="F60" i="2"/>
  <c r="G59" i="2"/>
  <c r="F59" i="2"/>
  <c r="H58" i="2"/>
  <c r="G58" i="2"/>
  <c r="F58" i="2"/>
  <c r="G57" i="2"/>
  <c r="F54" i="2"/>
  <c r="G54" i="2"/>
  <c r="H54" i="2"/>
  <c r="I54" i="2"/>
  <c r="J54" i="2"/>
  <c r="K54" i="2"/>
  <c r="L54" i="2"/>
  <c r="M54" i="2"/>
  <c r="N54" i="2"/>
  <c r="O54" i="2"/>
  <c r="P54" i="2"/>
  <c r="Q54" i="2"/>
  <c r="R54" i="2"/>
  <c r="S54" i="2"/>
  <c r="T54" i="2"/>
  <c r="I8" i="1"/>
  <c r="I15" i="5"/>
  <c r="C39" i="3"/>
  <c r="I16" i="5"/>
  <c r="C40" i="3"/>
  <c r="I17" i="5"/>
  <c r="C41" i="3"/>
  <c r="I18" i="5"/>
  <c r="C42" i="3"/>
  <c r="I14" i="5"/>
  <c r="C38" i="3"/>
  <c r="C37" i="3"/>
  <c r="C36" i="3"/>
  <c r="E57" i="19"/>
  <c r="G35" i="19"/>
  <c r="G37" i="19"/>
  <c r="G38" i="19"/>
  <c r="G40" i="19"/>
  <c r="G44" i="19"/>
  <c r="G46" i="19"/>
  <c r="G48" i="19"/>
  <c r="G50" i="19"/>
  <c r="D35" i="3"/>
  <c r="X6" i="5"/>
  <c r="D36" i="3"/>
  <c r="D44" i="3"/>
  <c r="D42" i="3"/>
  <c r="D34" i="3"/>
  <c r="D41" i="3"/>
  <c r="D40" i="3"/>
  <c r="D38" i="3"/>
  <c r="D22" i="3"/>
  <c r="G11" i="19"/>
  <c r="G13" i="19"/>
  <c r="G19" i="19"/>
  <c r="G21" i="19"/>
  <c r="G23" i="19"/>
  <c r="G25" i="19"/>
  <c r="G27" i="19"/>
  <c r="G32" i="19"/>
  <c r="D9" i="3"/>
  <c r="F6" i="5"/>
  <c r="O42" i="5"/>
  <c r="D23" i="3"/>
  <c r="D37" i="3"/>
  <c r="G39" i="19"/>
  <c r="G45" i="19"/>
  <c r="G49" i="19"/>
  <c r="G6" i="5"/>
  <c r="J75" i="3"/>
  <c r="E55" i="19"/>
  <c r="E65" i="19"/>
  <c r="E59" i="19"/>
  <c r="G10" i="19"/>
  <c r="G12" i="19"/>
  <c r="G14" i="19"/>
  <c r="G20" i="19"/>
  <c r="G22" i="19"/>
  <c r="G24" i="19"/>
  <c r="G26" i="19"/>
  <c r="G28" i="19"/>
  <c r="G33" i="19"/>
  <c r="G34" i="19"/>
  <c r="G36" i="19"/>
  <c r="D33" i="3"/>
  <c r="D21" i="3"/>
  <c r="G9" i="19"/>
  <c r="G41" i="19"/>
  <c r="G47" i="19"/>
  <c r="G51" i="19"/>
  <c r="D32" i="3"/>
  <c r="O41" i="5"/>
  <c r="D39" i="3"/>
  <c r="H16" i="6"/>
  <c r="E63" i="19"/>
  <c r="E61" i="19"/>
  <c r="I86" i="2" l="1"/>
  <c r="I20" i="2"/>
  <c r="I92" i="2" s="1"/>
  <c r="I88" i="2"/>
  <c r="J59" i="2"/>
  <c r="J63" i="2" s="1"/>
  <c r="J64" i="2"/>
  <c r="J57" i="2"/>
  <c r="K57" i="2" s="1"/>
  <c r="L57" i="2" s="1"/>
  <c r="M57" i="2" s="1"/>
  <c r="K56" i="2"/>
  <c r="I94" i="2"/>
  <c r="I71" i="2"/>
  <c r="I70" i="2" s="1"/>
  <c r="I23" i="2" s="1"/>
  <c r="J12" i="2"/>
  <c r="I64" i="2"/>
  <c r="I21" i="2" s="1"/>
  <c r="I13" i="2"/>
  <c r="I15" i="2" s="1"/>
  <c r="T55" i="2"/>
  <c r="D87" i="3"/>
  <c r="D77" i="3"/>
  <c r="D81" i="3"/>
  <c r="D88" i="3"/>
  <c r="C9" i="3"/>
  <c r="C72" i="3" s="1"/>
  <c r="T57" i="2"/>
  <c r="S64" i="2"/>
  <c r="R57" i="2"/>
  <c r="Q64" i="2"/>
  <c r="P57" i="2"/>
  <c r="O64" i="2"/>
  <c r="N57" i="2"/>
  <c r="T64" i="2"/>
  <c r="S57" i="2"/>
  <c r="R64" i="2"/>
  <c r="Q57" i="2"/>
  <c r="P64" i="2"/>
  <c r="O57" i="2"/>
  <c r="N64" i="2"/>
  <c r="K12" i="2"/>
  <c r="J71" i="2"/>
  <c r="N59" i="2"/>
  <c r="I58" i="2" l="1"/>
  <c r="I87" i="2"/>
  <c r="I17" i="2"/>
  <c r="I95" i="2"/>
  <c r="I104" i="2" s="1"/>
  <c r="I66" i="2"/>
  <c r="J70" i="2"/>
  <c r="J23" i="2" s="1"/>
  <c r="J66" i="2" s="1"/>
  <c r="J14" i="2"/>
  <c r="J13" i="2"/>
  <c r="I85" i="2"/>
  <c r="J21" i="2"/>
  <c r="I93" i="2"/>
  <c r="J15" i="2"/>
  <c r="J94" i="2"/>
  <c r="L56" i="2"/>
  <c r="K59" i="2"/>
  <c r="K63" i="2" s="1"/>
  <c r="K64" i="2"/>
  <c r="J16" i="2"/>
  <c r="C71" i="3"/>
  <c r="E7" i="2" s="1"/>
  <c r="C80" i="3"/>
  <c r="C88" i="3"/>
  <c r="C85" i="3"/>
  <c r="C89" i="3"/>
  <c r="C90" i="3"/>
  <c r="C86" i="3"/>
  <c r="C84" i="3"/>
  <c r="C79" i="3"/>
  <c r="C81" i="3"/>
  <c r="C75" i="3"/>
  <c r="C83" i="3"/>
  <c r="C87" i="3"/>
  <c r="C82" i="3"/>
  <c r="K71" i="2"/>
  <c r="K70" i="2" s="1"/>
  <c r="K23" i="2" s="1"/>
  <c r="K94" i="2"/>
  <c r="L12" i="2"/>
  <c r="N63" i="2"/>
  <c r="K16" i="2" l="1"/>
  <c r="J88" i="2"/>
  <c r="J20" i="2"/>
  <c r="J92" i="2" s="1"/>
  <c r="I60" i="2"/>
  <c r="I18" i="2"/>
  <c r="I89" i="2"/>
  <c r="J87" i="2"/>
  <c r="J17" i="2"/>
  <c r="J58" i="2"/>
  <c r="K13" i="2"/>
  <c r="J85" i="2"/>
  <c r="J95" i="2"/>
  <c r="J104" i="2" s="1"/>
  <c r="L59" i="2"/>
  <c r="L63" i="2" s="1"/>
  <c r="L64" i="2"/>
  <c r="M56" i="2"/>
  <c r="K21" i="2"/>
  <c r="J93" i="2"/>
  <c r="K14" i="2"/>
  <c r="J86" i="2"/>
  <c r="K66" i="2"/>
  <c r="K95" i="2"/>
  <c r="K104" i="2" s="1"/>
  <c r="L94" i="2"/>
  <c r="M12" i="2"/>
  <c r="L71" i="2"/>
  <c r="L70" i="2" s="1"/>
  <c r="L23" i="2" s="1"/>
  <c r="M59" i="2" l="1"/>
  <c r="M63" i="2" s="1"/>
  <c r="M64" i="2"/>
  <c r="L14" i="2"/>
  <c r="K86" i="2"/>
  <c r="L13" i="2"/>
  <c r="K85" i="2"/>
  <c r="K15" i="2"/>
  <c r="I61" i="2"/>
  <c r="I90" i="2"/>
  <c r="I19" i="2"/>
  <c r="K20" i="2"/>
  <c r="K92" i="2" s="1"/>
  <c r="L16" i="2"/>
  <c r="K88" i="2"/>
  <c r="L21" i="2"/>
  <c r="K93" i="2"/>
  <c r="J60" i="2"/>
  <c r="J18" i="2"/>
  <c r="J89" i="2"/>
  <c r="M94" i="2"/>
  <c r="N12" i="2"/>
  <c r="M71" i="2"/>
  <c r="M70" i="2" s="1"/>
  <c r="M23" i="2" s="1"/>
  <c r="L66" i="2"/>
  <c r="L95" i="2"/>
  <c r="L104" i="2" s="1"/>
  <c r="K17" i="2" l="1"/>
  <c r="K58" i="2"/>
  <c r="K87" i="2"/>
  <c r="M14" i="2"/>
  <c r="L86" i="2"/>
  <c r="M21" i="2"/>
  <c r="L93" i="2"/>
  <c r="I91" i="2"/>
  <c r="I103" i="2" s="1"/>
  <c r="I62" i="2"/>
  <c r="I24" i="2"/>
  <c r="J19" i="2"/>
  <c r="J61" i="2"/>
  <c r="J90" i="2"/>
  <c r="M13" i="2"/>
  <c r="L15" i="2"/>
  <c r="L85" i="2"/>
  <c r="L20" i="2"/>
  <c r="L92" i="2" s="1"/>
  <c r="M16" i="2"/>
  <c r="L88" i="2"/>
  <c r="O12" i="2"/>
  <c r="N71" i="2"/>
  <c r="N70" i="2" s="1"/>
  <c r="N23" i="2" s="1"/>
  <c r="N94" i="2"/>
  <c r="M66" i="2"/>
  <c r="M95" i="2"/>
  <c r="M104" i="2" s="1"/>
  <c r="L17" i="2" l="1"/>
  <c r="L87" i="2"/>
  <c r="L58" i="2"/>
  <c r="J62" i="2"/>
  <c r="J24" i="2"/>
  <c r="J91" i="2"/>
  <c r="J103" i="2" s="1"/>
  <c r="M20" i="2"/>
  <c r="M92" i="2" s="1"/>
  <c r="N16" i="2"/>
  <c r="M88" i="2"/>
  <c r="N13" i="2"/>
  <c r="M15" i="2"/>
  <c r="M85" i="2"/>
  <c r="I96" i="2"/>
  <c r="I102" i="2" s="1"/>
  <c r="I25" i="2"/>
  <c r="I67" i="2"/>
  <c r="N21" i="2"/>
  <c r="M93" i="2"/>
  <c r="K60" i="2"/>
  <c r="K89" i="2"/>
  <c r="K18" i="2"/>
  <c r="N14" i="2"/>
  <c r="M86" i="2"/>
  <c r="N95" i="2"/>
  <c r="N104" i="2" s="1"/>
  <c r="N66" i="2"/>
  <c r="P12" i="2"/>
  <c r="O94" i="2"/>
  <c r="O71" i="2"/>
  <c r="O70" i="2" s="1"/>
  <c r="O23" i="2" s="1"/>
  <c r="M87" i="2" l="1"/>
  <c r="M58" i="2"/>
  <c r="M17" i="2"/>
  <c r="O13" i="2"/>
  <c r="N15" i="2"/>
  <c r="N85" i="2"/>
  <c r="O14" i="2"/>
  <c r="N86" i="2"/>
  <c r="J25" i="2"/>
  <c r="J67" i="2"/>
  <c r="J96" i="2"/>
  <c r="J102" i="2" s="1"/>
  <c r="L60" i="2"/>
  <c r="L18" i="2"/>
  <c r="L89" i="2"/>
  <c r="K61" i="2"/>
  <c r="K90" i="2"/>
  <c r="K19" i="2"/>
  <c r="O21" i="2"/>
  <c r="N93" i="2"/>
  <c r="N20" i="2"/>
  <c r="N92" i="2" s="1"/>
  <c r="O16" i="2"/>
  <c r="N88" i="2"/>
  <c r="P94" i="2"/>
  <c r="Q12" i="2"/>
  <c r="P71" i="2"/>
  <c r="P70" i="2" s="1"/>
  <c r="P23" i="2" s="1"/>
  <c r="O66" i="2"/>
  <c r="O95" i="2"/>
  <c r="O104" i="2" s="1"/>
  <c r="M18" i="2" l="1"/>
  <c r="M60" i="2"/>
  <c r="M89" i="2"/>
  <c r="P21" i="2"/>
  <c r="O93" i="2"/>
  <c r="O20" i="2"/>
  <c r="O92" i="2" s="1"/>
  <c r="P16" i="2"/>
  <c r="O88" i="2"/>
  <c r="K62" i="2"/>
  <c r="K24" i="2"/>
  <c r="K91" i="2"/>
  <c r="K103" i="2" s="1"/>
  <c r="L19" i="2"/>
  <c r="L90" i="2"/>
  <c r="L61" i="2"/>
  <c r="N87" i="2"/>
  <c r="N17" i="2"/>
  <c r="N58" i="2"/>
  <c r="P14" i="2"/>
  <c r="O86" i="2"/>
  <c r="P13" i="2"/>
  <c r="O15" i="2"/>
  <c r="O85" i="2"/>
  <c r="Q94" i="2"/>
  <c r="R12" i="2"/>
  <c r="Q71" i="2"/>
  <c r="Q70" i="2" s="1"/>
  <c r="Q23" i="2" s="1"/>
  <c r="P66" i="2"/>
  <c r="P95" i="2"/>
  <c r="P104" i="2" s="1"/>
  <c r="O17" i="2" l="1"/>
  <c r="O87" i="2"/>
  <c r="O58" i="2"/>
  <c r="Q14" i="2"/>
  <c r="P86" i="2"/>
  <c r="K96" i="2"/>
  <c r="K102" i="2" s="1"/>
  <c r="K67" i="2"/>
  <c r="K25" i="2"/>
  <c r="Q13" i="2"/>
  <c r="P85" i="2"/>
  <c r="P15" i="2"/>
  <c r="M19" i="2"/>
  <c r="M61" i="2"/>
  <c r="M90" i="2"/>
  <c r="N89" i="2"/>
  <c r="N18" i="2"/>
  <c r="N60" i="2"/>
  <c r="L91" i="2"/>
  <c r="L103" i="2" s="1"/>
  <c r="L62" i="2"/>
  <c r="L24" i="2"/>
  <c r="Q21" i="2"/>
  <c r="P93" i="2"/>
  <c r="P20" i="2"/>
  <c r="P92" i="2" s="1"/>
  <c r="Q16" i="2"/>
  <c r="P88" i="2"/>
  <c r="Q95" i="2"/>
  <c r="Q104" i="2" s="1"/>
  <c r="Q66" i="2"/>
  <c r="R94" i="2"/>
  <c r="S12" i="2"/>
  <c r="R71" i="2"/>
  <c r="R70" i="2" s="1"/>
  <c r="R23" i="2" s="1"/>
  <c r="Q20" i="2" l="1"/>
  <c r="Q92" i="2" s="1"/>
  <c r="R16" i="2"/>
  <c r="Q88" i="2"/>
  <c r="L25" i="2"/>
  <c r="L96" i="2"/>
  <c r="L102" i="2" s="1"/>
  <c r="L67" i="2"/>
  <c r="N61" i="2"/>
  <c r="N90" i="2"/>
  <c r="N19" i="2"/>
  <c r="M24" i="2"/>
  <c r="M62" i="2"/>
  <c r="M91" i="2"/>
  <c r="M103" i="2" s="1"/>
  <c r="R14" i="2"/>
  <c r="Q86" i="2"/>
  <c r="P87" i="2"/>
  <c r="P17" i="2"/>
  <c r="P58" i="2"/>
  <c r="R21" i="2"/>
  <c r="Q93" i="2"/>
  <c r="R13" i="2"/>
  <c r="Q85" i="2"/>
  <c r="Q15" i="2"/>
  <c r="O60" i="2"/>
  <c r="O18" i="2"/>
  <c r="O89" i="2"/>
  <c r="T12" i="2"/>
  <c r="S71" i="2"/>
  <c r="S70" i="2" s="1"/>
  <c r="S23" i="2" s="1"/>
  <c r="S94" i="2"/>
  <c r="R66" i="2"/>
  <c r="R95" i="2"/>
  <c r="R104" i="2" s="1"/>
  <c r="Q58" i="2" l="1"/>
  <c r="Q17" i="2"/>
  <c r="Q87" i="2"/>
  <c r="S21" i="2"/>
  <c r="R93" i="2"/>
  <c r="M67" i="2"/>
  <c r="M25" i="2"/>
  <c r="M96" i="2"/>
  <c r="M102" i="2" s="1"/>
  <c r="R20" i="2"/>
  <c r="R92" i="2" s="1"/>
  <c r="S16" i="2"/>
  <c r="R88" i="2"/>
  <c r="S14" i="2"/>
  <c r="R86" i="2"/>
  <c r="N62" i="2"/>
  <c r="N24" i="2"/>
  <c r="N91" i="2"/>
  <c r="N103" i="2" s="1"/>
  <c r="O19" i="2"/>
  <c r="O90" i="2"/>
  <c r="O61" i="2"/>
  <c r="S13" i="2"/>
  <c r="R85" i="2"/>
  <c r="R15" i="2"/>
  <c r="P89" i="2"/>
  <c r="P60" i="2"/>
  <c r="P18" i="2"/>
  <c r="S66" i="2"/>
  <c r="S95" i="2"/>
  <c r="S104" i="2" s="1"/>
  <c r="T94" i="2"/>
  <c r="T71" i="2"/>
  <c r="T70" i="2" s="1"/>
  <c r="T23" i="2" s="1"/>
  <c r="N25" i="2" l="1"/>
  <c r="N67" i="2"/>
  <c r="N96" i="2"/>
  <c r="N102" i="2" s="1"/>
  <c r="R58" i="2"/>
  <c r="R87" i="2"/>
  <c r="R17" i="2"/>
  <c r="T16" i="2"/>
  <c r="S20" i="2"/>
  <c r="S92" i="2" s="1"/>
  <c r="S88" i="2"/>
  <c r="Q89" i="2"/>
  <c r="Q60" i="2"/>
  <c r="Q18" i="2"/>
  <c r="P19" i="2"/>
  <c r="P90" i="2"/>
  <c r="P61" i="2"/>
  <c r="O24" i="2"/>
  <c r="O62" i="2"/>
  <c r="O91" i="2"/>
  <c r="O103" i="2" s="1"/>
  <c r="T13" i="2"/>
  <c r="S15" i="2"/>
  <c r="S85" i="2"/>
  <c r="T14" i="2"/>
  <c r="T86" i="2" s="1"/>
  <c r="S86" i="2"/>
  <c r="T21" i="2"/>
  <c r="T93" i="2" s="1"/>
  <c r="S93" i="2"/>
  <c r="T95" i="2"/>
  <c r="T104" i="2" s="1"/>
  <c r="T66" i="2"/>
  <c r="S58" i="2" l="1"/>
  <c r="S17" i="2"/>
  <c r="S87" i="2"/>
  <c r="P24" i="2"/>
  <c r="P91" i="2"/>
  <c r="P103" i="2" s="1"/>
  <c r="P62" i="2"/>
  <c r="T15" i="2"/>
  <c r="T85" i="2"/>
  <c r="O67" i="2"/>
  <c r="O25" i="2"/>
  <c r="O96" i="2"/>
  <c r="O102" i="2" s="1"/>
  <c r="Q90" i="2"/>
  <c r="Q61" i="2"/>
  <c r="Q19" i="2"/>
  <c r="T20" i="2"/>
  <c r="T92" i="2" s="1"/>
  <c r="T88" i="2"/>
  <c r="R18" i="2"/>
  <c r="R60" i="2"/>
  <c r="R89" i="2"/>
  <c r="Q91" i="2" l="1"/>
  <c r="Q103" i="2" s="1"/>
  <c r="Q24" i="2"/>
  <c r="Q62" i="2"/>
  <c r="S60" i="2"/>
  <c r="S18" i="2"/>
  <c r="S89" i="2"/>
  <c r="R19" i="2"/>
  <c r="R90" i="2"/>
  <c r="R61" i="2"/>
  <c r="P25" i="2"/>
  <c r="P67" i="2"/>
  <c r="P96" i="2"/>
  <c r="P102" i="2" s="1"/>
  <c r="S19" i="2"/>
  <c r="T87" i="2"/>
  <c r="T58" i="2"/>
  <c r="T17" i="2"/>
  <c r="S24" i="2"/>
  <c r="S91" i="2"/>
  <c r="S103" i="2" s="1"/>
  <c r="T89" i="2" l="1"/>
  <c r="T60" i="2"/>
  <c r="T18" i="2"/>
  <c r="R91" i="2"/>
  <c r="R103" i="2" s="1"/>
  <c r="R62" i="2"/>
  <c r="R24" i="2"/>
  <c r="S62" i="2"/>
  <c r="Q96" i="2"/>
  <c r="Q102" i="2" s="1"/>
  <c r="Q67" i="2"/>
  <c r="Q25" i="2"/>
  <c r="S61" i="2"/>
  <c r="S90" i="2"/>
  <c r="S96" i="2"/>
  <c r="S102" i="2" s="1"/>
  <c r="S67" i="2"/>
  <c r="S25" i="2"/>
  <c r="T19" i="2" l="1"/>
  <c r="T90" i="2"/>
  <c r="T61" i="2"/>
  <c r="R67" i="2"/>
  <c r="R96" i="2"/>
  <c r="R102" i="2" s="1"/>
  <c r="R25" i="2"/>
  <c r="T24" i="2" l="1"/>
  <c r="T62" i="2"/>
  <c r="T91" i="2"/>
  <c r="T103" i="2" s="1"/>
  <c r="T96" i="2" l="1"/>
  <c r="T102" i="2" s="1"/>
  <c r="T67" i="2"/>
  <c r="T27" i="2"/>
  <c r="I28" i="2" s="1"/>
  <c r="T25" i="2"/>
  <c r="I26" i="2" s="1"/>
  <c r="I29" i="2" s="1"/>
  <c r="E41" i="2" l="1"/>
  <c r="C60" i="3" s="1"/>
  <c r="P71" i="3" s="1"/>
  <c r="E40" i="2"/>
  <c r="C59" i="3" s="1"/>
  <c r="O71" i="3" s="1"/>
  <c r="I33" i="2"/>
  <c r="I35" i="2" s="1"/>
  <c r="C56" i="3" s="1"/>
  <c r="C57" i="3" l="1"/>
  <c r="M23" i="3"/>
  <c r="N71" i="3"/>
  <c r="R71" i="3" s="1"/>
  <c r="E56" i="3"/>
  <c r="J24" i="3"/>
  <c r="J9" i="3"/>
  <c r="J41" i="3"/>
  <c r="B5" i="3" l="1"/>
  <c r="C7" i="8"/>
  <c r="D5"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Coleman, Samuel</author>
  </authors>
  <commentList>
    <comment ref="F72" authorId="0" shapeId="0" xr:uid="{0E4FA127-B29A-496A-B2B1-E06F33C76340}">
      <text>
        <r>
          <rPr>
            <b/>
            <sz val="9"/>
            <color indexed="81"/>
            <rFont val="Tahoma"/>
            <family val="2"/>
          </rPr>
          <t>Coleman, Samuel:</t>
        </r>
        <r>
          <rPr>
            <sz val="9"/>
            <color indexed="81"/>
            <rFont val="Tahoma"/>
            <family val="2"/>
          </rPr>
          <t xml:space="preserve">
Assumption: ST Revenue growth equal to recent industry average, as calculated below.</t>
        </r>
      </text>
    </comment>
    <comment ref="H72" authorId="0" shapeId="0" xr:uid="{FB024442-38FB-4183-BD36-087B9D7CB1F7}">
      <text>
        <r>
          <rPr>
            <b/>
            <sz val="9"/>
            <color indexed="81"/>
            <rFont val="Tahoma"/>
            <family val="2"/>
          </rPr>
          <t>Coleman, Samuel:</t>
        </r>
        <r>
          <rPr>
            <sz val="9"/>
            <color indexed="81"/>
            <rFont val="Tahoma"/>
            <family val="2"/>
          </rPr>
          <t xml:space="preserve">
Assumption: ST COGS growth equal to recent industry average, as calculated below.</t>
        </r>
      </text>
    </comment>
  </commentList>
</comments>
</file>

<file path=xl/sharedStrings.xml><?xml version="1.0" encoding="utf-8"?>
<sst xmlns="http://schemas.openxmlformats.org/spreadsheetml/2006/main" count="1055" uniqueCount="584">
  <si>
    <t>Info From</t>
  </si>
  <si>
    <t>Item</t>
  </si>
  <si>
    <t>Income Statement</t>
  </si>
  <si>
    <t>Sales</t>
  </si>
  <si>
    <t>COGS</t>
  </si>
  <si>
    <t>SG&amp;A</t>
  </si>
  <si>
    <t>EBITDA</t>
  </si>
  <si>
    <t>Cash Flow Statement</t>
  </si>
  <si>
    <t>Depreciation, Depletion &amp; Amortization</t>
  </si>
  <si>
    <t>EBIT</t>
  </si>
  <si>
    <t>Taxes</t>
  </si>
  <si>
    <t>Net Operating P/L After Tax</t>
  </si>
  <si>
    <t>Capital Expenditures</t>
  </si>
  <si>
    <t>Investments</t>
  </si>
  <si>
    <t>Balance Sheet</t>
  </si>
  <si>
    <t>Change in NWC</t>
  </si>
  <si>
    <t>Free Cash Flows</t>
  </si>
  <si>
    <t>Source:</t>
  </si>
  <si>
    <t>FactSet.com</t>
  </si>
  <si>
    <t>Retrieved 3. Novermber 2019</t>
  </si>
  <si>
    <t>[units]</t>
  </si>
  <si>
    <t>[MM USD]</t>
  </si>
  <si>
    <t>Gross Income</t>
  </si>
  <si>
    <t>SG&amp;A Expense</t>
  </si>
  <si>
    <t>EBIT (Operating Income)</t>
  </si>
  <si>
    <t>Nonoperating Income - Net</t>
  </si>
  <si>
    <t>Interest Expense</t>
  </si>
  <si>
    <t>Unusual Expense - Net</t>
  </si>
  <si>
    <t>Income Taxes</t>
  </si>
  <si>
    <t>Consolidated Net Income</t>
  </si>
  <si>
    <t>Net Income</t>
  </si>
  <si>
    <t>Discontinued Operations</t>
  </si>
  <si>
    <t>Net Income available to Common</t>
  </si>
  <si>
    <t>Per Share</t>
  </si>
  <si>
    <t>EPS (recurring)</t>
  </si>
  <si>
    <t>[$/Share]</t>
  </si>
  <si>
    <t>EPS (diluted)</t>
  </si>
  <si>
    <t>Earnings Persistence</t>
  </si>
  <si>
    <t>Dividends per Share</t>
  </si>
  <si>
    <t>Source: FactSet Nike Data</t>
  </si>
  <si>
    <t>Retrieved 3 November 2019</t>
  </si>
  <si>
    <t>Assets</t>
  </si>
  <si>
    <t>Cash &amp; Cash Equivalents</t>
  </si>
  <si>
    <t>Cash &amp; Short-Term Investments</t>
  </si>
  <si>
    <t>Short-Term Receivables</t>
  </si>
  <si>
    <t>Inventories</t>
  </si>
  <si>
    <t>Other Current Assets</t>
  </si>
  <si>
    <t>Total Current Assets</t>
  </si>
  <si>
    <t>Net Property, Plant &amp; Equipment</t>
  </si>
  <si>
    <t>Total Investments and Advances</t>
  </si>
  <si>
    <t>Intangible Assets</t>
  </si>
  <si>
    <t>Deferred Tax Assets</t>
  </si>
  <si>
    <t>-</t>
  </si>
  <si>
    <t>Other Assets</t>
  </si>
  <si>
    <t>Total Assets</t>
  </si>
  <si>
    <t>Liabilities &amp; Shareholders' Equity</t>
  </si>
  <si>
    <t>Note Payable &amp; Curr. Portion LT Debt</t>
  </si>
  <si>
    <t>Accounts Payable</t>
  </si>
  <si>
    <t>Income Tax Payable</t>
  </si>
  <si>
    <t>Other Current Liabilities</t>
  </si>
  <si>
    <t>Total Current Liabilities</t>
  </si>
  <si>
    <t>Long-Term Debt</t>
  </si>
  <si>
    <t>Provision for Risks &amp; Charges</t>
  </si>
  <si>
    <t>Deferred Tax Liabilities</t>
  </si>
  <si>
    <t>Other Liabilities</t>
  </si>
  <si>
    <t>Total Liabilities</t>
  </si>
  <si>
    <t>Preferred Stock (Carrying Value)</t>
  </si>
  <si>
    <t>Common Equity</t>
  </si>
  <si>
    <t>Total Shareholders' Equity</t>
  </si>
  <si>
    <t>Total Equity</t>
  </si>
  <si>
    <t>Total Liabilities &amp; Shareholders' Equity</t>
  </si>
  <si>
    <t>Book Value per Share</t>
  </si>
  <si>
    <t>Tangible Book Value per Share</t>
  </si>
  <si>
    <t>Current Liabilities</t>
  </si>
  <si>
    <t>Curr. Portion LT Debt</t>
  </si>
  <si>
    <t>Current Assets</t>
  </si>
  <si>
    <t>Total Current Assest</t>
  </si>
  <si>
    <t>Net Working Capital</t>
  </si>
  <si>
    <t>Calculation: Change in Net Working Capital</t>
  </si>
  <si>
    <t>Operating Activities</t>
  </si>
  <si>
    <t>Net Income / Starting Line</t>
  </si>
  <si>
    <t>Deferred Taxes &amp; Investment Tax Credit</t>
  </si>
  <si>
    <t>Other Funds</t>
  </si>
  <si>
    <t>Funds from Operations</t>
  </si>
  <si>
    <t>Changes in Working Capital</t>
  </si>
  <si>
    <t>Net Operating Cash Flow</t>
  </si>
  <si>
    <t>Investing Activities</t>
  </si>
  <si>
    <t>Sale of Fixed Assets &amp; Businesses</t>
  </si>
  <si>
    <t>Purchase/Sale of Investments</t>
  </si>
  <si>
    <t>Net Investing Cash Flow</t>
  </si>
  <si>
    <t>Financing Activities</t>
  </si>
  <si>
    <t>Cash Dividends Paid</t>
  </si>
  <si>
    <t>Change in Capital Stock</t>
  </si>
  <si>
    <t>Issuance/Reduction of Debt, Net</t>
  </si>
  <si>
    <t>Net Financing Cash Flow</t>
  </si>
  <si>
    <t>Exchange Rate Effect</t>
  </si>
  <si>
    <t>Net Change in Cash</t>
  </si>
  <si>
    <t>Free Cash Flow</t>
  </si>
  <si>
    <t>Free Cash Flow per Share</t>
  </si>
  <si>
    <t>Free Cash Flow Yield (%)</t>
  </si>
  <si>
    <t>*Note: all positive for consistency with formulas used later</t>
  </si>
  <si>
    <t>Statement of Cash Flows</t>
  </si>
  <si>
    <t>Fiscal Year Begins 1. June of the year at top</t>
  </si>
  <si>
    <t>PV (Cash Flow)</t>
  </si>
  <si>
    <t>Sum of PV (FCFt)</t>
  </si>
  <si>
    <t>Continuation Value at Y11</t>
  </si>
  <si>
    <t>PV (Continuation Value)</t>
  </si>
  <si>
    <t>Total Enterprise Value</t>
  </si>
  <si>
    <t xml:space="preserve">Net Debt </t>
  </si>
  <si>
    <t>Preferrred Equity</t>
  </si>
  <si>
    <t>Minorities</t>
  </si>
  <si>
    <t>Equity from DCF</t>
  </si>
  <si>
    <t>Number of Shares</t>
  </si>
  <si>
    <t>DCF-Estimated Stock Price</t>
  </si>
  <si>
    <t>Stock Market Price</t>
  </si>
  <si>
    <t>Date</t>
  </si>
  <si>
    <t>WACC in First Years</t>
  </si>
  <si>
    <t>WACC in CV</t>
  </si>
  <si>
    <t>Growth CV</t>
  </si>
  <si>
    <t>Growth</t>
  </si>
  <si>
    <t>Working Capital;</t>
  </si>
  <si>
    <t>WC/Sales</t>
  </si>
  <si>
    <t>ST</t>
  </si>
  <si>
    <t>MT</t>
  </si>
  <si>
    <t>Main inputs</t>
  </si>
  <si>
    <t>Discount rate  (WACC)</t>
  </si>
  <si>
    <t>Discount rate used in DCF tab</t>
  </si>
  <si>
    <t>Discount rate to use for the CV in base case</t>
  </si>
  <si>
    <t>Growth in CV in base case</t>
  </si>
  <si>
    <t>WACC (discount rate used in base case)</t>
  </si>
  <si>
    <t>Inflation Rate used in WACC 1st 11 yrs</t>
  </si>
  <si>
    <t>Source: usinflationcalculator.com</t>
  </si>
  <si>
    <t>Tax rate</t>
  </si>
  <si>
    <t xml:space="preserve">Assumption </t>
  </si>
  <si>
    <t>Discount rate estimated using WACC approach</t>
  </si>
  <si>
    <t>=C20*(1-C14)*C21+C32*C34</t>
  </si>
  <si>
    <t>Capital Structure</t>
  </si>
  <si>
    <t>Debt</t>
  </si>
  <si>
    <t>Cost of debt, rD</t>
  </si>
  <si>
    <t>Weight of Debt, wD = D/(D+E)</t>
  </si>
  <si>
    <t>LT Liabilities = LT Debt</t>
  </si>
  <si>
    <t>[mm USD]</t>
  </si>
  <si>
    <t>Cash &amp; Cash equivalents</t>
  </si>
  <si>
    <t>Net Debt</t>
  </si>
  <si>
    <t>=C22-C23</t>
  </si>
  <si>
    <t>Preferred Stock</t>
  </si>
  <si>
    <t>Cost of Preferred</t>
  </si>
  <si>
    <t>Weight of Preferred</t>
  </si>
  <si>
    <t>Equity</t>
  </si>
  <si>
    <t>Cost of Equity</t>
  </si>
  <si>
    <t>Shareholder's Common Equity</t>
  </si>
  <si>
    <t>Weight of Equity, wE = E/(D+E)</t>
  </si>
  <si>
    <t>CAPM = E[ri] = rf + bi * (E[rm] - rf)</t>
  </si>
  <si>
    <t>Beta to be used</t>
  </si>
  <si>
    <t>Estimated beta</t>
  </si>
  <si>
    <t>using 9 years</t>
  </si>
  <si>
    <t>Using 8 year</t>
  </si>
  <si>
    <t>using 5 years</t>
  </si>
  <si>
    <t>using 1 year</t>
  </si>
  <si>
    <t>Risk-free = rf</t>
  </si>
  <si>
    <t>Market risk premium =  (E[rm] - rf)</t>
  </si>
  <si>
    <t>Source: Fernandez (2017): avg of US estimates</t>
  </si>
  <si>
    <t>Source: Fernandez (2015): avg of text books and practitioners</t>
  </si>
  <si>
    <t>Market capitalization</t>
  </si>
  <si>
    <t>[Million of USD]</t>
  </si>
  <si>
    <t>Number of shares outstanding</t>
  </si>
  <si>
    <t>[Million of shares]</t>
  </si>
  <si>
    <t>finance.yahoo.com</t>
  </si>
  <si>
    <t>Current mkt share price</t>
  </si>
  <si>
    <t>[$/share]</t>
  </si>
  <si>
    <t>Main Outputs</t>
  </si>
  <si>
    <t>DCF's estim. Share Price</t>
  </si>
  <si>
    <t>Decision</t>
  </si>
  <si>
    <t>[Buy/ Hold/ Sell]</t>
  </si>
  <si>
    <t>TEV/EBITDA_1</t>
  </si>
  <si>
    <t>TEV [MM USD]</t>
  </si>
  <si>
    <t>*Note "Cash &amp; Cash Equivalents" sourced from Nike's 2019 10K</t>
  </si>
  <si>
    <t>*Nike has no P/S</t>
  </si>
  <si>
    <t>beta</t>
  </si>
  <si>
    <t>alpha</t>
  </si>
  <si>
    <t>t-stat</t>
  </si>
  <si>
    <t>parameter</t>
  </si>
  <si>
    <t>Results</t>
  </si>
  <si>
    <t>Beta 1 Yr</t>
  </si>
  <si>
    <t>Beta 3 Yr</t>
  </si>
  <si>
    <t>Rm-rf</t>
  </si>
  <si>
    <t>Beta 5 Yr</t>
  </si>
  <si>
    <t>vs</t>
  </si>
  <si>
    <t>Beta 8 Yr</t>
  </si>
  <si>
    <t xml:space="preserve">[NKE-rf]  </t>
  </si>
  <si>
    <t>Beta 9 Yr</t>
  </si>
  <si>
    <t>Beta 2 Yr</t>
  </si>
  <si>
    <t>Beta 10 yrs</t>
  </si>
  <si>
    <t>Beta 13 yrs</t>
  </si>
  <si>
    <t>Expected NKE Excess Return</t>
  </si>
  <si>
    <t>NKE-rf</t>
  </si>
  <si>
    <t>mkt-rf</t>
  </si>
  <si>
    <t>rf</t>
  </si>
  <si>
    <t>Mkt</t>
  </si>
  <si>
    <t>use SLOPE(Excess return of firm,market premium)</t>
  </si>
  <si>
    <t>^TYX</t>
  </si>
  <si>
    <t>^RUT</t>
  </si>
  <si>
    <t>NKE</t>
  </si>
  <si>
    <t>From yahoo as of 11/7/2019</t>
  </si>
  <si>
    <t>Monthly return</t>
  </si>
  <si>
    <t>Adj Close</t>
  </si>
  <si>
    <t>Close</t>
  </si>
  <si>
    <t>Low</t>
  </si>
  <si>
    <t>High</t>
  </si>
  <si>
    <t>Open</t>
  </si>
  <si>
    <t>As of</t>
  </si>
  <si>
    <t>US Treasury Bill 30 yrs, ^TYX</t>
  </si>
  <si>
    <t>Historical Prices</t>
  </si>
  <si>
    <t>10Y Mean:</t>
  </si>
  <si>
    <t>using 3 years</t>
  </si>
  <si>
    <t>From yahoo (3Y)</t>
  </si>
  <si>
    <t>From MacroTrends.net as of 11/7/2019</t>
  </si>
  <si>
    <t>Base Case</t>
  </si>
  <si>
    <t>Pessimistic Case</t>
  </si>
  <si>
    <t>Optimistic Case</t>
  </si>
  <si>
    <t>Weighted Average</t>
  </si>
  <si>
    <t>Monte Carlo</t>
  </si>
  <si>
    <t>HI Revenue Growth ST</t>
  </si>
  <si>
    <t>HI WACC 10</t>
  </si>
  <si>
    <t>LO WACC 10</t>
  </si>
  <si>
    <t>HI WACC CV</t>
  </si>
  <si>
    <t>LO WACC CV</t>
  </si>
  <si>
    <t>HI Growth CV</t>
  </si>
  <si>
    <t>LO Growth CV</t>
  </si>
  <si>
    <t>LO Revenue Growth ST</t>
  </si>
  <si>
    <t>HI Revenue Growth MT</t>
  </si>
  <si>
    <t>LO Revenue Growth MT</t>
  </si>
  <si>
    <t>HI COGS Growth ST</t>
  </si>
  <si>
    <t>LO COGS Growth ST</t>
  </si>
  <si>
    <t>HI COGS Growth MT</t>
  </si>
  <si>
    <t>LO COGS Growth MT</t>
  </si>
  <si>
    <t>WACC in First 11 yrs</t>
  </si>
  <si>
    <t>Growth in CV</t>
  </si>
  <si>
    <t>Revenue Growth ST</t>
  </si>
  <si>
    <t>Revenue Growth MT</t>
  </si>
  <si>
    <t>COGS Growth ST</t>
  </si>
  <si>
    <t>COGS Growth MT</t>
  </si>
  <si>
    <t>Scenario Weight</t>
  </si>
  <si>
    <t>Base</t>
  </si>
  <si>
    <t>Pessimistic</t>
  </si>
  <si>
    <t>Optimistic</t>
  </si>
  <si>
    <t>Tax Rate</t>
  </si>
  <si>
    <t>*Assume no acquistions or other investments</t>
  </si>
  <si>
    <t>Implied Share Price</t>
  </si>
  <si>
    <t>TEV/ EBITDA1</t>
  </si>
  <si>
    <t>TEV (MM USD)</t>
  </si>
  <si>
    <t>FIN 4350 Financial Modeling Fall 2019</t>
  </si>
  <si>
    <t>Prof. Antonio J. Macias</t>
  </si>
  <si>
    <t>Samuel Coleman, Drew Haggerty, Ian Kastner, and Miriam McCormick</t>
  </si>
  <si>
    <t>Problem:</t>
  </si>
  <si>
    <t>Insights:</t>
  </si>
  <si>
    <t>Tab</t>
  </si>
  <si>
    <t>Purpose</t>
  </si>
  <si>
    <t>Comment</t>
  </si>
  <si>
    <t>Insight</t>
  </si>
  <si>
    <t>DCF Model: Nike, Inc.</t>
  </si>
  <si>
    <t>Summary</t>
  </si>
  <si>
    <t>Control Panel</t>
  </si>
  <si>
    <t>DCF Model</t>
  </si>
  <si>
    <t>Financial Statement Information</t>
  </si>
  <si>
    <t>Nike Beta</t>
  </si>
  <si>
    <t xml:space="preserve">US T-Bill </t>
  </si>
  <si>
    <t>Net Working Cash Flows Calculations</t>
  </si>
  <si>
    <t>MENU</t>
  </si>
  <si>
    <t>Purpose:</t>
  </si>
  <si>
    <t>US TBill Calculation</t>
  </si>
  <si>
    <t>Nike Beta Calculations</t>
  </si>
  <si>
    <t>Financial Ratios</t>
  </si>
  <si>
    <t>Tornado Range</t>
  </si>
  <si>
    <r>
      <rPr>
        <sz val="11"/>
        <color rgb="FF008E40"/>
        <rFont val="Calibri"/>
        <family val="2"/>
        <scheme val="minor"/>
      </rPr>
      <t>*Green Text = Hard Code</t>
    </r>
    <r>
      <rPr>
        <sz val="11"/>
        <color rgb="FF00B050"/>
        <rFont val="Calibri"/>
        <family val="2"/>
        <scheme val="minor"/>
      </rPr>
      <t xml:space="preserve">
</t>
    </r>
    <r>
      <rPr>
        <sz val="11"/>
        <color theme="1"/>
        <rFont val="Calibri"/>
        <family val="2"/>
        <scheme val="minor"/>
      </rPr>
      <t>*Black Text = Formula</t>
    </r>
  </si>
  <si>
    <t>Due 25. November 2019</t>
  </si>
  <si>
    <t>Page Navigation</t>
  </si>
  <si>
    <t>[%]</t>
  </si>
  <si>
    <t>Difference</t>
  </si>
  <si>
    <t>Mkt Price</t>
  </si>
  <si>
    <t>min</t>
  </si>
  <si>
    <t>max</t>
  </si>
  <si>
    <t>P/E</t>
  </si>
  <si>
    <t>P/B</t>
  </si>
  <si>
    <t>EV/EBITDA</t>
  </si>
  <si>
    <t>12m Analyst's</t>
  </si>
  <si>
    <t>Historical Share
Price</t>
  </si>
  <si>
    <t>Minimum</t>
  </si>
  <si>
    <t>25th Percentile</t>
  </si>
  <si>
    <t>Median</t>
  </si>
  <si>
    <t>Mean</t>
  </si>
  <si>
    <t>75th Percentile</t>
  </si>
  <si>
    <t>Maximum</t>
  </si>
  <si>
    <t>Projected Share Price</t>
  </si>
  <si>
    <t>Nike</t>
  </si>
  <si>
    <t>HBI</t>
  </si>
  <si>
    <t xml:space="preserve">Hanesbrands </t>
  </si>
  <si>
    <t>--</t>
  </si>
  <si>
    <t>LNNGF</t>
  </si>
  <si>
    <t xml:space="preserve">Li Ning Co </t>
  </si>
  <si>
    <t>ASCCF</t>
  </si>
  <si>
    <t xml:space="preserve">Asics </t>
  </si>
  <si>
    <t>SKX</t>
  </si>
  <si>
    <t>SKECHERS USA A</t>
  </si>
  <si>
    <t>VFC</t>
  </si>
  <si>
    <t xml:space="preserve">VF </t>
  </si>
  <si>
    <t>LULU</t>
  </si>
  <si>
    <t xml:space="preserve">Lululemon Athletica </t>
  </si>
  <si>
    <t>UAA</t>
  </si>
  <si>
    <t>Under Armour A</t>
  </si>
  <si>
    <t>PUM.DE</t>
  </si>
  <si>
    <t xml:space="preserve">PUMA </t>
  </si>
  <si>
    <t>ADDYY</t>
  </si>
  <si>
    <t xml:space="preserve">Adidas </t>
  </si>
  <si>
    <t>Share Price</t>
  </si>
  <si>
    <t xml:space="preserve">Ticker </t>
  </si>
  <si>
    <t>Company Name</t>
  </si>
  <si>
    <t>Shareholders' Equity</t>
  </si>
  <si>
    <t xml:space="preserve">Liabilities </t>
  </si>
  <si>
    <t>DuPont Balance Sheet</t>
  </si>
  <si>
    <t>DuPont Income Statement</t>
  </si>
  <si>
    <t>DuPont ROE</t>
  </si>
  <si>
    <t>Equity Multiplier</t>
  </si>
  <si>
    <t>Total Asset Turnover</t>
  </si>
  <si>
    <t>Net Profit Margin</t>
  </si>
  <si>
    <t>Adidas</t>
  </si>
  <si>
    <t>PUMA</t>
  </si>
  <si>
    <t>Under Armour</t>
  </si>
  <si>
    <t>Lululemon Athletica</t>
  </si>
  <si>
    <t>VF</t>
  </si>
  <si>
    <t>Averages</t>
  </si>
  <si>
    <t>Revenue Growth</t>
  </si>
  <si>
    <t>WACC Pessimistic</t>
  </si>
  <si>
    <t>WACC Optimistic</t>
  </si>
  <si>
    <t>Growth Rates of Selected Competitors from 2015-2018</t>
  </si>
  <si>
    <t>Assumption: equal to historic inflation rates over the last</t>
  </si>
  <si>
    <t>ST Revenue Growth</t>
  </si>
  <si>
    <t>Sell Threshold</t>
  </si>
  <si>
    <t>Buy Threshold</t>
  </si>
  <si>
    <t>Crystal Ball Data</t>
  </si>
  <si>
    <t>Workbook Variables</t>
  </si>
  <si>
    <t>Last Var Column</t>
  </si>
  <si>
    <t xml:space="preserve">    Name:</t>
  </si>
  <si>
    <t xml:space="preserve">    Value:</t>
  </si>
  <si>
    <t>Worksheet Data</t>
  </si>
  <si>
    <t>Last Data Column Used</t>
  </si>
  <si>
    <t>Sheet Ref</t>
  </si>
  <si>
    <t>Sheet Guid</t>
  </si>
  <si>
    <t>Deleted sheet count</t>
  </si>
  <si>
    <t>Last row used</t>
  </si>
  <si>
    <t>Data blocks</t>
  </si>
  <si>
    <t>a7afc7dc-f5a5-48f4-b28f-cad0979da16e</t>
  </si>
  <si>
    <t>CB_Block_0</t>
  </si>
  <si>
    <t>㜸〱敤㕣㕢㙣ㅣ㔷ㄹ摥㌳摥㕤敦慣敤搸㡤搳㑢摡搲扡㤴㔲愸㠳ㅢ㈷つ愵㐰〸扥㌴㤷搶㠹摤搸㐹㐱㠰㌶攳摤㌳昱㌴㍢㌳敥捣慣ㄳ㤷㑡㡤㑡戹〹㑡㈵㙥愲㔰㉥慡㔰㈵㕥戸扣㜰㝦〱㈱㠱㔰㤱㐰㉡て㐸㍣ㄴ㠴攰〱㠴㈲昱挲〳ㄲ㝣摦㤹㤹摤㤹㕤敦搸摤戶攰㈲㥦㜴㝦㥦㌹户㌹攷晣搷昳晦㘷㥡ㄳ戹㕣敥摦㐸晣换㤴㘷收挶挵㜵㍦㤰昶挴㡣㕢慦换㙡㘰戹㡥㍦㌱攵㜹挶晡㥣攵〷㝤㘸㔰慣㔸愸昷ぢㄵ摦㝡㐴㤶㉡㙢搲昳搱愸㤰换㤵㑡扡㠶㝡づ挲摦㐸晣愰戳搷㘰ㅥ㘰㘹㘶㝡㝥昹㈱㡣扡ㄸ戸㥥摣㌷㜶㌶散㝢㜸㜲㜲㘲㜲攲慥㠳〷づ㑥散摦㌷㌶搳愸〷つ㑦ㅥ㜶㘴㈳昰㡣晡扥戱㠵挶㜲摤慡摥㉦搷㤷摣ぢ搲㌹㉣㤷昷ㅦ㕣㌶敥㝡摢攴㕤㠷づ㤹昷摣昳戶㐱扣㍡㜷㙡㘶㝡挱㤳愶晦ち㡤㔹攰㤴敦㥡㤵㔵㡢㙢㤳搲戳㥣昳ㄳ㌳搳昸㉦㌱㝦㍣摤㍤戱戸㈲㘵挰㔷㑢㑦㍡㔵改敢攸㌸㘰㑦昹㝥挳㕥攵收改昶㔱㉣戵㙡昸㐱挱㥥㤱昵扡㙥挷愳㤶散㜹散㕤摤㔸ㅦ戴ㄷ愵攳㕢㠱戵㘶〵敢㐵㝢〹〳搵㠶散㌳扥㍣㙤㌸攷攵㈹挳㤶〵晢㔸挳慡攵挳㤴敢扢㍤ㅥ㈲㌹㌱戵晣㠹㈹摦㥥㔹㌱㍣㌵㈳㥦ㅢ㤳搱昶愸㔷㑤户扤戵晢戸㥣扡㝡〳挷扣慤㝢㍢搴㥣㌵扣㘶换昱敥㉤愳挵愷㘷㜰㘷昷昶㠹㍤㑡昷㜹㜳昷㍥㙡㉢搳慤挵㐰㐴摦㙡㐷戱ㄸ扤㐸搰㑦㔰㈲㈰〲昵㌲挱〰挱㈰㠰挸晦〳㕣㤲散挸㉡慤㘲㘸㤵㘵慤㔲搵㉡㌵慤㈲戵㡡愹㔵捥㙢㤵ㄵ慤㘲㘹㤵㠷戴捡〵戴㠹㔳愹扦㕦㡢㔲晥昲㑦㝦㔴㝥晦㉤昳㡦㝦昱㠵攳㌷〴扦㈹て敥㐲愳〷愲㐹捤㝡挶㐵㤰㕡㡢㡡て㑣散攷扦捤戹〲㑣㘱ㅥ㌲敦㌶㈷㈷㙢㠷昶ㅢ〷㡤〲㤷㤵㠱晣ㄴ愱㡣愰敤愰昹愰攵搴摣㡢ち㜷㌷㑥ㅢ扥㙣㙤摣㜸㔴㌷敤㌶㥣㥡㝦挳挶㤵㡢㠱ㄱ挸敢摢敢㕡㠳㜴㜴㕢〴㕢㐹㕦扤敦愶昶㙥㘷㡤㝡㐳㑥㕤戲挲敡搷戵㔵摢ぢ㥥扢摣扤昶愸㈷ㅦ㙥搶㜶捣㘸ち㐲㙤㑤㡤摤戱捡戰㉡㥣搷搸捣㡡敢㑢㐷㑤㙦摣㕥戰慡ㄷ愴户㈸㈹ㄲ㘵㑤㉤昵㙡㔶㐵㕣㍦㍥敦㘰愱攰搶摡敢㤳愵收扤㤷〲㌰戳慣㘱扥慢搲ぢ搶㤷㡣攵扡扣㈶搵㈴㝣㈷㉡昶愶㡡㡦扡搵㠶㍦攳㍡㠱攷搶搳㌵㔳戵㌵〳㤲愶㜶搲慤挹㝣㍥愷㠴〲〴㙥㕦㥦㄰戹㍢扡昳㠲㐲㐴〲挵㘴攴敢搲㘴㌷㜱ㅡ慢挳㉡敡㤲㌴愹扤㘱㤳挱㌸㕦㈵㘳㌲㌸㌰戱㈶敡て扥昴㑤㥢っ摢挴摣慢摢㔸搳㐶愳搵摦扢㈶㥤攰戸攱搴敡搲换搴㝥㠲㌳搲㠷〱ち㔷㈰㄰扡敥ㅥ㔵㥤戸㈴搶ぢㄷ慤㕡戰㔲㕣㤱搶昹㤵〰㘵搰㤰愵ㄲ户戶㈳改㔷愱㐸摦㑤㌰ち㔰㉥攷㡡㝢搸愸㔸㐶捡ㄵ㈸㥤㌲㜸㌹㈵挸搹㉦挵换㠳收㔱慢ㅥ挸㔰㈸て㥢挰㐸愸搵ㄴ晡㠶㐸愲㥥㔱つㄵ挶ㅥ㜳〶㔴㙡㔸㑥戰摥攲摢づ㉥〹㠹㘸㐷ㄶ㙣㍢㔹㐰㔱㤰㤶〷ㄹ扣〶愲㘹㤳〶搹㡤ㄳ㐴㐴㌶挸搰散ㄸ㌹㑤㘴㙣㥦㈱㈳搰㍥㐹㠴㙣扤扦扢㡣㈰戱㜷ㄲ㈹㍢㜵攵挷ㅤ㘹戶㤱㉤ㅦ㑡戳慢戱㜱晡㌵〴搷ㄲ㕣㐷戰ㄷ㐰晣ㄹㄲ㡥㔲づ昹㜴搲㙦挰戳㝥㈳挱敢〰㈰㥦㜴捡㥣㐸㔴搱㠶摡㡡ㅤ挹㜶㐳戰㤳㤵㔱ㅣ㡡㈲㕡挶㑤㍢㜳挸㔶㠸㡥慣捥敤愱㙢昳㑡挷扥戱㍢㙤㈶㤷㐳㡡捣㘸㥡㕣敢㈶㑤㤳ㅢ挱愶㍤敡慤㥢搱㔵ㅦ㈳戸〵愰慣扦㥥㄰捡㠵〶敦搶㉣㝡㥡㤴慦〹戳㈸㌴㠶㝡㔴昰ㄱ㈱昳〸㤰㈱攴㍡㡥㉦㍢㌶㌴捤挱㜱昳㌵㙦㐳敦敢捥摦ㄱ搲摢昴收㡥摥愱扦攸㈵㕡搱户㠲扤挴敦扢敡㤸摢㔰慤扦㤱攰㜶㠰㌶ㅤ挳搳昷㑢昵ㄴ㈸戳搸㑥㘰㙥㌷扤㉥捡捡㕤㕡㕦㤵㑡〳つ㥡㑢㠶㜷㕥〶昰㘰㥣㤸㠵㉤散㝡㥥慣攳㔰㕢㔳〵㍣扦㕣㥢㉥昴㡦㝡慥捤昲ㅤㅢ搹㝦㑤㈸㠶㝣㕥敢换戵搹挸ㄹ戶㘶挲攷㤴愰ㅣ敡攰㠳摤㠵㐴愲㔳㥡扣搸㉦晢㝣戹㈳㐹㝡㤰㈴㙦挶戶敡㜷〰㐰㑡㠸摦㜶㤵㈸晢搸散㉤慡㔹摡㘲愵㠷㉦攳㜴搲收㐳散㤰㈳〳愱挳㜶ㅡ晥〳㝦挸㕥戴散愶戰ㄸ戰ㄷ愴㔷㠵㙦挱慡换㜲攸㤶愵愸搹㤱ㄵ慦ㄱ㔹搱搷搷㜱㥥捥昰慦㈹㍡㘹㤳ㄲ㤹摣㥥㔹㤹㜱ㄶ㙦ㄱㄵ摤㤰ㄴ㉡ㄹ慥愱愶〴㈲攵戱敤㡥㠸改㐱挴摣㠹㡤搳昷ㄳ㑣ㄲㅣ〰㈸晣ち㤲㘶慢ㅢ捦㜰㔸晦ㅡ㕤摡㤵㑡慥㐴㌴㈸ㄷ攱昳㕤㠵搵㈱扥收慤〴㜷〳戴㤹㍦㜴㐰㘶㄰愲㐲㜹㠲㄰㔵ㄸ挳㍣㙢挹㡢愴㠱㕤㈶〲㑢㌳つ㍦㜰㙤㐶㤶㠶捣㔹昷㤴ㅢ捣㕡晥㉡㈲㔱愳㘶㤴㜹㜰㐵㍡愰㉥て戶㑦㕢㤹扢扡㉡㙢扡戹攸㌶㈰摡㑥捣㙥㠷㠳㌹戶〳戶愴㍡㥢㙢〲愹户昳㌱㠶㄰搸㘹攵㙦愵㌷㜶㑢摥㙦ㅥ晡㠶㕢㍢扡㘴〵㜵㌹㘰㠶㑣挷㝣挹挴㉥㈲㜲㔰敢㌷㤷㔶㍣㈹㘷㠷捣㘳㥥㔵慢㕢㡥㈴㌲㘰㘳㌲㔸㌷㈷捦㈳㑡戰攰㌲〶攸㍡㐳收㤲㘷㌸晥慡挱㠰攲晡敥搴㤳ち㡢ㄴ捣㘹换昱昱ㅡ㠵㐵收㠷捤挵ㄵ昷㈲㈲戶つ摢㌹㘶慣晡摢〲㉢㈴晡㌰㈹搴〸㑤㘸㥡㈸㘹愵㕥昱挳〳㜹㉥㐷摥换ㄳ㈸㕣攵ち昴㤹㘷㘸㙦摡昵㔱㡣㠶㜶㍡攷㌴㠸攸㔱戳戰㉦㔳ち㤳㔳昵㝢搸攷敤〰昷ㅤ㍢㜳愲ㄵ㤹㝢㔹㌱敢〲扤晣ㄹ㌲㕥㤱㐵㌳㄰㐲ㅦ摤慥㤰㔴㔸㐶捡〱〷〲攳㝣㙡㈷扦戲愹摡㤰晡㜶戵戲㐷ㄱ㐹ㅡ㌴攷㡣㘵㔹㐷㍣摡㌶㠲㕤攱〳捤㔸摢愸晢㔱摤㡣㙢摢〶㐹㡢㘴戹㔸㌵㐸挱㔳㡤挰㍤㘹㌹扡〹愰攸㉦㉡㌲㉥愱挸戸愴㡡〶捤搳っつ慡㍣挷㜲捦ㅢ㥥ㄵ慣搸㔶戵挴〷㠶敦戶〵㑤㠲挹㈹㜹攳ㄴ换㡣戱㌶㙢晥っ㑣㌶㝦〲攸㥥㠰ㅣ攵搶ㄱ晤愰㕣㑤ㄴ昱㑦昴攸㔸㠲㠰㔱㥥㔲晤㥤ㄸ慤愰㙥㐷㐰攴愸㜴㈵扥㠳㜱攵㌱㤴㠴㐲㠸㔸捦㈰ㄱ㜸〵ㄳ㐲㥥㉥敥愲㜹挶戱〲㘰㡦ㄸ㍢㙡〵戳㍥㔰づ㠰慣㍡摥㕥慦戰㥡攸㌴摥搴ち㌷㜷㔶愵搴挴㑤㥤昵㐹扤昱㠶つ慡㐳㡤㤲㔰㈴㥢㌵㔲㥡㘵㠳㌹㙥㈷㔵㈳㤴攲㡥戵㡤挸㜲㥢戶昶㥤㔲攴㘵㈸㈶㐵㌳㌹晤㕤㡡㔰㄰攸㡤㜴ㄴ㝤昶搹攴㤱㠸搸搰〶㈸㔳㑦㠵㘵㐳㔱㐸昰〴慥㥤搴㘴㌹㝡〲㝦敦㡡戲昳㡤㈰㔵㘳㕣ㅡ㡤㙡愶敡昵㜹〷㔶㐲搵昰㙡摢㠴愵戱戶㔰挳㈸敥散㔵晢㠷摢㥢㘰挴㠸つㄹㄶ挹昰〳㠳つ挱㕣㠹㠸㉡慤戳㈱㙥㜵戳戸挴愷㤳搲㜰ㄴ〶ㄶ㠳摡慣㕣㔳㘶㔸换㤲ㅦ㔵ㅤ㥡愷㐵㈵㐷㜵㜳㙡搹㠷㑡て㈸挷愳㥣㘲㜰摤㍣㑤户ㄴ㉥㌱㐰散㐶戹㠵㙡㠰搰㙥㜳〰㥥っ戶て㜶戰㈳㘱攸㠴搶ㄹ㈵㘸㌱㠳㜰搳㡢㈰敦昴㠸㔱〸㔲㔳愵扦ㅦㄱ㕦㝣㥡改ㅢ㐷㜲㜱㈶㘲㈲㠶扢㌲慣〷㈰㌷ㄹ㤹㈴ㄷ㡤挶〱昳㔰戲㈹愱㌵ㄸ㤷搱挴ㄸ愲挹攷〵戸挵挳㔸搶㌰搹愶㡥㝢㙥㠱〵㙤㕡㕦摦㘵㥥㜰慡昵㐶㑤㉡㔵ㅣ换㙡愵㤱户〵扥搴ㄵ挰㤰㥢㌲昶㈵摡㤴ㄳ㌸㑡㜱挹㐴㔲敦㜶户㝥〴摤㤵㤰挳ㄸ愱敡㘳〰㌲挳㉤愷〲㘲ㅤ昷ㄴ㘸ㅦ敥㙥㕤㘰㔰㤷攷㈰搲㍡㡡㈸换收㜰ㅦ慦ㄹ㐵㔶摣㤶㘸㌶攷捥戹戴搹ㄳ㐵挷慤戰㘸㕢攰〸敢っ〵㕥戱〸㘳愴㐷敥攰㈰戹㉢㔱㜴昷捡㘳敡㌱㜷〵愸㔰ㄸ㄰㡣昱昲ㄴ㤴挳慥㠲㤱㘸㜰㙢㉤慢㕢㌰晡㑢换㕢㥦〲㄰っ〳搳愰㐵换搰挰㤹㐱㝥㜳〳攷㘶戴捡㠸㤰㈶㠳愹㡣㔱㡥挲㘱て愴㠱㥢㜸㤰㕥㜲愱㠴㠲㍤敡㘲㔸㝣㌷㜱摣挶ㄱ挸昵慥㘹㉢㕣㌰〲㕣㝦㜱昶戶ㄵ㑦搵㙡㌴㜷攱㥦摢ㄶ㔸挵搵㡤搰ㅣ摤搳㜶㈹㑢慤㠹昶摤慤㙤ㄵ搱㘵挱〳戳ㄳ挷㡤愰扡戲ㄸ慣㠷ㄷ户㝡㈵㠹挲㡦攱㡦搸昰敤戴㤹昳づ㉦愲慥㜱敦换ㄷㅣ昷愲愳收㔵昰㜹敢てㄴ㠲㉢㤴晤㥣㘴㌹昷㙦晣㔳㐹换ㄵ㝥㠴ㄱ户㌲㙤づ搰㜲㤰㜰ㅣ㤵㐲㘹㌰㠶㝣〶㥤挰㜶㙦摥ㅡ㈰㥤散㘹愳ㄳ㈵〸㜶〸挵㌹晦㡡ㄱ㡡昸㈱搰㑡㘲〹㡦攴搸昳攷挰晡攲〷㈸㈱挲昱ㅣ㠹㤱挲㉤挸㘵愰㑥〹昲攸㡡〷㉦㠴晣晦㘰㈹收收つ搹改扦挰捣攲晢敤㈸扡㠹㈸晡㕥〷㡡〴慦㠱㈸晥扤て㤹㌸ㄵㄸ㥥㝤㐹㠱㜰慥㘹攷〰晡慡㕦昸晤ㅦㅥ㐰攷㈲攲㔰㌶ㅡ㐲㙤户攱戹㘹㈲昴㜵㤸〸っ摥㉢ㄳ攱㈴㌲㠲㔱晣搰㐴㠸㝣㈰昳㈸搸摣㐴㘰㙣㉦挳㄰㑣㠴㕡ㄳ㙥つ㥥挰慥戱改ㅦ㍢㡥㡢户搲㐷㍣ㅦ㑡换㥦㠱㐷敡摡捥攲〵挳㌳散扤慡晣㤸㈷愱捣扣㈵摣攴㔶㕤搸攳晡つ㙢㔴愷つ㝣ㄵ戱㤷㝤挷㥦戲戵晢敢挰㔴㤸㐲昷扤㈸㠹攲换昰㤴〸㥥ㅢ㜲ㅦ摣昳捤㘳㝦㜸攴㠹㈳扣慤ㄶ搱㙡攱づ攴㝢〹搹搳㥥㐰㔰㌷㜱㔱攴㙡㝥㤸㜳ㄲ㥦㈸㔹慢㜵㌹㙤㜸捡ち昲㜵㍢捥㠶㠴㤷㈰捣㤰昸戶㠳㠹㠹㝢て愱㠹㌹搱收敥㔴ㅦ㌶㈹ㄷ攱㐴㘲攲捡愷ㄷ㠷つ㐵㔷㐵搶愳戵㔹昸㌶㔴搱㑢㥣㐸摡㑡攴愹㤳㐹㠸㙦戵敢扡㐳搴㜵攱㐱㠶㘱晦㔸㑡㈱晥㐰ち㐹ㅥ㘴㜸㈱㐰㐹愹搳挸ㄴ敥〴挸㠸慣戵㠷㜸改て搸ㄱ〲戲㜹改慦挷㡦㔸戰㡢挰㘲散㡢敦昵㐴㑢㕢㌴㔶㑤っ搵㉡㥢㘶ㄱㄹ㜵㜸㘱挱㘴㕣㥡戲㜴づ愰㜴换敥㈸扥㘴挸づ〳㙦㈱㘳ㄷ㙣晡摡捡昶扤㑥〳㌷㍦愰㘷㡡㑡㘱㌸扢㔹㡣〳愹㡡搱㠵㑤换㘱ㄱ攱㜰㤸㙤㜶ㅡ㠸慡愰戳㥣扤㌸㤵㈲昸挷㉦㠵㔸㍦摥ㅡ晡敡昶ㅡ敡㌸愷ㅦぢ攴て昶搷㑤ㄹ㡣㡤户㤲㘳㈰㘱户搴慡ㄴ㕥て㍦㠳㉥㕣㜴㑥攸慤慣㝡ㄶ㠷昰㈷收慣㍥慤㐳晦㌳㝡慤㌸敢㉣㝢㌳㡣㥤搲晦敦㐱挱愶晡㕦㌰昶愶㄰昹摥㈸挳㠷〲攳㈷㥢㠶㙣戸㈳昰㙣㈳㜸愳づ挶扡捡㌲攴ㅤ收ㄶ昱昱㙡㔸慤㈴㌸晣㕥昹昶慢ㄱ捤扥戴㙤〷扡ち㐰挶㠶ち捦㐱〴㜵敤㥦㤶㕢昱改戶昸㍥㜴摣㜳搲慡㝡慥敦㥡挱搸㈲㠲扥㘳晣昶捣㠴捤㌳㈵扥摥㉥搴㙥挵㑥っ㝥〰㝤㑥捤㐳㘰㥦㤲挱㉢ㄵ㡢㘴㘴㘱㙢㤱っ㝥㠷㌴㤲〸㉦㔱㍢昸㔷㤹て㌴㡣㍡㍥㕤㥤㠷慦㌳㘰搱戶㔰㜶愱挷戹晤㠶〶户づ㜷戴敥㠷㍦㐸搶㈷㄰ㅣ㔳㑢㜸摦〷戸慦敤㝢㤰㙥ㅢ慤捤㘷换摥㝣㙥攵挲戳挰改搶摥㤲㈶ㄹ扥㤳㕦㈴㤷昵ち㈱㉥敤ㅦ挱摦慤㍢㘸㌹摡㈸攸㍣晡愰㥢㡥戰昱㍡摣㘷㕢㠸㝥㥦㐳㔷㌱㐵㠰㥦㙥㐴ㄹ㍥〸㝡昹挸㡡攲㉢㔸ㄶㄹ〰昹㕣戱ち搰㥤慡㥦搹㠸慡㐷㘲㠱㉣㜸挶㈰㌹㤶挵㤷搰㤰摢ㄵ㉥ㅢ㉣挱㘵ぢ㜵㤶㐰㕥㡦㝢㈰㥦ㄳ㍣㑢愸㠹㝣〱ㅤ㥡ㄳ戱㔰摡㝤㈲㥦摦㘸㈲㠲㔶㠰㕡㘸㜲晣㤱㔸㡢攸㜵㔴敢㌶㠱㐳攰〲っ㔳㉣㔲搶ㄴ挳搰挲て㠸ㄹ愴㕦㐷㝦㕦㍣昲慢攷㤹晥㜶㐴㈸㐱㠸慡昴攴㈹〸搵攴㥦㑡㑥摥㐳㘹昷挹㍦戹搱攴㐷㈸㈳㌹ㄳ㍤〰ㄸ敡ㄳㄵ晣㔱㡢㘹㈰挳㝤攴㑦㥣㈳挰㉦㌵㡢ㄱ〳㈵慡敦㐵㘴搰㤷ㅢ慥㕡㕤㐲㈶敥㕢攰晡㌳㍥敥㔱昶ㄱ㉦㐲搲㤷㔳っ㥤戱挵㔰㉢㤶散挸ぢ扢㉤㘴〳㤶挴慦㘵扢㡡昴㘲㡦ㄱ㝥昱搱ㄸ㌱挷㡦挷㕦㑥㘹㔱捣〹㠴ㄱ㕡愴愴ㅦ㙥愴昸㐸摣昸㍢摦㙤戹㑣㔱㠱〴敡〹ㅢ㤳捥㔴攳て挷㡤て攰慢㉣搵㈶挷ㅢ〴㑣㉦挶㡤㐹㡦慡昱ㄳ㜱攳扦ㅥ搸摢㙣ㅣ搳㘱㌸㜲㠱㐴㤲㘱敢㉡敢㍦昱㠵昶㌰㥡ㄷ㑣敡捦〱㌳㉣愶攴㔴愱攳扡搲愰㠳戸っ攲攱ㅢ改㌹摣㙤挲ㄵ㄰〸搹昰㝦㤵㜰〲㜷㥥㘶㡤挰挰㈷搰㙢〸㌶㝢扡㝡㘲攷愲㌹敦愱愰摦㍣攱攳㑣㔵摢㔶㈴〲㜳㈰ㅦ敥敦㈶㑥昹っ搳戱戵ㅦ㜱㤰㑣攳ㅤ㤲摥㤴㠷ち慣攴挵攳㌱㘶㜳㤷㕢㌴愳㍦〶攴㐰㍡〲㌲愳㕦〶っ〳㌱扣慤㥣ㅢ㈱晦㉢收㝥㥣ㄵㅦ㈲㜸〲愰㉣挸散愴㠳攲㠷〱㠶攳晦㔱挵搸㥡昲㤷㘸攲㤱昸㘵㐹㌲搲㍦捡づㅦ〳攸㠳晢㔶㐴㐴㔸搶㍦㡥㤲攴㑢㈹㌸搴㑢㍦挱㡡㑦ㄲ㍣〹㔰㉥㜰戲㕢摥㌵慥愹㐷捤昵㈹㜴ㄵ㤷〹昰搳㥦㡡㌲㝣㈸㜰ㅦ摥搱摤㔶收㔱㌸晥戰ㅦ愱捥搴ㄷ晣昷攲㡢晣㜵㉥扡て晦㐳㤲㠲㌲散昳摡摢㝢ㅢ㡢㑣㐰㥢㕣晤㔶戱搹㉦㘳ㅣ慥慢ㄵ㐱攱㠸㔴㉡㈵慤㈸㠸㙦㉥㔸戸㜸〳摦㜲㔸㔵〸㐱ㅡ㔰ㄵ㑥㔴㜱〴〵晡㘷搸㤴㌸㈶㥥昴捦昲㠹愸㔵㥢昸戹㈸挳〷㐱扣慡敥て㐵摤攳ㄷㄲ搷慡挲㙡㝢㈱昱慦㉡㔶㤲㉦㝣㥡㠳㈹㘴㈱㤳搶㑡㐴㥡愲愱㉦㈱㌳搴㌷捣戹㍤㠸㥦㜶㐹㔴捦搵捥㥤晢攷㜰㝥散晡晣㝢摥㍤昸昴㡢扦晣攳愷㕦㜸晦攱扦晣敢㤹㘷㕥昸搳愷㥦晦搷㡦㤷て晦晣搹㘷㝦㜶摦㔷㥦晦攳㙥昳㙢摡㜷晦㌹昷戵㐷㈷㉦㍣晡戰㜹收㡥㘳㡦扥昷愱〷㈶ㄷ慥ㅡ敦敢敢敦扦㝤昴ㄷ搷扤㘹攴昲挳摦ㄷ㍦昹摤戵㡥㔰换挵ぢ搲搳攰戲搵㌴扥㡣っ愶挱ㄹ扦慡搳攰㜲搵㐶㉤㐷ㅢ㌵㡤㠲ㄲ㝣ㅡ㥣㠰慡㌰搲ㄵ〳晦〱攳㉡戱慣</t>
  </si>
  <si>
    <t>Decisioneering:7.0.0.0</t>
  </si>
  <si>
    <t>8414232b-49dc-4145-8fc0-d5cce593fa32</t>
  </si>
  <si>
    <t>CB_Block_7.0.0.0:1</t>
  </si>
  <si>
    <t>㜸〱敤㕣㕢㙣ㅣ㔷ㄹ摥㌳摥㕤敦慣敤搸㡤搳㑢㑡㉦㠶戶ㄴ攲攰挶㐹㐳㈹㄰㠲㉦捤愵㜵㘲㌷㜶㔲㄰愰捤㜸昷㑣㍣捤捥㡣㍢㌳敢挴愵㔲㉢㘸㈹㜷㈴㙥愲㔰㉥慡㄰ㄲ㉦㕣㕥戸ぢ〹〹〹㠴㡡挴〳㐸㈰昱㔰㄰㠲〷㄰㡡攰〵㈱㈴昸扥㌳㌳扢㌳扢摥戱扢㙤挱㐵㍥改晥㍥㜳㙥㜳捥昹慦攷晦捦㌴㈷㜲戹摣扦㤱昸㤷㈹捦捣つ㡢敢㝥㈰敤㠹ㄹ户㕥㤷搵挰㜲ㅤ㝦㘲捡昳㡣昵㌹换て晡搰愰㔸戱㔰敦ㄷ㉡扥昵戰㉣㔵搶愴攷愳㔱㈱㤷㉢㤵㜴つ昵ㅣ㠴扦㤱昸㐱㘷慦挱㍣挰搲捣昴晣昲㠳ㄸ㜵㌱㜰㍤戹㝦散㕣搸昷挸攴攴挴攴挴㥤㠷づㅥ㥡㌸戰㝦㙣愶㔱てㅡ㥥㍣攲挸㐶攰ㄹ昵晤㘳ぢ㡤攵扡㔵扤㑦慥㉦戹ㄷ愵㜳㐴㉥ㅦ㌸戴㙣摣昹㠶挹㍢てㅦ㌶敦扥晢つ㠳㜸㜵敥昴捣昴㠲㈷㑤晦㐵ㅡ戳挰㈹摦㌹㉢慢ㄶ搷㈶愵㘷㌹ㄷ㈶㘶愶昱㕦㘲晥㜸扡㙢㘲㜱㐵捡㠰慦㤶㥥㜴慡搲搷搱㜱挰㥥昲晤㠶扤捡捤搳敤㘳㔸㙡搵昰㠳㠲㍤㈳敢㜵摤㡥㐷㉤搹昳搸扢扡戱㍥㘸㉦㑡挷户〲㙢捤ち搶㡢昶ㄲ〶慡つ搹㘷㝤㜹挶㜰㉥挸搳㠶㉤ぢ昶昱㠶㔵换㠷㈹搷㜷㝢㍣㐴㜲㘲㙡昹ㄳ㔳扥㍤戳㘲㜸㙡㐶㍥㌷㈶愳敤㌱慦㥡㙥㝢㑢昷㜱㌹㜵昵〶㡥㜹㕢昷㜶愸㌹㘷㜸捤㤶攳摤㕢㐶㡢㑦捦攰㡥敥敤ㄳ㝢㤴敥昳摡敥㝤搴㔶愶㕢㡢㠱㠸扥搵㡥㘲㌱㝡㤱愰㥦愰㐴㐰〴敡㘵㠲〱㠲㐱〰㤱晦㍢戸㈴搹㤱㔵㕡挵搰㉡换㕡愵慡㔵㙡㕡㐵㙡ㄵ㔳慢㕣搰㉡㉢㕡挵搲㉡て㙡㤵㡢㘸ㄳ愷㔲㝦扦ㄶ愵摣㍦㝦㍤昷攴㜵㌷㑥㝦㙦摦攸摦㥥昹攱〷昷て敥㐲愳晢愳㐹捤㝡挶㈵㤰㕡㡢㡡て㑥ㅣ攰扦捤戹〲㑣㘱ㅥ㌶敦㌲㈷㈷㙢㠷てㄸ㠷㡣〲㤷㤵㠱晣ㄴ愱㡣愰敤愰昹㠰攵搴摣㑢ち㜷㌷㑣ㅢ扥㙣㙤摣㜸㔴㌷敤㌶㥣㥡晦㡡㡤㉢ㄷ〳㈳㤰搷户搷戵〶改攸戶〸戶㤲扥㝡摦㑤敤摤捥ㄹ昵㠶㥣扡㙣㠵搵㌷戶㔵摢ぢ㥥扢摣扤昶㤸㈷ㅦ㙡搶㜶捣㘸ち㐲㙤㑤㡤摤戱捡戰㉡㥣搷搸捣㡡敢㑢㐷㑤㙦摣㕥戰慡ㄷ愵户㈸㈹ㄲ㘵㑤㉤昵㙡㔶㐵㕣㍦㍥敦㘰愱攰搶摡慢㤲愵收㍤㤷〳㌰戳慣㘱扥慢搲ぢ搶㤷㡣攵扡扣㈶搵㈴㝣㈷㉡昶愶㡡㡦戹搵㠶㍦攳㍡㠱攷搶搳㌵㔳戵㌵〳㤲愶㜶捡慤挹㝣㍥愷㠴〲〴㙥㕦㥦㄰戹㝤摤㜹㐱㈱㈲㠱㘲㌲昲㜵㘹戲㥢㌸㠳搵㘱ㄵ㜵㐹㥡搴㙥摤㘴㌰捥㔷挹㤸っづ㑣慣㠹晡㠳㉦㝤捤㈶挳㌶㌱昷搲㌶搶戴搱㘸昵昷慣㐹㈷㌸㘱㌸戵扡昴㌲戵㥦攰㡣昴㘱㠰挲ㄵ〸㠴慥扢㐷㔵㈷㉥㡢昵挲㈵慢ㄶ慣ㄴ㔷愴㜵㘱㈵㐰ㄹ㌴㘴愹挴慤敤㐸晡㔵㈸搲㜷ㄳ㡣〲㤴换戹攲ㅥ㌶㉡㤶㤱㜲〵㑡愷っ㕥㑥〹㜲昶㑢昱昲愰㜹捣慡〷㌲ㄴ捡挳㈶㌰ㄲ㙡㌵㠵扥㈱㤲愸㘷㔴㐳㠵戱挷㥣〱㤵ㅡ㤶ㄳ慣户昸戶㠳㑢㐲㈲摡㤱〵摢㑥ㄶ㔰ㄴ愴攵㐱〶慦㠱㘸摡愴㐱㜶攳〴ㄱ㤱つ㌲㌴㍢㐶㑥ㄳㄹ摢㘷挸〸戴㑦ㄲ㈱㕢ㅦ攸㉥㈳㐸散㥤㐴捡㑥㕤昹㜱㐷㥡㙤㘴换㠷搲散㙡㙣㥣㝥つ挱戵〴搷ㄱ散〵㄰㝦㠴㠴愳㤴㐳㍥㥤昴㔷攰㔹扦㠱攰㐶〰挸㈷㥤㌲㈷ㄲ㔵戴愱戶㘲㐷戲摤㄰散㘴㘵ㄴ㠷愲㠸㤶㜱搳捥ㅣ戲ㄵ愲㈳慢㜳㝢攸摡扣搲戱慦敥㑥㥢挹攵㤰㈲㌳㥡㈶搷扡㐹搳攴㐶戰㘹㡦㝡敢㘶㜴搵挷〸㕥〹㔰搶㕦㐵〸攵㐲㠳㜷㙢ㄶ㍤㑤捡㤷㠵㔹ㄴㅡ㐳㍤㉡昸㠸㤰㜹〴挸㄰㜲ㅤ挷㤷ㅤㅢ㥡收攰戸昹戲户愱昷㜷攷敦〸改㙤㝡㜳㐷敦搰㕦昴㍣慤攸㕢挰㕥攲户㕤㜵捣㙤愸搶㕦㑤㜰㍢㐰㥢㡥攱改晢昹㝡ち㤴㔹㙣㈷㌰户㥢㕥ㄷ㘵攵㉥慤慦㑡愵㠱〶捤㈵挳扢㈰〳㜸㌰㑥捥挲ㄶ㜶㍤㑦搶㜱愸慤愹〲㥥㕦慥㑤ㄷ晡挷㍣搷㘶昹㡥㡤散扦㉣ㄴ㐳㍥慦昵攵摡㙣攴っ㕢㌳攱㜳㑡㔰づ㜵昰愱敥㐲㈲搱㈹㑤㕥散㤷㝤扥摣㤱㈴㍤㐸㤲搷㘲㕢昵㝤〰㤰ㄲ攲㔷㕤㈵捡㝥㌶㝢㥤㙡㤶戶㔸改攱换㌸㥤戴昹㄰㍢攴挸㐰攸戰㥤㠶晦挰ㅦ戲ㄷ㉤扢㈹㉣〶散〵改㔵攱㕢戰敡戲ㅣ扡㘵㈹㙡㜶㘴挵换㐴㔶昴昵㜵㥣愷㌳晣㙢㡡㑥摡愴㐴㈶户㘷㔶㘶㥣挵㕢㐴㐵㌷㈴㠵㑡㠶㙢愸㈹㠱㐸㜹㙣扢㈳㘲㝡㄰㌱㜷㘰攳昴〳〴㤳〴〷〱ち㍦㠷愴搹敡挶㌳ㅣ搶扦㐶㤷㜶愵㤲㉢ㄱつ捡㐵昸㙣㔷㘱㜵㤸慦㜹㍤挱㕤〰㙤收てㅤ㤰ㄹ㠴愸㔰㥥㈰㐴ㄵ挶㌰捦㔹昲ㄲ㘹㘰㤷㠹挰搲㑣挳て㕣㥢㤱愵㈱㜳搶㍤敤〶戳㤶扦㡡㐸搴愸ㄹ㘵ㅥ㔸㤱づ愸换㠳敤搳㔶收慥慥捡㥡㙥㉥扡つ㠸戶㤳戳摢攱㘰㡥敤㠰㉤愹捥收㥡㐰敡敤㝣㡣㈱〴㜶㕡昹㕢改㡤摤㤲昷㥢㠷扥攱搶㡥㉥㔹㐱㕤づ㤸㈱搳㌱㕦㌲戱㡢㠸ㅣ搴晡捤愵ㄵ㑦捡搹㈱昳戸㘷搵敡㤶㈳㠹っ搸㤸っ搶捤挹ぢ㠸ㄲ㉣戸㡣〱扡捥㤰戹攴ㄹ㡥扦㙡㌰愰戸扥㍢昵愴挲㈲〵㜳摡㜲㝣扣㐶㘱㤱昹㘱㜳㜱挵扤㠴㠸㙤挳㜶㡥ㅢ慢晥戶挰ち㠹㍥㑣ち㌵㐲ㄳ㥡㈶㑡㕡愹㔷晣昰㐰㥥换㤱昷昲〴ち㔷戹〲㝤收ㄹ摡㥢㜶㝤ㄴ愳愱㥤捥㌹つ㈲㝡搴㉣散换㤴挲攴㔴晤㙥昶㜹㈳挰扤挷捦㥥㙣㐵收㕥㔰捣扡㐰㉦㝦㠶㡣㔷㘴搱っ㠴搰㐷户㉢㈴ㄵ㤶㤱㜲挰㠱挰㌸㥦摡挹慦㙣慡㌶愴扥㕤慤散㌱㐴㤲〶捤㌹㘳㔹搶ㄱ㡦戶㡤㘰㔷昸㐰㌳搶㌶敡㝥㔴㌷攳摡戶㐱搲㈲㔹㉥㔶つ㔲昰㔴㈳㜰㑦㔹㡥㙥〲㈸晡㡢㡡㡣换㈸㌲㉥慢愲㐱昳っ㐳㠳㉡捦戱摣ぢ㠶㘷〵㉢戶㔵㉤昱㠱攱扢㙤㐱㤳㘰㜲㑡摥㌸挵㌲㘳慣捤㥡㍦ぢ㤳捤㥦〰扡㈷㈰㐷戹㜵㐴㍦㈸㔷ㄳ㐵晣ㄳ㍤㍡㤶㈰㘰㤴愷㔴㝦㌳㐶㉢愸摢ㄱ㄰㌹㉡㕤㠹敦㘰㕣㜹ㄴ㈵愱㄰㈲搶㌳㐸〴㕥挱㠴㤰愷㡢扢㘸㥥㜵慣〰搸㈳挶㡥㔹挱慣て㤴〳㈰慢㡥户搷㉢慣㈶㍡㡤㌷戵挲捤㥤㔵㈹㌵㜱㔳㘷㝤㔲㙦摣扡㐱㜵愸㔱ㄲ㡡㘴戳㐶㑡戳㙣㌰挷敤愴㙡㠴㔲摣戱戶ㄱ㔹㙥搳搶扥㔳㡡扣〰挵愴㘸㈶愷扦㐵ㄱち〲扤㤱㡥愲捦㍥㥢㍣ㄲㄱㅢ摡〰㘵敡愹戰㙣㈸ち〹㥥挴戵㤳㥡㉣㐷㑦攰敦㕤㔱㜶扥ㄱ愴㙡㡣换愳㔱捤㔴扤㍥敦挰㑡愸ㅡ㕥㙤㥢戰㌴搶ㄶ㙡ㄸ挵㥤扤㙡晦㜰㝢ㄳ㡣ㄸ戱㈱挳㈲ㄹ㝥㘰戰㈱㤸㉢ㄱ㔱愵㜵㌶挴慤㙥ㄶ㤷昸㜴㑡ㅡ㡥挲挰㘲㔰㥢㤵㙢捡っ㙢㔹昲愳慡㐳昳戴愸攴愸㙥㑥㉤晢㔰改〱攵㜸㤴㔳っ慥㥢㘷攸㤶挲㈵〶㠸摤㈸户㔰つ㄰摡㙤づ挰㤳挱昶挱づ㜶㈴っ㥤搰㍡愳〴㉤㘶㄰㙥㝡ㄱ攴㥤ㅥ㌱ち㐱㙡慡昴搷愳攲戳㑦㌱㝤昵㘸㉥捥㐴㑣挴㜰㔷㠶昵〰攴㈶㈳㤳攴愲搱㌸㘰ㅥ㑡㌶㈵戴〶攳㌲㥡ㄸ㐳㌴昹扣〰户㜸ㄸ换ㅡ㈶摢搴㜱捦㉤戰愰㑤敢敢扢捣㤳㑥戵摥愸㐹愵㡡㘳㔹慤㌴昲戶挰㤷扡〲ㄸ㜲㔳挶扥㐴㥢㜲ㄲ㐷㈹㉥㤹㐸敡摤敥搶㡦愲扢ㄲ㜲ㄸ㈳㔴㝤っ㐰㘶戸攵㔴㐰慣攳㥥〲敤挳摤慤ぢっ敡昲ㅣ㐴㕡㐷ㄱ㘵搹ㅣ敥攳㌵愳挸㡡摢ㄲ捤收摣㌹㤷㌶㝢愲攸㠴ㄵㄶ㙤ぢㅣ㘱㥤愱挰㉢ㄶ㘱㡣昴挸ㅤㅣ㈴㜷㈵㡡敥㕥㜹㔴㍤收慥〰ㄵち〳㠲㌱㕥㥥㠲㜲搸㔵㌰ㄲつ㙥慤㘵㜵ぢ㐶㝦㘹㜹敢㔳〰㠲㘱㘰ㅡ戴㘸ㄹㅡ㌸㌳挸㙦㙥攰摣㡣㔶ㄹㄱ搲㘴㌰㤵㌱捡㔱㌸散㠱㌴㜰ㄳて搲㑢㉥㤴㔰戰㐷㕤っ㡢敦㈶㡥摢㌸〲戹摥㌵㙤㠵ぢ㐶㠰敢㉦捥摥戶攲愹㕡㡤收㉥晣㜳摢〲慢戸扡ㄱ㥡愳㝢摡㉥㘵愹㌵搱扥扢愵慤㈲扡㉣㜸㜰㜶攲㠴ㄱ㔴㔷ㄶ㠳昵昰攲㔶慦㈴㔱昸〱晣ㄱㅢ扥㥤㌶㜳摥攱㐵搴㌵敥㝤昹愲攳㕥㜲搴扣ち㍥㙦晤㠱㐲㜰㠵戲㥦㤳㉣攷晥㡤㝦㉡㘹戹挲昷㌱攲㔶愶捤〱㕡づㄲ㡥愳㔲㈸つ挶㤰捦愰ㄳ搸敥捤㕢〳愴㤳㍤㙤㜴愲〴挱づ愱㌸ㄷ㕥㌴㐲ㄱ摦〳㕡㐹㉣攱㤱ㅣ㝢晥ㄵ戰扥昸㉥㑡㠸㜰㍣㐷㘲愴昰㑡攴㌲㔰愷〴㜹㜴挵㠳ㄷ㐲晥㝦戰ㄴ㜳昳㠶散昴㕦㘰㘶昱㥤㜶ㄴ摤㐴ㄴ㝤扢〳㐵㠲搷㐰ㄴ晦摥㡢㑣㥣ちっ捦㍥慦㐰㌸搷戴㜳〰㝤挹㉦晣晥てて愰㜳ㄱ㜱㈸ㅢつ愱戶摢昰摣㌴ㄱ晡㍡㑣〴〶敦㤵㠹㜰ちㄹ挱㈸㝥㘸㈲㐴㍥㤰㜹ㄴ㙣㙥㈲㌰戶㤷㘱〸㈶㐲慤〹户〶㑦㘰搷搸昴㡦㥤挰挵㕢改㈳㥥て愵攵捦挰㈳㜵㙤㘷昱㠲攱ㄹ昶㕥㔵㝥摣㤳㔰㘶摥ㄲ㙥㜲慢㉥散㜱晤㠶㌵慡搳〶扥㡡搸换扥攳㑦搹摡晤㜵㘰㉡㑣愱晢㕥㤴㐴昱〵㜸㑡〴捦つ戹㜷敦昹摡昱摦㍤晣昸㔱摥㔶㡢㘸戵戰て昹㕥㐲昶戴㈷㄰搴㑤㕣ㄴ戹㥡ㅦ收㥣挲㈷㑡搶㙡㕤㑥ㅢ㥥戲㠲㝣摤㡥戳㈱攱㈵〸㌳㈴扥敤㘰㘲攲摥㐳㘸㘲㑥戴戹㍢搵㠷㑤捡㐵㌸㤱㤸戸昲改挵㘱㐳搱㔵㤱昵㘸㙤ㄶ扥〱㔵昴㍣㈷㤲戶ㄲ㜹敡㘴ㄲ攲敢敤扡敥㌰㜵㕤㜸㤰㘱搸㍦㤶㔲㠸㍦㤰㐲㤲〷ㄹ㕥〸㔰㔲敡っ㌲㠵㍢〰㌲㈲㙢敤㈱㕥晡〳㜶㠴㠰㙣㕥晡敢昱㈳ㄶ散㈲戰ㄸ晢攲㝢㍤搱搲ㄶ㡤㔵ㄳ㐳戵捡愶㔹㐴㐶ㅤ㕥㔸㌰ㄹ㤷愶㉣㥤㠳㈸摤戲㍢㡡㉦ㄹ戲挳挰㕢挸搸〵㥢扥戶戲㝤㡦搳挰捤て攸㤹愲㔲ㄸ捥㙥ㄶ攳㐰慡㘲㜴㘱搳㜲㔸㐴㌸ㅣ㘶㥢㥤〶愲㉡攸㉣㘷㉦㑥愵〸晥昱㑢㈱搶㡦户㠶扥扡扤㠶㍡捥改挷〲昹㠳晤㜵㔳〶㘳攳慤攴ㄸ㐸搸㉤戵㉡㠵搷挳捦愲ぢㄷ㥤ㄳ㝡㉢慢㥥挵㘱晣㠹㌹慢㑦敢搰晦㡣㕥㉢捥㍡挷摥っ㘳愷昴晦摢㔰戰愹晥ㄷ㡣扤㈹㐴扥㍤捡昰愱挰昸挹愶㈱ㅢ敥〸㍣摢〸摥愸㠳戱慥戲っ㜹㠷戹㐵㝣扣ㅡ㔶㉢〹づ扦㔷扥晤㙡㐴戳㉦㙤摢㠱慥〲㤰戱愱挲㔷㈰㠲扡昶㑦换慤昸㜴㕢㝣〷㍡敥㌹㘵㔵㍤搷㜷捤㘰㙣ㄱ㐱摦㌱㝥㝢㘶挲收㤹ㄲ㕦㙥ㄷ㙡户㘰㈷〶摦㠵㍥愷攷㈱戰㑦换攰挵㡡㐵㌲戲戰戵㐸〶扦㐳ㅡ㐹㠴㤷愸ㅤ晣慢捣晢ㅢ㐶ㅤ㥦慥捥挳搷ㄹ戰㘸㕢㈸扢搰攳摣㝥㐳㠳㕢㠷㍢㕡昷挱ㅦ㈴敢ㄳ〸㡥愹㈵扣攳㕤摣搷昶㍤㐸户㡤搶收戳㘵㙦㍥户㜲攱ㄹ攰㜴㙢㙦㐹㤳っ摦挹㉦㤲换㝡㠵㄰㤷昶㡦攲敦搶ㅤ戴ㅣ㙤ㄴ㜴ㅥ㝤搰㑤㐷搸㜸ㅤ敥戳㉤㐴扦捦愳慢㤸㈲挰㑦㌷愲っㅦ〴扤㝣㘴㐵昱〵㉣㡢っ㠰㝣慥㔸〵攸㑥搵㑦㙦㐴搵㈳戱㐰ㄶ㍣㘳㤰ㅣ换攲㜳㘸挸敤ち㤷つ㤶攰戲㠵㍡㑢㈰慦挷㍤㤰捦〹㥥㈵搴㐴㍥㠳づ捤㠹㔸㈸敤㍥㤱㑦㙦㌴ㄱ㐱㉢㐰㉤㌴㌹晥㐸慣㐵昴㍡慡㜵㥢挰㈱㜰〱㠶㈹ㄶ㈹㙢㡡㘱㘸攱扢挴っ搲㉦愲扦捦ㅤ晤昹戳㑣㝦㌹㉡㤴㈰㐴㔵㝡昲ㄴ㠴㙡昲ㅦ㑢㑥摥㐳㘹昷挹㝦㘴愳挹㡦㔰㐶㜲㈶㝡〰㌰搴㈷㉡昸愳ㄶ搳㐰㠶晢挸㥦㌸㑦㠰㕦㙡ㄶ㈳〶㑡㔴摦㑢挸愰㉦㌷㕣戵扡㡣㑣摣户挰昵㘷㝣摣愳散㈳㕥㠴愴㉦愷ㄸ㍡㘳㡢愱㔶㉣搹㤱ㄷ㜶㕢挸〶㉣㠹㕦换㜶ㄵ改挵ㅥ㈳晣攲挹ㄸ㌱㈷㑥挴㕦㑥㘹㔱捣〹㠴ㄱ㕡愴愴ㅦ㙥愴㜸㕦摣昸㥢摦㙡戹㑣㔱㠱〴敡〹ㅢ㤳捥㔴攳㈷攲挶〷昱㔵㤶㙡㤳攳つ〲愶攷攲挶愴㐷搵昸昱戸昱㥦て敥㙤㌶㡥改㌰ㅣ戹㐰㈲挹戰㜵㤵昵㥦昸㐲㝢ㄸ捤ぢ㈶昵攷㠰ㄹㄶ㔳㜲慡搰㜱㕤㘹搰㐱㕣〶昱昰㡤昴ㅣ敥㌶攱ち〸㠴㙣昸扦㑡㌸㠹㍢㑦戳㐶㘰攰ㄳ攸㌵〴㥢㍤㕤㍤戱㜳搱㥣昷㔰搰㙦㥥昴㜱愶慡㙤㉢ㄲ㠱㌹㤰て昷㜷ㄳ愷㝣㠶改搸摡㡦㌸㐸愶昱づ㐹㙦捡㐳〵㔶昲攲㍤㌱㘶㜳㡦戵㘸㐶㝦ㄴ挸㠱㜴〴㘴㐶㝦っ㌰っ挴昰戶㜲㙥㠴晣慦㤸晢㍤慣㜸㉦挱攳〰㘵㐱㘶㈷ㅤㄴ㥦〰ㄸ㡥晦㐷ㄵ㘳㙢捡㕦愲㠹㠷攳㤷㈵挹㐸㝦㤲ㅤ摥て搰〷昷慤㠸㠸戰慣㝦〰㈵挹㤷㔲㜰愸㤷㝥㠸ㄵㅦ㈶昸〸㐰戹挰挹㙥㜹搷戸愶ㅥ㌵搷㐷搱㔵㍣㐶㠰㥦晥戱㈸挳㠷〲昷攱㑤摤㙤㘵ㅥ㠵攳て晢ㄱ敡㑣㝤挱㝦て扥挸㕦攷愲晢昰㍦㈴㈹㈸挳㍥慦扤戱户戱挸〴戴挹搵㙦ㄵ㥢晤〲挶攱扡㕡ㄱㄴ㡥㐸愵㔲搲㡡㠲昸收㠲㠵㡢㌷昰㉤㐷㔴㠵㄰愴〱㔵攱㐴ㄵ㐷㔱愰㝦㠲㑤㠹㘳攲㐹晦㈴㥦㠸㕡戵㠹㥦㡡㌲㝣㄰挴慢敡晥㘰搴㍤㝥㈱㜱慤㉡慣戶ㄷㄲ晦慡㘲㈵昹挲愷㌸㤸㐲ㄶ㌲㘹慤㐴愴㈹ㅡ晡ㅣ㌲㐳㝤挳㥣摢〳昸㘹㤷㐵昵㝣敤晣昹㝦っ攷挷慥捦扦敤慤㠳㑦㍤昷戳摦㝦晣㤷敦㍣昲愷㝦㍤晤昴㉦晦昰昱㘷晦昵㠳攵㈳㍦㜹收㤹ㅦ摦晢挵㘷㝦扦摢晣㤲昶慤㝦捣㝤改㤱挹㡢㡦㍣㘴㥥摤㜷晣㤱户㍦㜸晦攴挲㔵攳㝤㝤晤晤户㡦晥昴扡搷㡣㍣昶搰㜷挴㡦㝥㜳慤㈳搴㜲昱㠲昴㌴戸㙣㌵㡤捦㈳㠳㘹㜰挶㉦改㌴戸㕣戵㔱换搱㐶㑤愳愰〴㥦〶㈷愰㉡㡣㜴挵挰㝦〰ㅥ摥戲㑥</t>
  </si>
  <si>
    <t>Run preferences:</t>
  </si>
  <si>
    <t>Number of trials run</t>
  </si>
  <si>
    <t>Extreme speed</t>
  </si>
  <si>
    <t>Random seed</t>
  </si>
  <si>
    <t>Precision control on</t>
  </si>
  <si>
    <t xml:space="preserve">   Confidence level</t>
  </si>
  <si>
    <t>Run statistics:</t>
  </si>
  <si>
    <t>Total running time (sec)</t>
  </si>
  <si>
    <t>Trials/second (average)</t>
  </si>
  <si>
    <t>Random numbers per sec</t>
  </si>
  <si>
    <t>Crystal Ball data:</t>
  </si>
  <si>
    <t>Assumptions</t>
  </si>
  <si>
    <t xml:space="preserve">   Correlations</t>
  </si>
  <si>
    <t xml:space="preserve">   Correlation matrices</t>
  </si>
  <si>
    <t>Decision variables</t>
  </si>
  <si>
    <t>Forecasts</t>
  </si>
  <si>
    <t>Forecast: DCF's estim. Share Price</t>
  </si>
  <si>
    <t>Cell: C56</t>
  </si>
  <si>
    <t>Summary:</t>
  </si>
  <si>
    <t>Statistics:</t>
  </si>
  <si>
    <t>Forecast values</t>
  </si>
  <si>
    <t>Trials</t>
  </si>
  <si>
    <t>Mode</t>
  </si>
  <si>
    <t>Standard Deviation</t>
  </si>
  <si>
    <t>Variance</t>
  </si>
  <si>
    <t>Skewness</t>
  </si>
  <si>
    <t>Kurtosis</t>
  </si>
  <si>
    <t>Coeff. of Variation</t>
  </si>
  <si>
    <t>Range Width</t>
  </si>
  <si>
    <t>Mean Std. Error</t>
  </si>
  <si>
    <t>Forecast: DCF's estim. Share Price (cont'd)</t>
  </si>
  <si>
    <t>Percentiles:</t>
  </si>
  <si>
    <t>0%</t>
  </si>
  <si>
    <t>10%</t>
  </si>
  <si>
    <t>20%</t>
  </si>
  <si>
    <t>30%</t>
  </si>
  <si>
    <t>40%</t>
  </si>
  <si>
    <t>50%</t>
  </si>
  <si>
    <t>60%</t>
  </si>
  <si>
    <t>70%</t>
  </si>
  <si>
    <t>80%</t>
  </si>
  <si>
    <t>90%</t>
  </si>
  <si>
    <t>100%</t>
  </si>
  <si>
    <t>End of Forecasts</t>
  </si>
  <si>
    <t>㜸〱捤㕣〹㤸ㅣ㔵㥤敦搷㌳㕤㌳搵㌹愶㐳〲㜲㍢㐰〲㠱挴戱敦㠳㌸㍢㤹捣㑣㈶㈳㌹㈰㌳〴㔴㘰慣敡慡捡戴改㈳㜴昷㠴㘴㕤ㄷ〸㠷挰敥㠷〷敥慥㠲㉣㈲戲挸敡㉡〲戲㝥愲㠰挸㈲慣扡㥦扢㕥慢㉣㉥昷戱愲攲挲㕥㉡戲扦摦慢愳慢扢㙢〲㘴摤敦戳㤳晡昷㝢晦敢搵晢晤摦㝢昵晥㔵搵ㄳㄲ愱㔰攸㔵㝣昸捤㑦㉦ぢ㐷㑦敦㙢㌴捤捡搰㔸慤㕣㌶㡢捤㔲慤摡ㄸㅡ慤搷戵㝤㥢㑢㡤㘶てㄴ㤴搹ㄲ攴㡤挸㙣愳昴㠷㘶晦散ㅥ戳摥㠰㔲㈴ㄴ敡敦㔷挳㤰昷㌹㐷捣慤愸戴㔲㝢㐹愰ㄵ㔲ㄵㄲ㙡愹晤㈴㉡挸攲㈸挸捣搸㠶㙤晡㝢搰收㜴戳㔶㌷搷づ敥戰㍤て㈷ㄲ㐳㠹愱㜴㉡㤹ㅡ㡡慦ㅤㅣ㥢㉦㌷攷敢收㜰搵㥣㙦搶戵昲摡挱搳攷昵㜲愹㜸㥡戹㙦愶戶换慣づ㥢㝡㍣愵㙢改㝣㈲㥤挹㔸㠵㐲㝥昱㈲㜸摥㍡戶攱昴扡㘹㌵㝥㔷㍥ㄷ搳攷戶戱つ㐳㕢捤收敦捡攷ㄲ昸㠴换昱㕡㐵㉢㔵㝦㐷㑥㈳㐴㍥㌳㙥ㄶ㑢っ㤱㘹搶㑢搵㥤㐳㌸敤㌶愰㔱换つ㡤㌶ㅡ昳㤵摤㡣昶㤸㔹㉥㙦㌷㉤ㄹ㥡捡㜸愳㜹扡㔶慦㌴ㄶ㔷㠸㥦㔹㌷慢㐵戳戱戴㌲戱户㘸㤶ㅤ挵㐶㝦㘵㠷㔶摦慡㔵捣㕥ㄶ〶㉡㜶っ愷っ戳摡㉣㌵昷㉤愹㥣搹㌰户㙢搵㥤㈶㔵㈲㤵挹昹㤲㈱㝡㝢昱㍦搴㜳㔲搰㤹挹㐰攱㝣㉡㘳㜳㕡扤㈹㙢っ㘱㈲㐸搷㌷㕣㘴㉦摡捥㡢㐳㙡戰挳㡡㌱㥢㉥㔵㑥㌳敢㔵戳捣㐶ㄸ挹㌵ㅤ㑡ㄲ㈰㍢づㅥ㔲㕥㜷愰㉦ㄶ㌹㔳㠴㝤㘱㉢捡㔲㤰戵㌳昵ㄲ扡㌹㕦搶敡㙢户㤴慡挳昱愱㜸㝡敤收搲㉥戳㕣㌲ㅢ㑤㔹捤慣摤愲敤㘵㈹愳づ挰㐲㡤搱㜶ㄹ㐸敦昰㜸㉥慥ㅥ㐲摥㜲㄰搱晢〲㘶愵扦ㄵ㈲㄰㥥搵挲戳㝡㜸戶ㄸ㥥㌵挲戳㘶㜸搶ち捦敥っ捦捥㠵㘷㑢攱搹昷㠴㘷㜷㐱挷晤昴昷昵㠵㥤捦ぢ㜷㝦晤攸㌳㥥扡㘲换ㄷ扥㜸散戹戵㍢㉥扢㐸㜰㈲捡㜹㝣㈸ち挳摤㘷㥤挹戵㥦㜶㌶㥢捡ㄴ攲㤹㔴㍡㥥挹愴ち戹㐴摡敤㐵㉥愳ㅥ〶ㄷ敡㥢㐰㤴挳㐱㝡㠷挷搰㡤㈳挸㍢ㄲ㐴㠸愷搱つ㜶攵㐷ㅦ㝣昸昸晥挷㉦㍣敤愳扦㡣㝦晢挷昷ㅤ昷㤰攰㍡㈰捦攱㘸ㄴ摥搲㝤づ搹㝣晢㌹攴㥤㌶ㄳ昱愴㝡っ晤ㅦぢ愲扣ㄹ愴㜷㜸㈳摡ㅣ㈴敦㌸㄰㈱㝥攲戴昹昹㜷晥昵㈵晦昴昹つㄳ户敦扦㍡晢搵㡦㝥攸㌷㠲换㡥㙣昳〴ㄴ㠶扡摢㑣㘴摡摢㑣攴摣㡥㈶ち敡㑡㌶戰ち㐴㌹ㄱ愴㜷㜸〲㡤㥥㐴摥㙡㄰㈱㝥攸㌴㕡晦晥㉦㍥㍥戶改捥つ㔷㥤昲敡㍤㡦㍥摥昳㜶挱㘵㑥㌶㝡ちち〱ㅤ敤㘸㌳㥢㜲摢捣㘶搴㌵昴扦ㄶ㐴㜹ぢ㐸敦昰㈴摡ㅣ㈲敦慤㈰㐲㝣挷㘹昳ㅦ㉥昹昴戳㕦㔳ㅥ摤㝡㝢㉡戲敡昸㕦捤㠵〴愷慥㙣㌳㠱㐲㐰㐷㌳ㅤ㡤㘶ち扥㐶㤳㙣㈰〵愲愴㐱㝡㠷愷搰㘸㠶扣㉣㠸㄰て㍢㡤ㅥ昱㠳戳捦㥢昸收㘹㤳搷㙣㝢㍥扣散㠴㥢摦㈱戸㡡换㐶昳㈸〴捣㠵㙣戶ㅤ㕤て摣扣㕡愰晢㔳㐱㤴㜵㈰扤挳㥢搰攴摢挸ㅢ〶ㄱ攲㝥愷挹㈳㝦戴敡晣攸㈹㤷㙤戹敥愵㜳昵扦㌸愹㙦摤攲ㄱ㠸捦㜰愶攲㜸㕤扢〰㡢㕢㙢摤㑣づ㘱㥥扤㥥ぢ〶慥ㄷ㔶挶捡㔹㠹㠴㤱㠹㙢㈹㉤挲愹昹㝡㔷㈶捥攰挵搶㔹愵慡㔱扢㐰㉥㔵㐷㙦搰ㅡ㘶㙢攵㕡攳挸㌶搴收慢㐶攳愸㘰攱㜴㔳㙢㥡㐷㜶捡㕡㑥扡捣愶戱㤰㥢つ搹摥戱㥤㘶㍢戴昲扣㌹扡户㘴㡢㡦改㄰㘳ㄹ慦改ぢ㑢㌷搶捤昳㍤㘹搷ㄹ㡤㘲㌷戰㐷晡敥敡愵㉤戲捦㙢㜰㙣慥搶㌰慢昲昴搶㔴㑥㉦ㄵ㜷㤹昵㘹㤳㝢〹搳㤰㕤㍤㤴㈲攷㕡戲㘶㕢ㄵㅤ挵搵挱㌸摥捦戵㈶昶㌶捤慡㘱ㅡ㌸摦摤㘶扤戹㙦㐶搳换收㘱㙤㉡㜶㥢㄰ㅣ搱挶摥㔸㉢捥㌷挶㙡搵㘶扤㔶㙥㤷㡣ㅡ㝢㌴㕣扦㡣㉤㌵挳挴攵愷㤷㥦㤰〸昵昴〸ㄱ㍡㈵攸ㅡ㐰扦㡤㈱ㄹ〸㕦㠸戹ㄶㅦ摥㍥散㠶戶愳㜷攸㐵搹攴㤸っ慦㝣つ㘷搲㉦摤㥣扣戰愲慦㑦摣㜸㔱㝢昵挲摡昲ㅣ扤挸晤晦㉡㠷挳换㥤摥㑦散挱㌵㝥㤳㔶㌵捡㘶晤㠰摢㐶挱㌳㔲搷㠳㐴敥挵㙣㕥㄰㍤㕥㥡挴㕥戱㉦㜲㐱挹㘸捥㈹㜳㘶㘹攷㕣ㄳ㍣㙣㉤晢晢〹敤㘶攷戸ㄱ㥡㑦㜳㝦愹㙥㈰ㄹ㈳ㄹ〷㠹㐶㐳捡〴扥㐳㑡㔴摤㘸搷㈳㥣愳㙦㝣昷㈰㥤换摤ち戶㤶㡤㐸㘵㘳慤摥攸改〹敡攵㈶慤㌱搷攴昰㍣愰㤰晢〴㜵㤲㘴ㄳ㐸㠴搷晡搷摣㥣㜰㈵敡攵ㅥ㙣㐹㘵摣戴㌴散㝣攵散ㄶ㕡愴㘲㙦愶挶捤㐶㔱攵慥㙢ち㜳㘵慦㠲ㄲ㈶晦攲ち㐷扦戹户㌹慥㌵戵扥ち昶㙦㠸㤲ち愵㌵搲捡㉥搱㜲㠹攴戹搶㔱愷〶て㌱㔹昴㜹㔹㈴ㄹ戶㈷㑣ㅣ捣㤷㔰㡦㐳て摣〹㥣㍢㜷㔸㑡攷㐰㙦摦㠷㘱㝢㘸㑣㥡搵㤹㝤扢捤〶搵晢㤵〳㐲搹㌹扤攸㙣㕢㔱㍦戳㔹㉡㌷㠶㜰愶㤳昵摡晣敥摦愵ㅦ晡㔲愷㐰摣㑦攴㉥㡣攲搷摦㈷愶㔵㝤㝢ㄸ㥢搹搹㔰㍦扤㤱愳㜲攷愷㜲戴挲搹慢昸㤲ㅦ㜵ぢ扥愲〷㤲㐵戸㐵㝣㈳㝢㔶㙥戶ㄶ㔷㠰搰㑣摤㤴扢昰㝥㔹〱摡㑢㉡㘷搵敡扢昴㕡㙤ㄷ挷搳㔲㔹㙢捣㤹㘶㤳㍢摢㐵捥㑥㕥敥搸㠵攸改㘹摢㤰晡戶挰捣㕣㤴㌳㐰㤶㡣㤶换㠳慥挷㠶戲ㅤ慣ㅥ散戱㤵㘹ㄴ㔶㡤㡦㙤ㅣ攴捡㡢㤴㙤慣㙣㙡㔵㙣㡡㠷〶户搶昶っ慥㑥㥣捣㘳㘸㙦戹戱㔷㝣ㄶ㔰㜰挷戸收㠴ㄵ㤷晥换搴挴攸〷敥晢晥户㥥扥收㔷㐹昱ㄹ㐷搰戵㥤攵ㄶ㔴敥愶㜷愰㈰㙥㠵摡扤㌸敡愸昰㘸㉤ㄴ㘷愳愶扥㠳攴㥤㈰㔸㈸㈴昴㔸㈷捥戱慢㠲摢㔸慥ㄵ敡戹㈴攷㠱〸㙥㘵㌹㔳搵㔹㄰昷㈳㍥〱晦ㅣ〰㌲㠸摣昷㜶〷戱〸㙥㔴㍤㠰㑣㜰㠳捣㐰慡〴㑥㈵㔴㉡㘱ㄲ㝦づ挷㠱〰晣㤹㈳攸摡㑢㜳㍦㉣〱㈸搳晥ㅡ愸摤㡢㠳摢㔴ㅥ㉤〰慡愸愹㌵㤲摤㈰㍥〰㠸ㄳ慡㠲㝢㙡〹㐰㠳㑡㕣㜷挵㈰㠸〴㘰ㅥ〵昷㈳慥㠲㝦て㠰㌷㠳摤つ挰㍥㜰愳敡〱㘴攲㌸㘸〴〱㜰ㄱ㥣〷〲㜰愱㈳攸摡搸㜳㙦㉥〱搸㡦㠲㜸ㅦ搴敥挵㜱て㉡㍣㕡〰㕣㡡㥡㝡ㄹ挹攵㈰㍥〰慥戰慢㘲ㄵ扥㈵〰㔷㔲改㉡㄰挱㍤扥〴攰㑦㔰㜰㍦愲〹晦ㅥ〰㐴戹ㅢ㠰て㠰ㅢ㔵て㈰ㄳ捣ㅣ㠲〰㜸て㥣〷〲㔰㜲〴㕤㐹挶ㅡ㜸㤲〰㝣ㄴ〵戱ㄳ㙡昷攲㜸ちㄵㅥ㉤〰慥㐵㑤扤㡥攴攳㈰㍥〰晥搲慥㡡戵昸㤶〰摣㐰愵㑦㠰〸㈶ㅣㄲ㠰ㅢ㔱㜰㍦攲㍣昸昷〰㘰㜶搲つ挰捤攰㐶搵〳挸挴㕢愱ㄱ〴挰っ㥣〷〲㌰敤〸扡㌲㥥㈴㍣㐹〰㍥㠷㠲㌸〳㙡昷攲愸愳挲愳〵挰㙤愸愹㕦㈰戹ㅤ挴〷挰㥤㜶㔵愴昰㉤〱昸㈲㤵敥〲ㄱ㑣㝥づ㘱敤㙦㐱摣㡦搸〴晦ㅥ〰捣㤴扡〱戸ㅢ摣愸㝡〰㤹㘰㑡ㄵ〴挰ㅦ挰㜹㈰〰挳㡥愰㉢晢㘲ち㈵〱㜸〰〵戱づ㙡昷攲攰㜰攰搱〲攰㐱搴搴㙦㤰㍣〴攲〳攰敦敤慡㘰ㅡ㈶〱昸㈶㤵扥〵㈲㤸㡡㐹〰扥㡤㠲晢ㄱ㐹昸昷〰㘰摥搶つ挰㍦㠲ㅢ㔵て㈰ㄳ㑣昰㠲〰㔸つ攷㠱〰㥣攴〸㍡㜳挱挸㝡㜸㝡㠳㝢㜸搵摡㔱㌲㉦攰愶㘳愹㠵㝢㔴㘳昳㡤㘶㑤敥㤰㤶㔸攳戵慤戵收㜸愹戱扢慣敤㕢㙥㌹㠵戳收捣㉡昲㤷㍡搲㤸づ㕥㙤昷㙥搳㔰慤改摡㝣扤㘸㑥㡤晦㍥攴㌷㠰〳愱㤳愹㑤㔸攰㜳㜰㕢㜶㘴摦〲愳〴㥦㔰㠴ㅢ敤捥㥤㤷扣㔳收换㤲㘴㤱挳㘷愰㠵攸㑣愹㔹㌶ㄷ㔹㌲㐳㤱攵㝥ぢ㈸㈲㈹㌴晡慣㤹㌹散㐸挶㤷㔸㤳昵㤲㔱㉥㔵㑤〶㘳㠵慤扡搹摣㠹〴昰昴㕡愳挴㥢㤲㑢慣㤹扡㔶㙤散收㕥戶戸敦㤰戶㥡摣昴㐶慣つ愵㙡〳捤挸㈸戲㍣㘰㑤捦搵㉥挰㕤散昹㑡㜵㔲摢摤昸扤㠸ち户っ昶㐷㠶㐶㠴㐵㌸㉣晡挳晤〷ㅢㅦ攵挷昰ㄶ㍤㙢㜴㙣㙣戰㔴ㅤㅣ攳ㄶ㈸ㄴ㑡攲攸㈵㤱愱ぢ㐵㤸ㅤ㜵㙥㔶㝤㤱敢挸㌴㜹㡡㙤户㝢〳㤳ㅥ敦㠹挰㈲愸慢㡦搰收㕦㐰摥㍥㜹收㔴敢ㅥ捣晦改挶㝤㘴ㅣ晥㕥㜷捡㝢㈸㤴㤷摡㈳㠷㘹㌰〷ㄲ㈶㈴〶〰㙢㥤愳㌱㙡㐹ㅤづ捣愵慤攲㐶㘴㑤㡢慤捤㥡㙥㤶㤱散㔵戴收㔲扢挲慣扢愲㤵ㅢ㡥㙣慣㔶愹㘸ㅣ㘹扣㍤㍤㕤搴捡㘶扦㌵㍡摦慣攱㥥慦㙡㠱挸攱攸戰戴扤㘰㘹㝢敤戴捣摡捥㥢㐰戲㑣㕦戵㥤㕡扤搴㥣慢㤴㡡晤慣昰㐶捤敦挵㄰挵戲搱ぢ㌰摤㡦扢㠴㜴收㜹㜶戶㠵㜰て攱搶〸愱㘳昸㌱㤰挳㐲挱㍦㜱㤰昷〸戰攰挸敢㠸晡ㄳ㜸㡢㌰〷攷ち㈴㍦㉦扡㡦愹㕥扣㄰ㅣ戹㈶㠹㡤㔴挰愱晥慢㔳㘰愵㤷㔹昶〱ㄳ挸㍥㈸㐴㌷搷㌴㘳愳㔶挴愳愶㍥攷㐱㔳㍦㐲换ㄵ愶ㅥ㘳㑡㍦㠶㕣〵㜷㥦昶㤴っ戳摥㑦挶㌴ㅥ㜷昵昲㘶㠰㘲挷㄰挹㑤㑦㈸ㄲ㔹搴ㅦ搴搶㤴敢㙢愵㤳㈸昹ㅦ愷㑤㜵昹㝦攱㡣晣〸搳戴㘸㤴攷愶㍥㐶昲㌸㠸攰捤〲昶愷㐳攱〹㉡㍣〹ㄲ㘱㕡摡ㄹ㥢昶散ㅡ㌹㌸㙦捥昶捡㐷㌴捣晢晢㤱㈳换ㅢ〶ㄱ搹㤱㐵扥㐴㕦戱㜳晣㝥昷戹㡦㌲㡤㔱㙥ㅡ㔱㝢㔹攵つ〵㠶㈳ㅣ敥㐵愸㤵捥㥢愴㕤捤挲㔹㘵摡㤴㜷〰挴㘲㥣㠲挲敤攸㘲㑥ㄶ昸㥦㤵捦㍣㈶挰挱㌵晤㔵㝣挹㑦㌴慡㍥挳㐲㔴㙣〱㜵㝢慥㤰㘳㐳昳㉣㡡敡㜳㈰㠲㡢摤㝡ㅣ扥㡢㤴㌸ㅢ㔵㕥愸㐲捡昳㈰㉢摣㠵㜱㘳愹摥㘸づ㈶ㄲ㠳晢敡つ㑡㍢㤷㐸挱扣㔰摥㐴晡㌷ㄴ挴㍢㐱戸晡㜸愳昱〵㤴㕦㝢㌴㥥㐳ぢㅣ敡捦㥣〲㉢㠲搹愴摢て㕦㠸㝦㑥挵㕦㔰攱扣㘰㠵ㄷ愹昰㑢㉡捣㠲㌰捣捡扦㠳㉣㜷攱摢挲㥢㍣㠳㘳㕡扤㕣敢摡㝡〱挵㤷愱ぢㄴ㤹㠸扡慤㜳㠳ㄸ㡤㉥〳㔵晦㠳攴㍦㐱㐴ㄹ㘴㍤づ㍦㡡㔵㔴㙤ㄴ晦ぢ愵㘵摢㑤摣攷㥢㌷〷㜱㕦攵㠲收摣攰昴っ搵扢㈰慣㠱㈷㈱晣㙦ㄴ挴㙥㤰㌶〸㝦〵挶㙢㐳㔸愷㉤づ昵搷㑥㐱㐲挸㤸戹㥤昰㐱昸ㅢ㉡扥㐲挵㘶戰挲㙦愹挰愱㈵收㐱㈴㠴昴摥ㅡ㠱㝣㜴ㄴ㌰〲挳㙣㌵㉡㤸挳扡捤晡㐶㘰て愴㉡ㅦ㤵㡢晤㔰㔸㡦挳㡦摤愵愸摡搸㐵搸㤴㠳搹㠲ㄷ㘷㜱ㄹ昴㈵㙣ち㍤㕥㡥㕡ㅢ㙣晤攰扥㌶㙣㔷昰ㅣ㜰愸㉡㥤㌸ㄵ㜱㈵ち敥昹晢㘰㡢㐲㐱㕤㐴㐵㘶戸〱ち㡢愹戰㠴ち㑣㝡㈵㙣㑢㔱㙢挱挶㠷㕦〱戰挵愰〴搸㍥攰昳敡㠳㙤ㄹ扤ㅥ㐲慦㑣㐹搶攳昰挳㜶㉤慡㌶㙣换愱搲㌹攴戶〴て戹敢㘰㈴戱㕢㐱户ㅦ㐷慤つ扢挳挰㝤㙤散㤸晢㐲ㄱ㡦㌱改挴愹㠸ㅢ㔰〸㠰收㜰㈸愸㐷㔰昱ㄳ挱ち㐷㔲攱㈸㉡摣〸〵㠹摤搱愸戵戰攳㐳扣〰散㡥㠵ㄲ戰扢搹攷搵㠷摤㥢㈱㔵〷㐱〴ㄳ摣昵㌸晣搸摤㠶慡㡤摤㜱㔰㔹㍡戶㙤㜲摡㥤慢ぢ〰挷ㄴ㔸〲㜷㍣㝤摥㡥㕡ㅢ㜰㉢挱㝤㙤攰敥攴㔹攰㔰㔷搱㠹㔳ㄱ㕦㐴㈱〰戸ㄳ愱愰㥥㐴挵扢㠲ㄵ㔶㔳攱㘴㉡㌰捦㤶挰㥤㠲㕡ぢ㌸㍥㠸っ〰㙥㉤㤴〰摣摤㍥慦㍥攰摥㐲慦㐳昴晡〰ㄴ搶攳昰〳昷㈰慡㌶㜰㙦㠵㑡ㅢ㜰ぢ㉣㜲摦㠰㠵〴㉥㑥㥦捣愱摢㠰㑢㠲晢摡挰㌱搷㠶㈲ㅥ戳搲㠹㔳ㄱ㑣戸〳㠰㑢㐳㐱捤㔰㤱挹㜸㠰㐲㤶ち㌹㉡㌰㍦㤷挰攵㔱㙢〱挷挷愹〱挰㥤ち㈵〰挷㈴摤昵敡〳㙥ㅤ扤扥㡤㕥戹户愷慡㍡っㅡ㐶愱ㄷ㐷㠴晢戳捥㙤㐷搷㤶㤰㥡㔱㡢㥢挳改收扥㌲㌶攴㉣㜲ㅢ㘲㤷戸愱戲挵搸ㅣ搵敡㔸㔲㝢㍢㥦っ㜹戶㈳㜰戵㘸㐵挷㔳㌷㘹㐶〹昷㥥㤱晢㝦摢晤㘴挹戳㘷て㕡户攰㘹挳㡦㌲〲晥㡡㉤愵㘲扤搶愸㔹捤挱㘹攴㤸㠳㝣㡡㘹㠵㐲昱搱挸㝤昰ㄸ搸㈶㍢搶㕢攵晢㉣㝢㜸㔷㍦扡慢㕡扢愰㉡捦㈶搲攰挳㕣㠹㔷㕦ㅦ㥢㠹戲ㅤ㝥㑥〰㡡戱㝦㐵㠱挶敡㈸㔴㤶昴挴ㅥ㜳敡捡〶搴㔷㡤㙤ㄸ摢㍥ㅢ捦㤸挹慣㔱戴ㄲ㝡㌲㥢㌶㌳㤶慥攵搲昹㑣㍣㥢挸收昲挹㠲愱㉢㘳㥥㙡戲㘸㥡挵㘴㍥㤷㑦愷昳㜸㍢挳搴㤲㜱㉢愵㘵㤲改㕣戶㤰㌴㡢㐵㘵摣㔳㌵㡢㌹挳捡㤸愹㜴㈱㙦愵攱㍥㥦挹㈷攰㉥㥦㐶㌵愵㘷㔳捡㠴愷慡ㄵ㉣㈳㕥㈸㈶戲㤹㘲㍣ㅤ搷ち㕡摣挸ㄴㄳ扡㔵捣㕢昹㠲ㅥ捦挴ㅥ㜷㍢戱ㄱ㌶敡㈴挹㈶㤲㈹㤰搸ㄳ慥昰敤㘴㥤㐶戲㤹㘴ぢ㠵㑦扡㐲慡晡㉣改㈸昲っ㠴慦㜷㑢㐹っ㠵㉥㡡挲㄰㘶㙦㕦㥦㔸搵昱㘸戴㙢㉢敡㍤㕢㔲ㄴ敥㐴㈳㥦㐳㘸㕦㥦ㄱ㑥捤㌷㜲㘸捣㐹愰㑥戳〷㌳㈰搱搸戳愸昳㠴㤴㌳㔱㕤㍡戶㘱搶㤷㔱㉢㍢挰㕢っ㥥摣㙡攳扤慡㠶㜲ㄶ㌸换挰㘹㝦㑦㑡㌹ㅢ散㐳挰挶〳ㄳ昷ㄱち愷㑡㡣㝢㕤㌹㘴戸㝤㤳慦っ愹敦㠲慡晤戴㐰㙥㔷挹㍦ㄷ㉣㥥ㄷ愷戰㜸〱㠴ㄳ㔴㝣ㄲ扤攴戴㐰㌹愴㜲慣㜳㔸㡢㑦㠰挳愱摤㍥㌴戹㘹㤵敤㘸搰挳搰攴〶㔵昶㑡㐷摤ㅥ㥡ㄹ挳戲攲㜱慤㘸愵㡣㝣摡戲㤲ㅣ㄰〵挳捡愷攲挹㘲㈱㥤㉡㉡㐵㑦㌵㥢㐹㕡㤶㡥㠱㤳㑢攱㑤㍣㈳愵㔹㝡㍣㙦㘵昳㝡ㄲ㘳㈹㥢㑥㉡㠶愷㥡捦愷戲㘶愶㘰ㄴ慣㙣㈶㥤㡦敢㕡慡㤰㉡挶捤愴愶㈷㉣㉤㥦㐹㈹㥣㑥昶〹攴搳挹㘴戲㤸㐹㥡搹㔴㉥㥤㌵㔳㕡戱㤸㑦ㄷㄲ〵捤捣ㄹ㔹㥣㐲散ㄷ㙥㈷㉣搸愸㍢㐹收㐸㑡㈰㌱敥愸㘵て㠳㠶㈶㜷摡㔲㈸㡤愴戹㘷㈹㕥㠶㤰挳㔳㕣つ搸㌸㜴攴㄰㘸搰㜳ㄳ㈴ㅡ攳㝥㕡㕡㌳㡡㉡㘳慥㜲㌰愸㡣㜵㡣晢㙣㈹㥣㐶㐱扥㉤㘵扦㌷昵㐷㄰ち戹㕢㈶晦㝤愸搱㉤㌵〵㜷换㌲㠲晢搱㔸㜷〴㉦〲户㍢㠲摣㌳换㜶㉥㠶㉢㐴㤰晢㘳搶㤵晤愸㍢〰㥡㝣摢㈵㥤㌷戲改㘲㍡㘷ㄶ昳昹㕣〱㜱搴㡢㠵㑣㕡㑦㈵㜲捡㈵㥥慡ㄵ㑦ㅡ㤹㥣愵㈵ㄲ改㜸摡㑡ㄴ㌵摤㑡攳㉤ㄹ㐳㌳㤲㜹挴㍡愵㕣敡愹㘲㈱㠹敢㠹㔴㍡㤵㌷愰㥡搶戴㐴㌶㙥㘵搳〵戳㔰㐸㙡㐵捤㔴㉥昳㔴㌳搹戸㠱挵㑤㡦㕢㕡㍣慤敢ㄹ㉣㐰㠹㘴㕣㑢攰愵捤㉣㐷㔲㡣晢㜹搹㠹换㘱愳扥㥦攴ち㤲㉢㐱㘲扦㜵㠵㐱ㄱ攴㈸㤷㤶㔴㔵愵戹戴愴て摣㤶㜰㈲㔸昵㐷昰ㅡ㙡㝥〴㈴ㅡ攳慥㕥㕡换戸挹〸㌲㜸㉡〳ㅡ挳愵挹ㄶㅥ㠳㌶攴扢㘷敡㜵ㄴ㌲愰戸摢〱㐲晥昵愰㕥〴晢㔱㤱ㄱ搴〳㈳昸敥挰〸慡㌰㤲㈷㜱㈳ち㠸㘰搴愹㉢㥦㐴挱㡥㘰搶㐸愴戱ㅡ㈷ㄳ㌹㍤㤷戶㌰晥昵㥣㘹㘴慣愴㙥挴昳㕡㍣㘵㈸㌷㜹慡㝡扥㤰挳晦㘴戲㠰搰攱㉡愲攷攲㈶捣㤲㜹㑤㡦㘷㜱㕤㔱㍥攵愹收戲㐹ㅤ㤷〷ㄳ㈱㑦愶㉤挴捣捡㘴㜳㈹㌳㡢改㘷愴㡡㘶㑥戹搹㔳㑤㙡㤸搰〵捣昸㙣㍡㥤戶㌲㝡㈱㥢㠳昳㝣㈱㥢挹攵㔳戹㙣㌱挶搴㐲㜶攲慦㔰㔰㙦㈱昹㌴挹慤㈰㌱收ㄶ㔲ㄸㄴ㐱收ㅣ㔲㐸㔵摢挸昳㈱㤸㕤挸㌹戸搵ㅦ挱㍢愸㜹㈷㐸㌴挶〴㐳㕡〷㐵㤰㠹㠷ㄴ慥㘴愴㔶㤱摣㑤㔳ㄹ挱ㄵ㈸攱㝦㐸晤㉡愸ㄷ挱挳㔰㤱ㄱ摣㄰ㄸ挱昵㠱ㄱ㝣ㄳ㡣㘴㍢㕦㐳〱ㄱ㍣摣愹㉢昷愳㘰㐷㄰搷搴㘴慥㤰挷㍣〴㜲㘹㈳㔳戰搲愶㤱搵ぢ㕡㉡愱愷㌳㔶㕣昹扡愷㥡㑣攸㐶捡捡㘵攳搹㉣㤶㍥㑤㉢攴攳㘶愱㤸搵㡤愲㕥搴搳㐵㐳㜹挰㔳捤㔹㤸捡戸㜴㘷㌰改搲昱㐲㑡㑢㤹扡㙥㘸㐵㐳搷っ㌳愹ㄷ㤴扦昳㔴㔳戹㜸㍣㥤㉡㘴戳昱㕣㌶つ晦㥡㠱〱㠴慤㠱㥥㌰㡡愹㤴㙥挶㤸攰挸㑥㍣㠸㠲晡つ㤲㠷㐸ㅥ〶㠹㌱挳㤱挲愰〸ㅥ攵ち摢㡤㔴㍡ㄲ捣㜱㘴〴㠷晣ㄱ晣㉥戸敡昷㐰愲㌱愶㌹搲㜵㔰〴〷㕤攱ㅡ㐶㙡㉤挹㈳㌴㤵ㄱ㍣ㅥ㈵晣て愹㡦㠲㝡ㄱ㕣㠹㡡㡣攰昱㠱ㄱㅣっ㡣攰㉡ㄸ挹㤳㜸ㅣ〵㐴昰㐴愷慥㍣㠱㠲ㅤ㐱㍤㤳㌳ㄳ改㌴挰㑢愶㌰〹っつ㔳ぢ昳〶㍢㉦㉢㡢昵㌵愹㍣改愹ㅡ㜹扤㤰捣㘹㔸㘲㌵㉣㥦㠵㑣扥㤸㌳㜱ㄹ搵戴㜸搶㌰㔳〹㐳㜹捡㔳㑤ㄹ㠹愴㥥搱ち挹㙣搶㑡㈳㈴搸㥣㘱慥ㅢ挹㐲戱㘰㥡昱㘴㐲㜹摡㔳捤ㄴ昱ㅡ㥢㤵㌷ぢ㘹㑥㐶散捡昲〶㉣捣㝣㍣㠷搷㠴攲戹㐴散㈴愸捡㑥㍣㠳㠲晡㉣挹㜳㈴捦㠳挴㔶㠳㉣ㄸ挱㤳㕤愱㌴愲扥㙤㐹㐷㠲挹㤶㡣攰㔲㝦〴㕦愲搲换㈰搱ㄸ昳慤〵㈳挸㍣㑣ち昹㙣㐲扥㘳慡晥㥡愶㌲㠲㌲愱㈲晦ㄵ戰扣〸㌲愱㤲ㄱっ〷㐶㌰ㄴㄸ挱㤴摢㡥㠰ㅦ㐴㌰敤搴㤵㌰敡㜶〴㡤㕣㉥㘹㈵㔳扡㕥㌰㌱〷㡢㜹つ晢㘶扣㙤㤸捤㥢挹㡣㥥㉤㘶㤴ㅥ㑦戵㤰捦㘰㍤㉣㕡㐵つㄷ户㈲㉦㙥㝡㉡愹挷搳〹㉢㠹㑢愶㙥㈹扤㥥慡㘵收㤲㠸㠹慥攷㤳挹㜴㈱㡤昵㌸㥥㐹收昳戸摡㈶っ㈳慢愵ㄴ收㠶昶〹攰㘲愹敢㔶㍣㔱捣攵㡡㘹っㅦ捣敡〲ㄶ攷〲搶搲〴慦捥戱㡣摢〹〵㌶㙡ㅦ㐹㍦〹㝦㘲ㄱ换扡挲愰㌹㤸㜳㠵㔲㕦㕡㑡ㅦ戴ㄴ捣晡㘴〴㝦晥㡡㙦㈷戳㥣㥥㔷㠰㐴㘳敢㕣敢愰㌹挸㠴㔰㐶㤰捦㥢攵㉢扢敡㔱㌴㘵〴㘳挳慥昰ㄸ戲㡥〵㔹ㄲ㡥㡣㠲戹慥㘳㜳ㅥ晣散㘹㑤攷㉢㥦ㄳ㜸㠵㜳ㅦ扣㠴㝡㜰搳摤扥㔵摤ㅢ㍥昵攰㝣㜱晢捦㈷㔵㍣㈲㡦愳敢晦〷㍦攸㤱㉦㈱愰挷㌷攳㔰〷㜱慡㤱㡤㄰挶㠳㑥昱㐰扦㔴㔰㘰㝥㘸㘵慡㠱散〰扦㜸㤹愹㡤㝡㍦㤷㔸收㘶つ㙢摣㌷ㄱ㔷戵㌸愳㝡〳て㌷㥢愶㙢戶慤敥搹攱捤㍥愴愵㄰慣攱㝢㡢㠷戶㙡扥㕢晤㐷戵戸㔳搵〶摥戱㌵つ搷㘳〳㌷㐹㝡挳㍤㈲昰㠱扡昳挳〸愴㈹慥㠳㠹敡㝣㘵〹晡㜰㔴挰愳㡥つ愵愶㝣㔴挸㕣㐳愸ㅢ〰㡦㜲㍣㠰㔲㠶㔷㡥慦捣挵㈳㡦㈲ㄴ㙦愰㤵㜶攸搹㈶㍦㔱㜵㈵㕣㡡㐹㐸㠹扦㔰挷搸捣㠹攰慤ㄸ摥㌲㌱㍥㌵扡㜵㌵㕢㑢㥥㑡㥡㍥㌹昲㈳㌴ㅡ昸㘰搱改ㅡㅦ㕢㄰㈸扣㐰㍣㘵㜴㌷搹㈳㥢㕣捤㈶㌷㜹㑤㡥戳挹㔳挰㕢㌶扣㘵慡扤㍤昱㝤戴挷㌶㈱挵戹慥愵攱㤴㘷㌸㐱挳㈱摢㜰昴散戶ㄳㄵ晦攸ㄸ㜲捡㐵搵㌸つ㌹攱改㡢㉣挱散㥡ㄵ㥥㤱㘰㤶敤戶㈲㤸㙤ㄳ㕢〸㐲〳搳愸㜰㡣昱昰㝤㕥ㅣ㜱㉡敢敤敦㝥攷㍢收㝣慦㔸㍦㌰攳㕡㥥㉢㡥晢昰㘸攴戱ぢ㙦昸攵㕦慦㕢㜵晤攷㕦㜵扥㉦㝣敦㡡捦㑤㍥晥㠷㥦ㅡ㠹晥昰愶摤挳搱㕢㐶慥晤ㄸ㍦户㡥㠸㜷挱㜲㌹晣㜶扥摥昶㉤㥣㔴攰㥢ㅤ摦㜴〴㥤敦昷挵捥㠵㈷戹收㘴搱㝦㌵〷戲㈴㉣㌴㌰戹戴㠸㠷㘰挶昹㉣愷㘰㠱〸㔹㘰摢挳㐰㐷㐹㔹〷㕥㙢ㄸ㡣挹㘱〰㥡㍥㔹㍣〰㌳ㄷ扤愸㍡㑣摢㥤㥥㙤㤱戶㈳攰㈱㥥っ㡢摦昰㍥挷搰づ换㈸つ攷㍣㐳づㄸ㘵捣㌶攴㐰昰ㅢ㝥挵㌱㠴ㄴ昱㥣愰㘱挹㌳㌴㘹㌸〹ㅥ收〶㡣攲攲㑢搰㜶㘳ㄸ㔵愷㈰ㄹ㘸㔰〷挶㙦㍣㤲㑤搷㜲愱㐸㍥扣攷㥥ㅢ㡥㝣敢摦㡣散晤搸㥡戵捦晤收戶㤱㤴晣摣㌱㈲㤸愵〶㐵昲づ㥣㕥㘰㈴㙦㜷〴㥤㉦㉡挶摥〷㑦㌲㤲摢搰ㄷ昵㜴㄰㐴昲㘲㌰㘵㈴㍦て㌳㉦㤲摢㈱ㄴ㤷㐳㘴㐷㜲㍦㑡捡っ㜸慤㐸㙥㤴㤱〴㐵㈴㍦〳搳㔶㈴㜷搰昶晤㥥敤㈵戴㍤ㅢ㍣攰ち昵戸戸〵摡㉤㕣摦㐹敤㉢㍣敤㑢愹㝤づ㜸捥㍣昶㌷㜳㤳搳っ愴〸摦㜹㌴扣搲㌳扣㡣㠶敦戶つ㌹㘰晣㠶㌷㌸㠶昶㠰搱愱㌴㜰つ搵て㉡㤲ㅦ㜱㉤ㄷ㡡攴挷ㅦㄸ扣慤㍥昷㠵ㄱ㝢㙥摥㌹昲晣㠹㠹晥捦ㅥ晤攵ㄱ㜱ㅤ㉣㠳㈲㜹㉤㑥㉦㌰㤲ㅦ㜳〴㥤㙦㕣挶慥㠷㈷ㄹ挹㌹昴㐵㉤㠱㈰㤲㌷㠲㈹㈳昹攷㌰昳㈲戹ぢ㐲昱㔷㄰搹㤱晣㈴㑡㑡〵㍣〷摦〹ㄹ㐶㔰㠴昱挳づ㑣㤰〲摦ㅡつ㙦昱っ㙦愲攱昹攰㈱㡣㔰㡦㡢慢愱摤ち㘳㠳摡㥦昶戴㍦㐵敤㜹昰㕡〳挶摦搲㔵㑥㑢昶㔲㝥〱㙤㙦昵㙣㙦愶㉤㌷ㅥ捥搴昷ㅢ㕥敥ㄸ摡㤱㝣㉦㤴〶敥愰晡㐱㐵昲㑥搷㜲愱㐸㝥改搸换㝥㝡挶㤷慥ㅥ戱㈳晡愱㤱㐷晥攷㡦摦昳㤵收㌵㈳攲㙥㔸〶㐵昲㘲㥣㕥㘰㈴㉦㜲〴㥤慦㡥挶扥ち㑦㌲㤲ㄷ愳㉦敡㝥㄰㐴昲㙢㘰捡㐸扥て㘶㕥㈴㉦㠵㔰㍣〸㤱ㅤ挹晢㔱㔲㉥〷て〱㤹㘴㐰昶㐱戹ㄵ㤰㉢愸晤つ㑦晢敢搴扥ち㍣〷㔴㔸攰㝡っ㡡戸捦挳㤰搳搷〶昵㑦㘹昸㤰㘷昸〰つ慦〶慦ㄵ㐹扦敤昹㡥慤ㅤ挹て搲昶㘱捦昶敦㘸晢㘱扢㔱慥挵㝥挳㡡㘳〸㈹〶摢㐷昰㌵昰㕤慡ㅦ㔴㈴扦攷㕡㉥ㄴ㐹昷扡㌸昳攴捤搷㘱㝡㡥㝣ち㔷换ㅦ摥㜴摢㠸㜸〴㤶㐱㤱㥣挳改〵㐶㜲愷㈳攸㝣〷㌶昶㈸㍣挹㐸㕥㡢扥愸搷㠱㈰㤲㡦㠳㈹㈳㘹挰捣㡢攴昵㄰㡡㘷㈰戲㈳昹〴㑡捡つ攰㈱㤲㔳㡣攴扢愱摣㡡攴㡤搴㝥搶搳㝥㤲摡㌷㠱攷㐴ㄲㄶ㠸㈴㈸㈲㜹づっ㕢㤱扣㤹㠶捦㜹㠶㑦搱昰ㄶ摢㤰搱昰ㅢ㥥敤ㄸ㐲㡡㘸摣㑡挳攷㍤挳愷㘹昸ㄹ昰㕡㐳挰㙦㍢攳搸摡㐳攰㙦愰㌷昰ㄲ㉤づ㉡㤲㉦扢㤶ぢ㐵昲攴㜳㍥㜰晦㝦慣晥散挸摣㠷㝥昶㐷㈳㤹捦戵㈲昹㙢㔸〶㐵㜲ㅢ㑥㉦㌰㤲㕢ㅤ㐱攷换扣戱㔷攰㐹㐶昲づ昴㐵扤ㄳ〴㤱ㄴ昸㤲㤱㍣つ㘶㕥㈴敦〲㔷㌰扢戳㈳挹〴㔷昹ㄲ㠸戳扡㙥㤲戱〱㐵㙣㈶ㅤ㤸㈰〵挴㕦挶㤷㘰㙥㘸ㅢ㌲摤㔵扥〲搲㠲搸㙦㍢收搸摡㄰摦㐳㕢㈶㤷戶㉤昳㕦攵㍥㄰㘷㐰昸つ㐷ㅣ㐳㝢㙡摦㑦㐳愶愱戶㈱戳㘱攵〱㤲攱㤵㌰㡡㡢㜵搰㙥㡤扢〷㈱ㄹ㘰㘶㝡㜰㤱㘴㍡㉢㉤ㄷ㡡攴收摣㤵愳敦㝥晡戶㤱ㄷ捥攰㍡摢扡㕥ち愶戴㐱㤱捣攲昴〲㈳㤹㜱〴㕤㙦㈵㌳ㄳづ㑣㙦昸㠴挸昹㘵愱敦挷㥣㝣挲ㄳ戱昸搴㘷㤱㘵戳㤹户攲ㄱ㘹愹㕣㤶㑦ㄷㄷ攳㙤挲㍡㝥㑥戹ㄹ敦捡攲ㅤ㐲晣㤲摤㜹㠸㠴㜷㘸昹㜲㤶晢扥㥡㉡㙢㌴㔶慣㙤㜵扣挰搶㘷㑤㌵昰㡥戳搱㡦㥦㠳㌵㥢昸昵晢敦挳慢㠶㜸摥换戱㠳㡦晤㤲㘱攰愳㔶㈶㈹㠱挹㥡つ㘱ぢて昷㔷㤲㘱扥㠴㜸㜰慦㍢㉢摦挲改㉣㙢晤㈹㠴挱㍤㑣愳ㅢ㘱㤱㐲㠰敦挳扤愶攸㑦㤳㐷挸㥣㡡户愸搴㝦㠰戶晣攵づ㉡昸攰㑤㘹昵㍢㘴昱㘱扢㈴戸攵㠹㍡〷㠱昲㑦㈰㙦㙡晤收㝣搰挰㙦㍡敢㈵㝤㥥㉦㌷昷㡡户戸晥㐳ㄷ㠵㕡晥扦㐷㘷摢愵㙢慣〸搲晦て挸㙡昹㡦っ愲摥〹ㅢㅦ慢㙦〴㍦搴昱㉢捡㐵㡢㠸㘵攸愵㐵愳愱㘷㙦ㅥ敤㕤〹㤵〳㘵散㥣敢㝤㤵㔹㡤㝦晡愳扦㌲㕢㌶慢㍢㥢㜳摥㥦晢攸㤳扦挹㔴晦ㄹ㑥搸ㄴて挱㤴㤸㕥搵ㅦ㠱㜰挶昳㄰捣㜷㈵昷挷㝥㙥摣攵㍥攲攷㌲挵㈳㕣㉡〳ㄱㄶ㈷戸戰戴挱晥ㄳ㉡㐸㔸㔰戰㘱㜹㡣慣ㄶ㉣㠲㔹愲㠴晤〹ㄴㄶ㠶晤ㄸ搷㝦ㅢ散㑦搱㔹㍢散捦㜴昸㘷愲㐹攸㕤㌰挵㌰㉡戲㤳捦愱攰㜵㥤愹愱攴㍥敦攷㌲敦㤳摣㝦昳㜳愷㕣敥㑦㔱挰㝦ㅢ㔲㘶㑡㍥㐰㤶扢㈷摣〶挸捦愱搴〱挸㡢㘴昹〰㌹摤昱愳晣㍢ちぢ〳戲挴昵摦〶挸换㥥㝦攱㡥挳晦散昰捦㝣慤つ㤰ㅤ㘰挸㑥晥㌷ちㅥ㈰㑣戶㈴昷㝦㔰挰㝦扢㤳捣愴㈴昷㔷㈸㜸扡扡换晤戵㥦㍢㠷㡡て㤰ㅥ昷㠴摢〰昹㉤㤴㍡〰攱摦㈶昰〳㔲㜲晣㈸㘱〸ㄶ〶攴㤵摦戸て㕡晤ㄳ戳㤷捥摡㐷㠸搲攱㥦㘹㑦ㅢ㈰㑣㘷㘴㈷晢愱改㜵㤲㘹㡢攴昲㙦攴愰㙣〳挲㠴㐴㜲愳㝥摤昷扡摣㐵㝥㉥昷敤㍥㐰㕥㜲㑦戸つ㤰愵戰攸〰㈴㐶㤶㙦㠴散㜷晣㈸㠷㐰戰㌰㈰㍦㜳晤户㡤㤰ㄵ㥥㝦㙦㠴ㅣ搶攱晦㔲昸㙦〳攴ち户㍢㠷㐳ㄳ㘵扢敢摣晤换慥ㅦ〱慥〷搳〷㕤敥㤱㝥敥㐷㕣敥㔱㝥敥戵攰晡〰㜹搲㍤攱㌶㐰㡥㠵㐵〷㈰㠳㘴昹〰戹捥昱愳ㅣて挱挲㠰㍣敡晡㙦〳㘴愵攷摦〳攴挴づ晦搷挳㝦ㅢ㈰摣㘷换慥慦㠶㈶捡㌶㈰摣㐴㑢敥挹攰㝡㠰摣敡㜲㑦昱㜳戹昷㤵扡㙢晣㕣敥㈲㝤㠰㝣搷㍤攱㌶㐰㠶㘰搱〱㐸㥣㉣ㅦ㈰㜷㍡㝥㤴㈴〴ぢ〳昲㙤搷㝦ㅢ㈰㘹捦扦〷㐸戶挳晦㕤昰摦〶挸㤷摤敥攴愱改㜵晤ㅥ㤷㕢昰㜳戹戵㤴㕤㍦搵捦攵ㄶ㔲㜲搷㠱㡢戲㍣㈲扣㙥扦敥㉤〵㔷扣攵搸㝣㌹㝦ぢ㡢㍦搳㔸㔳收㕦挲ち㝡敢扦晤㔷㌱㙦㐳愳攲㍢㘸㡣㍥搴㘱搶㔰㤰〷㉦敤㜲晢昰〷攴晥挰搵ㄹ昱改っ昰摡㑡㘵㉥ㄸ愱〱㕥㔳㘵㡤㥢挴㠱ㅦ户搵㜸つ昵㘴㠲搷㐷改㝢㍤扤㍤收挸搴㔱㥦㙦昱㤴慢戳㠱㕣㕥摥㘸慦㡥昹㜴〶㜸㈹昳扣づ昰ㄲ搶慡昱搲搵慡昱㤲㈵㙢㌰て〹㕥㡥㘴晢攳昴挶㉢ㄱ㘵敡㠴捦户攰㈵㐵敡㙣㈴㤷㔷ㄳ愹㌳改搳ㄹ攰㤵愳搵〶慦ㄸ㕥ㅢ〳扣㔲戴㘴扣㐲㜸㌵挱搵㕦晡摥㈴扤㌹㉥搵㈹㥦㙦挱ㄵ㕣敡扣㥤㕣㉥摥戴㔷㑦昳改っ㄰㜷捦敢〰ㄷ㘸㔹挳㜷㘸㠰ぢ㜳㑢挶〵搹慢〹㉥戶搲昷㘶戲戹捥㔲愶㙥㜱ち慣〸㉥㤸㔲㘷㉢戹㕣㉢愵捥㌶㥦捥〰搷㐵改ㄵ摦愱〱慥㠷戲㈶攳捦㜵戰㔵攳晡攷搵〴搷㌶改晢㜴戲戹慣㔱愶㥥攱ㄴ㔸ㄱ㕣㥦愴捥㜶㜲戹㌴㐹㥤㘹㥦捥〰㤷㈱改ㄵ摦愱〱㉥㍦戲㈶摢攷戲搳慡㜱戹昱㙡㠲㑢㠹昴㍤㐳㌶㔷ㄱ捡搴㌳㥤〲㉢㠲换㠱搴搹㐱㉥㔷〲愹㜳㤶㑦㘷㠰戳摥昳㍡挰搹摥慡㜱㤶户㙡㥣摤戲㠶㙦晣㕥搵愹愹㘷戳敡㝣㘲㥣㝥㕣㐳搴㜷愰戰愴㐷挸㠹挷㝡㥢ㄶ㈷愰搴㝡㤷慤㈵愷㔰㤷ㄶ愷㤲搴㍡搷搶㤲㤳愸㑢㡢㤳㐹㙡捤摡㕡㜲㍡㜴㘹㜱㕡㐸㉤捤搶㤲ㄳ愲㑢㡢ㄳ㐳㙡ㄵ㙤㉤㝢㘸㜷㥥㍤㠷戸搴㌲㙤㉤㌹戸扢㝣㜱㤰㑢慤㥤戶㤶ㅣ愶㕤㕡ㅣ慥㔲慢㘴㙢挹㠱摡愵挵〱㉢戵㜶搹㕡㜲挸㜵㘹㜱攸㐹慤㡡慤㈵〷㕤㤷ㄶ〷㥦搴慡搹㕡㜲昸㜴㘹㜱ㄸ㐹慤昳㙤㉤㌹㠰扡戴㌸㤰愴㔶㐳㙡挵摣㈰ぢ㐶㝦ㄴ㘳㐵晣㈹㉥㔳扣㡤戲〱戶晤㈲㈴ㄸ㜰㈹昸㤳づ〱㘳㉣〵㔷㜵〸ㄸ㔶㈹戸戲㐳挰㐸㑡挱ㄵㅤ〲〶㑦ち摥摦㈱㘰扣愴攰昲づ〱㐳㈴〵㤷㜵〸ㄸㄵ㈹戸戴㐳挰㐰㐸挱㈵ㅤ〲㘲㉦〵晢㍢〴㠴㕢ち㉥敥㄰㄰㘱㈹戸愸㐳㐰㔰愵攰挲㜶挱愲晦〵㍡戲つ晢</t>
  </si>
  <si>
    <t>Discount Rate in Continuation</t>
  </si>
  <si>
    <t>Price/Share</t>
  </si>
  <si>
    <t>Market Risk Premium</t>
  </si>
  <si>
    <t>Discount Rate</t>
  </si>
  <si>
    <t>as of 19 November 2019</t>
  </si>
  <si>
    <t>Source:  stock-analysis-on.net for Nike bond rating and Interests, retrieved 11/7/2019</t>
  </si>
  <si>
    <t>[MM shares]</t>
  </si>
  <si>
    <t>MT COGS Growth</t>
  </si>
  <si>
    <t>End of Scatter Charts</t>
  </si>
  <si>
    <t>Scatter Chart: Scatter Chart 1</t>
  </si>
  <si>
    <t>Scatter Charts</t>
  </si>
  <si>
    <t>End of Sensitivity Charts</t>
  </si>
  <si>
    <t>Sensitivity Charts</t>
  </si>
  <si>
    <t>End of Assumptions</t>
  </si>
  <si>
    <t>(=MAX(C72:C74))</t>
  </si>
  <si>
    <t>(=MEDIAN(C72:C74))</t>
  </si>
  <si>
    <t>Likeliest</t>
  </si>
  <si>
    <t>(=MIN(C72:C74))</t>
  </si>
  <si>
    <t>Triangular distribution with parameters:</t>
  </si>
  <si>
    <t>Cell: C76</t>
  </si>
  <si>
    <t>Assumption: WACC in First 11 yrs</t>
  </si>
  <si>
    <t>(=MAX(D72:D74))</t>
  </si>
  <si>
    <t>(=MEDIAN(D72:D74))</t>
  </si>
  <si>
    <t>(=MIN(D72:D74))</t>
  </si>
  <si>
    <t>Cell: D76</t>
  </si>
  <si>
    <t>Assumption: WACC in CV</t>
  </si>
  <si>
    <t>(=MAX(F72:F74))</t>
  </si>
  <si>
    <t>(=MEDIAN(F72:F74))</t>
  </si>
  <si>
    <t>(=MIN(F72:F74))</t>
  </si>
  <si>
    <t>Cell: F76</t>
  </si>
  <si>
    <t>Assumption: Revenue Growth ST</t>
  </si>
  <si>
    <t>(=MAX(G72:G74))</t>
  </si>
  <si>
    <t>(=MEDIAN(G72:G74))</t>
  </si>
  <si>
    <t>(=MIN(G72:G74))</t>
  </si>
  <si>
    <t>Cell: G76</t>
  </si>
  <si>
    <t>Assumption: Revenue Growth MT</t>
  </si>
  <si>
    <t>Cell: E76</t>
  </si>
  <si>
    <t>Assumption: Growth in CV (cont'd)</t>
  </si>
  <si>
    <t>(=MAX(E72:E74))</t>
  </si>
  <si>
    <t>(=MEDIAN(E72:E74))</t>
  </si>
  <si>
    <t>(=MIN(E72:E74))</t>
  </si>
  <si>
    <t>Assumption: Growth in CV</t>
  </si>
  <si>
    <t>(=MAX(H72:H74))</t>
  </si>
  <si>
    <t>(=MEDIAN(H72:H74))</t>
  </si>
  <si>
    <t>(=MIN(H72:H74))</t>
  </si>
  <si>
    <t>Cell: H76</t>
  </si>
  <si>
    <t>Assumption: COGS Growth ST</t>
  </si>
  <si>
    <t>(=MAX(I72:I74))</t>
  </si>
  <si>
    <t>(=MEDIAN(I72:I74))</t>
  </si>
  <si>
    <t>(=MIN(I72:I74))</t>
  </si>
  <si>
    <t>Cell: I76</t>
  </si>
  <si>
    <t>Assumption: COGS Growth MT</t>
  </si>
  <si>
    <t>Worksheet: [DCF Model, Cleanest 19. November.xlsx]Control Panel</t>
  </si>
  <si>
    <t>---</t>
  </si>
  <si>
    <t>After 100,000 trials, the std. error of the mean is $0.06</t>
  </si>
  <si>
    <t>Base case is $88.59</t>
  </si>
  <si>
    <t>Entire range is from $22.46 to $168.95</t>
  </si>
  <si>
    <t>Certainty range is from $93.61 to ∞</t>
  </si>
  <si>
    <t>Certainty level is 33.518%</t>
  </si>
  <si>
    <t>Simulation stopped on 11/21/2019 at 3:08 PM</t>
  </si>
  <si>
    <t>Simulation started on 11/21/2019 at 3:08 PM</t>
  </si>
  <si>
    <t>Crystal Ball Report - Full</t>
  </si>
  <si>
    <t>Crystal Ball Report</t>
  </si>
  <si>
    <t>Floating Bars</t>
  </si>
  <si>
    <t>Multiple Valuation</t>
  </si>
  <si>
    <t>DuPont Analysis</t>
  </si>
  <si>
    <t>DuPont</t>
  </si>
  <si>
    <t>Recommendation</t>
  </si>
  <si>
    <t>Recommendation:</t>
  </si>
  <si>
    <t>Decision:</t>
  </si>
  <si>
    <t>Assumption: from in-class model</t>
  </si>
  <si>
    <t>Discount used in CV for base case is 4.5%</t>
  </si>
  <si>
    <t>Growth in CV in base case is 1.70%, which is equal to inflation.</t>
  </si>
  <si>
    <t>The tax rate is 21%.</t>
  </si>
  <si>
    <t>The discount rate used is WACC.</t>
  </si>
  <si>
    <t>The Cost of Debt is 3.15%</t>
  </si>
  <si>
    <t>The market-risk premium is 5.70%.</t>
  </si>
  <si>
    <t>We assumed a Buy and Sell Threshold to be 3% in either direction of the current sale price.</t>
  </si>
  <si>
    <t>The Base Case assumptions are derived via extrapolation from past  revenue and COGS growth rates.</t>
  </si>
  <si>
    <t>For the Pessimistic case, we assumed the Revenue Growth in ST was 0.7% less than the base case.</t>
  </si>
  <si>
    <t>For the Pessimistic case, we assumed the WACC in CV was 0.5% more than the base case.</t>
  </si>
  <si>
    <t>For the Pessimistic case, we assumed the WACC in the first 11 years was 0.9% more than the base case.</t>
  </si>
  <si>
    <t>For the Pessimistic case, we assumed the Revenue Growth in MT was 0.4% less than the base case.</t>
  </si>
  <si>
    <t>For the Pessimistic case, we assumed the COGS Growth in ST was 0.4% more than the base case.</t>
  </si>
  <si>
    <t>For the Pessimistic case, we assumed the COGS Growth in MT was 0.4% more than the base case.</t>
  </si>
  <si>
    <t>For the Optimistic case, we assumed the WACC in the first 11 years was 0.9% less than the base case.</t>
  </si>
  <si>
    <t>For the Optimistic case, we assumed the WACC in CV was 0.5% less than the base case.</t>
  </si>
  <si>
    <t>For the Optimistic case, we assumed the Growth in CV was 0.2% more than the base case.</t>
  </si>
  <si>
    <t>For the Pessimistic case, we assumed the Growth in CV was 0.2% less than the base case.</t>
  </si>
  <si>
    <t>For the Optimistic case, we assumed the Revenue Growth in ST was 0.7% more than the base case.</t>
  </si>
  <si>
    <t>For the Optimistic case, we assumed the Revenue Growth in MT was 0.4% mpre than the base case.</t>
  </si>
  <si>
    <t>For the Optimistic case, we assumed the COGS Growth in ST was 0.4% less than the base case.</t>
  </si>
  <si>
    <t>For the Optimistic case, we assumed the COGS Growth in MT was 0.4% less than the base case.</t>
  </si>
  <si>
    <t>We assigned a 45% weight to the base case, 25% weight to the pessimistic case, 30% weight to the optimistic case.</t>
  </si>
  <si>
    <t>We will make the following assumptions:</t>
  </si>
  <si>
    <t>Stochastic Assumptions:</t>
  </si>
  <si>
    <t>Summary Page Navigation</t>
  </si>
  <si>
    <t>median</t>
  </si>
  <si>
    <t>Deterministic DCF</t>
  </si>
  <si>
    <t>Stochastic DCF</t>
  </si>
  <si>
    <t>Industry Avg</t>
  </si>
  <si>
    <t>NIKE</t>
  </si>
  <si>
    <t>Profitability Ratios</t>
  </si>
  <si>
    <t xml:space="preserve">Total Asset Turnover </t>
  </si>
  <si>
    <t xml:space="preserve">Days' Sales in Receivables </t>
  </si>
  <si>
    <t xml:space="preserve">Receivables Turnover </t>
  </si>
  <si>
    <t xml:space="preserve">Days Sales in Inventory </t>
  </si>
  <si>
    <t xml:space="preserve">Inventory Turnover </t>
  </si>
  <si>
    <t>Asset Management and Turnover Ratios</t>
  </si>
  <si>
    <t xml:space="preserve">Cash Coverage </t>
  </si>
  <si>
    <t xml:space="preserve">Times Interest Earned Ratio </t>
  </si>
  <si>
    <t xml:space="preserve">Equity Multiplier </t>
  </si>
  <si>
    <t xml:space="preserve">Debt-Equity Ratio </t>
  </si>
  <si>
    <t xml:space="preserve">Total Debt Ratio </t>
  </si>
  <si>
    <t>Long-Term Solvency Ratios</t>
  </si>
  <si>
    <t xml:space="preserve">Cash Ratio </t>
  </si>
  <si>
    <t xml:space="preserve">Quick Ratio </t>
  </si>
  <si>
    <t xml:space="preserve">Current Ratio </t>
  </si>
  <si>
    <t>Short-Term Solvency (Liquidity) Ratios</t>
  </si>
  <si>
    <t>Ratio Comparison to Industry Averages</t>
  </si>
  <si>
    <t xml:space="preserve">Market to Book Ratio </t>
  </si>
  <si>
    <t xml:space="preserve">Price-Sales Ratio </t>
  </si>
  <si>
    <t xml:space="preserve">Price-Earnings Ratio (P/E) </t>
  </si>
  <si>
    <t xml:space="preserve">Earnings per Share (EPS) </t>
  </si>
  <si>
    <t xml:space="preserve">Price per Share </t>
  </si>
  <si>
    <t xml:space="preserve">Shares Outstanding </t>
  </si>
  <si>
    <t>Market Value Ratios</t>
  </si>
  <si>
    <t xml:space="preserve">Return on Equity (ROE) </t>
  </si>
  <si>
    <t xml:space="preserve">Return on Assets (ROA) </t>
  </si>
  <si>
    <t xml:space="preserve">Net Margin </t>
  </si>
  <si>
    <t xml:space="preserve">Operating Margin </t>
  </si>
  <si>
    <t xml:space="preserve">Days' Sales in Inventory </t>
  </si>
  <si>
    <t>Cash Coverage</t>
  </si>
  <si>
    <t>Cash Ratio</t>
  </si>
  <si>
    <t>Quick Ratio</t>
  </si>
  <si>
    <t>Current Ratio</t>
  </si>
  <si>
    <t>Below Median</t>
  </si>
  <si>
    <t>Above Median</t>
  </si>
  <si>
    <t xml:space="preserve"> </t>
  </si>
  <si>
    <t>Current Price</t>
  </si>
  <si>
    <t>Ratio Analysis</t>
  </si>
  <si>
    <t>Sensitivity Analysis</t>
  </si>
  <si>
    <t>Tornado Chart</t>
  </si>
  <si>
    <t>Stochastic Models</t>
  </si>
  <si>
    <t>[millions of shares]</t>
  </si>
  <si>
    <t>[USD]</t>
  </si>
  <si>
    <t>To collect historical financial information about Nike and calculate net working capital</t>
  </si>
  <si>
    <t>To calculate Nike's Beta values over time using regression analysis</t>
  </si>
  <si>
    <t>To collect data tables, charts, and graphs from throughout the worksheet to support our recommendation</t>
  </si>
  <si>
    <t>To organize the inputs of the DCF model, create scenario analysis, and determine the variables to which that the DCF model is most sensitive</t>
  </si>
  <si>
    <t>To calculate the intrinsic value of Nike's stock, articulate expected growth patterns, and compare projected financial ratios over time</t>
  </si>
  <si>
    <t>To find the 10 Year mean return on the US Treasury Bill</t>
  </si>
  <si>
    <t>To find Nike's solvency , turnover , profitability, and market value ratios and then compare those to industry averages</t>
  </si>
  <si>
    <t>To use DuPont Analysis to find Nike's ROE</t>
  </si>
  <si>
    <t>To compare Nike's historical performance to that of cempetitors within Nike's industry</t>
  </si>
  <si>
    <t>Market Capitalization</t>
  </si>
  <si>
    <t>To compare the results of various valuation techniques to the current stock price</t>
  </si>
  <si>
    <t>To present the inputs and results of Oracle's Crystal Ball Monte Carlo simulation</t>
  </si>
  <si>
    <r>
      <t>Purpose:</t>
    </r>
    <r>
      <rPr>
        <sz val="11"/>
        <color theme="1"/>
        <rFont val="Calibri"/>
        <family val="2"/>
        <scheme val="minor"/>
      </rPr>
      <t xml:space="preserve"> To collect data tables, charts, and graphs from throughout the worksheet to support our recommendation</t>
    </r>
  </si>
  <si>
    <r>
      <t xml:space="preserve">Purpose: </t>
    </r>
    <r>
      <rPr>
        <sz val="11"/>
        <color theme="1"/>
        <rFont val="Calibri"/>
        <family val="2"/>
        <scheme val="minor"/>
      </rPr>
      <t>To organize the inputs of the DCF model, create scenario analysis, and determine the variables to which that the DCF model is most sensitive</t>
    </r>
  </si>
  <si>
    <r>
      <t xml:space="preserve">Purpose: </t>
    </r>
    <r>
      <rPr>
        <sz val="11"/>
        <color theme="1"/>
        <rFont val="Calibri"/>
        <family val="2"/>
        <scheme val="minor"/>
      </rPr>
      <t>To calculate the intrinsic value of Nike's stock, articulate expected growth patterns, and compare projected financial ratios over time</t>
    </r>
  </si>
  <si>
    <r>
      <t xml:space="preserve">Purpose: </t>
    </r>
    <r>
      <rPr>
        <sz val="11"/>
        <color theme="1"/>
        <rFont val="Calibri"/>
        <family val="2"/>
        <scheme val="minor"/>
      </rPr>
      <t>To collect historical financial information about Nike and calculate net working capital</t>
    </r>
  </si>
  <si>
    <r>
      <t xml:space="preserve">Purpose: </t>
    </r>
    <r>
      <rPr>
        <sz val="11"/>
        <color theme="1"/>
        <rFont val="Calibri"/>
        <family val="2"/>
        <scheme val="minor"/>
      </rPr>
      <t>To find Nike's solvency , turnover , profitability, and market value ratios and then compare those to industry averages</t>
    </r>
  </si>
  <si>
    <r>
      <t xml:space="preserve">Purpose: </t>
    </r>
    <r>
      <rPr>
        <sz val="11"/>
        <color theme="1"/>
        <rFont val="Calibri"/>
        <family val="2"/>
        <scheme val="minor"/>
      </rPr>
      <t>To use DuPont Analysis to find Nike's ROE</t>
    </r>
  </si>
  <si>
    <r>
      <t xml:space="preserve">Purpose: </t>
    </r>
    <r>
      <rPr>
        <sz val="11"/>
        <color theme="1"/>
        <rFont val="Calibri"/>
        <family val="2"/>
        <scheme val="minor"/>
      </rPr>
      <t>To compare the results of various valuation techniques to the current stock price</t>
    </r>
  </si>
  <si>
    <r>
      <t>Purpose:</t>
    </r>
    <r>
      <rPr>
        <sz val="11"/>
        <color theme="1"/>
        <rFont val="Calibri"/>
        <family val="2"/>
        <scheme val="minor"/>
      </rPr>
      <t xml:space="preserve"> To present the inputs and results of Oracle's Crystal Ball Monte Carlo simulation</t>
    </r>
  </si>
  <si>
    <t>To determine the value of Nike's stock using multiple valuation methods, including a DCF model, Financial Ratios, and a  Competitor Analysis.</t>
  </si>
  <si>
    <t>Change from year to year</t>
  </si>
  <si>
    <t>[USD/share]</t>
  </si>
  <si>
    <t>General Assumptions:</t>
  </si>
  <si>
    <t>Growth Matrix Assumptions:</t>
  </si>
  <si>
    <t>The chart below lists our assumptions used in the stochastic analysis. Each were with a triangualr distribution.</t>
  </si>
  <si>
    <t>Floating Bar Chart</t>
  </si>
  <si>
    <t>DCF Valuation</t>
  </si>
  <si>
    <t>Characteristic Line &amp; DuPont Analysis</t>
  </si>
  <si>
    <t xml:space="preserve">Investors should sell or short Nike. Investors should also keep an eye on Nike's sales revenue growth in the short term. The sales revenue growth has the strongest effect on </t>
  </si>
  <si>
    <t xml:space="preserve">the DCF valuation of the stock. </t>
  </si>
  <si>
    <t>General Assumptions</t>
  </si>
  <si>
    <t>Growth Matrix Assumptions</t>
  </si>
  <si>
    <t>Stochastic Assmuptions</t>
  </si>
  <si>
    <t>Floating Bar Charts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</si>
</sst>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6" formatCode="&quot;$&quot;#,##0_);[Red]\(&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0.0000"/>
    <numFmt numFmtId="166" formatCode="&quot;$&quot;#,##0"/>
    <numFmt numFmtId="167" formatCode="&quot;$&quot;#,##0.00"/>
    <numFmt numFmtId="168" formatCode="[$-409]dd\-mmm\-yy;@"/>
    <numFmt numFmtId="169" formatCode="0.0"/>
    <numFmt numFmtId="170" formatCode="0.00000"/>
    <numFmt numFmtId="171" formatCode="0.000"/>
    <numFmt numFmtId="172" formatCode="#,##0.000_);[Red]\(#,##0.000\)"/>
    <numFmt numFmtId="173" formatCode="#,##0.000;\(#,##0.000\)"/>
    <numFmt numFmtId="174" formatCode="0.0%"/>
  </numFmts>
  <fonts count="6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0"/>
      <color theme="1"/>
      <name val="Arial"/>
      <family val="2"/>
    </font>
    <font>
      <sz val="9"/>
      <color theme="1"/>
      <name val="Calibri"/>
      <family val="2"/>
      <scheme val="minor"/>
    </font>
    <font>
      <sz val="12"/>
      <color theme="1"/>
      <name val="Calibri"/>
      <family val="2"/>
      <scheme val="minor"/>
    </font>
    <font>
      <b/>
      <sz val="14"/>
      <color theme="1"/>
      <name val="Calibri"/>
      <family val="2"/>
      <scheme val="minor"/>
    </font>
    <font>
      <u/>
      <sz val="11"/>
      <color theme="1"/>
      <name val="Calibri"/>
      <family val="2"/>
      <scheme val="minor"/>
    </font>
    <font>
      <b/>
      <u/>
      <sz val="11"/>
      <color theme="1"/>
      <name val="Calibri"/>
      <family val="2"/>
      <scheme val="minor"/>
    </font>
    <font>
      <sz val="11"/>
      <color rgb="FF0000FF"/>
      <name val="Calibri"/>
      <family val="2"/>
      <scheme val="minor"/>
    </font>
    <font>
      <sz val="11"/>
      <name val="Calibri"/>
      <family val="2"/>
      <scheme val="minor"/>
    </font>
    <font>
      <b/>
      <sz val="11"/>
      <name val="Calibri"/>
      <family val="2"/>
      <scheme val="minor"/>
    </font>
    <font>
      <b/>
      <sz val="11"/>
      <color rgb="FF0000FF"/>
      <name val="Calibri"/>
      <family val="2"/>
      <scheme val="minor"/>
    </font>
    <font>
      <sz val="11"/>
      <color theme="9" tint="-0.249977111117893"/>
      <name val="Calibri"/>
      <family val="2"/>
      <scheme val="minor"/>
    </font>
    <font>
      <sz val="10"/>
      <name val="Arial"/>
      <family val="2"/>
    </font>
    <font>
      <sz val="10"/>
      <name val="Arial Unicode MS"/>
      <family val="2"/>
    </font>
    <font>
      <b/>
      <sz val="10"/>
      <name val="Arial"/>
      <family val="2"/>
    </font>
    <font>
      <sz val="10"/>
      <name val="Arial"/>
      <family val="2"/>
    </font>
    <font>
      <sz val="10"/>
      <color rgb="FF0000FF"/>
      <name val="Arial"/>
      <family val="2"/>
    </font>
    <font>
      <sz val="5"/>
      <color rgb="FF333333"/>
      <name val="Calibri"/>
      <family val="2"/>
      <scheme val="minor"/>
    </font>
    <font>
      <sz val="14"/>
      <color theme="0"/>
      <name val="Calibri"/>
      <family val="2"/>
      <scheme val="minor"/>
    </font>
    <font>
      <sz val="12"/>
      <color theme="0"/>
      <name val="Calibri"/>
      <family val="2"/>
      <scheme val="minor"/>
    </font>
    <font>
      <sz val="11"/>
      <color rgb="FF00B050"/>
      <name val="Calibri"/>
      <family val="2"/>
      <scheme val="minor"/>
    </font>
    <font>
      <b/>
      <sz val="14"/>
      <color rgb="FFFF0000"/>
      <name val="Calibri"/>
      <family val="2"/>
      <scheme val="minor"/>
    </font>
    <font>
      <b/>
      <sz val="18"/>
      <color theme="0"/>
      <name val="Calibri"/>
      <family val="2"/>
      <scheme val="minor"/>
    </font>
    <font>
      <b/>
      <sz val="11"/>
      <color theme="0"/>
      <name val="Calibri"/>
      <family val="2"/>
      <scheme val="minor"/>
    </font>
    <font>
      <b/>
      <sz val="16"/>
      <color theme="1"/>
      <name val="Calibri"/>
      <family val="2"/>
      <scheme val="minor"/>
    </font>
    <font>
      <u/>
      <sz val="11"/>
      <color theme="10"/>
      <name val="Calibri"/>
      <family val="2"/>
      <scheme val="minor"/>
    </font>
    <font>
      <b/>
      <u/>
      <sz val="14"/>
      <color rgb="FFFF5050"/>
      <name val="Calibri"/>
      <family val="2"/>
      <scheme val="minor"/>
    </font>
    <font>
      <b/>
      <sz val="14"/>
      <name val="Calibri"/>
      <family val="2"/>
      <scheme val="minor"/>
    </font>
    <font>
      <sz val="11"/>
      <color theme="0" tint="-0.249977111117893"/>
      <name val="Calibri"/>
      <family val="2"/>
      <scheme val="minor"/>
    </font>
    <font>
      <b/>
      <sz val="11"/>
      <color rgb="FF008E40"/>
      <name val="Calibri"/>
      <family val="2"/>
      <scheme val="minor"/>
    </font>
    <font>
      <sz val="11"/>
      <color rgb="FF008E40"/>
      <name val="Calibri"/>
      <family val="2"/>
      <scheme val="minor"/>
    </font>
    <font>
      <u/>
      <sz val="11"/>
      <color theme="4" tint="-0.249977111117893"/>
      <name val="Calibri"/>
      <family val="2"/>
      <scheme val="minor"/>
    </font>
    <font>
      <u/>
      <sz val="11"/>
      <name val="Calibri"/>
      <family val="2"/>
      <scheme val="minor"/>
    </font>
    <font>
      <sz val="8"/>
      <color theme="1"/>
      <name val="Calibri"/>
      <family val="2"/>
      <scheme val="minor"/>
    </font>
    <font>
      <sz val="8"/>
      <name val="Calibri"/>
      <family val="2"/>
      <scheme val="minor"/>
    </font>
    <font>
      <b/>
      <sz val="16"/>
      <color theme="0"/>
      <name val="Calibri"/>
      <family val="2"/>
      <scheme val="minor"/>
    </font>
    <font>
      <sz val="9"/>
      <color indexed="81"/>
      <name val="Tahoma"/>
      <family val="2"/>
    </font>
    <font>
      <b/>
      <sz val="9"/>
      <color indexed="81"/>
      <name val="Tahoma"/>
      <family val="2"/>
    </font>
    <font>
      <sz val="10"/>
      <name val="MS Sans Serif"/>
    </font>
    <font>
      <b/>
      <sz val="10"/>
      <name val="MS Sans Serif"/>
    </font>
    <font>
      <sz val="18"/>
      <color theme="1"/>
      <name val="Calibri"/>
      <family val="2"/>
      <scheme val="minor"/>
    </font>
    <font>
      <sz val="11"/>
      <color theme="1"/>
      <name val="Arial"/>
      <family val="2"/>
    </font>
    <font>
      <b/>
      <u/>
      <sz val="11"/>
      <color theme="1"/>
      <name val="Arial"/>
      <family val="2"/>
    </font>
    <font>
      <b/>
      <sz val="14"/>
      <color theme="1"/>
      <name val="Arial"/>
      <family val="2"/>
    </font>
    <font>
      <b/>
      <u/>
      <sz val="14"/>
      <color theme="1"/>
      <name val="Arial"/>
      <family val="2"/>
    </font>
    <font>
      <sz val="11"/>
      <color theme="0" tint="-0.499984740745262"/>
      <name val="Calibri"/>
      <family val="2"/>
      <scheme val="minor"/>
    </font>
    <font>
      <u/>
      <sz val="11"/>
      <color theme="1"/>
      <name val="Arial"/>
      <family val="2"/>
    </font>
    <font>
      <sz val="11"/>
      <color theme="0" tint="-0.499984740745262"/>
      <name val="Arial"/>
      <family val="2"/>
    </font>
    <font>
      <b/>
      <sz val="11"/>
      <color theme="1"/>
      <name val="Arial"/>
      <family val="2"/>
    </font>
    <font>
      <sz val="11"/>
      <color theme="4" tint="-0.249977111117893"/>
      <name val="Calibri"/>
      <family val="2"/>
      <scheme val="minor"/>
    </font>
    <font>
      <b/>
      <sz val="20"/>
      <color theme="1"/>
      <name val="Calibri"/>
      <family val="2"/>
      <scheme val="minor"/>
    </font>
    <font>
      <b/>
      <sz val="12"/>
      <name val="Arial"/>
      <family val="2"/>
    </font>
    <font>
      <b/>
      <sz val="12"/>
      <color theme="1"/>
      <name val="Calibri"/>
      <family val="2"/>
      <scheme val="minor"/>
    </font>
    <font>
      <sz val="11"/>
      <color theme="0" tint="-0.34998626667073579"/>
      <name val="Arial"/>
      <family val="2"/>
    </font>
    <font>
      <sz val="10"/>
      <color theme="0" tint="-0.34998626667073579"/>
      <name val="Calibri"/>
      <family val="2"/>
      <scheme val="minor"/>
    </font>
    <font>
      <sz val="8"/>
      <color theme="1"/>
      <name val="Arial"/>
      <family val="2"/>
    </font>
    <font>
      <sz val="11"/>
      <color theme="4" tint="0.39997558519241921"/>
      <name val="Calibri"/>
      <family val="2"/>
      <scheme val="minor"/>
    </font>
    <font>
      <u/>
      <sz val="11"/>
      <color theme="4" tint="0.39997558519241921"/>
      <name val="Calibri"/>
      <family val="2"/>
      <scheme val="minor"/>
    </font>
  </fonts>
  <fills count="30">
    <fill>
      <patternFill patternType="none"/>
    </fill>
    <fill>
      <patternFill patternType="gray125"/>
    </fill>
    <fill>
      <patternFill patternType="solid">
        <fgColor rgb="FF666699"/>
        <bgColor indexed="64"/>
      </patternFill>
    </fill>
    <fill>
      <patternFill patternType="solid">
        <fgColor theme="5" tint="-0.249977111117893"/>
        <bgColor indexed="64"/>
      </patternFill>
    </fill>
    <fill>
      <patternFill patternType="solid">
        <fgColor rgb="FFFFFF00"/>
        <bgColor indexed="64"/>
      </patternFill>
    </fill>
    <fill>
      <patternFill patternType="solid">
        <fgColor rgb="FFB45E24"/>
        <bgColor indexed="64"/>
      </patternFill>
    </fill>
    <fill>
      <patternFill patternType="solid">
        <fgColor rgb="FF002060"/>
        <bgColor indexed="64"/>
      </patternFill>
    </fill>
    <fill>
      <patternFill patternType="solid">
        <fgColor rgb="FF92D050"/>
        <bgColor indexed="64"/>
      </patternFill>
    </fill>
    <fill>
      <patternFill patternType="solid">
        <fgColor theme="4"/>
        <bgColor indexed="64"/>
      </patternFill>
    </fill>
    <fill>
      <patternFill patternType="solid">
        <fgColor theme="7"/>
        <bgColor indexed="64"/>
      </patternFill>
    </fill>
    <fill>
      <patternFill patternType="solid">
        <fgColor theme="7" tint="0.39997558519241921"/>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4" tint="0.39997558519241921"/>
        <bgColor indexed="64"/>
      </patternFill>
    </fill>
    <fill>
      <patternFill patternType="solid">
        <fgColor rgb="FFFFFF99"/>
        <bgColor indexed="64"/>
      </patternFill>
    </fill>
    <fill>
      <patternFill patternType="solid">
        <fgColor rgb="FF00FFFF"/>
        <bgColor indexed="64"/>
      </patternFill>
    </fill>
    <fill>
      <patternFill patternType="solid">
        <fgColor theme="4" tint="-0.499984740745262"/>
        <bgColor indexed="64"/>
      </patternFill>
    </fill>
    <fill>
      <patternFill patternType="solid">
        <fgColor rgb="FFFF5050"/>
        <bgColor indexed="64"/>
      </patternFill>
    </fill>
    <fill>
      <patternFill patternType="solid">
        <fgColor theme="4" tint="-0.249977111117893"/>
        <bgColor indexed="64"/>
      </patternFill>
    </fill>
    <fill>
      <patternFill patternType="solid">
        <fgColor theme="0"/>
        <bgColor indexed="64"/>
      </patternFill>
    </fill>
    <fill>
      <patternFill patternType="solid">
        <fgColor theme="4" tint="0.79998168889431442"/>
        <bgColor indexed="64"/>
      </patternFill>
    </fill>
    <fill>
      <patternFill patternType="solid">
        <fgColor theme="0" tint="-0.249977111117893"/>
        <bgColor indexed="64"/>
      </patternFill>
    </fill>
    <fill>
      <patternFill patternType="solid">
        <fgColor rgb="FFFFC000"/>
        <bgColor indexed="64"/>
      </patternFill>
    </fill>
    <fill>
      <patternFill patternType="solid">
        <fgColor rgb="FFFFE181"/>
        <bgColor indexed="64"/>
      </patternFill>
    </fill>
    <fill>
      <patternFill patternType="solid">
        <fgColor rgb="FF5A82CA"/>
        <bgColor indexed="64"/>
      </patternFill>
    </fill>
    <fill>
      <patternFill patternType="solid">
        <fgColor rgb="FFB6DF89"/>
        <bgColor indexed="64"/>
      </patternFill>
    </fill>
    <fill>
      <patternFill patternType="solid">
        <fgColor rgb="FFA7ABF1"/>
        <bgColor indexed="64"/>
      </patternFill>
    </fill>
    <fill>
      <patternFill patternType="solid">
        <fgColor rgb="FF00B050"/>
        <bgColor indexed="64"/>
      </patternFill>
    </fill>
    <fill>
      <patternFill patternType="solid">
        <fgColor theme="9"/>
        <bgColor indexed="64"/>
      </patternFill>
    </fill>
    <fill>
      <patternFill patternType="solid">
        <fgColor rgb="FF00FF00"/>
        <bgColor indexed="64"/>
      </patternFill>
    </fill>
  </fills>
  <borders count="43">
    <border>
      <left/>
      <right/>
      <top/>
      <bottom/>
      <diagonal/>
    </border>
    <border>
      <left/>
      <right/>
      <top/>
      <bottom style="thin">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medium">
        <color indexed="64"/>
      </left>
      <right style="medium">
        <color indexed="64"/>
      </right>
      <top style="medium">
        <color indexed="64"/>
      </top>
      <bottom style="medium">
        <color indexed="64"/>
      </bottom>
      <diagonal/>
    </border>
    <border>
      <left/>
      <right/>
      <top/>
      <bottom style="medium">
        <color indexed="64"/>
      </bottom>
      <diagonal/>
    </border>
    <border>
      <left style="thin">
        <color indexed="64"/>
      </left>
      <right/>
      <top/>
      <bottom/>
      <diagonal/>
    </border>
    <border>
      <left style="thin">
        <color indexed="64"/>
      </left>
      <right/>
      <top/>
      <bottom style="thin">
        <color indexed="64"/>
      </bottom>
      <diagonal/>
    </border>
    <border>
      <left style="thin">
        <color auto="1"/>
      </left>
      <right/>
      <top style="thin">
        <color auto="1"/>
      </top>
      <bottom style="thin">
        <color auto="1"/>
      </bottom>
      <diagonal/>
    </border>
    <border>
      <left/>
      <right style="thin">
        <color indexed="64"/>
      </right>
      <top/>
      <bottom/>
      <diagonal/>
    </border>
    <border>
      <left style="thin">
        <color indexed="64"/>
      </left>
      <right/>
      <top style="thin">
        <color indexed="64"/>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right/>
      <top style="thin">
        <color indexed="64"/>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right style="thin">
        <color indexed="64"/>
      </right>
      <top style="medium">
        <color indexed="64"/>
      </top>
      <bottom/>
      <diagonal/>
    </border>
    <border>
      <left/>
      <right/>
      <top style="medium">
        <color indexed="64"/>
      </top>
      <bottom/>
      <diagonal/>
    </border>
    <border>
      <left style="thin">
        <color indexed="64"/>
      </left>
      <right/>
      <top style="medium">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thin">
        <color indexed="64"/>
      </top>
      <bottom style="double">
        <color indexed="64"/>
      </bottom>
      <diagonal/>
    </border>
    <border>
      <left/>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medium">
        <color indexed="64"/>
      </left>
      <right/>
      <top style="thin">
        <color indexed="64"/>
      </top>
      <bottom style="double">
        <color indexed="64"/>
      </bottom>
      <diagonal/>
    </border>
    <border>
      <left style="thin">
        <color indexed="64"/>
      </left>
      <right style="thin">
        <color indexed="64"/>
      </right>
      <top/>
      <bottom style="medium">
        <color indexed="64"/>
      </bottom>
      <diagonal/>
    </border>
    <border>
      <left/>
      <right style="medium">
        <color indexed="64"/>
      </right>
      <top style="thin">
        <color indexed="64"/>
      </top>
      <bottom/>
      <diagonal/>
    </border>
    <border>
      <left style="medium">
        <color indexed="64"/>
      </left>
      <right style="thin">
        <color indexed="64"/>
      </right>
      <top style="thin">
        <color indexed="64"/>
      </top>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bottom style="thin">
        <color indexed="64"/>
      </bottom>
      <diagonal/>
    </border>
  </borders>
  <cellStyleXfs count="9">
    <xf numFmtId="0" fontId="0" fillId="0" borderId="0"/>
    <xf numFmtId="43" fontId="1" fillId="0" borderId="0" applyFont="0" applyFill="0" applyBorder="0" applyAlignment="0" applyProtection="0"/>
    <xf numFmtId="0" fontId="4" fillId="0" borderId="0"/>
    <xf numFmtId="0" fontId="1" fillId="0" borderId="0"/>
    <xf numFmtId="9" fontId="1" fillId="0" borderId="0" applyFont="0" applyFill="0" applyBorder="0" applyAlignment="0" applyProtection="0"/>
    <xf numFmtId="0" fontId="15" fillId="0" borderId="0"/>
    <xf numFmtId="44" fontId="1" fillId="0" borderId="0" applyFont="0" applyFill="0" applyBorder="0" applyAlignment="0" applyProtection="0"/>
    <xf numFmtId="0" fontId="28" fillId="0" borderId="0" applyNumberFormat="0" applyFill="0" applyBorder="0" applyAlignment="0" applyProtection="0"/>
    <xf numFmtId="0" fontId="41" fillId="0" borderId="0"/>
  </cellStyleXfs>
  <cellXfs count="463">
    <xf numFmtId="0" fontId="0" fillId="0" borderId="0" xfId="0"/>
    <xf numFmtId="0" fontId="3" fillId="5" borderId="0" xfId="0" applyFont="1" applyFill="1"/>
    <xf numFmtId="0" fontId="0" fillId="6" borderId="0" xfId="0" applyFill="1"/>
    <xf numFmtId="0" fontId="3" fillId="2" borderId="0" xfId="0" applyFont="1" applyFill="1"/>
    <xf numFmtId="0" fontId="3" fillId="3" borderId="0" xfId="0" applyFont="1" applyFill="1"/>
    <xf numFmtId="0" fontId="3" fillId="3" borderId="0" xfId="0" applyFont="1" applyFill="1"/>
    <xf numFmtId="0" fontId="2" fillId="0" borderId="0" xfId="0" applyFont="1"/>
    <xf numFmtId="0" fontId="3" fillId="3" borderId="0" xfId="0" applyFont="1" applyFill="1"/>
    <xf numFmtId="0" fontId="3" fillId="2" borderId="0" xfId="0" applyFont="1" applyFill="1"/>
    <xf numFmtId="0" fontId="3" fillId="2" borderId="0" xfId="0" applyFont="1" applyFill="1"/>
    <xf numFmtId="0" fontId="3" fillId="8" borderId="0" xfId="0" applyFont="1" applyFill="1"/>
    <xf numFmtId="0" fontId="0" fillId="0" borderId="0" xfId="0" applyBorder="1"/>
    <xf numFmtId="0" fontId="0" fillId="0" borderId="0" xfId="0"/>
    <xf numFmtId="0" fontId="0" fillId="0" borderId="1" xfId="0" applyBorder="1"/>
    <xf numFmtId="165" fontId="0" fillId="10" borderId="0" xfId="1" applyNumberFormat="1" applyFont="1" applyFill="1"/>
    <xf numFmtId="10" fontId="10" fillId="11" borderId="0" xfId="4" applyNumberFormat="1" applyFont="1" applyFill="1"/>
    <xf numFmtId="10" fontId="11" fillId="12" borderId="0" xfId="4" applyNumberFormat="1" applyFont="1" applyFill="1"/>
    <xf numFmtId="10" fontId="10" fillId="12" borderId="0" xfId="4" applyNumberFormat="1" applyFont="1" applyFill="1"/>
    <xf numFmtId="0" fontId="11" fillId="12" borderId="0" xfId="3" applyFont="1" applyFill="1"/>
    <xf numFmtId="10" fontId="12" fillId="12" borderId="0" xfId="4" applyNumberFormat="1" applyFont="1" applyFill="1"/>
    <xf numFmtId="2" fontId="10" fillId="11" borderId="0" xfId="3" applyNumberFormat="1" applyFont="1" applyFill="1"/>
    <xf numFmtId="2" fontId="13" fillId="13" borderId="0" xfId="3" applyNumberFormat="1" applyFont="1" applyFill="1"/>
    <xf numFmtId="2" fontId="10" fillId="13" borderId="0" xfId="3" applyNumberFormat="1" applyFont="1" applyFill="1"/>
    <xf numFmtId="0" fontId="10" fillId="11" borderId="0" xfId="3" applyFont="1" applyFill="1"/>
    <xf numFmtId="10" fontId="14" fillId="11" borderId="0" xfId="4" applyNumberFormat="1" applyFont="1" applyFill="1"/>
    <xf numFmtId="167" fontId="10" fillId="11" borderId="0" xfId="3" applyNumberFormat="1" applyFont="1" applyFill="1"/>
    <xf numFmtId="167" fontId="11" fillId="14" borderId="2" xfId="3" applyNumberFormat="1" applyFont="1" applyFill="1" applyBorder="1"/>
    <xf numFmtId="0" fontId="2" fillId="4" borderId="4" xfId="3" applyFont="1" applyFill="1" applyBorder="1" applyAlignment="1">
      <alignment horizontal="center"/>
    </xf>
    <xf numFmtId="169" fontId="2" fillId="4" borderId="0" xfId="0" applyNumberFormat="1" applyFont="1" applyFill="1"/>
    <xf numFmtId="164" fontId="10" fillId="11" borderId="0" xfId="1" applyNumberFormat="1" applyFont="1" applyFill="1"/>
    <xf numFmtId="6" fontId="12" fillId="12" borderId="0" xfId="3" applyNumberFormat="1" applyFont="1" applyFill="1"/>
    <xf numFmtId="166" fontId="11" fillId="12" borderId="0" xfId="3" applyNumberFormat="1" applyFont="1" applyFill="1"/>
    <xf numFmtId="10" fontId="0" fillId="9" borderId="0" xfId="0" applyNumberFormat="1" applyFill="1"/>
    <xf numFmtId="0" fontId="2" fillId="17" borderId="8" xfId="3" applyFont="1" applyFill="1" applyBorder="1" applyAlignment="1">
      <alignment horizontal="center"/>
    </xf>
    <xf numFmtId="171" fontId="2" fillId="17" borderId="8" xfId="3" applyNumberFormat="1" applyFont="1" applyFill="1" applyBorder="1" applyAlignment="1">
      <alignment horizontal="center"/>
    </xf>
    <xf numFmtId="0" fontId="3" fillId="18" borderId="8" xfId="0" applyFont="1" applyFill="1" applyBorder="1" applyAlignment="1">
      <alignment horizontal="center" vertical="center" wrapText="1"/>
    </xf>
    <xf numFmtId="0" fontId="3" fillId="18" borderId="11" xfId="0" applyFont="1" applyFill="1" applyBorder="1" applyAlignment="1">
      <alignment horizontal="center" vertical="center" wrapText="1"/>
    </xf>
    <xf numFmtId="0" fontId="3" fillId="18" borderId="12" xfId="0" applyFont="1" applyFill="1" applyBorder="1" applyAlignment="1">
      <alignment horizontal="center" vertical="center" wrapText="1"/>
    </xf>
    <xf numFmtId="171" fontId="2" fillId="17" borderId="8" xfId="6" applyNumberFormat="1" applyFont="1" applyFill="1" applyBorder="1" applyAlignment="1">
      <alignment horizontal="center"/>
    </xf>
    <xf numFmtId="172" fontId="11" fillId="11" borderId="6" xfId="3" applyNumberFormat="1" applyFont="1" applyFill="1" applyBorder="1" applyAlignment="1">
      <alignment horizontal="center"/>
    </xf>
    <xf numFmtId="172" fontId="11" fillId="11" borderId="7" xfId="3" applyNumberFormat="1" applyFont="1" applyFill="1" applyBorder="1" applyAlignment="1">
      <alignment horizontal="center"/>
    </xf>
    <xf numFmtId="9" fontId="0" fillId="20" borderId="9" xfId="4" applyFont="1" applyFill="1" applyBorder="1"/>
    <xf numFmtId="9" fontId="0" fillId="20" borderId="13" xfId="4" applyFont="1" applyFill="1" applyBorder="1"/>
    <xf numFmtId="0" fontId="0" fillId="0" borderId="0" xfId="0" applyFont="1"/>
    <xf numFmtId="10" fontId="0" fillId="0" borderId="0" xfId="4" applyNumberFormat="1" applyFont="1"/>
    <xf numFmtId="166" fontId="0" fillId="12" borderId="0" xfId="3" applyNumberFormat="1" applyFont="1" applyFill="1"/>
    <xf numFmtId="10" fontId="0" fillId="12" borderId="0" xfId="4" applyNumberFormat="1" applyFont="1" applyFill="1"/>
    <xf numFmtId="167" fontId="0" fillId="15" borderId="3" xfId="3" applyNumberFormat="1" applyFont="1" applyFill="1" applyBorder="1"/>
    <xf numFmtId="0" fontId="0" fillId="16" borderId="0" xfId="0" applyFont="1" applyFill="1"/>
    <xf numFmtId="0" fontId="0" fillId="18" borderId="0" xfId="0" applyFont="1" applyFill="1"/>
    <xf numFmtId="0" fontId="22" fillId="18" borderId="6" xfId="0" applyFont="1" applyFill="1" applyBorder="1" applyAlignment="1">
      <alignment horizontal="center"/>
    </xf>
    <xf numFmtId="0" fontId="22" fillId="18" borderId="7" xfId="0" applyFont="1" applyFill="1" applyBorder="1" applyAlignment="1">
      <alignment horizontal="center"/>
    </xf>
    <xf numFmtId="0" fontId="22" fillId="18" borderId="10" xfId="0" applyFont="1" applyFill="1" applyBorder="1" applyAlignment="1">
      <alignment horizontal="center"/>
    </xf>
    <xf numFmtId="0" fontId="0" fillId="0" borderId="14" xfId="0" applyBorder="1"/>
    <xf numFmtId="0" fontId="0" fillId="4" borderId="0" xfId="0" applyFont="1" applyFill="1"/>
    <xf numFmtId="0" fontId="26" fillId="18" borderId="8" xfId="3" applyFont="1" applyFill="1" applyBorder="1" applyAlignment="1">
      <alignment horizontal="center" vertical="center" wrapText="1"/>
    </xf>
    <xf numFmtId="166" fontId="0" fillId="20" borderId="14" xfId="0" applyNumberFormat="1" applyFill="1" applyBorder="1"/>
    <xf numFmtId="166" fontId="0" fillId="20" borderId="1" xfId="0" applyNumberFormat="1" applyFill="1" applyBorder="1"/>
    <xf numFmtId="0" fontId="0" fillId="20" borderId="0" xfId="0" applyFill="1"/>
    <xf numFmtId="169" fontId="0" fillId="11" borderId="2" xfId="0" applyNumberFormat="1" applyFill="1" applyBorder="1"/>
    <xf numFmtId="169" fontId="0" fillId="11" borderId="15" xfId="0" applyNumberFormat="1" applyFill="1" applyBorder="1"/>
    <xf numFmtId="169" fontId="0" fillId="11" borderId="3" xfId="0" applyNumberFormat="1" applyFill="1" applyBorder="1"/>
    <xf numFmtId="167" fontId="1" fillId="13" borderId="3" xfId="6" applyNumberFormat="1" applyFill="1" applyBorder="1" applyAlignment="1">
      <alignment horizontal="right"/>
    </xf>
    <xf numFmtId="44" fontId="1" fillId="13" borderId="2" xfId="6" applyFill="1" applyBorder="1" applyAlignment="1">
      <alignment horizontal="right"/>
    </xf>
    <xf numFmtId="44" fontId="1" fillId="13" borderId="15" xfId="6" applyFill="1" applyBorder="1" applyAlignment="1">
      <alignment horizontal="right"/>
    </xf>
    <xf numFmtId="44" fontId="1" fillId="13" borderId="3" xfId="6" applyFill="1" applyBorder="1" applyAlignment="1">
      <alignment horizontal="right"/>
    </xf>
    <xf numFmtId="0" fontId="1" fillId="18" borderId="2" xfId="3" applyFill="1" applyBorder="1"/>
    <xf numFmtId="0" fontId="1" fillId="18" borderId="15" xfId="3" applyFill="1" applyBorder="1"/>
    <xf numFmtId="0" fontId="1" fillId="18" borderId="3" xfId="3" applyFill="1" applyBorder="1"/>
    <xf numFmtId="167" fontId="2" fillId="21" borderId="12" xfId="3" applyNumberFormat="1" applyFont="1" applyFill="1" applyBorder="1"/>
    <xf numFmtId="9" fontId="0" fillId="0" borderId="14" xfId="4" applyNumberFormat="1" applyFont="1" applyBorder="1"/>
    <xf numFmtId="9" fontId="0" fillId="0" borderId="1" xfId="4" applyNumberFormat="1" applyFont="1" applyBorder="1"/>
    <xf numFmtId="0" fontId="2" fillId="13" borderId="0" xfId="0" applyFont="1" applyFill="1"/>
    <xf numFmtId="0" fontId="0" fillId="20" borderId="0" xfId="0" applyFont="1" applyFill="1"/>
    <xf numFmtId="0" fontId="9" fillId="20" borderId="0" xfId="0" applyFont="1" applyFill="1"/>
    <xf numFmtId="0" fontId="0" fillId="11" borderId="0" xfId="0" applyFont="1" applyFill="1"/>
    <xf numFmtId="0" fontId="29" fillId="11" borderId="0" xfId="7" applyFont="1" applyFill="1"/>
    <xf numFmtId="0" fontId="2" fillId="11" borderId="0" xfId="0" applyFont="1" applyFill="1"/>
    <xf numFmtId="0" fontId="0" fillId="11" borderId="0" xfId="0" applyFill="1"/>
    <xf numFmtId="172" fontId="11" fillId="20" borderId="0" xfId="3" applyNumberFormat="1" applyFont="1" applyFill="1" applyBorder="1" applyAlignment="1">
      <alignment horizontal="center"/>
    </xf>
    <xf numFmtId="172" fontId="11" fillId="20" borderId="9" xfId="3" applyNumberFormat="1" applyFont="1" applyFill="1" applyBorder="1" applyAlignment="1">
      <alignment horizontal="center"/>
    </xf>
    <xf numFmtId="172" fontId="12" fillId="11" borderId="0" xfId="3" applyNumberFormat="1" applyFont="1" applyFill="1" applyBorder="1" applyAlignment="1">
      <alignment horizontal="center"/>
    </xf>
    <xf numFmtId="172" fontId="12" fillId="11" borderId="9" xfId="3" applyNumberFormat="1" applyFont="1" applyFill="1" applyBorder="1" applyAlignment="1">
      <alignment horizontal="center"/>
    </xf>
    <xf numFmtId="172" fontId="12" fillId="11" borderId="13" xfId="3" applyNumberFormat="1" applyFont="1" applyFill="1" applyBorder="1" applyAlignment="1">
      <alignment horizontal="center"/>
    </xf>
    <xf numFmtId="172" fontId="31" fillId="19" borderId="0" xfId="3" applyNumberFormat="1" applyFont="1" applyFill="1" applyBorder="1" applyAlignment="1">
      <alignment horizontal="center"/>
    </xf>
    <xf numFmtId="172" fontId="31" fillId="19" borderId="9" xfId="3" applyNumberFormat="1" applyFont="1" applyFill="1" applyBorder="1" applyAlignment="1">
      <alignment horizontal="center"/>
    </xf>
    <xf numFmtId="172" fontId="12" fillId="11" borderId="10" xfId="3" applyNumberFormat="1" applyFont="1" applyFill="1" applyBorder="1" applyAlignment="1">
      <alignment horizontal="center"/>
    </xf>
    <xf numFmtId="172" fontId="31" fillId="19" borderId="14" xfId="3" applyNumberFormat="1" applyFont="1" applyFill="1" applyBorder="1" applyAlignment="1">
      <alignment horizontal="center"/>
    </xf>
    <xf numFmtId="172" fontId="31" fillId="19" borderId="17" xfId="3" applyNumberFormat="1" applyFont="1" applyFill="1" applyBorder="1" applyAlignment="1">
      <alignment horizontal="center"/>
    </xf>
    <xf numFmtId="172" fontId="12" fillId="11" borderId="6" xfId="3" applyNumberFormat="1" applyFont="1" applyFill="1" applyBorder="1" applyAlignment="1">
      <alignment horizontal="center"/>
    </xf>
    <xf numFmtId="172" fontId="31" fillId="19" borderId="6" xfId="3" applyNumberFormat="1" applyFont="1" applyFill="1" applyBorder="1" applyAlignment="1">
      <alignment horizontal="center"/>
    </xf>
    <xf numFmtId="172" fontId="31" fillId="19" borderId="7" xfId="3" applyNumberFormat="1" applyFont="1" applyFill="1" applyBorder="1" applyAlignment="1">
      <alignment horizontal="center"/>
    </xf>
    <xf numFmtId="172" fontId="31" fillId="19" borderId="1" xfId="3" applyNumberFormat="1" applyFont="1" applyFill="1" applyBorder="1" applyAlignment="1">
      <alignment horizontal="center"/>
    </xf>
    <xf numFmtId="172" fontId="32" fillId="11" borderId="0" xfId="3" applyNumberFormat="1" applyFont="1" applyFill="1" applyBorder="1" applyAlignment="1">
      <alignment horizontal="center"/>
    </xf>
    <xf numFmtId="172" fontId="32" fillId="11" borderId="9" xfId="3" applyNumberFormat="1" applyFont="1" applyFill="1" applyBorder="1" applyAlignment="1">
      <alignment horizontal="center"/>
    </xf>
    <xf numFmtId="0" fontId="26" fillId="16" borderId="8" xfId="3" applyFont="1" applyFill="1" applyBorder="1" applyAlignment="1">
      <alignment horizontal="center" vertical="center" wrapText="1"/>
    </xf>
    <xf numFmtId="166" fontId="2" fillId="21" borderId="16" xfId="0" applyNumberFormat="1" applyFont="1" applyFill="1" applyBorder="1"/>
    <xf numFmtId="166" fontId="0" fillId="20" borderId="0" xfId="0" applyNumberFormat="1" applyFill="1" applyBorder="1"/>
    <xf numFmtId="0" fontId="26" fillId="18" borderId="16" xfId="3" applyFont="1" applyFill="1" applyBorder="1" applyAlignment="1">
      <alignment horizontal="center" vertical="center" wrapText="1"/>
    </xf>
    <xf numFmtId="169" fontId="2" fillId="21" borderId="16" xfId="0" applyNumberFormat="1" applyFont="1" applyFill="1" applyBorder="1"/>
    <xf numFmtId="169" fontId="0" fillId="11" borderId="16" xfId="0" applyNumberFormat="1" applyFill="1" applyBorder="1"/>
    <xf numFmtId="166" fontId="0" fillId="20" borderId="7" xfId="0" applyNumberFormat="1" applyFill="1" applyBorder="1"/>
    <xf numFmtId="0" fontId="0" fillId="16" borderId="14" xfId="0" applyFill="1" applyBorder="1"/>
    <xf numFmtId="0" fontId="26" fillId="16" borderId="16" xfId="3" applyFont="1" applyFill="1" applyBorder="1" applyAlignment="1">
      <alignment horizontal="center" vertical="center" wrapText="1"/>
    </xf>
    <xf numFmtId="167" fontId="2" fillId="21" borderId="16" xfId="3" applyNumberFormat="1" applyFont="1" applyFill="1" applyBorder="1"/>
    <xf numFmtId="9" fontId="1" fillId="0" borderId="0" xfId="4" applyNumberFormat="1" applyBorder="1"/>
    <xf numFmtId="0" fontId="0" fillId="0" borderId="9" xfId="0" applyBorder="1"/>
    <xf numFmtId="9" fontId="0" fillId="0" borderId="0" xfId="4" applyNumberFormat="1" applyFont="1" applyBorder="1"/>
    <xf numFmtId="44" fontId="0" fillId="0" borderId="17" xfId="0" applyNumberFormat="1" applyBorder="1"/>
    <xf numFmtId="0" fontId="0" fillId="0" borderId="13" xfId="0" applyBorder="1"/>
    <xf numFmtId="8" fontId="0" fillId="22" borderId="0" xfId="0" applyNumberFormat="1" applyFill="1"/>
    <xf numFmtId="8" fontId="0" fillId="23" borderId="0" xfId="0" applyNumberFormat="1" applyFill="1"/>
    <xf numFmtId="0" fontId="35" fillId="11" borderId="2" xfId="7" applyFont="1" applyFill="1" applyBorder="1"/>
    <xf numFmtId="0" fontId="35" fillId="11" borderId="3" xfId="7" applyFont="1" applyFill="1" applyBorder="1"/>
    <xf numFmtId="0" fontId="35" fillId="11" borderId="15" xfId="7" applyFont="1" applyFill="1" applyBorder="1"/>
    <xf numFmtId="0" fontId="25" fillId="18" borderId="16" xfId="0" applyFont="1" applyFill="1" applyBorder="1"/>
    <xf numFmtId="0" fontId="0" fillId="4" borderId="0" xfId="3" applyFont="1" applyFill="1"/>
    <xf numFmtId="8" fontId="0" fillId="11" borderId="0" xfId="6" applyNumberFormat="1" applyFont="1" applyFill="1"/>
    <xf numFmtId="8" fontId="0" fillId="11" borderId="0" xfId="0" applyNumberFormat="1" applyFill="1"/>
    <xf numFmtId="0" fontId="0" fillId="24" borderId="0" xfId="0" applyFill="1"/>
    <xf numFmtId="0" fontId="0" fillId="11" borderId="13" xfId="0" applyFill="1" applyBorder="1"/>
    <xf numFmtId="0" fontId="0" fillId="11" borderId="1" xfId="0" applyFill="1" applyBorder="1"/>
    <xf numFmtId="0" fontId="0" fillId="13" borderId="13" xfId="0" applyFill="1" applyBorder="1"/>
    <xf numFmtId="0" fontId="0" fillId="13" borderId="7" xfId="0" applyFill="1" applyBorder="1"/>
    <xf numFmtId="0" fontId="0" fillId="11" borderId="9" xfId="0" applyFill="1" applyBorder="1"/>
    <xf numFmtId="0" fontId="0" fillId="13" borderId="9" xfId="0" applyFill="1" applyBorder="1"/>
    <xf numFmtId="0" fontId="0" fillId="13" borderId="6" xfId="0" applyFill="1" applyBorder="1"/>
    <xf numFmtId="0" fontId="0" fillId="24" borderId="18" xfId="0" applyFill="1" applyBorder="1"/>
    <xf numFmtId="0" fontId="0" fillId="24" borderId="19" xfId="0" applyFill="1" applyBorder="1"/>
    <xf numFmtId="0" fontId="0" fillId="24" borderId="20" xfId="0" applyFill="1" applyBorder="1"/>
    <xf numFmtId="0" fontId="0" fillId="24" borderId="22" xfId="0" applyFill="1" applyBorder="1"/>
    <xf numFmtId="0" fontId="0" fillId="11" borderId="17" xfId="0" applyFill="1" applyBorder="1"/>
    <xf numFmtId="0" fontId="0" fillId="11" borderId="14" xfId="0" applyFill="1" applyBorder="1"/>
    <xf numFmtId="0" fontId="0" fillId="13" borderId="17" xfId="0" applyFill="1" applyBorder="1"/>
    <xf numFmtId="0" fontId="0" fillId="13" borderId="10" xfId="0" applyFill="1" applyBorder="1"/>
    <xf numFmtId="0" fontId="0" fillId="24" borderId="17" xfId="0" applyFill="1" applyBorder="1"/>
    <xf numFmtId="0" fontId="0" fillId="24" borderId="14" xfId="0" applyFill="1" applyBorder="1"/>
    <xf numFmtId="0" fontId="8" fillId="24" borderId="14" xfId="0" applyFont="1" applyFill="1" applyBorder="1"/>
    <xf numFmtId="0" fontId="0" fillId="24" borderId="10" xfId="0" applyFill="1" applyBorder="1"/>
    <xf numFmtId="0" fontId="0" fillId="11" borderId="12" xfId="0" applyFill="1" applyBorder="1"/>
    <xf numFmtId="0" fontId="0" fillId="11" borderId="11" xfId="0" applyFill="1" applyBorder="1"/>
    <xf numFmtId="167" fontId="0" fillId="11" borderId="11" xfId="0" applyNumberFormat="1" applyFill="1" applyBorder="1"/>
    <xf numFmtId="0" fontId="0" fillId="11" borderId="8" xfId="0" applyFill="1" applyBorder="1"/>
    <xf numFmtId="2" fontId="0" fillId="11" borderId="13" xfId="0" applyNumberFormat="1" applyFill="1" applyBorder="1"/>
    <xf numFmtId="2" fontId="0" fillId="11" borderId="1" xfId="0" applyNumberFormat="1" applyFill="1" applyBorder="1"/>
    <xf numFmtId="8" fontId="0" fillId="11" borderId="1" xfId="0" applyNumberFormat="1" applyFill="1" applyBorder="1"/>
    <xf numFmtId="8" fontId="0" fillId="11" borderId="1" xfId="6" applyNumberFormat="1" applyFont="1" applyFill="1" applyBorder="1"/>
    <xf numFmtId="2" fontId="0" fillId="11" borderId="9" xfId="0" applyNumberFormat="1" applyFill="1" applyBorder="1"/>
    <xf numFmtId="2" fontId="0" fillId="11" borderId="0" xfId="0" applyNumberFormat="1" applyFill="1"/>
    <xf numFmtId="2" fontId="0" fillId="24" borderId="18" xfId="0" applyNumberFormat="1" applyFill="1" applyBorder="1"/>
    <xf numFmtId="2" fontId="0" fillId="24" borderId="5" xfId="0" applyNumberFormat="1" applyFill="1" applyBorder="1"/>
    <xf numFmtId="8" fontId="0" fillId="24" borderId="5" xfId="0" applyNumberFormat="1" applyFill="1" applyBorder="1"/>
    <xf numFmtId="8" fontId="0" fillId="24" borderId="5" xfId="6" applyNumberFormat="1" applyFont="1" applyFill="1" applyBorder="1"/>
    <xf numFmtId="2" fontId="0" fillId="24" borderId="20" xfId="0" applyNumberFormat="1" applyFill="1" applyBorder="1"/>
    <xf numFmtId="2" fontId="0" fillId="24" borderId="21" xfId="0" applyNumberFormat="1" applyFill="1" applyBorder="1"/>
    <xf numFmtId="8" fontId="0" fillId="24" borderId="21" xfId="0" applyNumberFormat="1" applyFill="1" applyBorder="1"/>
    <xf numFmtId="8" fontId="0" fillId="24" borderId="21" xfId="6" applyNumberFormat="1" applyFont="1" applyFill="1" applyBorder="1"/>
    <xf numFmtId="2" fontId="0" fillId="11" borderId="17" xfId="0" applyNumberFormat="1" applyFill="1" applyBorder="1"/>
    <xf numFmtId="2" fontId="0" fillId="11" borderId="14" xfId="0" applyNumberFormat="1" applyFill="1" applyBorder="1"/>
    <xf numFmtId="8" fontId="0" fillId="11" borderId="14" xfId="0" applyNumberFormat="1" applyFill="1" applyBorder="1"/>
    <xf numFmtId="8" fontId="0" fillId="11" borderId="14" xfId="6" applyNumberFormat="1" applyFont="1" applyFill="1" applyBorder="1"/>
    <xf numFmtId="8" fontId="0" fillId="11" borderId="11" xfId="0" applyNumberFormat="1" applyFill="1" applyBorder="1"/>
    <xf numFmtId="8" fontId="0" fillId="11" borderId="11" xfId="6" applyNumberFormat="1" applyFont="1" applyFill="1" applyBorder="1"/>
    <xf numFmtId="0" fontId="0" fillId="24" borderId="13" xfId="0" applyFill="1" applyBorder="1" applyAlignment="1">
      <alignment horizontal="center"/>
    </xf>
    <xf numFmtId="0" fontId="0" fillId="24" borderId="1" xfId="0" applyFill="1" applyBorder="1" applyAlignment="1">
      <alignment horizontal="center"/>
    </xf>
    <xf numFmtId="0" fontId="0" fillId="24" borderId="1" xfId="0" applyFill="1" applyBorder="1"/>
    <xf numFmtId="0" fontId="0" fillId="24" borderId="7" xfId="0" applyFill="1" applyBorder="1"/>
    <xf numFmtId="0" fontId="0" fillId="13" borderId="23" xfId="0" applyFill="1" applyBorder="1"/>
    <xf numFmtId="0" fontId="0" fillId="13" borderId="5" xfId="0" applyFill="1" applyBorder="1"/>
    <xf numFmtId="0" fontId="0" fillId="13" borderId="24" xfId="0" applyFill="1" applyBorder="1"/>
    <xf numFmtId="0" fontId="0" fillId="11" borderId="25" xfId="0" applyFill="1" applyBorder="1"/>
    <xf numFmtId="0" fontId="0" fillId="11" borderId="26" xfId="0" applyFill="1" applyBorder="1"/>
    <xf numFmtId="0" fontId="0" fillId="11" borderId="27" xfId="0" applyFill="1" applyBorder="1"/>
    <xf numFmtId="0" fontId="0" fillId="11" borderId="28" xfId="0" applyFill="1" applyBorder="1"/>
    <xf numFmtId="0" fontId="0" fillId="13" borderId="29" xfId="0" applyFill="1" applyBorder="1"/>
    <xf numFmtId="0" fontId="0" fillId="13" borderId="30" xfId="0" applyFill="1" applyBorder="1"/>
    <xf numFmtId="0" fontId="0" fillId="13" borderId="31" xfId="0" applyFill="1" applyBorder="1"/>
    <xf numFmtId="0" fontId="0" fillId="13" borderId="32" xfId="0" applyFill="1" applyBorder="1" applyAlignment="1">
      <alignment horizontal="center"/>
    </xf>
    <xf numFmtId="3" fontId="0" fillId="13" borderId="33" xfId="0" applyNumberFormat="1" applyFill="1" applyBorder="1"/>
    <xf numFmtId="3" fontId="0" fillId="13" borderId="34" xfId="0" applyNumberFormat="1" applyFill="1" applyBorder="1"/>
    <xf numFmtId="0" fontId="0" fillId="13" borderId="35" xfId="0" applyFill="1" applyBorder="1" applyAlignment="1">
      <alignment horizontal="center"/>
    </xf>
    <xf numFmtId="0" fontId="0" fillId="13" borderId="36" xfId="0" applyFill="1" applyBorder="1"/>
    <xf numFmtId="3" fontId="0" fillId="13" borderId="27" xfId="0" applyNumberFormat="1" applyFill="1" applyBorder="1"/>
    <xf numFmtId="3" fontId="0" fillId="13" borderId="0" xfId="0" applyNumberFormat="1" applyFill="1"/>
    <xf numFmtId="0" fontId="0" fillId="13" borderId="3" xfId="0" applyFill="1" applyBorder="1" applyAlignment="1">
      <alignment horizontal="center"/>
    </xf>
    <xf numFmtId="0" fontId="0" fillId="13" borderId="28" xfId="0" applyFill="1" applyBorder="1"/>
    <xf numFmtId="0" fontId="0" fillId="11" borderId="23" xfId="0" applyFill="1" applyBorder="1"/>
    <xf numFmtId="3" fontId="0" fillId="11" borderId="5" xfId="0" applyNumberFormat="1" applyFill="1" applyBorder="1"/>
    <xf numFmtId="0" fontId="0" fillId="11" borderId="5" xfId="0" applyFill="1" applyBorder="1"/>
    <xf numFmtId="0" fontId="0" fillId="11" borderId="37" xfId="0" applyFill="1" applyBorder="1" applyAlignment="1">
      <alignment horizontal="center"/>
    </xf>
    <xf numFmtId="0" fontId="0" fillId="11" borderId="24" xfId="0" applyFill="1" applyBorder="1"/>
    <xf numFmtId="0" fontId="0" fillId="11" borderId="3" xfId="0" applyFill="1" applyBorder="1" applyAlignment="1">
      <alignment horizontal="center"/>
    </xf>
    <xf numFmtId="3" fontId="0" fillId="11" borderId="23" xfId="0" applyNumberFormat="1" applyFill="1" applyBorder="1"/>
    <xf numFmtId="3" fontId="0" fillId="11" borderId="27" xfId="0" applyNumberFormat="1" applyFill="1" applyBorder="1"/>
    <xf numFmtId="3" fontId="0" fillId="11" borderId="0" xfId="0" applyNumberFormat="1" applyFill="1"/>
    <xf numFmtId="0" fontId="0" fillId="13" borderId="4" xfId="0" applyFill="1" applyBorder="1"/>
    <xf numFmtId="0" fontId="0" fillId="13" borderId="38" xfId="0" applyFill="1" applyBorder="1"/>
    <xf numFmtId="0" fontId="0" fillId="13" borderId="39" xfId="0" applyFill="1" applyBorder="1"/>
    <xf numFmtId="0" fontId="0" fillId="13" borderId="40" xfId="0" applyFill="1" applyBorder="1"/>
    <xf numFmtId="0" fontId="0" fillId="13" borderId="12" xfId="0" applyFill="1" applyBorder="1"/>
    <xf numFmtId="0" fontId="0" fillId="13" borderId="41" xfId="0" applyFill="1" applyBorder="1"/>
    <xf numFmtId="0" fontId="0" fillId="13" borderId="25" xfId="0" applyFill="1" applyBorder="1"/>
    <xf numFmtId="0" fontId="0" fillId="13" borderId="42" xfId="0" applyFill="1" applyBorder="1"/>
    <xf numFmtId="0" fontId="0" fillId="13" borderId="30" xfId="0" applyFill="1" applyBorder="1" applyAlignment="1">
      <alignment horizontal="center"/>
    </xf>
    <xf numFmtId="0" fontId="0" fillId="11" borderId="0" xfId="6" applyNumberFormat="1" applyFont="1" applyFill="1"/>
    <xf numFmtId="0" fontId="2" fillId="0" borderId="0" xfId="0" applyFont="1" applyAlignment="1">
      <alignment horizontal="center" vertical="center" wrapText="1"/>
    </xf>
    <xf numFmtId="0" fontId="2" fillId="7" borderId="0" xfId="0" applyFont="1" applyFill="1" applyAlignment="1">
      <alignment horizontal="center" vertical="center" wrapText="1"/>
    </xf>
    <xf numFmtId="0" fontId="2" fillId="0" borderId="0" xfId="0" applyFont="1" applyAlignment="1">
      <alignment vertical="center" wrapText="1"/>
    </xf>
    <xf numFmtId="10" fontId="0" fillId="25" borderId="0" xfId="0" applyNumberFormat="1" applyFill="1" applyAlignment="1">
      <alignment vertical="center" wrapText="1"/>
    </xf>
    <xf numFmtId="10" fontId="0" fillId="0" borderId="0" xfId="4" applyNumberFormat="1" applyFont="1" applyAlignment="1">
      <alignment vertical="center" wrapText="1"/>
    </xf>
    <xf numFmtId="0" fontId="0" fillId="0" borderId="8" xfId="0" applyFont="1" applyBorder="1"/>
    <xf numFmtId="0" fontId="0" fillId="0" borderId="11" xfId="0" applyFont="1" applyBorder="1"/>
    <xf numFmtId="0" fontId="0" fillId="0" borderId="12" xfId="0" applyFont="1" applyBorder="1"/>
    <xf numFmtId="0" fontId="0" fillId="26" borderId="0" xfId="0" applyFill="1"/>
    <xf numFmtId="0" fontId="3" fillId="26" borderId="0" xfId="0" applyFont="1" applyFill="1"/>
    <xf numFmtId="0" fontId="0" fillId="27" borderId="0" xfId="0" applyFill="1"/>
    <xf numFmtId="0" fontId="3" fillId="27" borderId="0" xfId="0" applyFont="1" applyFill="1"/>
    <xf numFmtId="0" fontId="0" fillId="17" borderId="0" xfId="0" applyFill="1"/>
    <xf numFmtId="0" fontId="3" fillId="17" borderId="0" xfId="0" applyFont="1" applyFill="1"/>
    <xf numFmtId="10" fontId="0" fillId="0" borderId="3" xfId="4" applyNumberFormat="1" applyFont="1" applyBorder="1"/>
    <xf numFmtId="10" fontId="0" fillId="0" borderId="15" xfId="4" applyNumberFormat="1" applyFont="1" applyBorder="1"/>
    <xf numFmtId="0" fontId="0" fillId="0" borderId="3" xfId="0" applyFont="1" applyBorder="1"/>
    <xf numFmtId="0" fontId="0" fillId="0" borderId="2" xfId="0" applyFont="1" applyBorder="1"/>
    <xf numFmtId="0" fontId="0" fillId="0" borderId="15" xfId="0" applyFont="1" applyBorder="1"/>
    <xf numFmtId="10" fontId="0" fillId="0" borderId="11" xfId="4" applyNumberFormat="1" applyFont="1" applyBorder="1"/>
    <xf numFmtId="10" fontId="0" fillId="0" borderId="12" xfId="4" applyNumberFormat="1" applyFont="1" applyBorder="1"/>
    <xf numFmtId="167" fontId="0" fillId="28" borderId="0" xfId="0" applyNumberFormat="1" applyFont="1" applyFill="1"/>
    <xf numFmtId="167" fontId="0" fillId="17" borderId="0" xfId="0" applyNumberFormat="1" applyFont="1" applyFill="1"/>
    <xf numFmtId="167" fontId="0" fillId="9" borderId="6" xfId="0" applyNumberFormat="1" applyFont="1" applyFill="1" applyBorder="1"/>
    <xf numFmtId="167" fontId="0" fillId="9" borderId="0" xfId="0" applyNumberFormat="1" applyFont="1" applyFill="1" applyBorder="1"/>
    <xf numFmtId="167" fontId="0" fillId="9" borderId="9" xfId="0" applyNumberFormat="1" applyFont="1" applyFill="1" applyBorder="1"/>
    <xf numFmtId="167" fontId="0" fillId="9" borderId="7" xfId="0" applyNumberFormat="1" applyFont="1" applyFill="1" applyBorder="1"/>
    <xf numFmtId="167" fontId="0" fillId="9" borderId="1" xfId="0" applyNumberFormat="1" applyFont="1" applyFill="1" applyBorder="1"/>
    <xf numFmtId="167" fontId="0" fillId="9" borderId="13" xfId="0" applyNumberFormat="1" applyFont="1" applyFill="1" applyBorder="1"/>
    <xf numFmtId="43" fontId="0" fillId="23" borderId="0" xfId="1" applyFont="1" applyFill="1"/>
    <xf numFmtId="0" fontId="0" fillId="13" borderId="31" xfId="0" applyFill="1" applyBorder="1" applyAlignment="1">
      <alignment horizontal="center"/>
    </xf>
    <xf numFmtId="0" fontId="0" fillId="13" borderId="29" xfId="0" applyFill="1" applyBorder="1" applyAlignment="1">
      <alignment horizontal="center"/>
    </xf>
    <xf numFmtId="0" fontId="0" fillId="0" borderId="0" xfId="0" quotePrefix="1"/>
    <xf numFmtId="172" fontId="11" fillId="29" borderId="1" xfId="3" applyNumberFormat="1" applyFont="1" applyFill="1" applyBorder="1" applyAlignment="1">
      <alignment horizontal="center"/>
    </xf>
    <xf numFmtId="172" fontId="11" fillId="29" borderId="13" xfId="3" applyNumberFormat="1" applyFont="1" applyFill="1" applyBorder="1" applyAlignment="1">
      <alignment horizontal="center"/>
    </xf>
    <xf numFmtId="167" fontId="0" fillId="9" borderId="15" xfId="0" applyNumberFormat="1" applyFill="1" applyBorder="1"/>
    <xf numFmtId="167" fontId="0" fillId="0" borderId="15" xfId="0" applyNumberFormat="1" applyBorder="1"/>
    <xf numFmtId="167" fontId="0" fillId="9" borderId="3" xfId="0" applyNumberFormat="1" applyFill="1" applyBorder="1"/>
    <xf numFmtId="0" fontId="0" fillId="0" borderId="3" xfId="0" applyBorder="1"/>
    <xf numFmtId="167" fontId="0" fillId="9" borderId="2" xfId="0" applyNumberFormat="1" applyFill="1" applyBorder="1"/>
    <xf numFmtId="10" fontId="0" fillId="0" borderId="2" xfId="4" applyNumberFormat="1" applyFont="1" applyBorder="1"/>
    <xf numFmtId="167" fontId="0" fillId="0" borderId="16" xfId="0" applyNumberFormat="1" applyBorder="1"/>
    <xf numFmtId="0" fontId="0" fillId="0" borderId="2" xfId="0" applyBorder="1" applyAlignment="1">
      <alignment horizontal="center" vertical="center" wrapText="1"/>
    </xf>
    <xf numFmtId="0" fontId="0" fillId="0" borderId="3" xfId="0" applyBorder="1" applyAlignment="1">
      <alignment horizontal="center" vertical="center" wrapText="1"/>
    </xf>
    <xf numFmtId="8" fontId="0" fillId="11" borderId="13" xfId="0" applyNumberFormat="1" applyFill="1" applyBorder="1"/>
    <xf numFmtId="8" fontId="0" fillId="11" borderId="7" xfId="0" applyNumberFormat="1" applyFill="1" applyBorder="1"/>
    <xf numFmtId="0" fontId="0" fillId="11" borderId="7" xfId="0" applyFill="1" applyBorder="1"/>
    <xf numFmtId="8" fontId="0" fillId="11" borderId="9" xfId="0" applyNumberFormat="1" applyFill="1" applyBorder="1"/>
    <xf numFmtId="8" fontId="0" fillId="11" borderId="6" xfId="0" applyNumberFormat="1" applyFill="1" applyBorder="1"/>
    <xf numFmtId="0" fontId="0" fillId="11" borderId="6" xfId="0" applyFill="1" applyBorder="1"/>
    <xf numFmtId="8" fontId="0" fillId="24" borderId="18" xfId="0" applyNumberFormat="1" applyFill="1" applyBorder="1"/>
    <xf numFmtId="8" fontId="0" fillId="24" borderId="19" xfId="0" applyNumberFormat="1" applyFill="1" applyBorder="1"/>
    <xf numFmtId="8" fontId="0" fillId="24" borderId="20" xfId="0" applyNumberFormat="1" applyFill="1" applyBorder="1"/>
    <xf numFmtId="8" fontId="0" fillId="24" borderId="22" xfId="0" applyNumberFormat="1" applyFill="1" applyBorder="1"/>
    <xf numFmtId="8" fontId="0" fillId="11" borderId="17" xfId="0" applyNumberFormat="1" applyFill="1" applyBorder="1"/>
    <xf numFmtId="8" fontId="0" fillId="11" borderId="10" xfId="0" applyNumberFormat="1" applyFill="1" applyBorder="1"/>
    <xf numFmtId="0" fontId="0" fillId="11" borderId="10" xfId="0" applyFill="1" applyBorder="1"/>
    <xf numFmtId="0" fontId="0" fillId="24" borderId="12" xfId="0" applyFill="1" applyBorder="1" applyAlignment="1">
      <alignment horizontal="center"/>
    </xf>
    <xf numFmtId="0" fontId="0" fillId="24" borderId="11" xfId="0" applyFill="1" applyBorder="1" applyAlignment="1">
      <alignment horizontal="center"/>
    </xf>
    <xf numFmtId="0" fontId="0" fillId="24" borderId="8" xfId="0" applyFill="1" applyBorder="1" applyAlignment="1">
      <alignment horizontal="center"/>
    </xf>
    <xf numFmtId="0" fontId="0" fillId="24" borderId="13" xfId="0" applyFill="1" applyBorder="1"/>
    <xf numFmtId="0" fontId="0" fillId="11" borderId="9" xfId="6" applyNumberFormat="1" applyFont="1" applyFill="1" applyBorder="1"/>
    <xf numFmtId="0" fontId="0" fillId="24" borderId="8" xfId="0" applyFill="1" applyBorder="1" applyAlignment="1">
      <alignment horizontal="center" vertical="center" wrapText="1"/>
    </xf>
    <xf numFmtId="0" fontId="0" fillId="24" borderId="11" xfId="0" applyFill="1" applyBorder="1" applyAlignment="1">
      <alignment horizontal="center" vertical="center" wrapText="1"/>
    </xf>
    <xf numFmtId="164" fontId="0" fillId="13" borderId="0" xfId="1" applyNumberFormat="1" applyFont="1" applyFill="1"/>
    <xf numFmtId="10" fontId="2" fillId="0" borderId="11" xfId="4" applyNumberFormat="1" applyFont="1" applyBorder="1"/>
    <xf numFmtId="0" fontId="0" fillId="0" borderId="3" xfId="0" applyBorder="1" applyAlignment="1">
      <alignment vertical="center" wrapText="1"/>
    </xf>
    <xf numFmtId="0" fontId="0" fillId="20" borderId="0" xfId="0" applyFont="1" applyFill="1" applyAlignment="1">
      <alignment horizontal="center"/>
    </xf>
    <xf numFmtId="0" fontId="28" fillId="11" borderId="0" xfId="7" applyFill="1"/>
    <xf numFmtId="0" fontId="0" fillId="8" borderId="0" xfId="0" applyFill="1"/>
    <xf numFmtId="0" fontId="0" fillId="11" borderId="0" xfId="0" applyFill="1" applyBorder="1"/>
    <xf numFmtId="171" fontId="0" fillId="11" borderId="1" xfId="0" applyNumberFormat="1" applyFill="1" applyBorder="1"/>
    <xf numFmtId="0" fontId="0" fillId="13" borderId="8" xfId="0" applyFill="1" applyBorder="1" applyAlignment="1">
      <alignment horizontal="center"/>
    </xf>
    <xf numFmtId="0" fontId="0" fillId="13" borderId="11" xfId="0" applyFill="1" applyBorder="1" applyAlignment="1">
      <alignment horizontal="center"/>
    </xf>
    <xf numFmtId="0" fontId="0" fillId="13" borderId="12" xfId="0" applyFill="1" applyBorder="1" applyAlignment="1">
      <alignment horizontal="center"/>
    </xf>
    <xf numFmtId="0" fontId="0" fillId="13" borderId="8" xfId="0" applyFill="1" applyBorder="1"/>
    <xf numFmtId="0" fontId="0" fillId="24" borderId="14" xfId="0" applyFill="1" applyBorder="1" applyAlignment="1">
      <alignment horizontal="center"/>
    </xf>
    <xf numFmtId="0" fontId="0" fillId="24" borderId="12" xfId="0" applyFill="1" applyBorder="1" applyAlignment="1">
      <alignment horizontal="center" vertical="center" wrapText="1"/>
    </xf>
    <xf numFmtId="8" fontId="0" fillId="11" borderId="0" xfId="0" applyNumberFormat="1" applyFill="1" applyBorder="1" applyAlignment="1">
      <alignment horizontal="center"/>
    </xf>
    <xf numFmtId="0" fontId="0" fillId="24" borderId="10" xfId="0" applyFill="1" applyBorder="1" applyAlignment="1">
      <alignment horizontal="center" vertical="center"/>
    </xf>
    <xf numFmtId="8" fontId="0" fillId="11" borderId="14" xfId="0" applyNumberFormat="1" applyFill="1" applyBorder="1" applyAlignment="1">
      <alignment horizontal="center"/>
    </xf>
    <xf numFmtId="8" fontId="0" fillId="11" borderId="17" xfId="0" applyNumberFormat="1" applyFill="1" applyBorder="1" applyAlignment="1">
      <alignment horizontal="center"/>
    </xf>
    <xf numFmtId="0" fontId="0" fillId="24" borderId="6" xfId="0" applyFill="1" applyBorder="1" applyAlignment="1">
      <alignment horizontal="center" vertical="center"/>
    </xf>
    <xf numFmtId="8" fontId="0" fillId="11" borderId="9" xfId="0" applyNumberFormat="1" applyFill="1" applyBorder="1" applyAlignment="1">
      <alignment horizontal="center"/>
    </xf>
    <xf numFmtId="0" fontId="0" fillId="24" borderId="7" xfId="0" applyFill="1" applyBorder="1" applyAlignment="1">
      <alignment horizontal="center" vertical="center"/>
    </xf>
    <xf numFmtId="8" fontId="0" fillId="11" borderId="1" xfId="0" applyNumberFormat="1" applyFill="1" applyBorder="1" applyAlignment="1">
      <alignment horizontal="center"/>
    </xf>
    <xf numFmtId="8" fontId="0" fillId="11" borderId="13" xfId="0" applyNumberFormat="1" applyFill="1" applyBorder="1" applyAlignment="1">
      <alignment horizontal="center"/>
    </xf>
    <xf numFmtId="0" fontId="0" fillId="24" borderId="10" xfId="0" applyFill="1" applyBorder="1" applyAlignment="1">
      <alignment horizontal="center"/>
    </xf>
    <xf numFmtId="0" fontId="0" fillId="24" borderId="17" xfId="0" applyFill="1" applyBorder="1" applyAlignment="1">
      <alignment horizontal="center"/>
    </xf>
    <xf numFmtId="8" fontId="0" fillId="11" borderId="6" xfId="0" applyNumberFormat="1" applyFill="1" applyBorder="1" applyAlignment="1">
      <alignment horizontal="center"/>
    </xf>
    <xf numFmtId="8" fontId="0" fillId="11" borderId="7" xfId="0" applyNumberFormat="1" applyFill="1" applyBorder="1" applyAlignment="1">
      <alignment horizontal="center"/>
    </xf>
    <xf numFmtId="0" fontId="0" fillId="24" borderId="7" xfId="0" applyFill="1" applyBorder="1" applyAlignment="1">
      <alignment horizontal="center"/>
    </xf>
    <xf numFmtId="0" fontId="27" fillId="20" borderId="0" xfId="0" applyFont="1" applyFill="1" applyAlignment="1">
      <alignment vertical="center"/>
    </xf>
    <xf numFmtId="0" fontId="0" fillId="18" borderId="16" xfId="0" applyFont="1" applyFill="1" applyBorder="1"/>
    <xf numFmtId="0" fontId="34" fillId="20" borderId="0" xfId="7" applyFont="1" applyFill="1" applyAlignment="1">
      <alignment vertical="top"/>
    </xf>
    <xf numFmtId="0" fontId="52" fillId="20" borderId="0" xfId="0" applyFont="1" applyFill="1" applyAlignment="1">
      <alignment vertical="top"/>
    </xf>
    <xf numFmtId="0" fontId="0" fillId="20" borderId="0" xfId="0" applyFont="1" applyFill="1" applyAlignment="1">
      <alignment vertical="top"/>
    </xf>
    <xf numFmtId="0" fontId="0" fillId="20" borderId="0" xfId="0" applyFont="1" applyFill="1" applyAlignment="1">
      <alignment vertical="top" wrapText="1"/>
    </xf>
    <xf numFmtId="0" fontId="0" fillId="24" borderId="14" xfId="0" applyFill="1" applyBorder="1" applyAlignment="1">
      <alignment horizontal="center" wrapText="1"/>
    </xf>
    <xf numFmtId="8" fontId="0" fillId="11" borderId="0" xfId="6" applyNumberFormat="1" applyFont="1" applyFill="1" applyAlignment="1">
      <alignment horizontal="center"/>
    </xf>
    <xf numFmtId="167" fontId="0" fillId="11" borderId="0" xfId="0" applyNumberFormat="1" applyFill="1" applyAlignment="1">
      <alignment horizontal="center"/>
    </xf>
    <xf numFmtId="2" fontId="0" fillId="11" borderId="0" xfId="0" applyNumberFormat="1" applyFill="1" applyAlignment="1">
      <alignment horizontal="center"/>
    </xf>
    <xf numFmtId="2" fontId="0" fillId="11" borderId="9" xfId="0" applyNumberFormat="1" applyFill="1" applyBorder="1" applyAlignment="1">
      <alignment horizontal="center"/>
    </xf>
    <xf numFmtId="8" fontId="0" fillId="11" borderId="0" xfId="0" applyNumberFormat="1" applyFill="1" applyAlignment="1">
      <alignment horizontal="center"/>
    </xf>
    <xf numFmtId="0" fontId="0" fillId="11" borderId="0" xfId="0" applyFill="1" applyAlignment="1">
      <alignment horizontal="center"/>
    </xf>
    <xf numFmtId="0" fontId="0" fillId="11" borderId="9" xfId="0" applyFill="1" applyBorder="1" applyAlignment="1">
      <alignment horizontal="center"/>
    </xf>
    <xf numFmtId="0" fontId="27" fillId="9" borderId="0" xfId="0" applyFont="1" applyFill="1" applyAlignment="1">
      <alignment horizontal="center" vertical="center"/>
    </xf>
    <xf numFmtId="0" fontId="53" fillId="9" borderId="0" xfId="0" applyFont="1" applyFill="1" applyAlignment="1">
      <alignment horizontal="center" vertical="center"/>
    </xf>
    <xf numFmtId="0" fontId="0" fillId="8" borderId="0" xfId="0" applyFont="1" applyFill="1"/>
    <xf numFmtId="165" fontId="0" fillId="8" borderId="0" xfId="0" applyNumberFormat="1" applyFill="1"/>
    <xf numFmtId="0" fontId="0" fillId="20" borderId="0" xfId="0" applyFill="1" applyAlignment="1">
      <alignment vertical="center"/>
    </xf>
    <xf numFmtId="0" fontId="2" fillId="20" borderId="0" xfId="0" applyFont="1" applyFill="1"/>
    <xf numFmtId="0" fontId="0" fillId="20" borderId="0" xfId="0" applyFill="1" applyAlignment="1">
      <alignment horizontal="left" indent="2"/>
    </xf>
    <xf numFmtId="0" fontId="0" fillId="20" borderId="0" xfId="0" applyFill="1" applyAlignment="1">
      <alignment horizontal="left"/>
    </xf>
    <xf numFmtId="170" fontId="54" fillId="17" borderId="0" xfId="5" applyNumberFormat="1" applyFont="1" applyFill="1"/>
    <xf numFmtId="165" fontId="55" fillId="17" borderId="0" xfId="5" applyNumberFormat="1" applyFont="1" applyFill="1"/>
    <xf numFmtId="0" fontId="9" fillId="20" borderId="0" xfId="0" applyFont="1" applyFill="1" applyAlignment="1">
      <alignment horizontal="left"/>
    </xf>
    <xf numFmtId="8" fontId="0" fillId="20" borderId="0" xfId="0" applyNumberFormat="1" applyFill="1"/>
    <xf numFmtId="0" fontId="0" fillId="20" borderId="0" xfId="0" applyFill="1" applyAlignment="1">
      <alignment horizontal="center" wrapText="1"/>
    </xf>
    <xf numFmtId="0" fontId="0" fillId="20" borderId="0" xfId="0" applyFill="1" applyBorder="1"/>
    <xf numFmtId="0" fontId="0" fillId="20" borderId="1" xfId="0" applyFill="1" applyBorder="1"/>
    <xf numFmtId="0" fontId="36" fillId="20" borderId="0" xfId="0" applyFont="1" applyFill="1"/>
    <xf numFmtId="0" fontId="36" fillId="20" borderId="1" xfId="0" applyFont="1" applyFill="1" applyBorder="1"/>
    <xf numFmtId="0" fontId="36" fillId="20" borderId="0" xfId="0" applyFont="1" applyFill="1" applyBorder="1"/>
    <xf numFmtId="164" fontId="0" fillId="20" borderId="0" xfId="1" applyNumberFormat="1" applyFont="1" applyFill="1"/>
    <xf numFmtId="164" fontId="0" fillId="20" borderId="1" xfId="1" applyNumberFormat="1" applyFont="1" applyFill="1" applyBorder="1"/>
    <xf numFmtId="0" fontId="26" fillId="20" borderId="0" xfId="0" applyFont="1" applyFill="1" applyAlignment="1">
      <alignment wrapText="1"/>
    </xf>
    <xf numFmtId="164" fontId="0" fillId="20" borderId="0" xfId="1" applyNumberFormat="1" applyFont="1" applyFill="1" applyBorder="1"/>
    <xf numFmtId="0" fontId="1" fillId="20" borderId="0" xfId="3" applyFill="1"/>
    <xf numFmtId="0" fontId="25" fillId="20" borderId="0" xfId="0" applyFont="1" applyFill="1" applyAlignment="1">
      <alignment vertical="center" wrapText="1"/>
    </xf>
    <xf numFmtId="165" fontId="0" fillId="20" borderId="0" xfId="0" applyNumberFormat="1" applyFill="1"/>
    <xf numFmtId="165" fontId="0" fillId="20" borderId="0" xfId="1" applyNumberFormat="1" applyFont="1" applyFill="1"/>
    <xf numFmtId="165" fontId="0" fillId="20" borderId="1" xfId="1" applyNumberFormat="1" applyFont="1" applyFill="1" applyBorder="1"/>
    <xf numFmtId="165" fontId="0" fillId="20" borderId="0" xfId="1" applyNumberFormat="1" applyFont="1" applyFill="1" applyBorder="1"/>
    <xf numFmtId="165" fontId="0" fillId="20" borderId="1" xfId="0" applyNumberFormat="1" applyFill="1" applyBorder="1"/>
    <xf numFmtId="1" fontId="0" fillId="20" borderId="1" xfId="0" applyNumberFormat="1" applyFill="1" applyBorder="1"/>
    <xf numFmtId="43" fontId="0" fillId="20" borderId="0" xfId="0" applyNumberFormat="1" applyFill="1"/>
    <xf numFmtId="9" fontId="0" fillId="20" borderId="0" xfId="0" applyNumberFormat="1" applyFill="1"/>
    <xf numFmtId="164" fontId="0" fillId="20" borderId="0" xfId="0" applyNumberFormat="1" applyFill="1"/>
    <xf numFmtId="0" fontId="30" fillId="20" borderId="0" xfId="0" applyFont="1" applyFill="1" applyAlignment="1">
      <alignment wrapText="1"/>
    </xf>
    <xf numFmtId="14" fontId="0" fillId="20" borderId="0" xfId="0" applyNumberFormat="1" applyFill="1"/>
    <xf numFmtId="0" fontId="41" fillId="20" borderId="0" xfId="8" applyFill="1"/>
    <xf numFmtId="7" fontId="41" fillId="20" borderId="0" xfId="8" applyNumberFormat="1" applyFill="1"/>
    <xf numFmtId="0" fontId="42" fillId="20" borderId="0" xfId="8" applyFont="1" applyFill="1" applyAlignment="1">
      <alignment horizontal="center"/>
    </xf>
    <xf numFmtId="0" fontId="41" fillId="20" borderId="0" xfId="8" applyFill="1" applyAlignment="1">
      <alignment horizontal="right" vertical="top"/>
    </xf>
    <xf numFmtId="0" fontId="41" fillId="20" borderId="0" xfId="8" applyFill="1" applyAlignment="1">
      <alignment horizontal="center"/>
    </xf>
    <xf numFmtId="3" fontId="41" fillId="20" borderId="0" xfId="8" applyNumberFormat="1" applyFill="1"/>
    <xf numFmtId="10" fontId="41" fillId="20" borderId="0" xfId="8" applyNumberFormat="1" applyFill="1"/>
    <xf numFmtId="2" fontId="41" fillId="20" borderId="0" xfId="8" applyNumberFormat="1" applyFill="1"/>
    <xf numFmtId="0" fontId="42" fillId="20" borderId="0" xfId="8" applyFont="1" applyFill="1"/>
    <xf numFmtId="0" fontId="42" fillId="20" borderId="0" xfId="8" applyFont="1" applyFill="1" applyAlignment="1">
      <alignment horizontal="right" vertical="top"/>
    </xf>
    <xf numFmtId="0" fontId="41" fillId="20" borderId="0" xfId="8" applyFill="1" applyAlignment="1">
      <alignment horizontal="right"/>
    </xf>
    <xf numFmtId="167" fontId="41" fillId="20" borderId="0" xfId="8" applyNumberFormat="1" applyFill="1"/>
    <xf numFmtId="167" fontId="41" fillId="20" borderId="0" xfId="8" applyNumberFormat="1" applyFill="1" applyAlignment="1">
      <alignment horizontal="right"/>
    </xf>
    <xf numFmtId="165" fontId="41" fillId="20" borderId="0" xfId="8" applyNumberFormat="1" applyFill="1"/>
    <xf numFmtId="4" fontId="41" fillId="20" borderId="0" xfId="8" applyNumberFormat="1" applyFill="1"/>
    <xf numFmtId="173" fontId="41" fillId="20" borderId="0" xfId="8" applyNumberFormat="1" applyFill="1" applyAlignment="1">
      <alignment horizontal="right"/>
    </xf>
    <xf numFmtId="0" fontId="42" fillId="20" borderId="0" xfId="8" applyFont="1" applyFill="1" applyAlignment="1">
      <alignment horizontal="right"/>
    </xf>
    <xf numFmtId="0" fontId="9" fillId="20" borderId="0" xfId="0" applyFont="1" applyFill="1" applyAlignment="1">
      <alignment horizontal="center" vertical="center"/>
    </xf>
    <xf numFmtId="0" fontId="9" fillId="20" borderId="0" xfId="3" applyFont="1" applyFill="1"/>
    <xf numFmtId="0" fontId="0" fillId="20" borderId="0" xfId="3" applyFont="1" applyFill="1"/>
    <xf numFmtId="0" fontId="2" fillId="20" borderId="0" xfId="3" applyFont="1" applyFill="1"/>
    <xf numFmtId="10" fontId="0" fillId="20" borderId="0" xfId="4" applyNumberFormat="1" applyFont="1" applyFill="1"/>
    <xf numFmtId="0" fontId="20" fillId="20" borderId="0" xfId="0" applyFont="1" applyFill="1"/>
    <xf numFmtId="167" fontId="0" fillId="20" borderId="0" xfId="3" applyNumberFormat="1" applyFont="1" applyFill="1"/>
    <xf numFmtId="0" fontId="0" fillId="20" borderId="0" xfId="0" applyFont="1" applyFill="1" applyBorder="1"/>
    <xf numFmtId="0" fontId="26" fillId="20" borderId="0" xfId="0" applyFont="1" applyFill="1" applyAlignment="1"/>
    <xf numFmtId="0" fontId="26" fillId="20" borderId="0" xfId="0" applyFont="1" applyFill="1" applyBorder="1" applyAlignment="1"/>
    <xf numFmtId="0" fontId="0" fillId="20" borderId="0" xfId="3" quotePrefix="1" applyFont="1" applyFill="1"/>
    <xf numFmtId="168" fontId="0" fillId="20" borderId="0" xfId="0" applyNumberFormat="1" applyFont="1" applyFill="1"/>
    <xf numFmtId="9" fontId="0" fillId="20" borderId="0" xfId="4" applyFont="1" applyFill="1"/>
    <xf numFmtId="0" fontId="24" fillId="20" borderId="0" xfId="0" applyFont="1" applyFill="1"/>
    <xf numFmtId="0" fontId="0" fillId="20" borderId="0" xfId="0" applyFill="1" applyAlignment="1">
      <alignment horizontal="right"/>
    </xf>
    <xf numFmtId="10" fontId="0" fillId="20" borderId="0" xfId="0" applyNumberFormat="1" applyFont="1" applyFill="1" applyBorder="1"/>
    <xf numFmtId="10" fontId="0" fillId="20" borderId="0" xfId="0" applyNumberFormat="1" applyFill="1"/>
    <xf numFmtId="10" fontId="0" fillId="20" borderId="0" xfId="4" applyNumberFormat="1" applyFont="1" applyFill="1" applyBorder="1"/>
    <xf numFmtId="0" fontId="3" fillId="20" borderId="0" xfId="0" applyFont="1" applyFill="1" applyBorder="1"/>
    <xf numFmtId="167" fontId="0" fillId="19" borderId="16" xfId="0" applyNumberFormat="1" applyFont="1" applyFill="1" applyBorder="1"/>
    <xf numFmtId="0" fontId="23" fillId="20" borderId="0" xfId="0" applyFont="1" applyFill="1" applyAlignment="1">
      <alignment vertical="top" wrapText="1"/>
    </xf>
    <xf numFmtId="0" fontId="0" fillId="20" borderId="28" xfId="0" applyFill="1" applyBorder="1"/>
    <xf numFmtId="0" fontId="0" fillId="20" borderId="27" xfId="0" applyFill="1" applyBorder="1"/>
    <xf numFmtId="0" fontId="43" fillId="20" borderId="0" xfId="0" applyFont="1" applyFill="1" applyAlignment="1">
      <alignment horizontal="center" vertical="center"/>
    </xf>
    <xf numFmtId="0" fontId="46" fillId="20" borderId="0" xfId="0" applyFont="1" applyFill="1"/>
    <xf numFmtId="0" fontId="49" fillId="20" borderId="0" xfId="0" applyFont="1" applyFill="1"/>
    <xf numFmtId="0" fontId="44" fillId="20" borderId="0" xfId="0" applyFont="1" applyFill="1"/>
    <xf numFmtId="2" fontId="51" fillId="20" borderId="0" xfId="0" applyNumberFormat="1" applyFont="1" applyFill="1"/>
    <xf numFmtId="0" fontId="57" fillId="20" borderId="0" xfId="0" applyFont="1" applyFill="1"/>
    <xf numFmtId="0" fontId="56" fillId="20" borderId="0" xfId="0" applyFont="1" applyFill="1" applyAlignment="1">
      <alignment horizontal="left" indent="2"/>
    </xf>
    <xf numFmtId="2" fontId="44" fillId="20" borderId="0" xfId="0" applyNumberFormat="1" applyFont="1" applyFill="1"/>
    <xf numFmtId="10" fontId="50" fillId="20" borderId="0" xfId="4" applyNumberFormat="1" applyFont="1" applyFill="1"/>
    <xf numFmtId="10" fontId="2" fillId="20" borderId="0" xfId="4" applyNumberFormat="1" applyFont="1" applyFill="1"/>
    <xf numFmtId="10" fontId="48" fillId="20" borderId="0" xfId="4" applyNumberFormat="1" applyFont="1" applyFill="1"/>
    <xf numFmtId="2" fontId="2" fillId="20" borderId="0" xfId="0" applyNumberFormat="1" applyFont="1" applyFill="1"/>
    <xf numFmtId="0" fontId="48" fillId="20" borderId="0" xfId="0" applyFont="1" applyFill="1"/>
    <xf numFmtId="0" fontId="36" fillId="20" borderId="0" xfId="0" applyFont="1" applyFill="1" applyAlignment="1">
      <alignment horizontal="right"/>
    </xf>
    <xf numFmtId="0" fontId="58" fillId="20" borderId="0" xfId="0" applyFont="1" applyFill="1" applyAlignment="1">
      <alignment horizontal="right"/>
    </xf>
    <xf numFmtId="167" fontId="44" fillId="20" borderId="0" xfId="0" applyNumberFormat="1" applyFont="1" applyFill="1"/>
    <xf numFmtId="4" fontId="0" fillId="20" borderId="0" xfId="0" applyNumberFormat="1" applyFill="1"/>
    <xf numFmtId="8" fontId="44" fillId="20" borderId="0" xfId="0" applyNumberFormat="1" applyFont="1" applyFill="1"/>
    <xf numFmtId="0" fontId="47" fillId="20" borderId="0" xfId="0" applyFont="1" applyFill="1"/>
    <xf numFmtId="0" fontId="45" fillId="20" borderId="0" xfId="0" applyFont="1" applyFill="1" applyAlignment="1">
      <alignment horizontal="center"/>
    </xf>
    <xf numFmtId="0" fontId="45" fillId="20" borderId="0" xfId="0" applyFont="1" applyFill="1"/>
    <xf numFmtId="2" fontId="0" fillId="20" borderId="0" xfId="0" applyNumberFormat="1" applyFill="1" applyAlignment="1">
      <alignment horizontal="center"/>
    </xf>
    <xf numFmtId="0" fontId="0" fillId="20" borderId="0" xfId="0" applyFill="1" applyAlignment="1">
      <alignment horizontal="center"/>
    </xf>
    <xf numFmtId="2" fontId="0" fillId="20" borderId="0" xfId="0" applyNumberFormat="1" applyFill="1"/>
    <xf numFmtId="10" fontId="0" fillId="20" borderId="0" xfId="0" applyNumberFormat="1" applyFill="1" applyAlignment="1">
      <alignment horizontal="center"/>
    </xf>
    <xf numFmtId="174" fontId="0" fillId="20" borderId="0" xfId="4" applyNumberFormat="1" applyFont="1" applyFill="1"/>
    <xf numFmtId="0" fontId="15" fillId="20" borderId="0" xfId="5" applyFill="1"/>
    <xf numFmtId="0" fontId="18" fillId="20" borderId="0" xfId="5" applyFont="1" applyFill="1"/>
    <xf numFmtId="14" fontId="19" fillId="20" borderId="0" xfId="5" applyNumberFormat="1" applyFont="1" applyFill="1"/>
    <xf numFmtId="14" fontId="15" fillId="20" borderId="0" xfId="5" applyNumberFormat="1" applyFill="1"/>
    <xf numFmtId="170" fontId="15" fillId="20" borderId="0" xfId="5" applyNumberFormat="1" applyFill="1"/>
    <xf numFmtId="0" fontId="17" fillId="20" borderId="0" xfId="5" applyFont="1" applyFill="1"/>
    <xf numFmtId="165" fontId="15" fillId="20" borderId="0" xfId="5" applyNumberFormat="1" applyFill="1"/>
    <xf numFmtId="0" fontId="2" fillId="20" borderId="0" xfId="5" applyFont="1" applyFill="1"/>
    <xf numFmtId="14" fontId="4" fillId="20" borderId="0" xfId="5" applyNumberFormat="1" applyFont="1" applyFill="1"/>
    <xf numFmtId="15" fontId="15" fillId="20" borderId="0" xfId="5" applyNumberFormat="1" applyFill="1"/>
    <xf numFmtId="0" fontId="17" fillId="20" borderId="0" xfId="5" applyFont="1" applyFill="1" applyAlignment="1">
      <alignment horizontal="left"/>
    </xf>
    <xf numFmtId="0" fontId="15" fillId="20" borderId="0" xfId="5" applyFill="1" applyAlignment="1">
      <alignment horizontal="center"/>
    </xf>
    <xf numFmtId="171" fontId="15" fillId="20" borderId="0" xfId="5" applyNumberFormat="1" applyFill="1"/>
    <xf numFmtId="171" fontId="15" fillId="20" borderId="5" xfId="5" applyNumberFormat="1" applyFill="1" applyBorder="1"/>
    <xf numFmtId="17" fontId="16" fillId="20" borderId="0" xfId="5" applyNumberFormat="1" applyFont="1" applyFill="1"/>
    <xf numFmtId="0" fontId="5" fillId="20" borderId="0" xfId="0" applyFont="1" applyFill="1" applyAlignment="1">
      <alignment horizontal="right"/>
    </xf>
    <xf numFmtId="0" fontId="5" fillId="20" borderId="0" xfId="0" applyFont="1" applyFill="1" applyAlignment="1">
      <alignment horizontal="left"/>
    </xf>
    <xf numFmtId="0" fontId="0" fillId="13" borderId="0" xfId="0" applyFill="1"/>
    <xf numFmtId="3" fontId="0" fillId="20" borderId="0" xfId="0" applyNumberFormat="1" applyFill="1"/>
    <xf numFmtId="0" fontId="7" fillId="18" borderId="0" xfId="0" applyFont="1" applyFill="1"/>
    <xf numFmtId="0" fontId="6" fillId="18" borderId="0" xfId="0" applyFont="1" applyFill="1"/>
    <xf numFmtId="0" fontId="8" fillId="20" borderId="0" xfId="0" applyFont="1" applyFill="1" applyAlignment="1">
      <alignment horizontal="left" indent="3"/>
    </xf>
    <xf numFmtId="0" fontId="8" fillId="20" borderId="0" xfId="0" applyFont="1" applyFill="1" applyAlignment="1">
      <alignment horizontal="left" indent="2"/>
    </xf>
    <xf numFmtId="3" fontId="0" fillId="20" borderId="0" xfId="0" applyNumberFormat="1" applyFill="1" applyAlignment="1">
      <alignment vertical="center" wrapText="1"/>
    </xf>
    <xf numFmtId="0" fontId="0" fillId="20" borderId="0" xfId="0" applyFill="1" applyAlignment="1">
      <alignment vertical="center" wrapText="1"/>
    </xf>
    <xf numFmtId="4" fontId="0" fillId="20" borderId="0" xfId="0" applyNumberFormat="1" applyFill="1" applyAlignment="1">
      <alignment vertical="center" wrapText="1"/>
    </xf>
    <xf numFmtId="0" fontId="0" fillId="13" borderId="0" xfId="0" applyFill="1" applyAlignment="1">
      <alignment vertical="center" wrapText="1"/>
    </xf>
    <xf numFmtId="4" fontId="0" fillId="13" borderId="0" xfId="0" applyNumberFormat="1" applyFill="1" applyAlignment="1">
      <alignment vertical="center" wrapText="1"/>
    </xf>
    <xf numFmtId="0" fontId="59" fillId="20" borderId="0" xfId="0" applyFont="1" applyFill="1"/>
    <xf numFmtId="0" fontId="60" fillId="20" borderId="0" xfId="7" applyFont="1" applyFill="1"/>
    <xf numFmtId="0" fontId="34" fillId="20" borderId="0" xfId="7" applyFont="1" applyFill="1"/>
    <xf numFmtId="0" fontId="52" fillId="20" borderId="0" xfId="0" applyFont="1" applyFill="1"/>
    <xf numFmtId="0" fontId="0" fillId="20" borderId="0" xfId="0" applyFont="1" applyFill="1" applyAlignment="1">
      <alignment horizontal="left" vertical="top"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21" fillId="18" borderId="8" xfId="0" applyFont="1" applyFill="1" applyBorder="1" applyAlignment="1">
      <alignment horizontal="center"/>
    </xf>
    <xf numFmtId="0" fontId="21" fillId="18" borderId="12" xfId="0" applyFont="1" applyFill="1" applyBorder="1" applyAlignment="1">
      <alignment horizontal="center"/>
    </xf>
    <xf numFmtId="0" fontId="26" fillId="18" borderId="8" xfId="3" applyFont="1" applyFill="1" applyBorder="1" applyAlignment="1">
      <alignment horizontal="center" vertical="center"/>
    </xf>
    <xf numFmtId="0" fontId="26" fillId="18" borderId="12" xfId="3" applyFont="1" applyFill="1" applyBorder="1" applyAlignment="1">
      <alignment horizontal="center" vertical="center"/>
    </xf>
    <xf numFmtId="0" fontId="38" fillId="18" borderId="0" xfId="0" applyFont="1" applyFill="1" applyBorder="1" applyAlignment="1">
      <alignment horizontal="center"/>
    </xf>
    <xf numFmtId="0" fontId="0" fillId="24" borderId="31" xfId="0" applyFill="1" applyBorder="1" applyAlignment="1">
      <alignment horizontal="center"/>
    </xf>
    <xf numFmtId="0" fontId="0" fillId="24" borderId="30" xfId="0" applyFill="1" applyBorder="1" applyAlignment="1">
      <alignment horizontal="center"/>
    </xf>
    <xf numFmtId="0" fontId="0" fillId="24" borderId="29" xfId="0" applyFill="1" applyBorder="1" applyAlignment="1">
      <alignment horizontal="center"/>
    </xf>
    <xf numFmtId="0" fontId="0" fillId="13" borderId="28" xfId="0" applyFill="1" applyBorder="1" applyAlignment="1">
      <alignment horizontal="center"/>
    </xf>
    <xf numFmtId="0" fontId="0" fillId="13" borderId="27" xfId="0" applyFill="1" applyBorder="1" applyAlignment="1">
      <alignment horizontal="center"/>
    </xf>
    <xf numFmtId="0" fontId="0" fillId="13" borderId="24" xfId="0" applyFill="1" applyBorder="1" applyAlignment="1">
      <alignment horizontal="center"/>
    </xf>
    <xf numFmtId="0" fontId="0" fillId="13" borderId="23" xfId="0" applyFill="1" applyBorder="1" applyAlignment="1">
      <alignment horizontal="center"/>
    </xf>
    <xf numFmtId="0" fontId="0" fillId="13" borderId="31" xfId="0" applyFill="1" applyBorder="1" applyAlignment="1">
      <alignment horizontal="center"/>
    </xf>
    <xf numFmtId="0" fontId="0" fillId="13" borderId="29" xfId="0" applyFill="1" applyBorder="1" applyAlignment="1">
      <alignment horizontal="center"/>
    </xf>
    <xf numFmtId="0" fontId="0" fillId="24" borderId="11" xfId="0" applyFill="1" applyBorder="1" applyAlignment="1">
      <alignment horizontal="center"/>
    </xf>
    <xf numFmtId="0" fontId="0" fillId="24" borderId="12" xfId="0" applyFill="1" applyBorder="1" applyAlignment="1">
      <alignment horizontal="center"/>
    </xf>
  </cellXfs>
  <cellStyles count="9">
    <cellStyle name="Comma" xfId="1" builtinId="3"/>
    <cellStyle name="Currency" xfId="6" builtinId="4"/>
    <cellStyle name="Hyperlink" xfId="7" builtinId="8"/>
    <cellStyle name="Normal" xfId="0" builtinId="0"/>
    <cellStyle name="Normal 2" xfId="2" xr:uid="{CC915884-39E9-43B2-8C7D-23B8988AA414}"/>
    <cellStyle name="Normal 3" xfId="3" xr:uid="{FF7E9555-0E07-4A4B-8AF7-065D4C6DEB6C}"/>
    <cellStyle name="Normal 4" xfId="5" xr:uid="{204ECFE2-5502-4BA8-B090-0E5A5974BF82}"/>
    <cellStyle name="Normal 5" xfId="8" xr:uid="{8A5A1C6D-957A-458D-B76F-D6AEC159DBC7}"/>
    <cellStyle name="Percent" xfId="4" builtinId="5"/>
  </cellStyles>
  <dxfs count="20">
    <dxf>
      <fill>
        <patternFill>
          <bgColor theme="5"/>
        </patternFill>
      </fill>
    </dxf>
    <dxf>
      <fill>
        <patternFill>
          <bgColor rgb="FFFF5050"/>
        </patternFill>
      </fill>
    </dxf>
    <dxf>
      <fill>
        <patternFill>
          <bgColor theme="9"/>
        </patternFill>
      </fill>
    </dxf>
    <dxf>
      <fill>
        <patternFill>
          <bgColor theme="9"/>
        </patternFill>
      </fill>
    </dxf>
    <dxf>
      <fill>
        <patternFill>
          <bgColor rgb="FFFF5050"/>
        </patternFill>
      </fill>
    </dxf>
    <dxf>
      <fill>
        <patternFill>
          <bgColor theme="9"/>
        </patternFill>
      </fill>
    </dxf>
    <dxf>
      <fill>
        <patternFill>
          <bgColor rgb="FFFF5050"/>
        </patternFill>
      </fill>
    </dxf>
    <dxf>
      <fill>
        <patternFill>
          <bgColor theme="9"/>
        </patternFill>
      </fill>
    </dxf>
    <dxf>
      <fill>
        <patternFill>
          <bgColor rgb="FFFF5050"/>
        </patternFill>
      </fill>
    </dxf>
    <dxf>
      <fill>
        <patternFill>
          <bgColor theme="9"/>
        </patternFill>
      </fill>
    </dxf>
    <dxf>
      <fill>
        <patternFill>
          <bgColor rgb="FFFF5050"/>
        </patternFill>
      </fill>
    </dxf>
    <dxf>
      <fill>
        <patternFill>
          <bgColor theme="9"/>
        </patternFill>
      </fill>
    </dxf>
    <dxf>
      <fill>
        <patternFill>
          <bgColor theme="7"/>
        </patternFill>
      </fill>
    </dxf>
    <dxf>
      <fill>
        <patternFill>
          <bgColor rgb="FFFF5050"/>
        </patternFill>
      </fill>
    </dxf>
    <dxf>
      <fill>
        <patternFill>
          <bgColor theme="5"/>
        </patternFill>
      </fill>
    </dxf>
    <dxf>
      <fill>
        <patternFill>
          <bgColor rgb="FFFF5050"/>
        </patternFill>
      </fill>
    </dxf>
    <dxf>
      <fill>
        <patternFill>
          <bgColor theme="9"/>
        </patternFill>
      </fill>
    </dxf>
    <dxf>
      <fill>
        <patternFill>
          <bgColor theme="5"/>
        </patternFill>
      </fill>
    </dxf>
    <dxf>
      <fill>
        <patternFill>
          <bgColor rgb="FFFF5050"/>
        </patternFill>
      </fill>
    </dxf>
    <dxf>
      <fill>
        <patternFill>
          <bgColor theme="9"/>
        </patternFill>
      </fill>
    </dxf>
  </dxfs>
  <tableStyles count="0" defaultTableStyle="TableStyleMedium2" defaultPivotStyle="PivotStyleLight16"/>
  <colors>
    <mruColors>
      <color rgb="FFFF5050"/>
      <color rgb="FFFF66FF"/>
      <color rgb="FFA7ABF1"/>
      <color rgb="FFB6DF89"/>
      <color rgb="FF31A78E"/>
      <color rgb="FFFFE181"/>
      <color rgb="FF008E40"/>
      <color rgb="FFCC0000"/>
      <color rgb="FFB45E2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6.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Nike Implied Price from Valuation Techniques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'Floating Bars'!$E$16</c:f>
              <c:strCache>
                <c:ptCount val="1"/>
                <c:pt idx="0">
                  <c:v> </c:v>
                </c:pt>
              </c:strCache>
            </c:strRef>
          </c:tx>
          <c:spPr>
            <a:noFill/>
            <a:ln>
              <a:noFill/>
            </a:ln>
            <a:effectLst/>
          </c:spPr>
          <c:invertIfNegative val="0"/>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Bars'!$E$17:$E$23</c:f>
              <c:numCache>
                <c:formatCode>"$"#,##0.00_);[Red]\("$"#,##0.00\)</c:formatCode>
                <c:ptCount val="7"/>
                <c:pt idx="0">
                  <c:v>66.53</c:v>
                </c:pt>
                <c:pt idx="1">
                  <c:v>82.5</c:v>
                </c:pt>
                <c:pt idx="2">
                  <c:v>53.561592500000003</c:v>
                </c:pt>
                <c:pt idx="3">
                  <c:v>42.724929837296628</c:v>
                </c:pt>
                <c:pt idx="4">
                  <c:v>42.724929837296628</c:v>
                </c:pt>
                <c:pt idx="5">
                  <c:v>2.79</c:v>
                </c:pt>
                <c:pt idx="6">
                  <c:v>22.46</c:v>
                </c:pt>
              </c:numCache>
            </c:numRef>
          </c:val>
          <c:extLst>
            <c:ext xmlns:c16="http://schemas.microsoft.com/office/drawing/2014/chart" uri="{C3380CC4-5D6E-409C-BE32-E72D297353CC}">
              <c16:uniqueId val="{00000000-62C0-4B5D-9BB7-83D2F84A71F5}"/>
            </c:ext>
          </c:extLst>
        </c:ser>
        <c:ser>
          <c:idx val="1"/>
          <c:order val="1"/>
          <c:tx>
            <c:strRef>
              <c:f>'Floating Bars'!$F$16</c:f>
              <c:strCache>
                <c:ptCount val="1"/>
                <c:pt idx="0">
                  <c:v>Below Median</c:v>
                </c:pt>
              </c:strCache>
            </c:strRef>
          </c:tx>
          <c:spPr>
            <a:solidFill>
              <a:srgbClr val="FF5050"/>
            </a:solidFill>
            <a:ln>
              <a:noFill/>
            </a:ln>
            <a:effectLst>
              <a:outerShdw blurRad="63500" sx="102000" sy="102000" algn="ctr" rotWithShape="0">
                <a:prstClr val="black">
                  <a:alpha val="63000"/>
                </a:prstClr>
              </a:outerShdw>
            </a:effectLst>
          </c:spPr>
          <c:invertIfNegative val="0"/>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Bars'!$F$17:$F$23</c:f>
              <c:numCache>
                <c:formatCode>"$"#,##0.00_);[Red]\("$"#,##0.00\)</c:formatCode>
                <c:ptCount val="7"/>
                <c:pt idx="0">
                  <c:v>18.179999999999993</c:v>
                </c:pt>
                <c:pt idx="1">
                  <c:v>21</c:v>
                </c:pt>
                <c:pt idx="2">
                  <c:v>18.710459624999999</c:v>
                </c:pt>
                <c:pt idx="3">
                  <c:v>31.236928886107634</c:v>
                </c:pt>
                <c:pt idx="4">
                  <c:v>3.2822439627033759</c:v>
                </c:pt>
                <c:pt idx="5">
                  <c:v>85.803320307571994</c:v>
                </c:pt>
                <c:pt idx="6">
                  <c:v>63.049287531126176</c:v>
                </c:pt>
              </c:numCache>
            </c:numRef>
          </c:val>
          <c:extLst>
            <c:ext xmlns:c16="http://schemas.microsoft.com/office/drawing/2014/chart" uri="{C3380CC4-5D6E-409C-BE32-E72D297353CC}">
              <c16:uniqueId val="{00000001-62C0-4B5D-9BB7-83D2F84A71F5}"/>
            </c:ext>
          </c:extLst>
        </c:ser>
        <c:ser>
          <c:idx val="2"/>
          <c:order val="2"/>
          <c:tx>
            <c:strRef>
              <c:f>'Floating Bars'!$G$16</c:f>
              <c:strCache>
                <c:ptCount val="1"/>
                <c:pt idx="0">
                  <c:v>Above Median</c:v>
                </c:pt>
              </c:strCache>
            </c:strRef>
          </c:tx>
          <c:spPr>
            <a:solidFill>
              <a:schemeClr val="accent1">
                <a:lumMod val="60000"/>
                <a:lumOff val="40000"/>
              </a:schemeClr>
            </a:solidFill>
            <a:ln>
              <a:noFill/>
            </a:ln>
            <a:effectLst>
              <a:outerShdw blurRad="63500" sx="102000" sy="102000" algn="ctr" rotWithShape="0">
                <a:prstClr val="black">
                  <a:alpha val="40000"/>
                </a:prstClr>
              </a:outerShdw>
            </a:effectLst>
          </c:spPr>
          <c:invertIfNegative val="0"/>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Bars'!$G$17:$G$23</c:f>
              <c:numCache>
                <c:formatCode>"$"#,##0.00_);[Red]\("$"#,##0.00\)</c:formatCode>
                <c:ptCount val="7"/>
                <c:pt idx="0">
                  <c:v>12.160000000000011</c:v>
                </c:pt>
                <c:pt idx="1">
                  <c:v>46.5</c:v>
                </c:pt>
                <c:pt idx="2">
                  <c:v>13.167587874999995</c:v>
                </c:pt>
                <c:pt idx="3">
                  <c:v>30.352014119274102</c:v>
                </c:pt>
                <c:pt idx="4">
                  <c:v>43.441610850000004</c:v>
                </c:pt>
                <c:pt idx="5">
                  <c:v>141.79667969242797</c:v>
                </c:pt>
                <c:pt idx="6">
                  <c:v>83.440712468873812</c:v>
                </c:pt>
              </c:numCache>
            </c:numRef>
          </c:val>
          <c:extLst>
            <c:ext xmlns:c16="http://schemas.microsoft.com/office/drawing/2014/chart" uri="{C3380CC4-5D6E-409C-BE32-E72D297353CC}">
              <c16:uniqueId val="{00000002-62C0-4B5D-9BB7-83D2F84A71F5}"/>
            </c:ext>
          </c:extLst>
        </c:ser>
        <c:dLbls>
          <c:showLegendKey val="0"/>
          <c:showVal val="0"/>
          <c:showCatName val="0"/>
          <c:showSerName val="0"/>
          <c:showPercent val="0"/>
          <c:showBubbleSize val="0"/>
        </c:dLbls>
        <c:gapWidth val="150"/>
        <c:overlap val="100"/>
        <c:axId val="626336352"/>
        <c:axId val="992865584"/>
      </c:barChart>
      <c:lineChart>
        <c:grouping val="standard"/>
        <c:varyColors val="0"/>
        <c:ser>
          <c:idx val="3"/>
          <c:order val="3"/>
          <c:tx>
            <c:strRef>
              <c:f>'Floating Bars'!$H$16</c:f>
              <c:strCache>
                <c:ptCount val="1"/>
                <c:pt idx="0">
                  <c:v>Current Price</c:v>
                </c:pt>
              </c:strCache>
            </c:strRef>
          </c:tx>
          <c:spPr>
            <a:ln w="28575" cap="rnd">
              <a:solidFill>
                <a:sysClr val="windowText" lastClr="000000"/>
              </a:solidFill>
              <a:round/>
            </a:ln>
            <a:effectLst/>
          </c:spPr>
          <c:marker>
            <c:symbol val="none"/>
          </c:marker>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Bars'!$H$17:$H$23</c:f>
              <c:numCache>
                <c:formatCode>"$"#,##0.00_);[Red]\("$"#,##0.00\)</c:formatCode>
                <c:ptCount val="7"/>
                <c:pt idx="0">
                  <c:v>93.61</c:v>
                </c:pt>
                <c:pt idx="1">
                  <c:v>93.61</c:v>
                </c:pt>
                <c:pt idx="2">
                  <c:v>93.61</c:v>
                </c:pt>
                <c:pt idx="3">
                  <c:v>93.61</c:v>
                </c:pt>
                <c:pt idx="4">
                  <c:v>93.61</c:v>
                </c:pt>
                <c:pt idx="5">
                  <c:v>93.61</c:v>
                </c:pt>
                <c:pt idx="6">
                  <c:v>93.61</c:v>
                </c:pt>
              </c:numCache>
            </c:numRef>
          </c:val>
          <c:smooth val="0"/>
          <c:extLst>
            <c:ext xmlns:c16="http://schemas.microsoft.com/office/drawing/2014/chart" uri="{C3380CC4-5D6E-409C-BE32-E72D297353CC}">
              <c16:uniqueId val="{00000003-62C0-4B5D-9BB7-83D2F84A71F5}"/>
            </c:ext>
          </c:extLst>
        </c:ser>
        <c:dLbls>
          <c:showLegendKey val="0"/>
          <c:showVal val="0"/>
          <c:showCatName val="0"/>
          <c:showSerName val="0"/>
          <c:showPercent val="0"/>
          <c:showBubbleSize val="0"/>
        </c:dLbls>
        <c:marker val="1"/>
        <c:smooth val="0"/>
        <c:axId val="626336352"/>
        <c:axId val="992865584"/>
      </c:lineChart>
      <c:catAx>
        <c:axId val="62633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865584"/>
        <c:crosses val="autoZero"/>
        <c:auto val="1"/>
        <c:lblAlgn val="ctr"/>
        <c:lblOffset val="100"/>
        <c:noMultiLvlLbl val="0"/>
      </c:catAx>
      <c:valAx>
        <c:axId val="992865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336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Characteristic</a:t>
            </a:r>
            <a:r>
              <a:rPr lang="en-US" sz="1600" baseline="0"/>
              <a:t> Line</a:t>
            </a:r>
            <a:endParaRPr lang="en-US" sz="1600"/>
          </a:p>
        </c:rich>
      </c:tx>
      <c:layout>
        <c:manualLayout>
          <c:xMode val="edge"/>
          <c:yMode val="edge"/>
          <c:x val="0.411459889943322"/>
          <c:y val="2.6874169482752615E-2"/>
        </c:manualLayout>
      </c:layout>
      <c:overlay val="0"/>
    </c:title>
    <c:autoTitleDeleted val="0"/>
    <c:plotArea>
      <c:layout>
        <c:manualLayout>
          <c:layoutTarget val="inner"/>
          <c:xMode val="edge"/>
          <c:yMode val="edge"/>
          <c:x val="4.6916890080428951E-2"/>
          <c:y val="0.13066922334190093"/>
          <c:w val="0.90750670241286868"/>
          <c:h val="0.8035771694341316"/>
        </c:manualLayout>
      </c:layout>
      <c:scatterChart>
        <c:scatterStyle val="lineMarker"/>
        <c:varyColors val="0"/>
        <c:ser>
          <c:idx val="0"/>
          <c:order val="0"/>
          <c:tx>
            <c:v>Appl-Rf</c:v>
          </c:tx>
          <c:spPr>
            <a:ln w="28575">
              <a:noFill/>
            </a:ln>
          </c:spPr>
          <c:marker>
            <c:symbol val="diamond"/>
            <c:size val="5"/>
            <c:spPr>
              <a:solidFill>
                <a:schemeClr val="accent1"/>
              </a:solidFill>
              <a:ln>
                <a:solidFill>
                  <a:schemeClr val="accent1"/>
                </a:solidFill>
                <a:prstDash val="solid"/>
              </a:ln>
            </c:spPr>
          </c:marker>
          <c:xVal>
            <c:numRef>
              <c:f>'NIKE BETA'!$F$8:$F$264</c:f>
              <c:numCache>
                <c:formatCode>0.0000</c:formatCode>
                <c:ptCount val="257"/>
                <c:pt idx="0">
                  <c:v>1.5360420926312597E-2</c:v>
                </c:pt>
                <c:pt idx="1">
                  <c:v>2.3840287342056121E-2</c:v>
                </c:pt>
                <c:pt idx="2">
                  <c:v>1.7318174486174488E-2</c:v>
                </c:pt>
                <c:pt idx="3">
                  <c:v>-5.2301842684793445E-2</c:v>
                </c:pt>
                <c:pt idx="4">
                  <c:v>3.0264233019538247E-3</c:v>
                </c:pt>
                <c:pt idx="5">
                  <c:v>6.6866821169985241E-2</c:v>
                </c:pt>
                <c:pt idx="6">
                  <c:v>-8.1161539712767405E-2</c:v>
                </c:pt>
                <c:pt idx="7">
                  <c:v>3.0977702946131842E-2</c:v>
                </c:pt>
                <c:pt idx="8">
                  <c:v>-2.5080274382256823E-2</c:v>
                </c:pt>
                <c:pt idx="9">
                  <c:v>4.8203800724717707E-2</c:v>
                </c:pt>
                <c:pt idx="10">
                  <c:v>1.2393532342733634E-2</c:v>
                </c:pt>
                <c:pt idx="11">
                  <c:v>-3.8948596640749067E-2</c:v>
                </c:pt>
                <c:pt idx="12">
                  <c:v>1.1704139456918373E-2</c:v>
                </c:pt>
                <c:pt idx="13">
                  <c:v>-0.11197280032267529</c:v>
                </c:pt>
                <c:pt idx="14">
                  <c:v>-2.8044062688496327E-2</c:v>
                </c:pt>
                <c:pt idx="15">
                  <c:v>3.9357808005282324E-2</c:v>
                </c:pt>
                <c:pt idx="16">
                  <c:v>1.4307840345425381E-2</c:v>
                </c:pt>
                <c:pt idx="17">
                  <c:v>3.304998680955649E-3</c:v>
                </c:pt>
                <c:pt idx="18">
                  <c:v>5.7003961593988219E-2</c:v>
                </c:pt>
                <c:pt idx="19">
                  <c:v>5.5594218992868526E-3</c:v>
                </c:pt>
                <c:pt idx="20">
                  <c:v>8.7502192139359437E-3</c:v>
                </c:pt>
                <c:pt idx="21">
                  <c:v>-4.2307943705555379E-2</c:v>
                </c:pt>
                <c:pt idx="22">
                  <c:v>2.3253128315425437E-2</c:v>
                </c:pt>
                <c:pt idx="23">
                  <c:v>3.0423572337020942E-2</c:v>
                </c:pt>
                <c:pt idx="24">
                  <c:v>-1.2775781181036254E-2</c:v>
                </c:pt>
                <c:pt idx="25">
                  <c:v>5.4318930242159141E-3</c:v>
                </c:pt>
                <c:pt idx="26">
                  <c:v>5.8518029693204354E-2</c:v>
                </c:pt>
                <c:pt idx="27">
                  <c:v>-1.6206296369223105E-2</c:v>
                </c:pt>
                <c:pt idx="28">
                  <c:v>4.4949240501702126E-3</c:v>
                </c:pt>
                <c:pt idx="29">
                  <c:v>3.0584505259604284E-2</c:v>
                </c:pt>
                <c:pt idx="30">
                  <c:v>-2.3959985332880407E-2</c:v>
                </c:pt>
                <c:pt idx="31">
                  <c:v>8.0095866567610093E-3</c:v>
                </c:pt>
                <c:pt idx="32">
                  <c:v>-3.0630788432830063E-3</c:v>
                </c:pt>
                <c:pt idx="33">
                  <c:v>1.5781728999260773E-2</c:v>
                </c:pt>
                <c:pt idx="34">
                  <c:v>9.1327872622460086E-4</c:v>
                </c:pt>
                <c:pt idx="35">
                  <c:v>2.3756951347249047E-2</c:v>
                </c:pt>
                <c:pt idx="36">
                  <c:v>0.1073994211184383</c:v>
                </c:pt>
                <c:pt idx="37">
                  <c:v>-5.0301955594242075E-2</c:v>
                </c:pt>
                <c:pt idx="38">
                  <c:v>7.5217541687760811E-3</c:v>
                </c:pt>
                <c:pt idx="39">
                  <c:v>1.4510567882421188E-2</c:v>
                </c:pt>
                <c:pt idx="40">
                  <c:v>5.7230814525751995E-2</c:v>
                </c:pt>
                <c:pt idx="41">
                  <c:v>-4.4077959439148889E-3</c:v>
                </c:pt>
                <c:pt idx="42">
                  <c:v>1.8979139260803222E-2</c:v>
                </c:pt>
                <c:pt idx="43">
                  <c:v>1.2876622034848972E-2</c:v>
                </c:pt>
                <c:pt idx="44">
                  <c:v>7.5319329535354126E-2</c:v>
                </c:pt>
                <c:pt idx="45">
                  <c:v>-3.6085751861019604E-3</c:v>
                </c:pt>
                <c:pt idx="46">
                  <c:v>-9.0784021800275269E-2</c:v>
                </c:pt>
                <c:pt idx="47">
                  <c:v>-5.4444268184036998E-2</c:v>
                </c:pt>
                <c:pt idx="48">
                  <c:v>2.8708306194090819E-2</c:v>
                </c:pt>
                <c:pt idx="49">
                  <c:v>5.3130106997018839E-2</c:v>
                </c:pt>
                <c:pt idx="50">
                  <c:v>-5.3079212112019755E-2</c:v>
                </c:pt>
                <c:pt idx="51">
                  <c:v>-6.6405831567458926E-2</c:v>
                </c:pt>
                <c:pt idx="52">
                  <c:v>-1.4616604041916566E-2</c:v>
                </c:pt>
                <c:pt idx="53">
                  <c:v>3.3657948283463838E-3</c:v>
                </c:pt>
                <c:pt idx="54">
                  <c:v>1.9264558257574893E-2</c:v>
                </c:pt>
                <c:pt idx="55">
                  <c:v>-2.8348441975713359E-2</c:v>
                </c:pt>
                <c:pt idx="56">
                  <c:v>1.3609282436451663E-2</c:v>
                </c:pt>
                <c:pt idx="57">
                  <c:v>5.6165719165556224E-2</c:v>
                </c:pt>
                <c:pt idx="58">
                  <c:v>-3.4506311957798776E-2</c:v>
                </c:pt>
                <c:pt idx="59">
                  <c:v>2.4532527419858473E-2</c:v>
                </c:pt>
                <c:pt idx="60">
                  <c:v>-2.6636260003013341E-3</c:v>
                </c:pt>
                <c:pt idx="61">
                  <c:v>6.2650378040065846E-2</c:v>
                </c:pt>
                <c:pt idx="62">
                  <c:v>-6.4557642087234135E-2</c:v>
                </c:pt>
                <c:pt idx="63">
                  <c:v>4.5894619339484181E-2</c:v>
                </c:pt>
                <c:pt idx="64">
                  <c:v>-6.3859301946060182E-2</c:v>
                </c:pt>
                <c:pt idx="65">
                  <c:v>4.8747607022183073E-2</c:v>
                </c:pt>
                <c:pt idx="66">
                  <c:v>4.0182484085854401E-3</c:v>
                </c:pt>
                <c:pt idx="67">
                  <c:v>-4.2249507886620068E-2</c:v>
                </c:pt>
                <c:pt idx="68">
                  <c:v>-1.1411909486751958E-2</c:v>
                </c:pt>
                <c:pt idx="69">
                  <c:v>4.3121217962495864E-2</c:v>
                </c:pt>
                <c:pt idx="70">
                  <c:v>-3.1171378585906562E-2</c:v>
                </c:pt>
                <c:pt idx="71">
                  <c:v>1.4852394451199005E-2</c:v>
                </c:pt>
                <c:pt idx="72">
                  <c:v>3.5675905468301267E-2</c:v>
                </c:pt>
                <c:pt idx="73">
                  <c:v>2.1522713442672044E-2</c:v>
                </c:pt>
                <c:pt idx="74">
                  <c:v>5.9140237089307407E-2</c:v>
                </c:pt>
                <c:pt idx="75">
                  <c:v>-3.5935523669975017E-2</c:v>
                </c:pt>
                <c:pt idx="76">
                  <c:v>6.6303270982695756E-2</c:v>
                </c:pt>
                <c:pt idx="77">
                  <c:v>-9.6924666842868046E-3</c:v>
                </c:pt>
                <c:pt idx="78">
                  <c:v>3.5967924501360514E-2</c:v>
                </c:pt>
                <c:pt idx="79">
                  <c:v>-6.6910733067766723E-3</c:v>
                </c:pt>
                <c:pt idx="80">
                  <c:v>4.1787770740031219E-2</c:v>
                </c:pt>
                <c:pt idx="81">
                  <c:v>7.4206221256876304E-3</c:v>
                </c:pt>
                <c:pt idx="82">
                  <c:v>5.945293801958805E-2</c:v>
                </c:pt>
                <c:pt idx="83">
                  <c:v>3.0913069845413328E-2</c:v>
                </c:pt>
                <c:pt idx="84">
                  <c:v>1.5679488084298521E-3</c:v>
                </c:pt>
                <c:pt idx="85">
                  <c:v>-2.4729444571922811E-2</c:v>
                </c:pt>
                <c:pt idx="86">
                  <c:v>2.8866379678988235E-2</c:v>
                </c:pt>
                <c:pt idx="87">
                  <c:v>2.972259952399758E-2</c:v>
                </c:pt>
                <c:pt idx="88">
                  <c:v>-1.6612287467154072E-2</c:v>
                </c:pt>
                <c:pt idx="89">
                  <c:v>4.5832207231441977E-2</c:v>
                </c:pt>
                <c:pt idx="90">
                  <c:v>-6.9629464706753311E-2</c:v>
                </c:pt>
                <c:pt idx="91">
                  <c:v>-1.8753645803469179E-2</c:v>
                </c:pt>
                <c:pt idx="92">
                  <c:v>2.1086012161507461E-2</c:v>
                </c:pt>
                <c:pt idx="93">
                  <c:v>2.0283451569520911E-2</c:v>
                </c:pt>
                <c:pt idx="94">
                  <c:v>6.7603082371669593E-2</c:v>
                </c:pt>
                <c:pt idx="95">
                  <c:v>2.3387776717295264E-3</c:v>
                </c:pt>
                <c:pt idx="96">
                  <c:v>-7.4635698996353061E-3</c:v>
                </c:pt>
                <c:pt idx="97">
                  <c:v>0.14776267675976421</c:v>
                </c:pt>
                <c:pt idx="98">
                  <c:v>-0.11615030324628477</c:v>
                </c:pt>
                <c:pt idx="99">
                  <c:v>-9.1095447990295716E-2</c:v>
                </c:pt>
                <c:pt idx="100">
                  <c:v>-4.0183558194870274E-2</c:v>
                </c:pt>
                <c:pt idx="101">
                  <c:v>-2.8253806587951239E-2</c:v>
                </c:pt>
                <c:pt idx="102">
                  <c:v>-2.3148357928521733E-2</c:v>
                </c:pt>
                <c:pt idx="103">
                  <c:v>2.2100356697999663E-2</c:v>
                </c:pt>
                <c:pt idx="104">
                  <c:v>2.0652800461982777E-2</c:v>
                </c:pt>
                <c:pt idx="105">
                  <c:v>5.0274348693333339E-2</c:v>
                </c:pt>
                <c:pt idx="106">
                  <c:v>-6.8717889170298013E-3</c:v>
                </c:pt>
                <c:pt idx="107">
                  <c:v>7.4273162502466905E-2</c:v>
                </c:pt>
                <c:pt idx="108">
                  <c:v>3.0220729448123342E-2</c:v>
                </c:pt>
                <c:pt idx="109">
                  <c:v>3.690975300433904E-2</c:v>
                </c:pt>
                <c:pt idx="110">
                  <c:v>0.11997174350743858</c:v>
                </c:pt>
                <c:pt idx="111">
                  <c:v>-7.796454779818543E-2</c:v>
                </c:pt>
                <c:pt idx="112">
                  <c:v>6.4611518216197317E-2</c:v>
                </c:pt>
                <c:pt idx="113">
                  <c:v>-8.203502177515884E-2</c:v>
                </c:pt>
                <c:pt idx="114">
                  <c:v>-8.0249027595631989E-2</c:v>
                </c:pt>
                <c:pt idx="115">
                  <c:v>5.2162841507971749E-2</c:v>
                </c:pt>
                <c:pt idx="116">
                  <c:v>7.574503652690022E-2</c:v>
                </c:pt>
                <c:pt idx="117">
                  <c:v>4.0276097384070307E-2</c:v>
                </c:pt>
                <c:pt idx="118">
                  <c:v>-4.1095093498907637E-2</c:v>
                </c:pt>
                <c:pt idx="119">
                  <c:v>7.489336553260531E-2</c:v>
                </c:pt>
                <c:pt idx="120">
                  <c:v>2.6641573373258148E-2</c:v>
                </c:pt>
                <c:pt idx="121">
                  <c:v>-7.2223332574126803E-2</c:v>
                </c:pt>
                <c:pt idx="122">
                  <c:v>5.2931002859561878E-2</c:v>
                </c:pt>
                <c:pt idx="123">
                  <c:v>2.4106471893815384E-2</c:v>
                </c:pt>
                <c:pt idx="124">
                  <c:v>9.1689673399075633E-2</c:v>
                </c:pt>
                <c:pt idx="125">
                  <c:v>9.7653136561496306E-3</c:v>
                </c:pt>
                <c:pt idx="126">
                  <c:v>2.5140412785115286E-2</c:v>
                </c:pt>
                <c:pt idx="127">
                  <c:v>0.14993573151981074</c:v>
                </c:pt>
                <c:pt idx="128">
                  <c:v>8.3737584452614047E-2</c:v>
                </c:pt>
                <c:pt idx="129">
                  <c:v>-0.12600205699629574</c:v>
                </c:pt>
                <c:pt idx="130">
                  <c:v>-0.11496568281397911</c:v>
                </c:pt>
                <c:pt idx="131">
                  <c:v>5.3364711746822925E-2</c:v>
                </c:pt>
                <c:pt idx="132">
                  <c:v>-0.12267812572162434</c:v>
                </c:pt>
                <c:pt idx="133">
                  <c:v>-0.21268170187906035</c:v>
                </c:pt>
                <c:pt idx="134">
                  <c:v>-8.4615198444895207E-2</c:v>
                </c:pt>
                <c:pt idx="135">
                  <c:v>3.1283837309135192E-2</c:v>
                </c:pt>
                <c:pt idx="136">
                  <c:v>3.2210983900178888E-2</c:v>
                </c:pt>
                <c:pt idx="137">
                  <c:v>-8.2115564086724852E-2</c:v>
                </c:pt>
                <c:pt idx="138">
                  <c:v>4.0898685056477917E-2</c:v>
                </c:pt>
                <c:pt idx="139">
                  <c:v>3.7257228678775359E-2</c:v>
                </c:pt>
                <c:pt idx="140">
                  <c:v>-9.797204063166933E-4</c:v>
                </c:pt>
                <c:pt idx="141">
                  <c:v>-4.1704628542799507E-2</c:v>
                </c:pt>
                <c:pt idx="142">
                  <c:v>-7.2463808450197273E-2</c:v>
                </c:pt>
                <c:pt idx="143">
                  <c:v>-5.9821252627838255E-3</c:v>
                </c:pt>
                <c:pt idx="144">
                  <c:v>-7.6433107809055933E-2</c:v>
                </c:pt>
                <c:pt idx="145">
                  <c:v>2.406244567890499E-2</c:v>
                </c:pt>
                <c:pt idx="146">
                  <c:v>1.1851756411206022E-2</c:v>
                </c:pt>
                <c:pt idx="147">
                  <c:v>1.7542983483452908E-2</c:v>
                </c:pt>
                <c:pt idx="148">
                  <c:v>-7.3167297194689285E-2</c:v>
                </c:pt>
                <c:pt idx="149">
                  <c:v>-2.0183257015094484E-2</c:v>
                </c:pt>
                <c:pt idx="150">
                  <c:v>3.5857540986573275E-2</c:v>
                </c:pt>
                <c:pt idx="151">
                  <c:v>1.3295451820911172E-2</c:v>
                </c:pt>
                <c:pt idx="152">
                  <c:v>5.3007716022806404E-3</c:v>
                </c:pt>
                <c:pt idx="153">
                  <c:v>-1.2687143354698716E-2</c:v>
                </c:pt>
                <c:pt idx="154">
                  <c:v>1.1993385641845957E-2</c:v>
                </c:pt>
                <c:pt idx="155">
                  <c:v>-2.0560395234891036E-3</c:v>
                </c:pt>
                <c:pt idx="156">
                  <c:v>2.1341265828373732E-2</c:v>
                </c:pt>
                <c:pt idx="157">
                  <c:v>5.2917785236899946E-2</c:v>
                </c:pt>
                <c:pt idx="158">
                  <c:v>3.0501052993551665E-3</c:v>
                </c:pt>
                <c:pt idx="159">
                  <c:v>2.4440811146813499E-2</c:v>
                </c:pt>
                <c:pt idx="160">
                  <c:v>-3.7495296225309525E-2</c:v>
                </c:pt>
                <c:pt idx="161">
                  <c:v>7.5450835065382811E-4</c:v>
                </c:pt>
                <c:pt idx="162">
                  <c:v>-6.1275323378670581E-2</c:v>
                </c:pt>
                <c:pt idx="163">
                  <c:v>-5.0917185590044567E-3</c:v>
                </c:pt>
                <c:pt idx="164">
                  <c:v>4.3141375631934945E-2</c:v>
                </c:pt>
                <c:pt idx="165">
                  <c:v>-7.2440397682782074E-3</c:v>
                </c:pt>
              </c:numCache>
            </c:numRef>
          </c:xVal>
          <c:yVal>
            <c:numRef>
              <c:f>'NIKE BETA'!$G$8:$G$264</c:f>
              <c:numCache>
                <c:formatCode>0.0000</c:formatCode>
                <c:ptCount val="257"/>
                <c:pt idx="0">
                  <c:v>-5.9751366566676263E-3</c:v>
                </c:pt>
                <c:pt idx="1">
                  <c:v>-4.8342241905073302E-2</c:v>
                </c:pt>
                <c:pt idx="2">
                  <c:v>0.11258316440134256</c:v>
                </c:pt>
                <c:pt idx="3">
                  <c:v>-1.9426211050104017E-2</c:v>
                </c:pt>
                <c:pt idx="4">
                  <c:v>4.1314453912824872E-2</c:v>
                </c:pt>
                <c:pt idx="5">
                  <c:v>6.9704194679844483E-2</c:v>
                </c:pt>
                <c:pt idx="6">
                  <c:v>-0.12386488390079764</c:v>
                </c:pt>
                <c:pt idx="7">
                  <c:v>4.3221197522100026E-2</c:v>
                </c:pt>
                <c:pt idx="8">
                  <c:v>-2.0081744732765056E-2</c:v>
                </c:pt>
                <c:pt idx="9">
                  <c:v>4.4450880400220896E-2</c:v>
                </c:pt>
                <c:pt idx="10">
                  <c:v>0.10189291686024768</c:v>
                </c:pt>
                <c:pt idx="11">
                  <c:v>-1.2633040855145994E-2</c:v>
                </c:pt>
                <c:pt idx="12">
                  <c:v>-1.693086108095064E-3</c:v>
                </c:pt>
                <c:pt idx="13">
                  <c:v>-0.1170937835136012</c:v>
                </c:pt>
                <c:pt idx="14">
                  <c:v>3.0531310150254034E-2</c:v>
                </c:pt>
                <c:pt idx="15">
                  <c:v>6.6273357164404079E-2</c:v>
                </c:pt>
                <c:pt idx="16">
                  <c:v>-3.4637024738502206E-2</c:v>
                </c:pt>
                <c:pt idx="17">
                  <c:v>0.10726361933694913</c:v>
                </c:pt>
                <c:pt idx="18">
                  <c:v>4.7372578115541943E-2</c:v>
                </c:pt>
                <c:pt idx="19">
                  <c:v>2.9882536370115318E-2</c:v>
                </c:pt>
                <c:pt idx="20">
                  <c:v>-1.1278623095631086E-2</c:v>
                </c:pt>
                <c:pt idx="21">
                  <c:v>-2.0049372782066005E-2</c:v>
                </c:pt>
                <c:pt idx="22">
                  <c:v>9.1818011936601288E-2</c:v>
                </c:pt>
                <c:pt idx="23">
                  <c:v>3.2970891543454971E-2</c:v>
                </c:pt>
                <c:pt idx="24">
                  <c:v>9.6384973726707651E-2</c:v>
                </c:pt>
                <c:pt idx="25">
                  <c:v>5.8163615093971985E-2</c:v>
                </c:pt>
                <c:pt idx="26">
                  <c:v>-1.7185395824895922E-2</c:v>
                </c:pt>
                <c:pt idx="27">
                  <c:v>-0.10794393489155718</c:v>
                </c:pt>
                <c:pt idx="28">
                  <c:v>1.843746384154799E-3</c:v>
                </c:pt>
                <c:pt idx="29">
                  <c:v>0.11105085209178318</c:v>
                </c:pt>
                <c:pt idx="30">
                  <c:v>-4.6055217066432175E-2</c:v>
                </c:pt>
                <c:pt idx="31">
                  <c:v>-5.1040126403265433E-3</c:v>
                </c:pt>
                <c:pt idx="32">
                  <c:v>-2.7532375524202356E-2</c:v>
                </c:pt>
                <c:pt idx="33">
                  <c:v>7.8055970098158456E-2</c:v>
                </c:pt>
                <c:pt idx="34">
                  <c:v>4.1936143314852958E-2</c:v>
                </c:pt>
                <c:pt idx="35">
                  <c:v>1.2626306037807081E-2</c:v>
                </c:pt>
                <c:pt idx="36">
                  <c:v>-4.7061529942185754E-3</c:v>
                </c:pt>
                <c:pt idx="37">
                  <c:v>-4.6418213843641275E-2</c:v>
                </c:pt>
                <c:pt idx="38">
                  <c:v>-8.8518428498030169E-2</c:v>
                </c:pt>
                <c:pt idx="39">
                  <c:v>3.6699408773345731E-2</c:v>
                </c:pt>
                <c:pt idx="40">
                  <c:v>6.5535605692751738E-3</c:v>
                </c:pt>
                <c:pt idx="41">
                  <c:v>-2.2847865515183757E-3</c:v>
                </c:pt>
                <c:pt idx="42">
                  <c:v>-6.5305611413648074E-2</c:v>
                </c:pt>
                <c:pt idx="43">
                  <c:v>-4.09078967440034E-2</c:v>
                </c:pt>
                <c:pt idx="44">
                  <c:v>-4.131827726481593E-3</c:v>
                </c:pt>
                <c:pt idx="45">
                  <c:v>-8.9521340992144045E-3</c:v>
                </c:pt>
                <c:pt idx="46">
                  <c:v>-7.7334092418733097E-3</c:v>
                </c:pt>
                <c:pt idx="47">
                  <c:v>-5.7546975254722493E-2</c:v>
                </c:pt>
                <c:pt idx="48">
                  <c:v>7.0480116207315459E-3</c:v>
                </c:pt>
                <c:pt idx="49">
                  <c:v>6.5802229599743717E-2</c:v>
                </c:pt>
                <c:pt idx="50">
                  <c:v>9.8002597344242395E-2</c:v>
                </c:pt>
                <c:pt idx="51">
                  <c:v>-3.2558803181540016E-2</c:v>
                </c:pt>
                <c:pt idx="52">
                  <c:v>6.4215399647937196E-2</c:v>
                </c:pt>
                <c:pt idx="53">
                  <c:v>6.2770609566836846E-2</c:v>
                </c:pt>
                <c:pt idx="54">
                  <c:v>2.6259822154941825E-2</c:v>
                </c:pt>
                <c:pt idx="55">
                  <c:v>-1.7145256496975472E-2</c:v>
                </c:pt>
                <c:pt idx="56">
                  <c:v>3.3928057724613395E-2</c:v>
                </c:pt>
                <c:pt idx="57">
                  <c:v>5.0624703522364575E-2</c:v>
                </c:pt>
                <c:pt idx="58">
                  <c:v>-3.9678875730157638E-2</c:v>
                </c:pt>
                <c:pt idx="59">
                  <c:v>-3.3915334070152216E-2</c:v>
                </c:pt>
                <c:pt idx="60">
                  <c:v>6.5554185922268485E-2</c:v>
                </c:pt>
                <c:pt idx="61">
                  <c:v>3.9714516365502661E-2</c:v>
                </c:pt>
                <c:pt idx="62">
                  <c:v>0.13633435420252726</c:v>
                </c:pt>
                <c:pt idx="63">
                  <c:v>1.5844162496972451E-2</c:v>
                </c:pt>
                <c:pt idx="64">
                  <c:v>-8.1748175202621884E-3</c:v>
                </c:pt>
                <c:pt idx="65">
                  <c:v>8.7225264364558953E-3</c:v>
                </c:pt>
                <c:pt idx="66">
                  <c:v>5.1521888029974254E-2</c:v>
                </c:pt>
                <c:pt idx="67">
                  <c:v>-1.5202276690007727E-2</c:v>
                </c:pt>
                <c:pt idx="68">
                  <c:v>-5.677661549370093E-2</c:v>
                </c:pt>
                <c:pt idx="69">
                  <c:v>7.1817854552443786E-2</c:v>
                </c:pt>
                <c:pt idx="70">
                  <c:v>-7.3742477521655067E-2</c:v>
                </c:pt>
                <c:pt idx="71">
                  <c:v>-9.621239082867836E-3</c:v>
                </c:pt>
                <c:pt idx="72">
                  <c:v>4.1441381015073026E-2</c:v>
                </c:pt>
                <c:pt idx="73">
                  <c:v>3.992582267871065E-2</c:v>
                </c:pt>
                <c:pt idx="74">
                  <c:v>0.15709235476384067</c:v>
                </c:pt>
                <c:pt idx="75">
                  <c:v>-4.6526049239721517E-3</c:v>
                </c:pt>
                <c:pt idx="76">
                  <c:v>-1.4973103407453916E-2</c:v>
                </c:pt>
                <c:pt idx="77">
                  <c:v>3.3303121424164805E-2</c:v>
                </c:pt>
                <c:pt idx="78">
                  <c:v>-3.3259702705519624E-2</c:v>
                </c:pt>
                <c:pt idx="79">
                  <c:v>7.5380111661083701E-2</c:v>
                </c:pt>
                <c:pt idx="80">
                  <c:v>8.5164464871536907E-2</c:v>
                </c:pt>
                <c:pt idx="81">
                  <c:v>5.0073430024257948E-3</c:v>
                </c:pt>
                <c:pt idx="82">
                  <c:v>4.9362323561906271E-2</c:v>
                </c:pt>
                <c:pt idx="83">
                  <c:v>5.6218547530610861E-2</c:v>
                </c:pt>
                <c:pt idx="84">
                  <c:v>6.4425835817899665E-2</c:v>
                </c:pt>
                <c:pt idx="85">
                  <c:v>-3.9569012613944056E-2</c:v>
                </c:pt>
                <c:pt idx="86">
                  <c:v>-2.3956786165529837E-2</c:v>
                </c:pt>
                <c:pt idx="87">
                  <c:v>4.0719749024856755E-2</c:v>
                </c:pt>
                <c:pt idx="88">
                  <c:v>6.1306768051170496E-2</c:v>
                </c:pt>
                <c:pt idx="89">
                  <c:v>-0.18817863978233021</c:v>
                </c:pt>
                <c:pt idx="90">
                  <c:v>-3.5211085582224036E-2</c:v>
                </c:pt>
                <c:pt idx="91">
                  <c:v>3.249228977185957E-2</c:v>
                </c:pt>
                <c:pt idx="92">
                  <c:v>2.0307820505753287E-3</c:v>
                </c:pt>
                <c:pt idx="93">
                  <c:v>3.5220526976507988E-2</c:v>
                </c:pt>
                <c:pt idx="94">
                  <c:v>8.0679165037680384E-2</c:v>
                </c:pt>
                <c:pt idx="95">
                  <c:v>-4.3172731051509955E-4</c:v>
                </c:pt>
                <c:pt idx="96">
                  <c:v>-4.3164978166539336E-3</c:v>
                </c:pt>
                <c:pt idx="97">
                  <c:v>0.12814862265651142</c:v>
                </c:pt>
                <c:pt idx="98">
                  <c:v>-1.5590235471427278E-2</c:v>
                </c:pt>
                <c:pt idx="99">
                  <c:v>-4.1817711092104234E-2</c:v>
                </c:pt>
                <c:pt idx="100">
                  <c:v>2.2410857110008106E-3</c:v>
                </c:pt>
                <c:pt idx="101">
                  <c:v>6.1831145077104688E-2</c:v>
                </c:pt>
                <c:pt idx="102">
                  <c:v>2.2360690233736692E-2</c:v>
                </c:pt>
                <c:pt idx="103">
                  <c:v>8.760907663511637E-2</c:v>
                </c:pt>
                <c:pt idx="104">
                  <c:v>-0.15348165276828732</c:v>
                </c:pt>
                <c:pt idx="105">
                  <c:v>7.5671567665292455E-2</c:v>
                </c:pt>
                <c:pt idx="106">
                  <c:v>-3.4799496285235515E-2</c:v>
                </c:pt>
                <c:pt idx="107">
                  <c:v>-1.1878914926352013E-2</c:v>
                </c:pt>
                <c:pt idx="108">
                  <c:v>5.4170419956469394E-2</c:v>
                </c:pt>
                <c:pt idx="109">
                  <c:v>1.6706657645098787E-2</c:v>
                </c:pt>
                <c:pt idx="110">
                  <c:v>0.14178424962669081</c:v>
                </c:pt>
                <c:pt idx="111">
                  <c:v>-5.2373360502583149E-2</c:v>
                </c:pt>
                <c:pt idx="112">
                  <c:v>9.0888059278584399E-2</c:v>
                </c:pt>
                <c:pt idx="113">
                  <c:v>-6.9988415561722389E-2</c:v>
                </c:pt>
                <c:pt idx="114">
                  <c:v>-5.0014417650044087E-2</c:v>
                </c:pt>
                <c:pt idx="115">
                  <c:v>3.3155931017090093E-2</c:v>
                </c:pt>
                <c:pt idx="116">
                  <c:v>8.3349000835410844E-2</c:v>
                </c:pt>
                <c:pt idx="117">
                  <c:v>5.6617886095388058E-2</c:v>
                </c:pt>
                <c:pt idx="118">
                  <c:v>-3.4869587408793007E-2</c:v>
                </c:pt>
                <c:pt idx="119">
                  <c:v>1.4316967918444636E-2</c:v>
                </c:pt>
                <c:pt idx="120">
                  <c:v>4.0088363743445959E-2</c:v>
                </c:pt>
                <c:pt idx="121">
                  <c:v>-3.7950866352990907E-2</c:v>
                </c:pt>
                <c:pt idx="122">
                  <c:v>0.16470759101541688</c:v>
                </c:pt>
                <c:pt idx="123">
                  <c:v>-2.5553408658117328E-2</c:v>
                </c:pt>
                <c:pt idx="124">
                  <c:v>9.4987377920512484E-2</c:v>
                </c:pt>
                <c:pt idx="125">
                  <c:v>-9.5967194069024098E-2</c:v>
                </c:pt>
                <c:pt idx="126">
                  <c:v>8.367272885585289E-2</c:v>
                </c:pt>
                <c:pt idx="127">
                  <c:v>0.12224547771670689</c:v>
                </c:pt>
                <c:pt idx="128">
                  <c:v>0.1260957865775596</c:v>
                </c:pt>
                <c:pt idx="129">
                  <c:v>-8.5311584572101751E-2</c:v>
                </c:pt>
                <c:pt idx="130">
                  <c:v>-0.11146205121277829</c:v>
                </c:pt>
                <c:pt idx="131">
                  <c:v>-4.4496146349649456E-2</c:v>
                </c:pt>
                <c:pt idx="132">
                  <c:v>-7.8908019517205441E-2</c:v>
                </c:pt>
                <c:pt idx="133">
                  <c:v>-0.13899355046511921</c:v>
                </c:pt>
                <c:pt idx="134">
                  <c:v>0.10019066567718501</c:v>
                </c:pt>
                <c:pt idx="135">
                  <c:v>2.9213740588995278E-2</c:v>
                </c:pt>
                <c:pt idx="136">
                  <c:v>-1.6093482522528475E-2</c:v>
                </c:pt>
                <c:pt idx="137">
                  <c:v>-0.13190224310050794</c:v>
                </c:pt>
                <c:pt idx="138">
                  <c:v>1.9580649487112519E-2</c:v>
                </c:pt>
                <c:pt idx="139">
                  <c:v>-1.7664995751984311E-2</c:v>
                </c:pt>
                <c:pt idx="140">
                  <c:v>0.12597950158848345</c:v>
                </c:pt>
                <c:pt idx="141">
                  <c:v>-2.2108989071449158E-2</c:v>
                </c:pt>
                <c:pt idx="142">
                  <c:v>-4.5585243486770052E-2</c:v>
                </c:pt>
                <c:pt idx="143">
                  <c:v>-2.5193801708876723E-2</c:v>
                </c:pt>
                <c:pt idx="144">
                  <c:v>-1.287499803804276E-2</c:v>
                </c:pt>
                <c:pt idx="145">
                  <c:v>0.12938086239612817</c:v>
                </c:pt>
                <c:pt idx="146">
                  <c:v>3.7150868260039507E-2</c:v>
                </c:pt>
                <c:pt idx="147">
                  <c:v>-5.9744258765395625E-3</c:v>
                </c:pt>
                <c:pt idx="148">
                  <c:v>-3.2441307438678901E-2</c:v>
                </c:pt>
                <c:pt idx="149">
                  <c:v>2.2864866167668481E-2</c:v>
                </c:pt>
                <c:pt idx="150">
                  <c:v>4.9481870785259938E-2</c:v>
                </c:pt>
                <c:pt idx="151">
                  <c:v>1.152224417350721E-2</c:v>
                </c:pt>
                <c:pt idx="152">
                  <c:v>1.309409643462316E-2</c:v>
                </c:pt>
                <c:pt idx="153">
                  <c:v>5.3390744887580846E-2</c:v>
                </c:pt>
                <c:pt idx="154">
                  <c:v>-4.4427426931072682E-3</c:v>
                </c:pt>
                <c:pt idx="155">
                  <c:v>-3.2062622473042566E-3</c:v>
                </c:pt>
                <c:pt idx="156">
                  <c:v>7.3147218312098167E-2</c:v>
                </c:pt>
                <c:pt idx="157">
                  <c:v>4.6698193934699213E-2</c:v>
                </c:pt>
                <c:pt idx="158">
                  <c:v>8.0970731251344283E-2</c:v>
                </c:pt>
                <c:pt idx="159">
                  <c:v>1.8213238859764211E-2</c:v>
                </c:pt>
                <c:pt idx="160">
                  <c:v>-2.7040135608368786E-2</c:v>
                </c:pt>
                <c:pt idx="161">
                  <c:v>4.2701412798963351E-3</c:v>
                </c:pt>
                <c:pt idx="162">
                  <c:v>-2.3033744244751679E-2</c:v>
                </c:pt>
                <c:pt idx="163">
                  <c:v>-4.0858121666431414E-2</c:v>
                </c:pt>
                <c:pt idx="164">
                  <c:v>-2.3437074030044625E-2</c:v>
                </c:pt>
                <c:pt idx="165">
                  <c:v>6.8267160478692898E-2</c:v>
                </c:pt>
              </c:numCache>
            </c:numRef>
          </c:yVal>
          <c:smooth val="0"/>
          <c:extLst>
            <c:ext xmlns:c16="http://schemas.microsoft.com/office/drawing/2014/chart" uri="{C3380CC4-5D6E-409C-BE32-E72D297353CC}">
              <c16:uniqueId val="{00000000-8D4F-4F71-90BF-3EF9D31B3EA9}"/>
            </c:ext>
          </c:extLst>
        </c:ser>
        <c:ser>
          <c:idx val="1"/>
          <c:order val="1"/>
          <c:spPr>
            <a:ln w="28575">
              <a:noFill/>
            </a:ln>
          </c:spPr>
          <c:marker>
            <c:symbol val="square"/>
            <c:size val="5"/>
            <c:spPr>
              <a:solidFill>
                <a:srgbClr val="FF5050"/>
              </a:solidFill>
              <a:ln>
                <a:solidFill>
                  <a:srgbClr val="FF5050"/>
                </a:solidFill>
                <a:prstDash val="solid"/>
              </a:ln>
            </c:spPr>
          </c:marker>
          <c:xVal>
            <c:numRef>
              <c:f>'NIKE BETA'!$F$8:$F$264</c:f>
              <c:numCache>
                <c:formatCode>0.0000</c:formatCode>
                <c:ptCount val="257"/>
                <c:pt idx="0">
                  <c:v>1.5360420926312597E-2</c:v>
                </c:pt>
                <c:pt idx="1">
                  <c:v>2.3840287342056121E-2</c:v>
                </c:pt>
                <c:pt idx="2">
                  <c:v>1.7318174486174488E-2</c:v>
                </c:pt>
                <c:pt idx="3">
                  <c:v>-5.2301842684793445E-2</c:v>
                </c:pt>
                <c:pt idx="4">
                  <c:v>3.0264233019538247E-3</c:v>
                </c:pt>
                <c:pt idx="5">
                  <c:v>6.6866821169985241E-2</c:v>
                </c:pt>
                <c:pt idx="6">
                  <c:v>-8.1161539712767405E-2</c:v>
                </c:pt>
                <c:pt idx="7">
                  <c:v>3.0977702946131842E-2</c:v>
                </c:pt>
                <c:pt idx="8">
                  <c:v>-2.5080274382256823E-2</c:v>
                </c:pt>
                <c:pt idx="9">
                  <c:v>4.8203800724717707E-2</c:v>
                </c:pt>
                <c:pt idx="10">
                  <c:v>1.2393532342733634E-2</c:v>
                </c:pt>
                <c:pt idx="11">
                  <c:v>-3.8948596640749067E-2</c:v>
                </c:pt>
                <c:pt idx="12">
                  <c:v>1.1704139456918373E-2</c:v>
                </c:pt>
                <c:pt idx="13">
                  <c:v>-0.11197280032267529</c:v>
                </c:pt>
                <c:pt idx="14">
                  <c:v>-2.8044062688496327E-2</c:v>
                </c:pt>
                <c:pt idx="15">
                  <c:v>3.9357808005282324E-2</c:v>
                </c:pt>
                <c:pt idx="16">
                  <c:v>1.4307840345425381E-2</c:v>
                </c:pt>
                <c:pt idx="17">
                  <c:v>3.304998680955649E-3</c:v>
                </c:pt>
                <c:pt idx="18">
                  <c:v>5.7003961593988219E-2</c:v>
                </c:pt>
                <c:pt idx="19">
                  <c:v>5.5594218992868526E-3</c:v>
                </c:pt>
                <c:pt idx="20">
                  <c:v>8.7502192139359437E-3</c:v>
                </c:pt>
                <c:pt idx="21">
                  <c:v>-4.2307943705555379E-2</c:v>
                </c:pt>
                <c:pt idx="22">
                  <c:v>2.3253128315425437E-2</c:v>
                </c:pt>
                <c:pt idx="23">
                  <c:v>3.0423572337020942E-2</c:v>
                </c:pt>
                <c:pt idx="24">
                  <c:v>-1.2775781181036254E-2</c:v>
                </c:pt>
                <c:pt idx="25">
                  <c:v>5.4318930242159141E-3</c:v>
                </c:pt>
                <c:pt idx="26">
                  <c:v>5.8518029693204354E-2</c:v>
                </c:pt>
                <c:pt idx="27">
                  <c:v>-1.6206296369223105E-2</c:v>
                </c:pt>
                <c:pt idx="28">
                  <c:v>4.4949240501702126E-3</c:v>
                </c:pt>
                <c:pt idx="29">
                  <c:v>3.0584505259604284E-2</c:v>
                </c:pt>
                <c:pt idx="30">
                  <c:v>-2.3959985332880407E-2</c:v>
                </c:pt>
                <c:pt idx="31">
                  <c:v>8.0095866567610093E-3</c:v>
                </c:pt>
                <c:pt idx="32">
                  <c:v>-3.0630788432830063E-3</c:v>
                </c:pt>
                <c:pt idx="33">
                  <c:v>1.5781728999260773E-2</c:v>
                </c:pt>
                <c:pt idx="34">
                  <c:v>9.1327872622460086E-4</c:v>
                </c:pt>
                <c:pt idx="35">
                  <c:v>2.3756951347249047E-2</c:v>
                </c:pt>
                <c:pt idx="36">
                  <c:v>0.1073994211184383</c:v>
                </c:pt>
                <c:pt idx="37">
                  <c:v>-5.0301955594242075E-2</c:v>
                </c:pt>
                <c:pt idx="38">
                  <c:v>7.5217541687760811E-3</c:v>
                </c:pt>
                <c:pt idx="39">
                  <c:v>1.4510567882421188E-2</c:v>
                </c:pt>
                <c:pt idx="40">
                  <c:v>5.7230814525751995E-2</c:v>
                </c:pt>
                <c:pt idx="41">
                  <c:v>-4.4077959439148889E-3</c:v>
                </c:pt>
                <c:pt idx="42">
                  <c:v>1.8979139260803222E-2</c:v>
                </c:pt>
                <c:pt idx="43">
                  <c:v>1.2876622034848972E-2</c:v>
                </c:pt>
                <c:pt idx="44">
                  <c:v>7.5319329535354126E-2</c:v>
                </c:pt>
                <c:pt idx="45">
                  <c:v>-3.6085751861019604E-3</c:v>
                </c:pt>
                <c:pt idx="46">
                  <c:v>-9.0784021800275269E-2</c:v>
                </c:pt>
                <c:pt idx="47">
                  <c:v>-5.4444268184036998E-2</c:v>
                </c:pt>
                <c:pt idx="48">
                  <c:v>2.8708306194090819E-2</c:v>
                </c:pt>
                <c:pt idx="49">
                  <c:v>5.3130106997018839E-2</c:v>
                </c:pt>
                <c:pt idx="50">
                  <c:v>-5.3079212112019755E-2</c:v>
                </c:pt>
                <c:pt idx="51">
                  <c:v>-6.6405831567458926E-2</c:v>
                </c:pt>
                <c:pt idx="52">
                  <c:v>-1.4616604041916566E-2</c:v>
                </c:pt>
                <c:pt idx="53">
                  <c:v>3.3657948283463838E-3</c:v>
                </c:pt>
                <c:pt idx="54">
                  <c:v>1.9264558257574893E-2</c:v>
                </c:pt>
                <c:pt idx="55">
                  <c:v>-2.8348441975713359E-2</c:v>
                </c:pt>
                <c:pt idx="56">
                  <c:v>1.3609282436451663E-2</c:v>
                </c:pt>
                <c:pt idx="57">
                  <c:v>5.6165719165556224E-2</c:v>
                </c:pt>
                <c:pt idx="58">
                  <c:v>-3.4506311957798776E-2</c:v>
                </c:pt>
                <c:pt idx="59">
                  <c:v>2.4532527419858473E-2</c:v>
                </c:pt>
                <c:pt idx="60">
                  <c:v>-2.6636260003013341E-3</c:v>
                </c:pt>
                <c:pt idx="61">
                  <c:v>6.2650378040065846E-2</c:v>
                </c:pt>
                <c:pt idx="62">
                  <c:v>-6.4557642087234135E-2</c:v>
                </c:pt>
                <c:pt idx="63">
                  <c:v>4.5894619339484181E-2</c:v>
                </c:pt>
                <c:pt idx="64">
                  <c:v>-6.3859301946060182E-2</c:v>
                </c:pt>
                <c:pt idx="65">
                  <c:v>4.8747607022183073E-2</c:v>
                </c:pt>
                <c:pt idx="66">
                  <c:v>4.0182484085854401E-3</c:v>
                </c:pt>
                <c:pt idx="67">
                  <c:v>-4.2249507886620068E-2</c:v>
                </c:pt>
                <c:pt idx="68">
                  <c:v>-1.1411909486751958E-2</c:v>
                </c:pt>
                <c:pt idx="69">
                  <c:v>4.3121217962495864E-2</c:v>
                </c:pt>
                <c:pt idx="70">
                  <c:v>-3.1171378585906562E-2</c:v>
                </c:pt>
                <c:pt idx="71">
                  <c:v>1.4852394451199005E-2</c:v>
                </c:pt>
                <c:pt idx="72">
                  <c:v>3.5675905468301267E-2</c:v>
                </c:pt>
                <c:pt idx="73">
                  <c:v>2.1522713442672044E-2</c:v>
                </c:pt>
                <c:pt idx="74">
                  <c:v>5.9140237089307407E-2</c:v>
                </c:pt>
                <c:pt idx="75">
                  <c:v>-3.5935523669975017E-2</c:v>
                </c:pt>
                <c:pt idx="76">
                  <c:v>6.6303270982695756E-2</c:v>
                </c:pt>
                <c:pt idx="77">
                  <c:v>-9.6924666842868046E-3</c:v>
                </c:pt>
                <c:pt idx="78">
                  <c:v>3.5967924501360514E-2</c:v>
                </c:pt>
                <c:pt idx="79">
                  <c:v>-6.6910733067766723E-3</c:v>
                </c:pt>
                <c:pt idx="80">
                  <c:v>4.1787770740031219E-2</c:v>
                </c:pt>
                <c:pt idx="81">
                  <c:v>7.4206221256876304E-3</c:v>
                </c:pt>
                <c:pt idx="82">
                  <c:v>5.945293801958805E-2</c:v>
                </c:pt>
                <c:pt idx="83">
                  <c:v>3.0913069845413328E-2</c:v>
                </c:pt>
                <c:pt idx="84">
                  <c:v>1.5679488084298521E-3</c:v>
                </c:pt>
                <c:pt idx="85">
                  <c:v>-2.4729444571922811E-2</c:v>
                </c:pt>
                <c:pt idx="86">
                  <c:v>2.8866379678988235E-2</c:v>
                </c:pt>
                <c:pt idx="87">
                  <c:v>2.972259952399758E-2</c:v>
                </c:pt>
                <c:pt idx="88">
                  <c:v>-1.6612287467154072E-2</c:v>
                </c:pt>
                <c:pt idx="89">
                  <c:v>4.5832207231441977E-2</c:v>
                </c:pt>
                <c:pt idx="90">
                  <c:v>-6.9629464706753311E-2</c:v>
                </c:pt>
                <c:pt idx="91">
                  <c:v>-1.8753645803469179E-2</c:v>
                </c:pt>
                <c:pt idx="92">
                  <c:v>2.1086012161507461E-2</c:v>
                </c:pt>
                <c:pt idx="93">
                  <c:v>2.0283451569520911E-2</c:v>
                </c:pt>
                <c:pt idx="94">
                  <c:v>6.7603082371669593E-2</c:v>
                </c:pt>
                <c:pt idx="95">
                  <c:v>2.3387776717295264E-3</c:v>
                </c:pt>
                <c:pt idx="96">
                  <c:v>-7.4635698996353061E-3</c:v>
                </c:pt>
                <c:pt idx="97">
                  <c:v>0.14776267675976421</c:v>
                </c:pt>
                <c:pt idx="98">
                  <c:v>-0.11615030324628477</c:v>
                </c:pt>
                <c:pt idx="99">
                  <c:v>-9.1095447990295716E-2</c:v>
                </c:pt>
                <c:pt idx="100">
                  <c:v>-4.0183558194870274E-2</c:v>
                </c:pt>
                <c:pt idx="101">
                  <c:v>-2.8253806587951239E-2</c:v>
                </c:pt>
                <c:pt idx="102">
                  <c:v>-2.3148357928521733E-2</c:v>
                </c:pt>
                <c:pt idx="103">
                  <c:v>2.2100356697999663E-2</c:v>
                </c:pt>
                <c:pt idx="104">
                  <c:v>2.0652800461982777E-2</c:v>
                </c:pt>
                <c:pt idx="105">
                  <c:v>5.0274348693333339E-2</c:v>
                </c:pt>
                <c:pt idx="106">
                  <c:v>-6.8717889170298013E-3</c:v>
                </c:pt>
                <c:pt idx="107">
                  <c:v>7.4273162502466905E-2</c:v>
                </c:pt>
                <c:pt idx="108">
                  <c:v>3.0220729448123342E-2</c:v>
                </c:pt>
                <c:pt idx="109">
                  <c:v>3.690975300433904E-2</c:v>
                </c:pt>
                <c:pt idx="110">
                  <c:v>0.11997174350743858</c:v>
                </c:pt>
                <c:pt idx="111">
                  <c:v>-7.796454779818543E-2</c:v>
                </c:pt>
                <c:pt idx="112">
                  <c:v>6.4611518216197317E-2</c:v>
                </c:pt>
                <c:pt idx="113">
                  <c:v>-8.203502177515884E-2</c:v>
                </c:pt>
                <c:pt idx="114">
                  <c:v>-8.0249027595631989E-2</c:v>
                </c:pt>
                <c:pt idx="115">
                  <c:v>5.2162841507971749E-2</c:v>
                </c:pt>
                <c:pt idx="116">
                  <c:v>7.574503652690022E-2</c:v>
                </c:pt>
                <c:pt idx="117">
                  <c:v>4.0276097384070307E-2</c:v>
                </c:pt>
                <c:pt idx="118">
                  <c:v>-4.1095093498907637E-2</c:v>
                </c:pt>
                <c:pt idx="119">
                  <c:v>7.489336553260531E-2</c:v>
                </c:pt>
                <c:pt idx="120">
                  <c:v>2.6641573373258148E-2</c:v>
                </c:pt>
                <c:pt idx="121">
                  <c:v>-7.2223332574126803E-2</c:v>
                </c:pt>
                <c:pt idx="122">
                  <c:v>5.2931002859561878E-2</c:v>
                </c:pt>
                <c:pt idx="123">
                  <c:v>2.4106471893815384E-2</c:v>
                </c:pt>
                <c:pt idx="124">
                  <c:v>9.1689673399075633E-2</c:v>
                </c:pt>
                <c:pt idx="125">
                  <c:v>9.7653136561496306E-3</c:v>
                </c:pt>
                <c:pt idx="126">
                  <c:v>2.5140412785115286E-2</c:v>
                </c:pt>
                <c:pt idx="127">
                  <c:v>0.14993573151981074</c:v>
                </c:pt>
                <c:pt idx="128">
                  <c:v>8.3737584452614047E-2</c:v>
                </c:pt>
                <c:pt idx="129">
                  <c:v>-0.12600205699629574</c:v>
                </c:pt>
                <c:pt idx="130">
                  <c:v>-0.11496568281397911</c:v>
                </c:pt>
                <c:pt idx="131">
                  <c:v>5.3364711746822925E-2</c:v>
                </c:pt>
                <c:pt idx="132">
                  <c:v>-0.12267812572162434</c:v>
                </c:pt>
                <c:pt idx="133">
                  <c:v>-0.21268170187906035</c:v>
                </c:pt>
                <c:pt idx="134">
                  <c:v>-8.4615198444895207E-2</c:v>
                </c:pt>
                <c:pt idx="135">
                  <c:v>3.1283837309135192E-2</c:v>
                </c:pt>
                <c:pt idx="136">
                  <c:v>3.2210983900178888E-2</c:v>
                </c:pt>
                <c:pt idx="137">
                  <c:v>-8.2115564086724852E-2</c:v>
                </c:pt>
                <c:pt idx="138">
                  <c:v>4.0898685056477917E-2</c:v>
                </c:pt>
                <c:pt idx="139">
                  <c:v>3.7257228678775359E-2</c:v>
                </c:pt>
                <c:pt idx="140">
                  <c:v>-9.797204063166933E-4</c:v>
                </c:pt>
                <c:pt idx="141">
                  <c:v>-4.1704628542799507E-2</c:v>
                </c:pt>
                <c:pt idx="142">
                  <c:v>-7.2463808450197273E-2</c:v>
                </c:pt>
                <c:pt idx="143">
                  <c:v>-5.9821252627838255E-3</c:v>
                </c:pt>
                <c:pt idx="144">
                  <c:v>-7.6433107809055933E-2</c:v>
                </c:pt>
                <c:pt idx="145">
                  <c:v>2.406244567890499E-2</c:v>
                </c:pt>
                <c:pt idx="146">
                  <c:v>1.1851756411206022E-2</c:v>
                </c:pt>
                <c:pt idx="147">
                  <c:v>1.7542983483452908E-2</c:v>
                </c:pt>
                <c:pt idx="148">
                  <c:v>-7.3167297194689285E-2</c:v>
                </c:pt>
                <c:pt idx="149">
                  <c:v>-2.0183257015094484E-2</c:v>
                </c:pt>
                <c:pt idx="150">
                  <c:v>3.5857540986573275E-2</c:v>
                </c:pt>
                <c:pt idx="151">
                  <c:v>1.3295451820911172E-2</c:v>
                </c:pt>
                <c:pt idx="152">
                  <c:v>5.3007716022806404E-3</c:v>
                </c:pt>
                <c:pt idx="153">
                  <c:v>-1.2687143354698716E-2</c:v>
                </c:pt>
                <c:pt idx="154">
                  <c:v>1.1993385641845957E-2</c:v>
                </c:pt>
                <c:pt idx="155">
                  <c:v>-2.0560395234891036E-3</c:v>
                </c:pt>
                <c:pt idx="156">
                  <c:v>2.1341265828373732E-2</c:v>
                </c:pt>
                <c:pt idx="157">
                  <c:v>5.2917785236899946E-2</c:v>
                </c:pt>
                <c:pt idx="158">
                  <c:v>3.0501052993551665E-3</c:v>
                </c:pt>
                <c:pt idx="159">
                  <c:v>2.4440811146813499E-2</c:v>
                </c:pt>
                <c:pt idx="160">
                  <c:v>-3.7495296225309525E-2</c:v>
                </c:pt>
                <c:pt idx="161">
                  <c:v>7.5450835065382811E-4</c:v>
                </c:pt>
                <c:pt idx="162">
                  <c:v>-6.1275323378670581E-2</c:v>
                </c:pt>
                <c:pt idx="163">
                  <c:v>-5.0917185590044567E-3</c:v>
                </c:pt>
                <c:pt idx="164">
                  <c:v>4.3141375631934945E-2</c:v>
                </c:pt>
                <c:pt idx="165">
                  <c:v>-7.2440397682782074E-3</c:v>
                </c:pt>
              </c:numCache>
            </c:numRef>
          </c:xVal>
          <c:yVal>
            <c:numRef>
              <c:f>'NIKE BETA'!$X$8:$X$264</c:f>
              <c:numCache>
                <c:formatCode>General</c:formatCode>
                <c:ptCount val="257"/>
                <c:pt idx="0">
                  <c:v>9.2913632942810808E-3</c:v>
                </c:pt>
                <c:pt idx="1">
                  <c:v>1.4420748741048286E-2</c:v>
                </c:pt>
                <c:pt idx="2">
                  <c:v>1.0475588625905219E-2</c:v>
                </c:pt>
                <c:pt idx="3">
                  <c:v>-3.1636855765606361E-2</c:v>
                </c:pt>
                <c:pt idx="4">
                  <c:v>1.8306528522640602E-3</c:v>
                </c:pt>
                <c:pt idx="5">
                  <c:v>4.0447063970739938E-2</c:v>
                </c:pt>
                <c:pt idx="6">
                  <c:v>-4.9093794669569119E-2</c:v>
                </c:pt>
                <c:pt idx="7">
                  <c:v>1.8738099266653836E-2</c:v>
                </c:pt>
                <c:pt idx="8">
                  <c:v>-1.5170804362959605E-2</c:v>
                </c:pt>
                <c:pt idx="9">
                  <c:v>2.9157991623215182E-2</c:v>
                </c:pt>
                <c:pt idx="10">
                  <c:v>7.4967223911489604E-3</c:v>
                </c:pt>
                <c:pt idx="11">
                  <c:v>-2.3559612261126302E-2</c:v>
                </c:pt>
                <c:pt idx="12">
                  <c:v>7.0797156056363391E-3</c:v>
                </c:pt>
                <c:pt idx="13">
                  <c:v>-6.7731214650100235E-2</c:v>
                </c:pt>
                <c:pt idx="14">
                  <c:v>-1.6963569939678985E-2</c:v>
                </c:pt>
                <c:pt idx="15">
                  <c:v>2.3807140077601298E-2</c:v>
                </c:pt>
                <c:pt idx="16">
                  <c:v>8.654667944560851E-3</c:v>
                </c:pt>
                <c:pt idx="17">
                  <c:v>1.9991602820776614E-3</c:v>
                </c:pt>
                <c:pt idx="18">
                  <c:v>3.448111994611442E-2</c:v>
                </c:pt>
                <c:pt idx="19">
                  <c:v>3.3628380901965563E-3</c:v>
                </c:pt>
                <c:pt idx="20">
                  <c:v>5.292919120595649E-3</c:v>
                </c:pt>
                <c:pt idx="21">
                  <c:v>-2.559164733102625E-2</c:v>
                </c:pt>
                <c:pt idx="22">
                  <c:v>1.4065582183171164E-2</c:v>
                </c:pt>
                <c:pt idx="23">
                  <c:v>1.8402911264552214E-2</c:v>
                </c:pt>
                <c:pt idx="24">
                  <c:v>-7.727940848151176E-3</c:v>
                </c:pt>
                <c:pt idx="25">
                  <c:v>3.2856971632337219E-3</c:v>
                </c:pt>
                <c:pt idx="26">
                  <c:v>3.5396964429125981E-2</c:v>
                </c:pt>
                <c:pt idx="27">
                  <c:v>-9.8030247962344105E-3</c:v>
                </c:pt>
                <c:pt idx="28">
                  <c:v>2.7189341054313521E-3</c:v>
                </c:pt>
                <c:pt idx="29">
                  <c:v>1.8500257962074728E-2</c:v>
                </c:pt>
                <c:pt idx="30">
                  <c:v>-1.449315284531595E-2</c:v>
                </c:pt>
                <c:pt idx="31">
                  <c:v>4.8449179760113462E-3</c:v>
                </c:pt>
                <c:pt idx="32">
                  <c:v>-1.8528254185545155E-3</c:v>
                </c:pt>
                <c:pt idx="33">
                  <c:v>9.5462082873547637E-3</c:v>
                </c:pt>
                <c:pt idx="34">
                  <c:v>5.5243306645035278E-4</c:v>
                </c:pt>
                <c:pt idx="35">
                  <c:v>1.4370339640480184E-2</c:v>
                </c:pt>
                <c:pt idx="36">
                  <c:v>6.4964823815309686E-2</c:v>
                </c:pt>
                <c:pt idx="37">
                  <c:v>-3.0427144287320962E-2</c:v>
                </c:pt>
                <c:pt idx="38">
                  <c:v>4.5498330369745177E-3</c:v>
                </c:pt>
                <c:pt idx="39">
                  <c:v>8.7772957817157694E-3</c:v>
                </c:pt>
                <c:pt idx="40">
                  <c:v>3.4618340990609321E-2</c:v>
                </c:pt>
                <c:pt idx="41">
                  <c:v>-2.6662311949939054E-3</c:v>
                </c:pt>
                <c:pt idx="42">
                  <c:v>1.1480289422459758E-2</c:v>
                </c:pt>
                <c:pt idx="43">
                  <c:v>7.7889384609232618E-3</c:v>
                </c:pt>
                <c:pt idx="44">
                  <c:v>4.5559900809479179E-2</c:v>
                </c:pt>
                <c:pt idx="45">
                  <c:v>-2.1827906402855394E-3</c:v>
                </c:pt>
                <c:pt idx="46">
                  <c:v>-5.4914336782096396E-2</c:v>
                </c:pt>
                <c:pt idx="47">
                  <c:v>-3.29327872859662E-2</c:v>
                </c:pt>
                <c:pt idx="48">
                  <c:v>1.7365364119405726E-2</c:v>
                </c:pt>
                <c:pt idx="49">
                  <c:v>3.2137864472691409E-2</c:v>
                </c:pt>
                <c:pt idx="50">
                  <c:v>-3.2107078671402778E-2</c:v>
                </c:pt>
                <c:pt idx="51">
                  <c:v>-4.016821602168269E-2</c:v>
                </c:pt>
                <c:pt idx="52">
                  <c:v>-8.8414359823605435E-3</c:v>
                </c:pt>
                <c:pt idx="53">
                  <c:v>2.035935256865776E-3</c:v>
                </c:pt>
                <c:pt idx="54">
                  <c:v>1.1652936487459914E-2</c:v>
                </c:pt>
                <c:pt idx="55">
                  <c:v>-1.7147685892643736E-2</c:v>
                </c:pt>
                <c:pt idx="56">
                  <c:v>8.2321173292160769E-3</c:v>
                </c:pt>
                <c:pt idx="57">
                  <c:v>3.3974075577434364E-2</c:v>
                </c:pt>
                <c:pt idx="58">
                  <c:v>-2.0872519176638817E-2</c:v>
                </c:pt>
                <c:pt idx="59">
                  <c:v>1.4839477764203191E-2</c:v>
                </c:pt>
                <c:pt idx="60">
                  <c:v>-1.6112004330882414E-3</c:v>
                </c:pt>
                <c:pt idx="61">
                  <c:v>3.7896580157978865E-2</c:v>
                </c:pt>
                <c:pt idx="62">
                  <c:v>-3.9050264893922847E-2</c:v>
                </c:pt>
                <c:pt idx="63">
                  <c:v>2.7761191153649761E-2</c:v>
                </c:pt>
                <c:pt idx="64">
                  <c:v>-3.8627846004118095E-2</c:v>
                </c:pt>
                <c:pt idx="65">
                  <c:v>2.9486934553601501E-2</c:v>
                </c:pt>
                <c:pt idx="66">
                  <c:v>2.430597829964333E-3</c:v>
                </c:pt>
                <c:pt idx="67">
                  <c:v>-2.5556300095053261E-2</c:v>
                </c:pt>
                <c:pt idx="68">
                  <c:v>-6.9029486517020299E-3</c:v>
                </c:pt>
                <c:pt idx="69">
                  <c:v>2.6083588705248378E-2</c:v>
                </c:pt>
                <c:pt idx="70">
                  <c:v>-1.885525170271219E-2</c:v>
                </c:pt>
                <c:pt idx="71">
                  <c:v>8.9840632166310226E-3</c:v>
                </c:pt>
                <c:pt idx="72">
                  <c:v>2.1579994464252628E-2</c:v>
                </c:pt>
                <c:pt idx="73">
                  <c:v>1.3018871724538011E-2</c:v>
                </c:pt>
                <c:pt idx="74">
                  <c:v>3.5773331391289034E-2</c:v>
                </c:pt>
                <c:pt idx="75">
                  <c:v>-2.17370348891948E-2</c:v>
                </c:pt>
                <c:pt idx="76">
                  <c:v>4.0106178161048535E-2</c:v>
                </c:pt>
                <c:pt idx="77">
                  <c:v>-5.8628750874370377E-3</c:v>
                </c:pt>
                <c:pt idx="78">
                  <c:v>2.17566338244638E-2</c:v>
                </c:pt>
                <c:pt idx="79">
                  <c:v>-4.0473625833672361E-3</c:v>
                </c:pt>
                <c:pt idx="80">
                  <c:v>2.5276999964151732E-2</c:v>
                </c:pt>
                <c:pt idx="81">
                  <c:v>4.4886592867540379E-3</c:v>
                </c:pt>
                <c:pt idx="82">
                  <c:v>3.5962481021994799E-2</c:v>
                </c:pt>
                <c:pt idx="83">
                  <c:v>1.8699003357596885E-2</c:v>
                </c:pt>
                <c:pt idx="84">
                  <c:v>9.4843637917506947E-4</c:v>
                </c:pt>
                <c:pt idx="85">
                  <c:v>-1.4958590958267475E-2</c:v>
                </c:pt>
                <c:pt idx="86">
                  <c:v>1.7460981171986557E-2</c:v>
                </c:pt>
                <c:pt idx="87">
                  <c:v>1.7978899898167238E-2</c:v>
                </c:pt>
                <c:pt idx="88">
                  <c:v>-1.0048604706004905E-2</c:v>
                </c:pt>
                <c:pt idx="89">
                  <c:v>2.7723438700604112E-2</c:v>
                </c:pt>
                <c:pt idx="90">
                  <c:v>-4.2118159110374996E-2</c:v>
                </c:pt>
                <c:pt idx="91">
                  <c:v>-1.1343890710300441E-2</c:v>
                </c:pt>
                <c:pt idx="92">
                  <c:v>1.2754715535469814E-2</c:v>
                </c:pt>
                <c:pt idx="93">
                  <c:v>1.226925474884211E-2</c:v>
                </c:pt>
                <c:pt idx="94">
                  <c:v>4.0892420926590983E-2</c:v>
                </c:pt>
                <c:pt idx="95">
                  <c:v>1.4147029639902237E-3</c:v>
                </c:pt>
                <c:pt idx="96">
                  <c:v>-4.5146379609285817E-3</c:v>
                </c:pt>
                <c:pt idx="97">
                  <c:v>8.9380149000902021E-2</c:v>
                </c:pt>
                <c:pt idx="98">
                  <c:v>-7.0258143925826452E-2</c:v>
                </c:pt>
                <c:pt idx="99">
                  <c:v>-5.5102715335308902E-2</c:v>
                </c:pt>
                <c:pt idx="100">
                  <c:v>-2.4306628017325676E-2</c:v>
                </c:pt>
                <c:pt idx="101">
                  <c:v>-1.7090441903536199E-2</c:v>
                </c:pt>
                <c:pt idx="102">
                  <c:v>-1.4002207635567645E-2</c:v>
                </c:pt>
                <c:pt idx="103">
                  <c:v>1.3368282288577059E-2</c:v>
                </c:pt>
                <c:pt idx="104">
                  <c:v>1.2492670159049061E-2</c:v>
                </c:pt>
                <c:pt idx="105">
                  <c:v>3.0410445152121296E-2</c:v>
                </c:pt>
                <c:pt idx="106">
                  <c:v>-4.1566756286193505E-3</c:v>
                </c:pt>
                <c:pt idx="107">
                  <c:v>4.4927084950090575E-2</c:v>
                </c:pt>
                <c:pt idx="108">
                  <c:v>1.8280213652198337E-2</c:v>
                </c:pt>
                <c:pt idx="109">
                  <c:v>2.2326336362178248E-2</c:v>
                </c:pt>
                <c:pt idx="110">
                  <c:v>7.256969449752658E-2</c:v>
                </c:pt>
                <c:pt idx="111">
                  <c:v>-4.7159966588310204E-2</c:v>
                </c:pt>
                <c:pt idx="112">
                  <c:v>3.9082854019539127E-2</c:v>
                </c:pt>
                <c:pt idx="113">
                  <c:v>-4.9622155136489279E-2</c:v>
                </c:pt>
                <c:pt idx="114">
                  <c:v>-4.8541825317204891E-2</c:v>
                </c:pt>
                <c:pt idx="115">
                  <c:v>3.1552775359322015E-2</c:v>
                </c:pt>
                <c:pt idx="116">
                  <c:v>4.5817406663931033E-2</c:v>
                </c:pt>
                <c:pt idx="117">
                  <c:v>2.4362604037119696E-2</c:v>
                </c:pt>
                <c:pt idx="118">
                  <c:v>-2.4858006505324395E-2</c:v>
                </c:pt>
                <c:pt idx="119">
                  <c:v>4.5302239491549691E-2</c:v>
                </c:pt>
                <c:pt idx="120">
                  <c:v>1.6115218334814881E-2</c:v>
                </c:pt>
                <c:pt idx="121">
                  <c:v>-4.3687163554247017E-2</c:v>
                </c:pt>
                <c:pt idx="122">
                  <c:v>3.2017428393277848E-2</c:v>
                </c:pt>
                <c:pt idx="123">
                  <c:v>1.4581761084758477E-2</c:v>
                </c:pt>
                <c:pt idx="124">
                  <c:v>5.5462156276293077E-2</c:v>
                </c:pt>
                <c:pt idx="125">
                  <c:v>5.9069394840907995E-3</c:v>
                </c:pt>
                <c:pt idx="126">
                  <c:v>1.5207181474731239E-2</c:v>
                </c:pt>
                <c:pt idx="127">
                  <c:v>9.0694607851399545E-2</c:v>
                </c:pt>
                <c:pt idx="128">
                  <c:v>5.0652018083826994E-2</c:v>
                </c:pt>
                <c:pt idx="129">
                  <c:v>-7.6217370148614738E-2</c:v>
                </c:pt>
                <c:pt idx="130">
                  <c:v>-6.9541579005165624E-2</c:v>
                </c:pt>
                <c:pt idx="131">
                  <c:v>3.2279774513532783E-2</c:v>
                </c:pt>
                <c:pt idx="132">
                  <c:v>-7.420675773204416E-2</c:v>
                </c:pt>
                <c:pt idx="133">
                  <c:v>-0.12864901083662644</c:v>
                </c:pt>
                <c:pt idx="134">
                  <c:v>-5.1182877913355518E-2</c:v>
                </c:pt>
                <c:pt idx="135">
                  <c:v>1.8923276847214465E-2</c:v>
                </c:pt>
                <c:pt idx="136">
                  <c:v>1.948409844486252E-2</c:v>
                </c:pt>
                <c:pt idx="137">
                  <c:v>-4.9670874366314489E-2</c:v>
                </c:pt>
                <c:pt idx="138">
                  <c:v>2.4739201024574036E-2</c:v>
                </c:pt>
                <c:pt idx="139">
                  <c:v>2.253652088398277E-2</c:v>
                </c:pt>
                <c:pt idx="140">
                  <c:v>-5.9262296688208731E-4</c:v>
                </c:pt>
                <c:pt idx="141">
                  <c:v>-2.5226708089777294E-2</c:v>
                </c:pt>
              </c:numCache>
            </c:numRef>
          </c:yVal>
          <c:smooth val="0"/>
          <c:extLst>
            <c:ext xmlns:c16="http://schemas.microsoft.com/office/drawing/2014/chart" uri="{C3380CC4-5D6E-409C-BE32-E72D297353CC}">
              <c16:uniqueId val="{00000001-8D4F-4F71-90BF-3EF9D31B3EA9}"/>
            </c:ext>
          </c:extLst>
        </c:ser>
        <c:dLbls>
          <c:showLegendKey val="0"/>
          <c:showVal val="0"/>
          <c:showCatName val="0"/>
          <c:showSerName val="0"/>
          <c:showPercent val="0"/>
          <c:showBubbleSize val="0"/>
        </c:dLbls>
        <c:axId val="990814840"/>
        <c:axId val="990815232"/>
      </c:scatterChart>
      <c:valAx>
        <c:axId val="990814840"/>
        <c:scaling>
          <c:orientation val="minMax"/>
        </c:scaling>
        <c:delete val="0"/>
        <c:axPos val="b"/>
        <c:title>
          <c:tx>
            <c:rich>
              <a:bodyPr/>
              <a:lstStyle/>
              <a:p>
                <a:pPr>
                  <a:defRPr/>
                </a:pPr>
                <a:r>
                  <a:rPr lang="en-US"/>
                  <a:t>NKE</a:t>
                </a:r>
                <a:r>
                  <a:rPr lang="en-US" baseline="0"/>
                  <a:t> Rf</a:t>
                </a:r>
                <a:endParaRPr lang="en-US"/>
              </a:p>
            </c:rich>
          </c:tx>
          <c:layout>
            <c:manualLayout>
              <c:xMode val="edge"/>
              <c:yMode val="edge"/>
              <c:x val="0.509209150464771"/>
              <c:y val="0.94460908707655067"/>
            </c:manualLayout>
          </c:layout>
          <c:overlay val="0"/>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990815232"/>
        <c:crosses val="autoZero"/>
        <c:crossBetween val="midCat"/>
      </c:valAx>
      <c:valAx>
        <c:axId val="990815232"/>
        <c:scaling>
          <c:orientation val="minMax"/>
        </c:scaling>
        <c:delete val="0"/>
        <c:axPos val="l"/>
        <c:title>
          <c:tx>
            <c:rich>
              <a:bodyPr/>
              <a:lstStyle/>
              <a:p>
                <a:pPr>
                  <a:defRPr/>
                </a:pPr>
                <a:r>
                  <a:rPr lang="en-US"/>
                  <a:t>Rm Rf</a:t>
                </a:r>
              </a:p>
            </c:rich>
          </c:tx>
          <c:layout>
            <c:manualLayout>
              <c:xMode val="edge"/>
              <c:yMode val="edge"/>
              <c:x val="9.034782180377586E-3"/>
              <c:y val="0.4522418505976909"/>
            </c:manualLayout>
          </c:layout>
          <c:overlay val="0"/>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990814840"/>
        <c:crosses val="autoZero"/>
        <c:crossBetween val="midCat"/>
      </c:valAx>
      <c:spPr>
        <a:solidFill>
          <a:schemeClr val="accent1">
            <a:lumMod val="20000"/>
            <a:lumOff val="80000"/>
          </a:schemeClr>
        </a:solidFill>
        <a:ln w="12700">
          <a:solidFill>
            <a:srgbClr val="808080"/>
          </a:solidFill>
          <a:prstDash val="solid"/>
        </a:ln>
      </c:spPr>
    </c:plotArea>
    <c:plotVisOnly val="1"/>
    <c:dispBlanksAs val="gap"/>
    <c:showDLblsOverMax val="0"/>
  </c:chart>
  <c:spPr>
    <a:gradFill flip="none" rotWithShape="1">
      <a:gsLst>
        <a:gs pos="17694">
          <a:srgbClr val="E2E9F6"/>
        </a:gs>
        <a:gs pos="10000">
          <a:schemeClr val="accent1">
            <a:lumMod val="5000"/>
            <a:lumOff val="95000"/>
          </a:schemeClr>
        </a:gs>
        <a:gs pos="61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w="3175">
      <a:solidFill>
        <a:schemeClr val="accent1"/>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Comparison of Financial Ratios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293758688272168"/>
          <c:y val="0.15901393354769561"/>
          <c:w val="0.84241419480099233"/>
          <c:h val="0.61259707488332449"/>
        </c:manualLayout>
      </c:layout>
      <c:lineChart>
        <c:grouping val="standard"/>
        <c:varyColors val="0"/>
        <c:ser>
          <c:idx val="0"/>
          <c:order val="0"/>
          <c:tx>
            <c:strRef>
              <c:f>'DCF Model'!$C$102:$D$102</c:f>
              <c:strCache>
                <c:ptCount val="2"/>
                <c:pt idx="0">
                  <c:v>Free Cash Flows/Sales</c:v>
                </c:pt>
              </c:strCache>
            </c:strRef>
          </c:tx>
          <c:spPr>
            <a:ln w="28575" cap="rnd">
              <a:solidFill>
                <a:srgbClr val="00B050"/>
              </a:solidFill>
              <a:round/>
            </a:ln>
            <a:effectLst/>
          </c:spPr>
          <c:marker>
            <c:symbol val="none"/>
          </c:marker>
          <c:cat>
            <c:numRef>
              <c:f>'DCF Model'!$E$101:$T$101</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'DCF Model'!$E$102:$T$102</c:f>
              <c:numCache>
                <c:formatCode>General</c:formatCode>
                <c:ptCount val="16"/>
                <c:pt idx="0">
                  <c:v>5.8187530803351407E-2</c:v>
                </c:pt>
                <c:pt idx="1">
                  <c:v>4.513341507561161E-2</c:v>
                </c:pt>
                <c:pt idx="2">
                  <c:v>3.4898110716937547E-2</c:v>
                </c:pt>
                <c:pt idx="3">
                  <c:v>6.1678850774500284E-2</c:v>
                </c:pt>
                <c:pt idx="4">
                  <c:v>1.055743468281178E-2</c:v>
                </c:pt>
                <c:pt idx="5">
                  <c:v>6.0700841399629765E-2</c:v>
                </c:pt>
                <c:pt idx="6">
                  <c:v>6.6821595154430244E-2</c:v>
                </c:pt>
                <c:pt idx="7">
                  <c:v>5.2179714862943608E-2</c:v>
                </c:pt>
                <c:pt idx="8">
                  <c:v>6.2578415068716683E-2</c:v>
                </c:pt>
                <c:pt idx="9">
                  <c:v>6.5694043014568437E-2</c:v>
                </c:pt>
                <c:pt idx="10">
                  <c:v>6.5816077857523039E-2</c:v>
                </c:pt>
                <c:pt idx="11">
                  <c:v>7.0418574373731058E-2</c:v>
                </c:pt>
                <c:pt idx="12">
                  <c:v>7.2626406837649857E-2</c:v>
                </c:pt>
                <c:pt idx="13">
                  <c:v>7.4917187848269867E-2</c:v>
                </c:pt>
                <c:pt idx="14">
                  <c:v>7.79309595328921E-2</c:v>
                </c:pt>
                <c:pt idx="15">
                  <c:v>8.0415231275141122E-2</c:v>
                </c:pt>
              </c:numCache>
            </c:numRef>
          </c:val>
          <c:smooth val="0"/>
          <c:extLst>
            <c:ext xmlns:c16="http://schemas.microsoft.com/office/drawing/2014/chart" uri="{C3380CC4-5D6E-409C-BE32-E72D297353CC}">
              <c16:uniqueId val="{00000000-E6A0-4310-B031-AB3D3BC4FDC3}"/>
            </c:ext>
          </c:extLst>
        </c:ser>
        <c:ser>
          <c:idx val="1"/>
          <c:order val="1"/>
          <c:tx>
            <c:strRef>
              <c:f>'DCF Model'!$C$103:$D$103</c:f>
              <c:strCache>
                <c:ptCount val="2"/>
                <c:pt idx="0">
                  <c:v>Net Operating P/L After Tax/Sales</c:v>
                </c:pt>
              </c:strCache>
            </c:strRef>
          </c:tx>
          <c:spPr>
            <a:ln w="28575" cap="rnd">
              <a:solidFill>
                <a:srgbClr val="FF5050"/>
              </a:solidFill>
              <a:round/>
            </a:ln>
            <a:effectLst/>
          </c:spPr>
          <c:marker>
            <c:symbol val="none"/>
          </c:marker>
          <c:cat>
            <c:numRef>
              <c:f>'DCF Model'!$E$101:$T$101</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'DCF Model'!$E$103:$T$103</c:f>
              <c:numCache>
                <c:formatCode>General</c:formatCode>
                <c:ptCount val="16"/>
                <c:pt idx="0">
                  <c:v>7.6761951700344999E-2</c:v>
                </c:pt>
                <c:pt idx="1">
                  <c:v>8.6471652945641381E-2</c:v>
                </c:pt>
                <c:pt idx="2">
                  <c:v>3.7428154992712376E-2</c:v>
                </c:pt>
                <c:pt idx="3">
                  <c:v>8.2996779305761464E-2</c:v>
                </c:pt>
                <c:pt idx="4">
                  <c:v>8.2484060234506981E-2</c:v>
                </c:pt>
                <c:pt idx="5">
                  <c:v>8.3808996451296316E-2</c:v>
                </c:pt>
                <c:pt idx="6">
                  <c:v>8.5131451514121617E-2</c:v>
                </c:pt>
                <c:pt idx="7">
                  <c:v>8.6451430069338642E-2</c:v>
                </c:pt>
                <c:pt idx="8">
                  <c:v>8.7768936754602053E-2</c:v>
                </c:pt>
                <c:pt idx="9">
                  <c:v>9.0411386663333565E-2</c:v>
                </c:pt>
                <c:pt idx="10">
                  <c:v>9.3043893204581687E-2</c:v>
                </c:pt>
                <c:pt idx="11">
                  <c:v>9.5666493794592633E-2</c:v>
                </c:pt>
                <c:pt idx="12">
                  <c:v>9.8279225708818085E-2</c:v>
                </c:pt>
                <c:pt idx="13">
                  <c:v>0.10088212608244437</c:v>
                </c:pt>
                <c:pt idx="14">
                  <c:v>0.10347523191092058</c:v>
                </c:pt>
                <c:pt idx="15">
                  <c:v>0.10605858005048446</c:v>
                </c:pt>
              </c:numCache>
            </c:numRef>
          </c:val>
          <c:smooth val="0"/>
          <c:extLst>
            <c:ext xmlns:c16="http://schemas.microsoft.com/office/drawing/2014/chart" uri="{C3380CC4-5D6E-409C-BE32-E72D297353CC}">
              <c16:uniqueId val="{00000001-E6A0-4310-B031-AB3D3BC4FDC3}"/>
            </c:ext>
          </c:extLst>
        </c:ser>
        <c:ser>
          <c:idx val="2"/>
          <c:order val="2"/>
          <c:tx>
            <c:strRef>
              <c:f>'DCF Model'!$C$104:$D$104</c:f>
              <c:strCache>
                <c:ptCount val="2"/>
                <c:pt idx="0">
                  <c:v>Change in NWC/Sales</c:v>
                </c:pt>
              </c:strCache>
            </c:strRef>
          </c:tx>
          <c:spPr>
            <a:ln w="28575" cap="rnd">
              <a:solidFill>
                <a:srgbClr val="A7ABF1"/>
              </a:solidFill>
              <a:round/>
            </a:ln>
            <a:effectLst/>
          </c:spPr>
          <c:marker>
            <c:symbol val="none"/>
          </c:marker>
          <c:cat>
            <c:numRef>
              <c:f>'DCF Model'!$E$101:$T$101</c:f>
              <c:numCache>
                <c:formatCode>General</c:formatCode>
                <c:ptCount val="1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numCache>
            </c:numRef>
          </c:cat>
          <c:val>
            <c:numRef>
              <c:f>'DCF Model'!$E$104:$T$104</c:f>
              <c:numCache>
                <c:formatCode>General</c:formatCode>
                <c:ptCount val="16"/>
                <c:pt idx="0">
                  <c:v>0</c:v>
                </c:pt>
                <c:pt idx="1">
                  <c:v>2.685817714719449E-2</c:v>
                </c:pt>
                <c:pt idx="2">
                  <c:v>-4.1058218518824081E-2</c:v>
                </c:pt>
                <c:pt idx="3">
                  <c:v>-1.1119063442564286E-2</c:v>
                </c:pt>
                <c:pt idx="4">
                  <c:v>6.1364161487968305E-2</c:v>
                </c:pt>
                <c:pt idx="5">
                  <c:v>1.2565470883190094E-2</c:v>
                </c:pt>
                <c:pt idx="6">
                  <c:v>7.7869150454629929E-3</c:v>
                </c:pt>
                <c:pt idx="7">
                  <c:v>2.376847977477756E-2</c:v>
                </c:pt>
                <c:pt idx="8">
                  <c:v>1.4706955234476926E-2</c:v>
                </c:pt>
                <c:pt idx="9">
                  <c:v>1.4273226177418434E-2</c:v>
                </c:pt>
                <c:pt idx="10">
                  <c:v>1.682299841182237E-2</c:v>
                </c:pt>
                <c:pt idx="11">
                  <c:v>1.4882255136369376E-2</c:v>
                </c:pt>
                <c:pt idx="12">
                  <c:v>1.5326159908536767E-2</c:v>
                </c:pt>
                <c:pt idx="13">
                  <c:v>1.5677137818909507E-2</c:v>
                </c:pt>
                <c:pt idx="14">
                  <c:v>1.5295184287938501E-2</c:v>
                </c:pt>
                <c:pt idx="15">
                  <c:v>1.54328273384616E-2</c:v>
                </c:pt>
              </c:numCache>
            </c:numRef>
          </c:val>
          <c:smooth val="0"/>
          <c:extLst>
            <c:ext xmlns:c16="http://schemas.microsoft.com/office/drawing/2014/chart" uri="{C3380CC4-5D6E-409C-BE32-E72D297353CC}">
              <c16:uniqueId val="{00000002-E6A0-4310-B031-AB3D3BC4FDC3}"/>
            </c:ext>
          </c:extLst>
        </c:ser>
        <c:dLbls>
          <c:showLegendKey val="0"/>
          <c:showVal val="0"/>
          <c:showCatName val="0"/>
          <c:showSerName val="0"/>
          <c:showPercent val="0"/>
          <c:showBubbleSize val="0"/>
        </c:dLbls>
        <c:smooth val="0"/>
        <c:axId val="2126726111"/>
        <c:axId val="2028199135"/>
      </c:lineChart>
      <c:catAx>
        <c:axId val="2126726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8199135"/>
        <c:crosses val="autoZero"/>
        <c:auto val="1"/>
        <c:lblAlgn val="ctr"/>
        <c:lblOffset val="100"/>
        <c:noMultiLvlLbl val="0"/>
      </c:catAx>
      <c:valAx>
        <c:axId val="2028199135"/>
        <c:scaling>
          <c:orientation val="minMax"/>
          <c:max val="0.70000000000000007"/>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Ratio</a:t>
                </a:r>
              </a:p>
            </c:rich>
          </c:tx>
          <c:layout>
            <c:manualLayout>
              <c:xMode val="edge"/>
              <c:yMode val="edge"/>
              <c:x val="2.4971101902850398E-2"/>
              <c:y val="0.40713438151420783"/>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67261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12000">
          <a:schemeClr val="accent1">
            <a:lumMod val="5000"/>
            <a:lumOff val="95000"/>
          </a:schemeClr>
        </a:gs>
        <a:gs pos="61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800" b="0" i="0" u="none" strike="noStrike" baseline="0">
                <a:solidFill>
                  <a:srgbClr val="000000"/>
                </a:solidFill>
                <a:latin typeface="Arial"/>
                <a:ea typeface="Arial"/>
                <a:cs typeface="Arial"/>
              </a:defRPr>
            </a:pPr>
            <a:r>
              <a:rPr lang="en-US"/>
              <a:t>NKE-Rf</a:t>
            </a:r>
          </a:p>
        </c:rich>
      </c:tx>
      <c:layout>
        <c:manualLayout>
          <c:xMode val="edge"/>
          <c:yMode val="edge"/>
          <c:x val="0.47663278942014964"/>
          <c:y val="4.0293040293040296E-2"/>
        </c:manualLayout>
      </c:layout>
      <c:overlay val="0"/>
      <c:spPr>
        <a:noFill/>
        <a:ln w="25400">
          <a:noFill/>
        </a:ln>
      </c:spPr>
    </c:title>
    <c:autoTitleDeleted val="0"/>
    <c:plotArea>
      <c:layout>
        <c:manualLayout>
          <c:layoutTarget val="inner"/>
          <c:xMode val="edge"/>
          <c:yMode val="edge"/>
          <c:x val="6.9335007169175802E-2"/>
          <c:y val="0.16850359905888987"/>
          <c:w val="0.88220079156161124"/>
          <c:h val="0.76923180110292688"/>
        </c:manualLayout>
      </c:layout>
      <c:scatterChart>
        <c:scatterStyle val="lineMarker"/>
        <c:varyColors val="0"/>
        <c:ser>
          <c:idx val="0"/>
          <c:order val="0"/>
          <c:tx>
            <c:v>Appl-Rf</c:v>
          </c:tx>
          <c:spPr>
            <a:ln w="28575">
              <a:noFill/>
            </a:ln>
          </c:spPr>
          <c:marker>
            <c:symbol val="diamond"/>
            <c:size val="5"/>
            <c:spPr>
              <a:solidFill>
                <a:schemeClr val="accent1"/>
              </a:solidFill>
              <a:ln>
                <a:solidFill>
                  <a:schemeClr val="accent1"/>
                </a:solidFill>
                <a:prstDash val="solid"/>
              </a:ln>
            </c:spPr>
          </c:marker>
          <c:xVal>
            <c:numRef>
              <c:f>'NIKE BETA'!$F$8:$F$264</c:f>
              <c:numCache>
                <c:formatCode>0.0000</c:formatCode>
                <c:ptCount val="257"/>
                <c:pt idx="0">
                  <c:v>1.5360420926312597E-2</c:v>
                </c:pt>
                <c:pt idx="1">
                  <c:v>2.3840287342056121E-2</c:v>
                </c:pt>
                <c:pt idx="2">
                  <c:v>1.7318174486174488E-2</c:v>
                </c:pt>
                <c:pt idx="3">
                  <c:v>-5.2301842684793445E-2</c:v>
                </c:pt>
                <c:pt idx="4">
                  <c:v>3.0264233019538247E-3</c:v>
                </c:pt>
                <c:pt idx="5">
                  <c:v>6.6866821169985241E-2</c:v>
                </c:pt>
                <c:pt idx="6">
                  <c:v>-8.1161539712767405E-2</c:v>
                </c:pt>
                <c:pt idx="7">
                  <c:v>3.0977702946131842E-2</c:v>
                </c:pt>
                <c:pt idx="8">
                  <c:v>-2.5080274382256823E-2</c:v>
                </c:pt>
                <c:pt idx="9">
                  <c:v>4.8203800724717707E-2</c:v>
                </c:pt>
                <c:pt idx="10">
                  <c:v>1.2393532342733634E-2</c:v>
                </c:pt>
                <c:pt idx="11">
                  <c:v>-3.8948596640749067E-2</c:v>
                </c:pt>
                <c:pt idx="12">
                  <c:v>1.1704139456918373E-2</c:v>
                </c:pt>
                <c:pt idx="13">
                  <c:v>-0.11197280032267529</c:v>
                </c:pt>
                <c:pt idx="14">
                  <c:v>-2.8044062688496327E-2</c:v>
                </c:pt>
                <c:pt idx="15">
                  <c:v>3.9357808005282324E-2</c:v>
                </c:pt>
                <c:pt idx="16">
                  <c:v>1.4307840345425381E-2</c:v>
                </c:pt>
                <c:pt idx="17">
                  <c:v>3.304998680955649E-3</c:v>
                </c:pt>
                <c:pt idx="18">
                  <c:v>5.7003961593988219E-2</c:v>
                </c:pt>
                <c:pt idx="19">
                  <c:v>5.5594218992868526E-3</c:v>
                </c:pt>
                <c:pt idx="20">
                  <c:v>8.7502192139359437E-3</c:v>
                </c:pt>
                <c:pt idx="21">
                  <c:v>-4.2307943705555379E-2</c:v>
                </c:pt>
                <c:pt idx="22">
                  <c:v>2.3253128315425437E-2</c:v>
                </c:pt>
                <c:pt idx="23">
                  <c:v>3.0423572337020942E-2</c:v>
                </c:pt>
                <c:pt idx="24">
                  <c:v>-1.2775781181036254E-2</c:v>
                </c:pt>
                <c:pt idx="25">
                  <c:v>5.4318930242159141E-3</c:v>
                </c:pt>
                <c:pt idx="26">
                  <c:v>5.8518029693204354E-2</c:v>
                </c:pt>
                <c:pt idx="27">
                  <c:v>-1.6206296369223105E-2</c:v>
                </c:pt>
                <c:pt idx="28">
                  <c:v>4.4949240501702126E-3</c:v>
                </c:pt>
                <c:pt idx="29">
                  <c:v>3.0584505259604284E-2</c:v>
                </c:pt>
                <c:pt idx="30">
                  <c:v>-2.3959985332880407E-2</c:v>
                </c:pt>
                <c:pt idx="31">
                  <c:v>8.0095866567610093E-3</c:v>
                </c:pt>
                <c:pt idx="32">
                  <c:v>-3.0630788432830063E-3</c:v>
                </c:pt>
                <c:pt idx="33">
                  <c:v>1.5781728999260773E-2</c:v>
                </c:pt>
                <c:pt idx="34">
                  <c:v>9.1327872622460086E-4</c:v>
                </c:pt>
                <c:pt idx="35">
                  <c:v>2.3756951347249047E-2</c:v>
                </c:pt>
                <c:pt idx="36">
                  <c:v>0.1073994211184383</c:v>
                </c:pt>
                <c:pt idx="37">
                  <c:v>-5.0301955594242075E-2</c:v>
                </c:pt>
                <c:pt idx="38">
                  <c:v>7.5217541687760811E-3</c:v>
                </c:pt>
                <c:pt idx="39">
                  <c:v>1.4510567882421188E-2</c:v>
                </c:pt>
                <c:pt idx="40">
                  <c:v>5.7230814525751995E-2</c:v>
                </c:pt>
                <c:pt idx="41">
                  <c:v>-4.4077959439148889E-3</c:v>
                </c:pt>
                <c:pt idx="42">
                  <c:v>1.8979139260803222E-2</c:v>
                </c:pt>
                <c:pt idx="43">
                  <c:v>1.2876622034848972E-2</c:v>
                </c:pt>
                <c:pt idx="44">
                  <c:v>7.5319329535354126E-2</c:v>
                </c:pt>
                <c:pt idx="45">
                  <c:v>-3.6085751861019604E-3</c:v>
                </c:pt>
                <c:pt idx="46">
                  <c:v>-9.0784021800275269E-2</c:v>
                </c:pt>
                <c:pt idx="47">
                  <c:v>-5.4444268184036998E-2</c:v>
                </c:pt>
                <c:pt idx="48">
                  <c:v>2.8708306194090819E-2</c:v>
                </c:pt>
                <c:pt idx="49">
                  <c:v>5.3130106997018839E-2</c:v>
                </c:pt>
                <c:pt idx="50">
                  <c:v>-5.3079212112019755E-2</c:v>
                </c:pt>
                <c:pt idx="51">
                  <c:v>-6.6405831567458926E-2</c:v>
                </c:pt>
                <c:pt idx="52">
                  <c:v>-1.4616604041916566E-2</c:v>
                </c:pt>
                <c:pt idx="53">
                  <c:v>3.3657948283463838E-3</c:v>
                </c:pt>
                <c:pt idx="54">
                  <c:v>1.9264558257574893E-2</c:v>
                </c:pt>
                <c:pt idx="55">
                  <c:v>-2.8348441975713359E-2</c:v>
                </c:pt>
                <c:pt idx="56">
                  <c:v>1.3609282436451663E-2</c:v>
                </c:pt>
                <c:pt idx="57">
                  <c:v>5.6165719165556224E-2</c:v>
                </c:pt>
                <c:pt idx="58">
                  <c:v>-3.4506311957798776E-2</c:v>
                </c:pt>
                <c:pt idx="59">
                  <c:v>2.4532527419858473E-2</c:v>
                </c:pt>
                <c:pt idx="60">
                  <c:v>-2.6636260003013341E-3</c:v>
                </c:pt>
                <c:pt idx="61">
                  <c:v>6.2650378040065846E-2</c:v>
                </c:pt>
                <c:pt idx="62">
                  <c:v>-6.4557642087234135E-2</c:v>
                </c:pt>
                <c:pt idx="63">
                  <c:v>4.5894619339484181E-2</c:v>
                </c:pt>
                <c:pt idx="64">
                  <c:v>-6.3859301946060182E-2</c:v>
                </c:pt>
                <c:pt idx="65">
                  <c:v>4.8747607022183073E-2</c:v>
                </c:pt>
                <c:pt idx="66">
                  <c:v>4.0182484085854401E-3</c:v>
                </c:pt>
                <c:pt idx="67">
                  <c:v>-4.2249507886620068E-2</c:v>
                </c:pt>
                <c:pt idx="68">
                  <c:v>-1.1411909486751958E-2</c:v>
                </c:pt>
                <c:pt idx="69">
                  <c:v>4.3121217962495864E-2</c:v>
                </c:pt>
                <c:pt idx="70">
                  <c:v>-3.1171378585906562E-2</c:v>
                </c:pt>
                <c:pt idx="71">
                  <c:v>1.4852394451199005E-2</c:v>
                </c:pt>
                <c:pt idx="72">
                  <c:v>3.5675905468301267E-2</c:v>
                </c:pt>
                <c:pt idx="73">
                  <c:v>2.1522713442672044E-2</c:v>
                </c:pt>
                <c:pt idx="74">
                  <c:v>5.9140237089307407E-2</c:v>
                </c:pt>
                <c:pt idx="75">
                  <c:v>-3.5935523669975017E-2</c:v>
                </c:pt>
                <c:pt idx="76">
                  <c:v>6.6303270982695756E-2</c:v>
                </c:pt>
                <c:pt idx="77">
                  <c:v>-9.6924666842868046E-3</c:v>
                </c:pt>
                <c:pt idx="78">
                  <c:v>3.5967924501360514E-2</c:v>
                </c:pt>
                <c:pt idx="79">
                  <c:v>-6.6910733067766723E-3</c:v>
                </c:pt>
                <c:pt idx="80">
                  <c:v>4.1787770740031219E-2</c:v>
                </c:pt>
                <c:pt idx="81">
                  <c:v>7.4206221256876304E-3</c:v>
                </c:pt>
                <c:pt idx="82">
                  <c:v>5.945293801958805E-2</c:v>
                </c:pt>
                <c:pt idx="83">
                  <c:v>3.0913069845413328E-2</c:v>
                </c:pt>
                <c:pt idx="84">
                  <c:v>1.5679488084298521E-3</c:v>
                </c:pt>
                <c:pt idx="85">
                  <c:v>-2.4729444571922811E-2</c:v>
                </c:pt>
                <c:pt idx="86">
                  <c:v>2.8866379678988235E-2</c:v>
                </c:pt>
                <c:pt idx="87">
                  <c:v>2.972259952399758E-2</c:v>
                </c:pt>
                <c:pt idx="88">
                  <c:v>-1.6612287467154072E-2</c:v>
                </c:pt>
                <c:pt idx="89">
                  <c:v>4.5832207231441977E-2</c:v>
                </c:pt>
                <c:pt idx="90">
                  <c:v>-6.9629464706753311E-2</c:v>
                </c:pt>
                <c:pt idx="91">
                  <c:v>-1.8753645803469179E-2</c:v>
                </c:pt>
                <c:pt idx="92">
                  <c:v>2.1086012161507461E-2</c:v>
                </c:pt>
                <c:pt idx="93">
                  <c:v>2.0283451569520911E-2</c:v>
                </c:pt>
                <c:pt idx="94">
                  <c:v>6.7603082371669593E-2</c:v>
                </c:pt>
                <c:pt idx="95">
                  <c:v>2.3387776717295264E-3</c:v>
                </c:pt>
                <c:pt idx="96">
                  <c:v>-7.4635698996353061E-3</c:v>
                </c:pt>
                <c:pt idx="97">
                  <c:v>0.14776267675976421</c:v>
                </c:pt>
                <c:pt idx="98">
                  <c:v>-0.11615030324628477</c:v>
                </c:pt>
                <c:pt idx="99">
                  <c:v>-9.1095447990295716E-2</c:v>
                </c:pt>
                <c:pt idx="100">
                  <c:v>-4.0183558194870274E-2</c:v>
                </c:pt>
                <c:pt idx="101">
                  <c:v>-2.8253806587951239E-2</c:v>
                </c:pt>
                <c:pt idx="102">
                  <c:v>-2.3148357928521733E-2</c:v>
                </c:pt>
                <c:pt idx="103">
                  <c:v>2.2100356697999663E-2</c:v>
                </c:pt>
                <c:pt idx="104">
                  <c:v>2.0652800461982777E-2</c:v>
                </c:pt>
                <c:pt idx="105">
                  <c:v>5.0274348693333339E-2</c:v>
                </c:pt>
                <c:pt idx="106">
                  <c:v>-6.8717889170298013E-3</c:v>
                </c:pt>
                <c:pt idx="107">
                  <c:v>7.4273162502466905E-2</c:v>
                </c:pt>
                <c:pt idx="108">
                  <c:v>3.0220729448123342E-2</c:v>
                </c:pt>
                <c:pt idx="109">
                  <c:v>3.690975300433904E-2</c:v>
                </c:pt>
                <c:pt idx="110">
                  <c:v>0.11997174350743858</c:v>
                </c:pt>
                <c:pt idx="111">
                  <c:v>-7.796454779818543E-2</c:v>
                </c:pt>
                <c:pt idx="112">
                  <c:v>6.4611518216197317E-2</c:v>
                </c:pt>
                <c:pt idx="113">
                  <c:v>-8.203502177515884E-2</c:v>
                </c:pt>
                <c:pt idx="114">
                  <c:v>-8.0249027595631989E-2</c:v>
                </c:pt>
                <c:pt idx="115">
                  <c:v>5.2162841507971749E-2</c:v>
                </c:pt>
                <c:pt idx="116">
                  <c:v>7.574503652690022E-2</c:v>
                </c:pt>
                <c:pt idx="117">
                  <c:v>4.0276097384070307E-2</c:v>
                </c:pt>
                <c:pt idx="118">
                  <c:v>-4.1095093498907637E-2</c:v>
                </c:pt>
                <c:pt idx="119">
                  <c:v>7.489336553260531E-2</c:v>
                </c:pt>
                <c:pt idx="120">
                  <c:v>2.6641573373258148E-2</c:v>
                </c:pt>
                <c:pt idx="121">
                  <c:v>-7.2223332574126803E-2</c:v>
                </c:pt>
                <c:pt idx="122">
                  <c:v>5.2931002859561878E-2</c:v>
                </c:pt>
                <c:pt idx="123">
                  <c:v>2.4106471893815384E-2</c:v>
                </c:pt>
                <c:pt idx="124">
                  <c:v>9.1689673399075633E-2</c:v>
                </c:pt>
                <c:pt idx="125">
                  <c:v>9.7653136561496306E-3</c:v>
                </c:pt>
                <c:pt idx="126">
                  <c:v>2.5140412785115286E-2</c:v>
                </c:pt>
                <c:pt idx="127">
                  <c:v>0.14993573151981074</c:v>
                </c:pt>
                <c:pt idx="128">
                  <c:v>8.3737584452614047E-2</c:v>
                </c:pt>
                <c:pt idx="129">
                  <c:v>-0.12600205699629574</c:v>
                </c:pt>
                <c:pt idx="130">
                  <c:v>-0.11496568281397911</c:v>
                </c:pt>
                <c:pt idx="131">
                  <c:v>5.3364711746822925E-2</c:v>
                </c:pt>
                <c:pt idx="132">
                  <c:v>-0.12267812572162434</c:v>
                </c:pt>
                <c:pt idx="133">
                  <c:v>-0.21268170187906035</c:v>
                </c:pt>
                <c:pt idx="134">
                  <c:v>-8.4615198444895207E-2</c:v>
                </c:pt>
                <c:pt idx="135">
                  <c:v>3.1283837309135192E-2</c:v>
                </c:pt>
                <c:pt idx="136">
                  <c:v>3.2210983900178888E-2</c:v>
                </c:pt>
                <c:pt idx="137">
                  <c:v>-8.2115564086724852E-2</c:v>
                </c:pt>
                <c:pt idx="138">
                  <c:v>4.0898685056477917E-2</c:v>
                </c:pt>
                <c:pt idx="139">
                  <c:v>3.7257228678775359E-2</c:v>
                </c:pt>
                <c:pt idx="140">
                  <c:v>-9.797204063166933E-4</c:v>
                </c:pt>
                <c:pt idx="141">
                  <c:v>-4.1704628542799507E-2</c:v>
                </c:pt>
                <c:pt idx="142">
                  <c:v>-7.2463808450197273E-2</c:v>
                </c:pt>
                <c:pt idx="143">
                  <c:v>-5.9821252627838255E-3</c:v>
                </c:pt>
                <c:pt idx="144">
                  <c:v>-7.6433107809055933E-2</c:v>
                </c:pt>
                <c:pt idx="145">
                  <c:v>2.406244567890499E-2</c:v>
                </c:pt>
                <c:pt idx="146">
                  <c:v>1.1851756411206022E-2</c:v>
                </c:pt>
                <c:pt idx="147">
                  <c:v>1.7542983483452908E-2</c:v>
                </c:pt>
                <c:pt idx="148">
                  <c:v>-7.3167297194689285E-2</c:v>
                </c:pt>
                <c:pt idx="149">
                  <c:v>-2.0183257015094484E-2</c:v>
                </c:pt>
                <c:pt idx="150">
                  <c:v>3.5857540986573275E-2</c:v>
                </c:pt>
                <c:pt idx="151">
                  <c:v>1.3295451820911172E-2</c:v>
                </c:pt>
                <c:pt idx="152">
                  <c:v>5.3007716022806404E-3</c:v>
                </c:pt>
                <c:pt idx="153">
                  <c:v>-1.2687143354698716E-2</c:v>
                </c:pt>
                <c:pt idx="154">
                  <c:v>1.1993385641845957E-2</c:v>
                </c:pt>
                <c:pt idx="155">
                  <c:v>-2.0560395234891036E-3</c:v>
                </c:pt>
                <c:pt idx="156">
                  <c:v>2.1341265828373732E-2</c:v>
                </c:pt>
                <c:pt idx="157">
                  <c:v>5.2917785236899946E-2</c:v>
                </c:pt>
                <c:pt idx="158">
                  <c:v>3.0501052993551665E-3</c:v>
                </c:pt>
                <c:pt idx="159">
                  <c:v>2.4440811146813499E-2</c:v>
                </c:pt>
                <c:pt idx="160">
                  <c:v>-3.7495296225309525E-2</c:v>
                </c:pt>
                <c:pt idx="161">
                  <c:v>7.5450835065382811E-4</c:v>
                </c:pt>
                <c:pt idx="162">
                  <c:v>-6.1275323378670581E-2</c:v>
                </c:pt>
                <c:pt idx="163">
                  <c:v>-5.0917185590044567E-3</c:v>
                </c:pt>
                <c:pt idx="164">
                  <c:v>4.3141375631934945E-2</c:v>
                </c:pt>
                <c:pt idx="165">
                  <c:v>-7.2440397682782074E-3</c:v>
                </c:pt>
              </c:numCache>
            </c:numRef>
          </c:xVal>
          <c:yVal>
            <c:numRef>
              <c:f>'NIKE BETA'!$G$8:$G$264</c:f>
              <c:numCache>
                <c:formatCode>0.0000</c:formatCode>
                <c:ptCount val="257"/>
                <c:pt idx="0">
                  <c:v>-5.9751366566676263E-3</c:v>
                </c:pt>
                <c:pt idx="1">
                  <c:v>-4.8342241905073302E-2</c:v>
                </c:pt>
                <c:pt idx="2">
                  <c:v>0.11258316440134256</c:v>
                </c:pt>
                <c:pt idx="3">
                  <c:v>-1.9426211050104017E-2</c:v>
                </c:pt>
                <c:pt idx="4">
                  <c:v>4.1314453912824872E-2</c:v>
                </c:pt>
                <c:pt idx="5">
                  <c:v>6.9704194679844483E-2</c:v>
                </c:pt>
                <c:pt idx="6">
                  <c:v>-0.12386488390079764</c:v>
                </c:pt>
                <c:pt idx="7">
                  <c:v>4.3221197522100026E-2</c:v>
                </c:pt>
                <c:pt idx="8">
                  <c:v>-2.0081744732765056E-2</c:v>
                </c:pt>
                <c:pt idx="9">
                  <c:v>4.4450880400220896E-2</c:v>
                </c:pt>
                <c:pt idx="10">
                  <c:v>0.10189291686024768</c:v>
                </c:pt>
                <c:pt idx="11">
                  <c:v>-1.2633040855145994E-2</c:v>
                </c:pt>
                <c:pt idx="12">
                  <c:v>-1.693086108095064E-3</c:v>
                </c:pt>
                <c:pt idx="13">
                  <c:v>-0.1170937835136012</c:v>
                </c:pt>
                <c:pt idx="14">
                  <c:v>3.0531310150254034E-2</c:v>
                </c:pt>
                <c:pt idx="15">
                  <c:v>6.6273357164404079E-2</c:v>
                </c:pt>
                <c:pt idx="16">
                  <c:v>-3.4637024738502206E-2</c:v>
                </c:pt>
                <c:pt idx="17">
                  <c:v>0.10726361933694913</c:v>
                </c:pt>
                <c:pt idx="18">
                  <c:v>4.7372578115541943E-2</c:v>
                </c:pt>
                <c:pt idx="19">
                  <c:v>2.9882536370115318E-2</c:v>
                </c:pt>
                <c:pt idx="20">
                  <c:v>-1.1278623095631086E-2</c:v>
                </c:pt>
                <c:pt idx="21">
                  <c:v>-2.0049372782066005E-2</c:v>
                </c:pt>
                <c:pt idx="22">
                  <c:v>9.1818011936601288E-2</c:v>
                </c:pt>
                <c:pt idx="23">
                  <c:v>3.2970891543454971E-2</c:v>
                </c:pt>
                <c:pt idx="24">
                  <c:v>9.6384973726707651E-2</c:v>
                </c:pt>
                <c:pt idx="25">
                  <c:v>5.8163615093971985E-2</c:v>
                </c:pt>
                <c:pt idx="26">
                  <c:v>-1.7185395824895922E-2</c:v>
                </c:pt>
                <c:pt idx="27">
                  <c:v>-0.10794393489155718</c:v>
                </c:pt>
                <c:pt idx="28">
                  <c:v>1.843746384154799E-3</c:v>
                </c:pt>
                <c:pt idx="29">
                  <c:v>0.11105085209178318</c:v>
                </c:pt>
                <c:pt idx="30">
                  <c:v>-4.6055217066432175E-2</c:v>
                </c:pt>
                <c:pt idx="31">
                  <c:v>-5.1040126403265433E-3</c:v>
                </c:pt>
                <c:pt idx="32">
                  <c:v>-2.7532375524202356E-2</c:v>
                </c:pt>
                <c:pt idx="33">
                  <c:v>7.8055970098158456E-2</c:v>
                </c:pt>
                <c:pt idx="34">
                  <c:v>4.1936143314852958E-2</c:v>
                </c:pt>
                <c:pt idx="35">
                  <c:v>1.2626306037807081E-2</c:v>
                </c:pt>
                <c:pt idx="36">
                  <c:v>-4.7061529942185754E-3</c:v>
                </c:pt>
                <c:pt idx="37">
                  <c:v>-4.6418213843641275E-2</c:v>
                </c:pt>
                <c:pt idx="38">
                  <c:v>-8.8518428498030169E-2</c:v>
                </c:pt>
                <c:pt idx="39">
                  <c:v>3.6699408773345731E-2</c:v>
                </c:pt>
                <c:pt idx="40">
                  <c:v>6.5535605692751738E-3</c:v>
                </c:pt>
                <c:pt idx="41">
                  <c:v>-2.2847865515183757E-3</c:v>
                </c:pt>
                <c:pt idx="42">
                  <c:v>-6.5305611413648074E-2</c:v>
                </c:pt>
                <c:pt idx="43">
                  <c:v>-4.09078967440034E-2</c:v>
                </c:pt>
                <c:pt idx="44">
                  <c:v>-4.131827726481593E-3</c:v>
                </c:pt>
                <c:pt idx="45">
                  <c:v>-8.9521340992144045E-3</c:v>
                </c:pt>
                <c:pt idx="46">
                  <c:v>-7.7334092418733097E-3</c:v>
                </c:pt>
                <c:pt idx="47">
                  <c:v>-5.7546975254722493E-2</c:v>
                </c:pt>
                <c:pt idx="48">
                  <c:v>7.0480116207315459E-3</c:v>
                </c:pt>
                <c:pt idx="49">
                  <c:v>6.5802229599743717E-2</c:v>
                </c:pt>
                <c:pt idx="50">
                  <c:v>9.8002597344242395E-2</c:v>
                </c:pt>
                <c:pt idx="51">
                  <c:v>-3.2558803181540016E-2</c:v>
                </c:pt>
                <c:pt idx="52">
                  <c:v>6.4215399647937196E-2</c:v>
                </c:pt>
                <c:pt idx="53">
                  <c:v>6.2770609566836846E-2</c:v>
                </c:pt>
                <c:pt idx="54">
                  <c:v>2.6259822154941825E-2</c:v>
                </c:pt>
                <c:pt idx="55">
                  <c:v>-1.7145256496975472E-2</c:v>
                </c:pt>
                <c:pt idx="56">
                  <c:v>3.3928057724613395E-2</c:v>
                </c:pt>
                <c:pt idx="57">
                  <c:v>5.0624703522364575E-2</c:v>
                </c:pt>
                <c:pt idx="58">
                  <c:v>-3.9678875730157638E-2</c:v>
                </c:pt>
                <c:pt idx="59">
                  <c:v>-3.3915334070152216E-2</c:v>
                </c:pt>
                <c:pt idx="60">
                  <c:v>6.5554185922268485E-2</c:v>
                </c:pt>
                <c:pt idx="61">
                  <c:v>3.9714516365502661E-2</c:v>
                </c:pt>
                <c:pt idx="62">
                  <c:v>0.13633435420252726</c:v>
                </c:pt>
                <c:pt idx="63">
                  <c:v>1.5844162496972451E-2</c:v>
                </c:pt>
                <c:pt idx="64">
                  <c:v>-8.1748175202621884E-3</c:v>
                </c:pt>
                <c:pt idx="65">
                  <c:v>8.7225264364558953E-3</c:v>
                </c:pt>
                <c:pt idx="66">
                  <c:v>5.1521888029974254E-2</c:v>
                </c:pt>
                <c:pt idx="67">
                  <c:v>-1.5202276690007727E-2</c:v>
                </c:pt>
                <c:pt idx="68">
                  <c:v>-5.677661549370093E-2</c:v>
                </c:pt>
                <c:pt idx="69">
                  <c:v>7.1817854552443786E-2</c:v>
                </c:pt>
                <c:pt idx="70">
                  <c:v>-7.3742477521655067E-2</c:v>
                </c:pt>
                <c:pt idx="71">
                  <c:v>-9.621239082867836E-3</c:v>
                </c:pt>
                <c:pt idx="72">
                  <c:v>4.1441381015073026E-2</c:v>
                </c:pt>
                <c:pt idx="73">
                  <c:v>3.992582267871065E-2</c:v>
                </c:pt>
                <c:pt idx="74">
                  <c:v>0.15709235476384067</c:v>
                </c:pt>
                <c:pt idx="75">
                  <c:v>-4.6526049239721517E-3</c:v>
                </c:pt>
                <c:pt idx="76">
                  <c:v>-1.4973103407453916E-2</c:v>
                </c:pt>
                <c:pt idx="77">
                  <c:v>3.3303121424164805E-2</c:v>
                </c:pt>
                <c:pt idx="78">
                  <c:v>-3.3259702705519624E-2</c:v>
                </c:pt>
                <c:pt idx="79">
                  <c:v>7.5380111661083701E-2</c:v>
                </c:pt>
                <c:pt idx="80">
                  <c:v>8.5164464871536907E-2</c:v>
                </c:pt>
                <c:pt idx="81">
                  <c:v>5.0073430024257948E-3</c:v>
                </c:pt>
                <c:pt idx="82">
                  <c:v>4.9362323561906271E-2</c:v>
                </c:pt>
                <c:pt idx="83">
                  <c:v>5.6218547530610861E-2</c:v>
                </c:pt>
                <c:pt idx="84">
                  <c:v>6.4425835817899665E-2</c:v>
                </c:pt>
                <c:pt idx="85">
                  <c:v>-3.9569012613944056E-2</c:v>
                </c:pt>
                <c:pt idx="86">
                  <c:v>-2.3956786165529837E-2</c:v>
                </c:pt>
                <c:pt idx="87">
                  <c:v>4.0719749024856755E-2</c:v>
                </c:pt>
                <c:pt idx="88">
                  <c:v>6.1306768051170496E-2</c:v>
                </c:pt>
                <c:pt idx="89">
                  <c:v>-0.18817863978233021</c:v>
                </c:pt>
                <c:pt idx="90">
                  <c:v>-3.5211085582224036E-2</c:v>
                </c:pt>
                <c:pt idx="91">
                  <c:v>3.249228977185957E-2</c:v>
                </c:pt>
                <c:pt idx="92">
                  <c:v>2.0307820505753287E-3</c:v>
                </c:pt>
                <c:pt idx="93">
                  <c:v>3.5220526976507988E-2</c:v>
                </c:pt>
                <c:pt idx="94">
                  <c:v>8.0679165037680384E-2</c:v>
                </c:pt>
                <c:pt idx="95">
                  <c:v>-4.3172731051509955E-4</c:v>
                </c:pt>
                <c:pt idx="96">
                  <c:v>-4.3164978166539336E-3</c:v>
                </c:pt>
                <c:pt idx="97">
                  <c:v>0.12814862265651142</c:v>
                </c:pt>
                <c:pt idx="98">
                  <c:v>-1.5590235471427278E-2</c:v>
                </c:pt>
                <c:pt idx="99">
                  <c:v>-4.1817711092104234E-2</c:v>
                </c:pt>
                <c:pt idx="100">
                  <c:v>2.2410857110008106E-3</c:v>
                </c:pt>
                <c:pt idx="101">
                  <c:v>6.1831145077104688E-2</c:v>
                </c:pt>
                <c:pt idx="102">
                  <c:v>2.2360690233736692E-2</c:v>
                </c:pt>
                <c:pt idx="103">
                  <c:v>8.760907663511637E-2</c:v>
                </c:pt>
                <c:pt idx="104">
                  <c:v>-0.15348165276828732</c:v>
                </c:pt>
                <c:pt idx="105">
                  <c:v>7.5671567665292455E-2</c:v>
                </c:pt>
                <c:pt idx="106">
                  <c:v>-3.4799496285235515E-2</c:v>
                </c:pt>
                <c:pt idx="107">
                  <c:v>-1.1878914926352013E-2</c:v>
                </c:pt>
                <c:pt idx="108">
                  <c:v>5.4170419956469394E-2</c:v>
                </c:pt>
                <c:pt idx="109">
                  <c:v>1.6706657645098787E-2</c:v>
                </c:pt>
                <c:pt idx="110">
                  <c:v>0.14178424962669081</c:v>
                </c:pt>
                <c:pt idx="111">
                  <c:v>-5.2373360502583149E-2</c:v>
                </c:pt>
                <c:pt idx="112">
                  <c:v>9.0888059278584399E-2</c:v>
                </c:pt>
                <c:pt idx="113">
                  <c:v>-6.9988415561722389E-2</c:v>
                </c:pt>
                <c:pt idx="114">
                  <c:v>-5.0014417650044087E-2</c:v>
                </c:pt>
                <c:pt idx="115">
                  <c:v>3.3155931017090093E-2</c:v>
                </c:pt>
                <c:pt idx="116">
                  <c:v>8.3349000835410844E-2</c:v>
                </c:pt>
                <c:pt idx="117">
                  <c:v>5.6617886095388058E-2</c:v>
                </c:pt>
                <c:pt idx="118">
                  <c:v>-3.4869587408793007E-2</c:v>
                </c:pt>
                <c:pt idx="119">
                  <c:v>1.4316967918444636E-2</c:v>
                </c:pt>
                <c:pt idx="120">
                  <c:v>4.0088363743445959E-2</c:v>
                </c:pt>
                <c:pt idx="121">
                  <c:v>-3.7950866352990907E-2</c:v>
                </c:pt>
                <c:pt idx="122">
                  <c:v>0.16470759101541688</c:v>
                </c:pt>
                <c:pt idx="123">
                  <c:v>-2.5553408658117328E-2</c:v>
                </c:pt>
                <c:pt idx="124">
                  <c:v>9.4987377920512484E-2</c:v>
                </c:pt>
                <c:pt idx="125">
                  <c:v>-9.5967194069024098E-2</c:v>
                </c:pt>
                <c:pt idx="126">
                  <c:v>8.367272885585289E-2</c:v>
                </c:pt>
                <c:pt idx="127">
                  <c:v>0.12224547771670689</c:v>
                </c:pt>
                <c:pt idx="128">
                  <c:v>0.1260957865775596</c:v>
                </c:pt>
                <c:pt idx="129">
                  <c:v>-8.5311584572101751E-2</c:v>
                </c:pt>
                <c:pt idx="130">
                  <c:v>-0.11146205121277829</c:v>
                </c:pt>
                <c:pt idx="131">
                  <c:v>-4.4496146349649456E-2</c:v>
                </c:pt>
                <c:pt idx="132">
                  <c:v>-7.8908019517205441E-2</c:v>
                </c:pt>
                <c:pt idx="133">
                  <c:v>-0.13899355046511921</c:v>
                </c:pt>
                <c:pt idx="134">
                  <c:v>0.10019066567718501</c:v>
                </c:pt>
                <c:pt idx="135">
                  <c:v>2.9213740588995278E-2</c:v>
                </c:pt>
                <c:pt idx="136">
                  <c:v>-1.6093482522528475E-2</c:v>
                </c:pt>
                <c:pt idx="137">
                  <c:v>-0.13190224310050794</c:v>
                </c:pt>
                <c:pt idx="138">
                  <c:v>1.9580649487112519E-2</c:v>
                </c:pt>
                <c:pt idx="139">
                  <c:v>-1.7664995751984311E-2</c:v>
                </c:pt>
                <c:pt idx="140">
                  <c:v>0.12597950158848345</c:v>
                </c:pt>
                <c:pt idx="141">
                  <c:v>-2.2108989071449158E-2</c:v>
                </c:pt>
                <c:pt idx="142">
                  <c:v>-4.5585243486770052E-2</c:v>
                </c:pt>
                <c:pt idx="143">
                  <c:v>-2.5193801708876723E-2</c:v>
                </c:pt>
                <c:pt idx="144">
                  <c:v>-1.287499803804276E-2</c:v>
                </c:pt>
                <c:pt idx="145">
                  <c:v>0.12938086239612817</c:v>
                </c:pt>
                <c:pt idx="146">
                  <c:v>3.7150868260039507E-2</c:v>
                </c:pt>
                <c:pt idx="147">
                  <c:v>-5.9744258765395625E-3</c:v>
                </c:pt>
                <c:pt idx="148">
                  <c:v>-3.2441307438678901E-2</c:v>
                </c:pt>
                <c:pt idx="149">
                  <c:v>2.2864866167668481E-2</c:v>
                </c:pt>
                <c:pt idx="150">
                  <c:v>4.9481870785259938E-2</c:v>
                </c:pt>
                <c:pt idx="151">
                  <c:v>1.152224417350721E-2</c:v>
                </c:pt>
                <c:pt idx="152">
                  <c:v>1.309409643462316E-2</c:v>
                </c:pt>
                <c:pt idx="153">
                  <c:v>5.3390744887580846E-2</c:v>
                </c:pt>
                <c:pt idx="154">
                  <c:v>-4.4427426931072682E-3</c:v>
                </c:pt>
                <c:pt idx="155">
                  <c:v>-3.2062622473042566E-3</c:v>
                </c:pt>
                <c:pt idx="156">
                  <c:v>7.3147218312098167E-2</c:v>
                </c:pt>
                <c:pt idx="157">
                  <c:v>4.6698193934699213E-2</c:v>
                </c:pt>
                <c:pt idx="158">
                  <c:v>8.0970731251344283E-2</c:v>
                </c:pt>
                <c:pt idx="159">
                  <c:v>1.8213238859764211E-2</c:v>
                </c:pt>
                <c:pt idx="160">
                  <c:v>-2.7040135608368786E-2</c:v>
                </c:pt>
                <c:pt idx="161">
                  <c:v>4.2701412798963351E-3</c:v>
                </c:pt>
                <c:pt idx="162">
                  <c:v>-2.3033744244751679E-2</c:v>
                </c:pt>
                <c:pt idx="163">
                  <c:v>-4.0858121666431414E-2</c:v>
                </c:pt>
                <c:pt idx="164">
                  <c:v>-2.3437074030044625E-2</c:v>
                </c:pt>
                <c:pt idx="165">
                  <c:v>6.8267160478692898E-2</c:v>
                </c:pt>
              </c:numCache>
            </c:numRef>
          </c:yVal>
          <c:smooth val="0"/>
          <c:extLst>
            <c:ext xmlns:c16="http://schemas.microsoft.com/office/drawing/2014/chart" uri="{C3380CC4-5D6E-409C-BE32-E72D297353CC}">
              <c16:uniqueId val="{00000000-882D-4670-9376-BF3CC1258F85}"/>
            </c:ext>
          </c:extLst>
        </c:ser>
        <c:dLbls>
          <c:showLegendKey val="0"/>
          <c:showVal val="0"/>
          <c:showCatName val="0"/>
          <c:showSerName val="0"/>
          <c:showPercent val="0"/>
          <c:showBubbleSize val="0"/>
        </c:dLbls>
        <c:axId val="988666768"/>
        <c:axId val="990814056"/>
      </c:scatterChart>
      <c:valAx>
        <c:axId val="988666768"/>
        <c:scaling>
          <c:orientation val="minMax"/>
        </c:scaling>
        <c:delete val="0"/>
        <c:axPos val="b"/>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990814056"/>
        <c:crosses val="autoZero"/>
        <c:crossBetween val="midCat"/>
      </c:valAx>
      <c:valAx>
        <c:axId val="990814056"/>
        <c:scaling>
          <c:orientation val="minMax"/>
        </c:scaling>
        <c:delete val="0"/>
        <c:axPos val="l"/>
        <c:majorGridlines>
          <c:spPr>
            <a:ln w="3175">
              <a:solidFill>
                <a:srgbClr val="000000"/>
              </a:solidFill>
              <a:prstDash val="solid"/>
            </a:ln>
          </c:spPr>
        </c:majorGridlines>
        <c:title>
          <c:tx>
            <c:rich>
              <a:bodyPr/>
              <a:lstStyle/>
              <a:p>
                <a:pPr>
                  <a:defRPr/>
                </a:pPr>
                <a:r>
                  <a:rPr lang="en-US"/>
                  <a:t>Rm-rf</a:t>
                </a:r>
              </a:p>
            </c:rich>
          </c:tx>
          <c:layout>
            <c:manualLayout>
              <c:xMode val="edge"/>
              <c:yMode val="edge"/>
              <c:x val="2.4020484366614112E-2"/>
              <c:y val="0.50434843756140035"/>
            </c:manualLayout>
          </c:layout>
          <c:overlay val="0"/>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988666768"/>
        <c:crosses val="autoZero"/>
        <c:crossBetween val="midCat"/>
      </c:valAx>
      <c:spPr>
        <a:solidFill>
          <a:srgbClr val="C0C0C0"/>
        </a:solidFill>
        <a:ln w="12700">
          <a:solidFill>
            <a:srgbClr val="808080"/>
          </a:solidFill>
          <a:prstDash val="solid"/>
        </a:ln>
      </c:spPr>
    </c:plotArea>
    <c:plotVisOnly val="1"/>
    <c:dispBlanksAs val="gap"/>
    <c:showDLblsOverMax val="0"/>
  </c:chart>
  <c:spPr>
    <a:solidFill>
      <a:srgbClr val="FFFFFF"/>
    </a:solidFill>
    <a:ln w="3175">
      <a:solidFill>
        <a:srgbClr val="000000"/>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a:pPr>
            <a:r>
              <a:rPr lang="en-US" sz="1600"/>
              <a:t>Characteristic</a:t>
            </a:r>
            <a:r>
              <a:rPr lang="en-US" sz="1600" baseline="0"/>
              <a:t> Line</a:t>
            </a:r>
            <a:endParaRPr lang="en-US" sz="1600"/>
          </a:p>
        </c:rich>
      </c:tx>
      <c:layout>
        <c:manualLayout>
          <c:xMode val="edge"/>
          <c:yMode val="edge"/>
          <c:x val="0.46757819481680074"/>
          <c:y val="3.1088082901554404E-2"/>
        </c:manualLayout>
      </c:layout>
      <c:overlay val="0"/>
    </c:title>
    <c:autoTitleDeleted val="0"/>
    <c:plotArea>
      <c:layout>
        <c:manualLayout>
          <c:layoutTarget val="inner"/>
          <c:xMode val="edge"/>
          <c:yMode val="edge"/>
          <c:x val="4.6916890080428951E-2"/>
          <c:y val="0.13066922334190093"/>
          <c:w val="0.90750670241286868"/>
          <c:h val="0.8035771694341316"/>
        </c:manualLayout>
      </c:layout>
      <c:scatterChart>
        <c:scatterStyle val="lineMarker"/>
        <c:varyColors val="0"/>
        <c:ser>
          <c:idx val="0"/>
          <c:order val="0"/>
          <c:tx>
            <c:v>Appl-Rf</c:v>
          </c:tx>
          <c:spPr>
            <a:ln w="28575">
              <a:noFill/>
            </a:ln>
          </c:spPr>
          <c:marker>
            <c:symbol val="diamond"/>
            <c:size val="5"/>
            <c:spPr>
              <a:solidFill>
                <a:schemeClr val="accent1"/>
              </a:solidFill>
              <a:ln>
                <a:solidFill>
                  <a:schemeClr val="accent1"/>
                </a:solidFill>
                <a:prstDash val="solid"/>
              </a:ln>
            </c:spPr>
          </c:marker>
          <c:xVal>
            <c:numRef>
              <c:f>'NIKE BETA'!$F$8:$F$264</c:f>
              <c:numCache>
                <c:formatCode>0.0000</c:formatCode>
                <c:ptCount val="257"/>
                <c:pt idx="0">
                  <c:v>1.5360420926312597E-2</c:v>
                </c:pt>
                <c:pt idx="1">
                  <c:v>2.3840287342056121E-2</c:v>
                </c:pt>
                <c:pt idx="2">
                  <c:v>1.7318174486174488E-2</c:v>
                </c:pt>
                <c:pt idx="3">
                  <c:v>-5.2301842684793445E-2</c:v>
                </c:pt>
                <c:pt idx="4">
                  <c:v>3.0264233019538247E-3</c:v>
                </c:pt>
                <c:pt idx="5">
                  <c:v>6.6866821169985241E-2</c:v>
                </c:pt>
                <c:pt idx="6">
                  <c:v>-8.1161539712767405E-2</c:v>
                </c:pt>
                <c:pt idx="7">
                  <c:v>3.0977702946131842E-2</c:v>
                </c:pt>
                <c:pt idx="8">
                  <c:v>-2.5080274382256823E-2</c:v>
                </c:pt>
                <c:pt idx="9">
                  <c:v>4.8203800724717707E-2</c:v>
                </c:pt>
                <c:pt idx="10">
                  <c:v>1.2393532342733634E-2</c:v>
                </c:pt>
                <c:pt idx="11">
                  <c:v>-3.8948596640749067E-2</c:v>
                </c:pt>
                <c:pt idx="12">
                  <c:v>1.1704139456918373E-2</c:v>
                </c:pt>
                <c:pt idx="13">
                  <c:v>-0.11197280032267529</c:v>
                </c:pt>
                <c:pt idx="14">
                  <c:v>-2.8044062688496327E-2</c:v>
                </c:pt>
                <c:pt idx="15">
                  <c:v>3.9357808005282324E-2</c:v>
                </c:pt>
                <c:pt idx="16">
                  <c:v>1.4307840345425381E-2</c:v>
                </c:pt>
                <c:pt idx="17">
                  <c:v>3.304998680955649E-3</c:v>
                </c:pt>
                <c:pt idx="18">
                  <c:v>5.7003961593988219E-2</c:v>
                </c:pt>
                <c:pt idx="19">
                  <c:v>5.5594218992868526E-3</c:v>
                </c:pt>
                <c:pt idx="20">
                  <c:v>8.7502192139359437E-3</c:v>
                </c:pt>
                <c:pt idx="21">
                  <c:v>-4.2307943705555379E-2</c:v>
                </c:pt>
                <c:pt idx="22">
                  <c:v>2.3253128315425437E-2</c:v>
                </c:pt>
                <c:pt idx="23">
                  <c:v>3.0423572337020942E-2</c:v>
                </c:pt>
                <c:pt idx="24">
                  <c:v>-1.2775781181036254E-2</c:v>
                </c:pt>
                <c:pt idx="25">
                  <c:v>5.4318930242159141E-3</c:v>
                </c:pt>
                <c:pt idx="26">
                  <c:v>5.8518029693204354E-2</c:v>
                </c:pt>
                <c:pt idx="27">
                  <c:v>-1.6206296369223105E-2</c:v>
                </c:pt>
                <c:pt idx="28">
                  <c:v>4.4949240501702126E-3</c:v>
                </c:pt>
                <c:pt idx="29">
                  <c:v>3.0584505259604284E-2</c:v>
                </c:pt>
                <c:pt idx="30">
                  <c:v>-2.3959985332880407E-2</c:v>
                </c:pt>
                <c:pt idx="31">
                  <c:v>8.0095866567610093E-3</c:v>
                </c:pt>
                <c:pt idx="32">
                  <c:v>-3.0630788432830063E-3</c:v>
                </c:pt>
                <c:pt idx="33">
                  <c:v>1.5781728999260773E-2</c:v>
                </c:pt>
                <c:pt idx="34">
                  <c:v>9.1327872622460086E-4</c:v>
                </c:pt>
                <c:pt idx="35">
                  <c:v>2.3756951347249047E-2</c:v>
                </c:pt>
                <c:pt idx="36">
                  <c:v>0.1073994211184383</c:v>
                </c:pt>
                <c:pt idx="37">
                  <c:v>-5.0301955594242075E-2</c:v>
                </c:pt>
                <c:pt idx="38">
                  <c:v>7.5217541687760811E-3</c:v>
                </c:pt>
                <c:pt idx="39">
                  <c:v>1.4510567882421188E-2</c:v>
                </c:pt>
                <c:pt idx="40">
                  <c:v>5.7230814525751995E-2</c:v>
                </c:pt>
                <c:pt idx="41">
                  <c:v>-4.4077959439148889E-3</c:v>
                </c:pt>
                <c:pt idx="42">
                  <c:v>1.8979139260803222E-2</c:v>
                </c:pt>
                <c:pt idx="43">
                  <c:v>1.2876622034848972E-2</c:v>
                </c:pt>
                <c:pt idx="44">
                  <c:v>7.5319329535354126E-2</c:v>
                </c:pt>
                <c:pt idx="45">
                  <c:v>-3.6085751861019604E-3</c:v>
                </c:pt>
                <c:pt idx="46">
                  <c:v>-9.0784021800275269E-2</c:v>
                </c:pt>
                <c:pt idx="47">
                  <c:v>-5.4444268184036998E-2</c:v>
                </c:pt>
                <c:pt idx="48">
                  <c:v>2.8708306194090819E-2</c:v>
                </c:pt>
                <c:pt idx="49">
                  <c:v>5.3130106997018839E-2</c:v>
                </c:pt>
                <c:pt idx="50">
                  <c:v>-5.3079212112019755E-2</c:v>
                </c:pt>
                <c:pt idx="51">
                  <c:v>-6.6405831567458926E-2</c:v>
                </c:pt>
                <c:pt idx="52">
                  <c:v>-1.4616604041916566E-2</c:v>
                </c:pt>
                <c:pt idx="53">
                  <c:v>3.3657948283463838E-3</c:v>
                </c:pt>
                <c:pt idx="54">
                  <c:v>1.9264558257574893E-2</c:v>
                </c:pt>
                <c:pt idx="55">
                  <c:v>-2.8348441975713359E-2</c:v>
                </c:pt>
                <c:pt idx="56">
                  <c:v>1.3609282436451663E-2</c:v>
                </c:pt>
                <c:pt idx="57">
                  <c:v>5.6165719165556224E-2</c:v>
                </c:pt>
                <c:pt idx="58">
                  <c:v>-3.4506311957798776E-2</c:v>
                </c:pt>
                <c:pt idx="59">
                  <c:v>2.4532527419858473E-2</c:v>
                </c:pt>
                <c:pt idx="60">
                  <c:v>-2.6636260003013341E-3</c:v>
                </c:pt>
                <c:pt idx="61">
                  <c:v>6.2650378040065846E-2</c:v>
                </c:pt>
                <c:pt idx="62">
                  <c:v>-6.4557642087234135E-2</c:v>
                </c:pt>
                <c:pt idx="63">
                  <c:v>4.5894619339484181E-2</c:v>
                </c:pt>
                <c:pt idx="64">
                  <c:v>-6.3859301946060182E-2</c:v>
                </c:pt>
                <c:pt idx="65">
                  <c:v>4.8747607022183073E-2</c:v>
                </c:pt>
                <c:pt idx="66">
                  <c:v>4.0182484085854401E-3</c:v>
                </c:pt>
                <c:pt idx="67">
                  <c:v>-4.2249507886620068E-2</c:v>
                </c:pt>
                <c:pt idx="68">
                  <c:v>-1.1411909486751958E-2</c:v>
                </c:pt>
                <c:pt idx="69">
                  <c:v>4.3121217962495864E-2</c:v>
                </c:pt>
                <c:pt idx="70">
                  <c:v>-3.1171378585906562E-2</c:v>
                </c:pt>
                <c:pt idx="71">
                  <c:v>1.4852394451199005E-2</c:v>
                </c:pt>
                <c:pt idx="72">
                  <c:v>3.5675905468301267E-2</c:v>
                </c:pt>
                <c:pt idx="73">
                  <c:v>2.1522713442672044E-2</c:v>
                </c:pt>
                <c:pt idx="74">
                  <c:v>5.9140237089307407E-2</c:v>
                </c:pt>
                <c:pt idx="75">
                  <c:v>-3.5935523669975017E-2</c:v>
                </c:pt>
                <c:pt idx="76">
                  <c:v>6.6303270982695756E-2</c:v>
                </c:pt>
                <c:pt idx="77">
                  <c:v>-9.6924666842868046E-3</c:v>
                </c:pt>
                <c:pt idx="78">
                  <c:v>3.5967924501360514E-2</c:v>
                </c:pt>
                <c:pt idx="79">
                  <c:v>-6.6910733067766723E-3</c:v>
                </c:pt>
                <c:pt idx="80">
                  <c:v>4.1787770740031219E-2</c:v>
                </c:pt>
                <c:pt idx="81">
                  <c:v>7.4206221256876304E-3</c:v>
                </c:pt>
                <c:pt idx="82">
                  <c:v>5.945293801958805E-2</c:v>
                </c:pt>
                <c:pt idx="83">
                  <c:v>3.0913069845413328E-2</c:v>
                </c:pt>
                <c:pt idx="84">
                  <c:v>1.5679488084298521E-3</c:v>
                </c:pt>
                <c:pt idx="85">
                  <c:v>-2.4729444571922811E-2</c:v>
                </c:pt>
                <c:pt idx="86">
                  <c:v>2.8866379678988235E-2</c:v>
                </c:pt>
                <c:pt idx="87">
                  <c:v>2.972259952399758E-2</c:v>
                </c:pt>
                <c:pt idx="88">
                  <c:v>-1.6612287467154072E-2</c:v>
                </c:pt>
                <c:pt idx="89">
                  <c:v>4.5832207231441977E-2</c:v>
                </c:pt>
                <c:pt idx="90">
                  <c:v>-6.9629464706753311E-2</c:v>
                </c:pt>
                <c:pt idx="91">
                  <c:v>-1.8753645803469179E-2</c:v>
                </c:pt>
                <c:pt idx="92">
                  <c:v>2.1086012161507461E-2</c:v>
                </c:pt>
                <c:pt idx="93">
                  <c:v>2.0283451569520911E-2</c:v>
                </c:pt>
                <c:pt idx="94">
                  <c:v>6.7603082371669593E-2</c:v>
                </c:pt>
                <c:pt idx="95">
                  <c:v>2.3387776717295264E-3</c:v>
                </c:pt>
                <c:pt idx="96">
                  <c:v>-7.4635698996353061E-3</c:v>
                </c:pt>
                <c:pt idx="97">
                  <c:v>0.14776267675976421</c:v>
                </c:pt>
                <c:pt idx="98">
                  <c:v>-0.11615030324628477</c:v>
                </c:pt>
                <c:pt idx="99">
                  <c:v>-9.1095447990295716E-2</c:v>
                </c:pt>
                <c:pt idx="100">
                  <c:v>-4.0183558194870274E-2</c:v>
                </c:pt>
                <c:pt idx="101">
                  <c:v>-2.8253806587951239E-2</c:v>
                </c:pt>
                <c:pt idx="102">
                  <c:v>-2.3148357928521733E-2</c:v>
                </c:pt>
                <c:pt idx="103">
                  <c:v>2.2100356697999663E-2</c:v>
                </c:pt>
                <c:pt idx="104">
                  <c:v>2.0652800461982777E-2</c:v>
                </c:pt>
                <c:pt idx="105">
                  <c:v>5.0274348693333339E-2</c:v>
                </c:pt>
                <c:pt idx="106">
                  <c:v>-6.8717889170298013E-3</c:v>
                </c:pt>
                <c:pt idx="107">
                  <c:v>7.4273162502466905E-2</c:v>
                </c:pt>
                <c:pt idx="108">
                  <c:v>3.0220729448123342E-2</c:v>
                </c:pt>
                <c:pt idx="109">
                  <c:v>3.690975300433904E-2</c:v>
                </c:pt>
                <c:pt idx="110">
                  <c:v>0.11997174350743858</c:v>
                </c:pt>
                <c:pt idx="111">
                  <c:v>-7.796454779818543E-2</c:v>
                </c:pt>
                <c:pt idx="112">
                  <c:v>6.4611518216197317E-2</c:v>
                </c:pt>
                <c:pt idx="113">
                  <c:v>-8.203502177515884E-2</c:v>
                </c:pt>
                <c:pt idx="114">
                  <c:v>-8.0249027595631989E-2</c:v>
                </c:pt>
                <c:pt idx="115">
                  <c:v>5.2162841507971749E-2</c:v>
                </c:pt>
                <c:pt idx="116">
                  <c:v>7.574503652690022E-2</c:v>
                </c:pt>
                <c:pt idx="117">
                  <c:v>4.0276097384070307E-2</c:v>
                </c:pt>
                <c:pt idx="118">
                  <c:v>-4.1095093498907637E-2</c:v>
                </c:pt>
                <c:pt idx="119">
                  <c:v>7.489336553260531E-2</c:v>
                </c:pt>
                <c:pt idx="120">
                  <c:v>2.6641573373258148E-2</c:v>
                </c:pt>
                <c:pt idx="121">
                  <c:v>-7.2223332574126803E-2</c:v>
                </c:pt>
                <c:pt idx="122">
                  <c:v>5.2931002859561878E-2</c:v>
                </c:pt>
                <c:pt idx="123">
                  <c:v>2.4106471893815384E-2</c:v>
                </c:pt>
                <c:pt idx="124">
                  <c:v>9.1689673399075633E-2</c:v>
                </c:pt>
                <c:pt idx="125">
                  <c:v>9.7653136561496306E-3</c:v>
                </c:pt>
                <c:pt idx="126">
                  <c:v>2.5140412785115286E-2</c:v>
                </c:pt>
                <c:pt idx="127">
                  <c:v>0.14993573151981074</c:v>
                </c:pt>
                <c:pt idx="128">
                  <c:v>8.3737584452614047E-2</c:v>
                </c:pt>
                <c:pt idx="129">
                  <c:v>-0.12600205699629574</c:v>
                </c:pt>
                <c:pt idx="130">
                  <c:v>-0.11496568281397911</c:v>
                </c:pt>
                <c:pt idx="131">
                  <c:v>5.3364711746822925E-2</c:v>
                </c:pt>
                <c:pt idx="132">
                  <c:v>-0.12267812572162434</c:v>
                </c:pt>
                <c:pt idx="133">
                  <c:v>-0.21268170187906035</c:v>
                </c:pt>
                <c:pt idx="134">
                  <c:v>-8.4615198444895207E-2</c:v>
                </c:pt>
                <c:pt idx="135">
                  <c:v>3.1283837309135192E-2</c:v>
                </c:pt>
                <c:pt idx="136">
                  <c:v>3.2210983900178888E-2</c:v>
                </c:pt>
                <c:pt idx="137">
                  <c:v>-8.2115564086724852E-2</c:v>
                </c:pt>
                <c:pt idx="138">
                  <c:v>4.0898685056477917E-2</c:v>
                </c:pt>
                <c:pt idx="139">
                  <c:v>3.7257228678775359E-2</c:v>
                </c:pt>
                <c:pt idx="140">
                  <c:v>-9.797204063166933E-4</c:v>
                </c:pt>
                <c:pt idx="141">
                  <c:v>-4.1704628542799507E-2</c:v>
                </c:pt>
                <c:pt idx="142">
                  <c:v>-7.2463808450197273E-2</c:v>
                </c:pt>
                <c:pt idx="143">
                  <c:v>-5.9821252627838255E-3</c:v>
                </c:pt>
                <c:pt idx="144">
                  <c:v>-7.6433107809055933E-2</c:v>
                </c:pt>
                <c:pt idx="145">
                  <c:v>2.406244567890499E-2</c:v>
                </c:pt>
                <c:pt idx="146">
                  <c:v>1.1851756411206022E-2</c:v>
                </c:pt>
                <c:pt idx="147">
                  <c:v>1.7542983483452908E-2</c:v>
                </c:pt>
                <c:pt idx="148">
                  <c:v>-7.3167297194689285E-2</c:v>
                </c:pt>
                <c:pt idx="149">
                  <c:v>-2.0183257015094484E-2</c:v>
                </c:pt>
                <c:pt idx="150">
                  <c:v>3.5857540986573275E-2</c:v>
                </c:pt>
                <c:pt idx="151">
                  <c:v>1.3295451820911172E-2</c:v>
                </c:pt>
                <c:pt idx="152">
                  <c:v>5.3007716022806404E-3</c:v>
                </c:pt>
                <c:pt idx="153">
                  <c:v>-1.2687143354698716E-2</c:v>
                </c:pt>
                <c:pt idx="154">
                  <c:v>1.1993385641845957E-2</c:v>
                </c:pt>
                <c:pt idx="155">
                  <c:v>-2.0560395234891036E-3</c:v>
                </c:pt>
                <c:pt idx="156">
                  <c:v>2.1341265828373732E-2</c:v>
                </c:pt>
                <c:pt idx="157">
                  <c:v>5.2917785236899946E-2</c:v>
                </c:pt>
                <c:pt idx="158">
                  <c:v>3.0501052993551665E-3</c:v>
                </c:pt>
                <c:pt idx="159">
                  <c:v>2.4440811146813499E-2</c:v>
                </c:pt>
                <c:pt idx="160">
                  <c:v>-3.7495296225309525E-2</c:v>
                </c:pt>
                <c:pt idx="161">
                  <c:v>7.5450835065382811E-4</c:v>
                </c:pt>
                <c:pt idx="162">
                  <c:v>-6.1275323378670581E-2</c:v>
                </c:pt>
                <c:pt idx="163">
                  <c:v>-5.0917185590044567E-3</c:v>
                </c:pt>
                <c:pt idx="164">
                  <c:v>4.3141375631934945E-2</c:v>
                </c:pt>
                <c:pt idx="165">
                  <c:v>-7.2440397682782074E-3</c:v>
                </c:pt>
              </c:numCache>
            </c:numRef>
          </c:xVal>
          <c:yVal>
            <c:numRef>
              <c:f>'NIKE BETA'!$G$8:$G$264</c:f>
              <c:numCache>
                <c:formatCode>0.0000</c:formatCode>
                <c:ptCount val="257"/>
                <c:pt idx="0">
                  <c:v>-5.9751366566676263E-3</c:v>
                </c:pt>
                <c:pt idx="1">
                  <c:v>-4.8342241905073302E-2</c:v>
                </c:pt>
                <c:pt idx="2">
                  <c:v>0.11258316440134256</c:v>
                </c:pt>
                <c:pt idx="3">
                  <c:v>-1.9426211050104017E-2</c:v>
                </c:pt>
                <c:pt idx="4">
                  <c:v>4.1314453912824872E-2</c:v>
                </c:pt>
                <c:pt idx="5">
                  <c:v>6.9704194679844483E-2</c:v>
                </c:pt>
                <c:pt idx="6">
                  <c:v>-0.12386488390079764</c:v>
                </c:pt>
                <c:pt idx="7">
                  <c:v>4.3221197522100026E-2</c:v>
                </c:pt>
                <c:pt idx="8">
                  <c:v>-2.0081744732765056E-2</c:v>
                </c:pt>
                <c:pt idx="9">
                  <c:v>4.4450880400220896E-2</c:v>
                </c:pt>
                <c:pt idx="10">
                  <c:v>0.10189291686024768</c:v>
                </c:pt>
                <c:pt idx="11">
                  <c:v>-1.2633040855145994E-2</c:v>
                </c:pt>
                <c:pt idx="12">
                  <c:v>-1.693086108095064E-3</c:v>
                </c:pt>
                <c:pt idx="13">
                  <c:v>-0.1170937835136012</c:v>
                </c:pt>
                <c:pt idx="14">
                  <c:v>3.0531310150254034E-2</c:v>
                </c:pt>
                <c:pt idx="15">
                  <c:v>6.6273357164404079E-2</c:v>
                </c:pt>
                <c:pt idx="16">
                  <c:v>-3.4637024738502206E-2</c:v>
                </c:pt>
                <c:pt idx="17">
                  <c:v>0.10726361933694913</c:v>
                </c:pt>
                <c:pt idx="18">
                  <c:v>4.7372578115541943E-2</c:v>
                </c:pt>
                <c:pt idx="19">
                  <c:v>2.9882536370115318E-2</c:v>
                </c:pt>
                <c:pt idx="20">
                  <c:v>-1.1278623095631086E-2</c:v>
                </c:pt>
                <c:pt idx="21">
                  <c:v>-2.0049372782066005E-2</c:v>
                </c:pt>
                <c:pt idx="22">
                  <c:v>9.1818011936601288E-2</c:v>
                </c:pt>
                <c:pt idx="23">
                  <c:v>3.2970891543454971E-2</c:v>
                </c:pt>
                <c:pt idx="24">
                  <c:v>9.6384973726707651E-2</c:v>
                </c:pt>
                <c:pt idx="25">
                  <c:v>5.8163615093971985E-2</c:v>
                </c:pt>
                <c:pt idx="26">
                  <c:v>-1.7185395824895922E-2</c:v>
                </c:pt>
                <c:pt idx="27">
                  <c:v>-0.10794393489155718</c:v>
                </c:pt>
                <c:pt idx="28">
                  <c:v>1.843746384154799E-3</c:v>
                </c:pt>
                <c:pt idx="29">
                  <c:v>0.11105085209178318</c:v>
                </c:pt>
                <c:pt idx="30">
                  <c:v>-4.6055217066432175E-2</c:v>
                </c:pt>
                <c:pt idx="31">
                  <c:v>-5.1040126403265433E-3</c:v>
                </c:pt>
                <c:pt idx="32">
                  <c:v>-2.7532375524202356E-2</c:v>
                </c:pt>
                <c:pt idx="33">
                  <c:v>7.8055970098158456E-2</c:v>
                </c:pt>
                <c:pt idx="34">
                  <c:v>4.1936143314852958E-2</c:v>
                </c:pt>
                <c:pt idx="35">
                  <c:v>1.2626306037807081E-2</c:v>
                </c:pt>
                <c:pt idx="36">
                  <c:v>-4.7061529942185754E-3</c:v>
                </c:pt>
                <c:pt idx="37">
                  <c:v>-4.6418213843641275E-2</c:v>
                </c:pt>
                <c:pt idx="38">
                  <c:v>-8.8518428498030169E-2</c:v>
                </c:pt>
                <c:pt idx="39">
                  <c:v>3.6699408773345731E-2</c:v>
                </c:pt>
                <c:pt idx="40">
                  <c:v>6.5535605692751738E-3</c:v>
                </c:pt>
                <c:pt idx="41">
                  <c:v>-2.2847865515183757E-3</c:v>
                </c:pt>
                <c:pt idx="42">
                  <c:v>-6.5305611413648074E-2</c:v>
                </c:pt>
                <c:pt idx="43">
                  <c:v>-4.09078967440034E-2</c:v>
                </c:pt>
                <c:pt idx="44">
                  <c:v>-4.131827726481593E-3</c:v>
                </c:pt>
                <c:pt idx="45">
                  <c:v>-8.9521340992144045E-3</c:v>
                </c:pt>
                <c:pt idx="46">
                  <c:v>-7.7334092418733097E-3</c:v>
                </c:pt>
                <c:pt idx="47">
                  <c:v>-5.7546975254722493E-2</c:v>
                </c:pt>
                <c:pt idx="48">
                  <c:v>7.0480116207315459E-3</c:v>
                </c:pt>
                <c:pt idx="49">
                  <c:v>6.5802229599743717E-2</c:v>
                </c:pt>
                <c:pt idx="50">
                  <c:v>9.8002597344242395E-2</c:v>
                </c:pt>
                <c:pt idx="51">
                  <c:v>-3.2558803181540016E-2</c:v>
                </c:pt>
                <c:pt idx="52">
                  <c:v>6.4215399647937196E-2</c:v>
                </c:pt>
                <c:pt idx="53">
                  <c:v>6.2770609566836846E-2</c:v>
                </c:pt>
                <c:pt idx="54">
                  <c:v>2.6259822154941825E-2</c:v>
                </c:pt>
                <c:pt idx="55">
                  <c:v>-1.7145256496975472E-2</c:v>
                </c:pt>
                <c:pt idx="56">
                  <c:v>3.3928057724613395E-2</c:v>
                </c:pt>
                <c:pt idx="57">
                  <c:v>5.0624703522364575E-2</c:v>
                </c:pt>
                <c:pt idx="58">
                  <c:v>-3.9678875730157638E-2</c:v>
                </c:pt>
                <c:pt idx="59">
                  <c:v>-3.3915334070152216E-2</c:v>
                </c:pt>
                <c:pt idx="60">
                  <c:v>6.5554185922268485E-2</c:v>
                </c:pt>
                <c:pt idx="61">
                  <c:v>3.9714516365502661E-2</c:v>
                </c:pt>
                <c:pt idx="62">
                  <c:v>0.13633435420252726</c:v>
                </c:pt>
                <c:pt idx="63">
                  <c:v>1.5844162496972451E-2</c:v>
                </c:pt>
                <c:pt idx="64">
                  <c:v>-8.1748175202621884E-3</c:v>
                </c:pt>
                <c:pt idx="65">
                  <c:v>8.7225264364558953E-3</c:v>
                </c:pt>
                <c:pt idx="66">
                  <c:v>5.1521888029974254E-2</c:v>
                </c:pt>
                <c:pt idx="67">
                  <c:v>-1.5202276690007727E-2</c:v>
                </c:pt>
                <c:pt idx="68">
                  <c:v>-5.677661549370093E-2</c:v>
                </c:pt>
                <c:pt idx="69">
                  <c:v>7.1817854552443786E-2</c:v>
                </c:pt>
                <c:pt idx="70">
                  <c:v>-7.3742477521655067E-2</c:v>
                </c:pt>
                <c:pt idx="71">
                  <c:v>-9.621239082867836E-3</c:v>
                </c:pt>
                <c:pt idx="72">
                  <c:v>4.1441381015073026E-2</c:v>
                </c:pt>
                <c:pt idx="73">
                  <c:v>3.992582267871065E-2</c:v>
                </c:pt>
                <c:pt idx="74">
                  <c:v>0.15709235476384067</c:v>
                </c:pt>
                <c:pt idx="75">
                  <c:v>-4.6526049239721517E-3</c:v>
                </c:pt>
                <c:pt idx="76">
                  <c:v>-1.4973103407453916E-2</c:v>
                </c:pt>
                <c:pt idx="77">
                  <c:v>3.3303121424164805E-2</c:v>
                </c:pt>
                <c:pt idx="78">
                  <c:v>-3.3259702705519624E-2</c:v>
                </c:pt>
                <c:pt idx="79">
                  <c:v>7.5380111661083701E-2</c:v>
                </c:pt>
                <c:pt idx="80">
                  <c:v>8.5164464871536907E-2</c:v>
                </c:pt>
                <c:pt idx="81">
                  <c:v>5.0073430024257948E-3</c:v>
                </c:pt>
                <c:pt idx="82">
                  <c:v>4.9362323561906271E-2</c:v>
                </c:pt>
                <c:pt idx="83">
                  <c:v>5.6218547530610861E-2</c:v>
                </c:pt>
                <c:pt idx="84">
                  <c:v>6.4425835817899665E-2</c:v>
                </c:pt>
                <c:pt idx="85">
                  <c:v>-3.9569012613944056E-2</c:v>
                </c:pt>
                <c:pt idx="86">
                  <c:v>-2.3956786165529837E-2</c:v>
                </c:pt>
                <c:pt idx="87">
                  <c:v>4.0719749024856755E-2</c:v>
                </c:pt>
                <c:pt idx="88">
                  <c:v>6.1306768051170496E-2</c:v>
                </c:pt>
                <c:pt idx="89">
                  <c:v>-0.18817863978233021</c:v>
                </c:pt>
                <c:pt idx="90">
                  <c:v>-3.5211085582224036E-2</c:v>
                </c:pt>
                <c:pt idx="91">
                  <c:v>3.249228977185957E-2</c:v>
                </c:pt>
                <c:pt idx="92">
                  <c:v>2.0307820505753287E-3</c:v>
                </c:pt>
                <c:pt idx="93">
                  <c:v>3.5220526976507988E-2</c:v>
                </c:pt>
                <c:pt idx="94">
                  <c:v>8.0679165037680384E-2</c:v>
                </c:pt>
                <c:pt idx="95">
                  <c:v>-4.3172731051509955E-4</c:v>
                </c:pt>
                <c:pt idx="96">
                  <c:v>-4.3164978166539336E-3</c:v>
                </c:pt>
                <c:pt idx="97">
                  <c:v>0.12814862265651142</c:v>
                </c:pt>
                <c:pt idx="98">
                  <c:v>-1.5590235471427278E-2</c:v>
                </c:pt>
                <c:pt idx="99">
                  <c:v>-4.1817711092104234E-2</c:v>
                </c:pt>
                <c:pt idx="100">
                  <c:v>2.2410857110008106E-3</c:v>
                </c:pt>
                <c:pt idx="101">
                  <c:v>6.1831145077104688E-2</c:v>
                </c:pt>
                <c:pt idx="102">
                  <c:v>2.2360690233736692E-2</c:v>
                </c:pt>
                <c:pt idx="103">
                  <c:v>8.760907663511637E-2</c:v>
                </c:pt>
                <c:pt idx="104">
                  <c:v>-0.15348165276828732</c:v>
                </c:pt>
                <c:pt idx="105">
                  <c:v>7.5671567665292455E-2</c:v>
                </c:pt>
                <c:pt idx="106">
                  <c:v>-3.4799496285235515E-2</c:v>
                </c:pt>
                <c:pt idx="107">
                  <c:v>-1.1878914926352013E-2</c:v>
                </c:pt>
                <c:pt idx="108">
                  <c:v>5.4170419956469394E-2</c:v>
                </c:pt>
                <c:pt idx="109">
                  <c:v>1.6706657645098787E-2</c:v>
                </c:pt>
                <c:pt idx="110">
                  <c:v>0.14178424962669081</c:v>
                </c:pt>
                <c:pt idx="111">
                  <c:v>-5.2373360502583149E-2</c:v>
                </c:pt>
                <c:pt idx="112">
                  <c:v>9.0888059278584399E-2</c:v>
                </c:pt>
                <c:pt idx="113">
                  <c:v>-6.9988415561722389E-2</c:v>
                </c:pt>
                <c:pt idx="114">
                  <c:v>-5.0014417650044087E-2</c:v>
                </c:pt>
                <c:pt idx="115">
                  <c:v>3.3155931017090093E-2</c:v>
                </c:pt>
                <c:pt idx="116">
                  <c:v>8.3349000835410844E-2</c:v>
                </c:pt>
                <c:pt idx="117">
                  <c:v>5.6617886095388058E-2</c:v>
                </c:pt>
                <c:pt idx="118">
                  <c:v>-3.4869587408793007E-2</c:v>
                </c:pt>
                <c:pt idx="119">
                  <c:v>1.4316967918444636E-2</c:v>
                </c:pt>
                <c:pt idx="120">
                  <c:v>4.0088363743445959E-2</c:v>
                </c:pt>
                <c:pt idx="121">
                  <c:v>-3.7950866352990907E-2</c:v>
                </c:pt>
                <c:pt idx="122">
                  <c:v>0.16470759101541688</c:v>
                </c:pt>
                <c:pt idx="123">
                  <c:v>-2.5553408658117328E-2</c:v>
                </c:pt>
                <c:pt idx="124">
                  <c:v>9.4987377920512484E-2</c:v>
                </c:pt>
                <c:pt idx="125">
                  <c:v>-9.5967194069024098E-2</c:v>
                </c:pt>
                <c:pt idx="126">
                  <c:v>8.367272885585289E-2</c:v>
                </c:pt>
                <c:pt idx="127">
                  <c:v>0.12224547771670689</c:v>
                </c:pt>
                <c:pt idx="128">
                  <c:v>0.1260957865775596</c:v>
                </c:pt>
                <c:pt idx="129">
                  <c:v>-8.5311584572101751E-2</c:v>
                </c:pt>
                <c:pt idx="130">
                  <c:v>-0.11146205121277829</c:v>
                </c:pt>
                <c:pt idx="131">
                  <c:v>-4.4496146349649456E-2</c:v>
                </c:pt>
                <c:pt idx="132">
                  <c:v>-7.8908019517205441E-2</c:v>
                </c:pt>
                <c:pt idx="133">
                  <c:v>-0.13899355046511921</c:v>
                </c:pt>
                <c:pt idx="134">
                  <c:v>0.10019066567718501</c:v>
                </c:pt>
                <c:pt idx="135">
                  <c:v>2.9213740588995278E-2</c:v>
                </c:pt>
                <c:pt idx="136">
                  <c:v>-1.6093482522528475E-2</c:v>
                </c:pt>
                <c:pt idx="137">
                  <c:v>-0.13190224310050794</c:v>
                </c:pt>
                <c:pt idx="138">
                  <c:v>1.9580649487112519E-2</c:v>
                </c:pt>
                <c:pt idx="139">
                  <c:v>-1.7664995751984311E-2</c:v>
                </c:pt>
                <c:pt idx="140">
                  <c:v>0.12597950158848345</c:v>
                </c:pt>
                <c:pt idx="141">
                  <c:v>-2.2108989071449158E-2</c:v>
                </c:pt>
                <c:pt idx="142">
                  <c:v>-4.5585243486770052E-2</c:v>
                </c:pt>
                <c:pt idx="143">
                  <c:v>-2.5193801708876723E-2</c:v>
                </c:pt>
                <c:pt idx="144">
                  <c:v>-1.287499803804276E-2</c:v>
                </c:pt>
                <c:pt idx="145">
                  <c:v>0.12938086239612817</c:v>
                </c:pt>
                <c:pt idx="146">
                  <c:v>3.7150868260039507E-2</c:v>
                </c:pt>
                <c:pt idx="147">
                  <c:v>-5.9744258765395625E-3</c:v>
                </c:pt>
                <c:pt idx="148">
                  <c:v>-3.2441307438678901E-2</c:v>
                </c:pt>
                <c:pt idx="149">
                  <c:v>2.2864866167668481E-2</c:v>
                </c:pt>
                <c:pt idx="150">
                  <c:v>4.9481870785259938E-2</c:v>
                </c:pt>
                <c:pt idx="151">
                  <c:v>1.152224417350721E-2</c:v>
                </c:pt>
                <c:pt idx="152">
                  <c:v>1.309409643462316E-2</c:v>
                </c:pt>
                <c:pt idx="153">
                  <c:v>5.3390744887580846E-2</c:v>
                </c:pt>
                <c:pt idx="154">
                  <c:v>-4.4427426931072682E-3</c:v>
                </c:pt>
                <c:pt idx="155">
                  <c:v>-3.2062622473042566E-3</c:v>
                </c:pt>
                <c:pt idx="156">
                  <c:v>7.3147218312098167E-2</c:v>
                </c:pt>
                <c:pt idx="157">
                  <c:v>4.6698193934699213E-2</c:v>
                </c:pt>
                <c:pt idx="158">
                  <c:v>8.0970731251344283E-2</c:v>
                </c:pt>
                <c:pt idx="159">
                  <c:v>1.8213238859764211E-2</c:v>
                </c:pt>
                <c:pt idx="160">
                  <c:v>-2.7040135608368786E-2</c:v>
                </c:pt>
                <c:pt idx="161">
                  <c:v>4.2701412798963351E-3</c:v>
                </c:pt>
                <c:pt idx="162">
                  <c:v>-2.3033744244751679E-2</c:v>
                </c:pt>
                <c:pt idx="163">
                  <c:v>-4.0858121666431414E-2</c:v>
                </c:pt>
                <c:pt idx="164">
                  <c:v>-2.3437074030044625E-2</c:v>
                </c:pt>
                <c:pt idx="165">
                  <c:v>6.8267160478692898E-2</c:v>
                </c:pt>
              </c:numCache>
            </c:numRef>
          </c:yVal>
          <c:smooth val="0"/>
          <c:extLst>
            <c:ext xmlns:c16="http://schemas.microsoft.com/office/drawing/2014/chart" uri="{C3380CC4-5D6E-409C-BE32-E72D297353CC}">
              <c16:uniqueId val="{00000000-75B2-489D-865C-D40D66159762}"/>
            </c:ext>
          </c:extLst>
        </c:ser>
        <c:ser>
          <c:idx val="1"/>
          <c:order val="1"/>
          <c:spPr>
            <a:ln w="28575">
              <a:noFill/>
            </a:ln>
          </c:spPr>
          <c:marker>
            <c:symbol val="square"/>
            <c:size val="5"/>
            <c:spPr>
              <a:solidFill>
                <a:srgbClr val="FF5050"/>
              </a:solidFill>
              <a:ln>
                <a:solidFill>
                  <a:srgbClr val="FF5050"/>
                </a:solidFill>
                <a:prstDash val="solid"/>
              </a:ln>
            </c:spPr>
          </c:marker>
          <c:xVal>
            <c:numRef>
              <c:f>'NIKE BETA'!$F$8:$F$264</c:f>
              <c:numCache>
                <c:formatCode>0.0000</c:formatCode>
                <c:ptCount val="257"/>
                <c:pt idx="0">
                  <c:v>1.5360420926312597E-2</c:v>
                </c:pt>
                <c:pt idx="1">
                  <c:v>2.3840287342056121E-2</c:v>
                </c:pt>
                <c:pt idx="2">
                  <c:v>1.7318174486174488E-2</c:v>
                </c:pt>
                <c:pt idx="3">
                  <c:v>-5.2301842684793445E-2</c:v>
                </c:pt>
                <c:pt idx="4">
                  <c:v>3.0264233019538247E-3</c:v>
                </c:pt>
                <c:pt idx="5">
                  <c:v>6.6866821169985241E-2</c:v>
                </c:pt>
                <c:pt idx="6">
                  <c:v>-8.1161539712767405E-2</c:v>
                </c:pt>
                <c:pt idx="7">
                  <c:v>3.0977702946131842E-2</c:v>
                </c:pt>
                <c:pt idx="8">
                  <c:v>-2.5080274382256823E-2</c:v>
                </c:pt>
                <c:pt idx="9">
                  <c:v>4.8203800724717707E-2</c:v>
                </c:pt>
                <c:pt idx="10">
                  <c:v>1.2393532342733634E-2</c:v>
                </c:pt>
                <c:pt idx="11">
                  <c:v>-3.8948596640749067E-2</c:v>
                </c:pt>
                <c:pt idx="12">
                  <c:v>1.1704139456918373E-2</c:v>
                </c:pt>
                <c:pt idx="13">
                  <c:v>-0.11197280032267529</c:v>
                </c:pt>
                <c:pt idx="14">
                  <c:v>-2.8044062688496327E-2</c:v>
                </c:pt>
                <c:pt idx="15">
                  <c:v>3.9357808005282324E-2</c:v>
                </c:pt>
                <c:pt idx="16">
                  <c:v>1.4307840345425381E-2</c:v>
                </c:pt>
                <c:pt idx="17">
                  <c:v>3.304998680955649E-3</c:v>
                </c:pt>
                <c:pt idx="18">
                  <c:v>5.7003961593988219E-2</c:v>
                </c:pt>
                <c:pt idx="19">
                  <c:v>5.5594218992868526E-3</c:v>
                </c:pt>
                <c:pt idx="20">
                  <c:v>8.7502192139359437E-3</c:v>
                </c:pt>
                <c:pt idx="21">
                  <c:v>-4.2307943705555379E-2</c:v>
                </c:pt>
                <c:pt idx="22">
                  <c:v>2.3253128315425437E-2</c:v>
                </c:pt>
                <c:pt idx="23">
                  <c:v>3.0423572337020942E-2</c:v>
                </c:pt>
                <c:pt idx="24">
                  <c:v>-1.2775781181036254E-2</c:v>
                </c:pt>
                <c:pt idx="25">
                  <c:v>5.4318930242159141E-3</c:v>
                </c:pt>
                <c:pt idx="26">
                  <c:v>5.8518029693204354E-2</c:v>
                </c:pt>
                <c:pt idx="27">
                  <c:v>-1.6206296369223105E-2</c:v>
                </c:pt>
                <c:pt idx="28">
                  <c:v>4.4949240501702126E-3</c:v>
                </c:pt>
                <c:pt idx="29">
                  <c:v>3.0584505259604284E-2</c:v>
                </c:pt>
                <c:pt idx="30">
                  <c:v>-2.3959985332880407E-2</c:v>
                </c:pt>
                <c:pt idx="31">
                  <c:v>8.0095866567610093E-3</c:v>
                </c:pt>
                <c:pt idx="32">
                  <c:v>-3.0630788432830063E-3</c:v>
                </c:pt>
                <c:pt idx="33">
                  <c:v>1.5781728999260773E-2</c:v>
                </c:pt>
                <c:pt idx="34">
                  <c:v>9.1327872622460086E-4</c:v>
                </c:pt>
                <c:pt idx="35">
                  <c:v>2.3756951347249047E-2</c:v>
                </c:pt>
                <c:pt idx="36">
                  <c:v>0.1073994211184383</c:v>
                </c:pt>
                <c:pt idx="37">
                  <c:v>-5.0301955594242075E-2</c:v>
                </c:pt>
                <c:pt idx="38">
                  <c:v>7.5217541687760811E-3</c:v>
                </c:pt>
                <c:pt idx="39">
                  <c:v>1.4510567882421188E-2</c:v>
                </c:pt>
                <c:pt idx="40">
                  <c:v>5.7230814525751995E-2</c:v>
                </c:pt>
                <c:pt idx="41">
                  <c:v>-4.4077959439148889E-3</c:v>
                </c:pt>
                <c:pt idx="42">
                  <c:v>1.8979139260803222E-2</c:v>
                </c:pt>
                <c:pt idx="43">
                  <c:v>1.2876622034848972E-2</c:v>
                </c:pt>
                <c:pt idx="44">
                  <c:v>7.5319329535354126E-2</c:v>
                </c:pt>
                <c:pt idx="45">
                  <c:v>-3.6085751861019604E-3</c:v>
                </c:pt>
                <c:pt idx="46">
                  <c:v>-9.0784021800275269E-2</c:v>
                </c:pt>
                <c:pt idx="47">
                  <c:v>-5.4444268184036998E-2</c:v>
                </c:pt>
                <c:pt idx="48">
                  <c:v>2.8708306194090819E-2</c:v>
                </c:pt>
                <c:pt idx="49">
                  <c:v>5.3130106997018839E-2</c:v>
                </c:pt>
                <c:pt idx="50">
                  <c:v>-5.3079212112019755E-2</c:v>
                </c:pt>
                <c:pt idx="51">
                  <c:v>-6.6405831567458926E-2</c:v>
                </c:pt>
                <c:pt idx="52">
                  <c:v>-1.4616604041916566E-2</c:v>
                </c:pt>
                <c:pt idx="53">
                  <c:v>3.3657948283463838E-3</c:v>
                </c:pt>
                <c:pt idx="54">
                  <c:v>1.9264558257574893E-2</c:v>
                </c:pt>
                <c:pt idx="55">
                  <c:v>-2.8348441975713359E-2</c:v>
                </c:pt>
                <c:pt idx="56">
                  <c:v>1.3609282436451663E-2</c:v>
                </c:pt>
                <c:pt idx="57">
                  <c:v>5.6165719165556224E-2</c:v>
                </c:pt>
                <c:pt idx="58">
                  <c:v>-3.4506311957798776E-2</c:v>
                </c:pt>
                <c:pt idx="59">
                  <c:v>2.4532527419858473E-2</c:v>
                </c:pt>
                <c:pt idx="60">
                  <c:v>-2.6636260003013341E-3</c:v>
                </c:pt>
                <c:pt idx="61">
                  <c:v>6.2650378040065846E-2</c:v>
                </c:pt>
                <c:pt idx="62">
                  <c:v>-6.4557642087234135E-2</c:v>
                </c:pt>
                <c:pt idx="63">
                  <c:v>4.5894619339484181E-2</c:v>
                </c:pt>
                <c:pt idx="64">
                  <c:v>-6.3859301946060182E-2</c:v>
                </c:pt>
                <c:pt idx="65">
                  <c:v>4.8747607022183073E-2</c:v>
                </c:pt>
                <c:pt idx="66">
                  <c:v>4.0182484085854401E-3</c:v>
                </c:pt>
                <c:pt idx="67">
                  <c:v>-4.2249507886620068E-2</c:v>
                </c:pt>
                <c:pt idx="68">
                  <c:v>-1.1411909486751958E-2</c:v>
                </c:pt>
                <c:pt idx="69">
                  <c:v>4.3121217962495864E-2</c:v>
                </c:pt>
                <c:pt idx="70">
                  <c:v>-3.1171378585906562E-2</c:v>
                </c:pt>
                <c:pt idx="71">
                  <c:v>1.4852394451199005E-2</c:v>
                </c:pt>
                <c:pt idx="72">
                  <c:v>3.5675905468301267E-2</c:v>
                </c:pt>
                <c:pt idx="73">
                  <c:v>2.1522713442672044E-2</c:v>
                </c:pt>
                <c:pt idx="74">
                  <c:v>5.9140237089307407E-2</c:v>
                </c:pt>
                <c:pt idx="75">
                  <c:v>-3.5935523669975017E-2</c:v>
                </c:pt>
                <c:pt idx="76">
                  <c:v>6.6303270982695756E-2</c:v>
                </c:pt>
                <c:pt idx="77">
                  <c:v>-9.6924666842868046E-3</c:v>
                </c:pt>
                <c:pt idx="78">
                  <c:v>3.5967924501360514E-2</c:v>
                </c:pt>
                <c:pt idx="79">
                  <c:v>-6.6910733067766723E-3</c:v>
                </c:pt>
                <c:pt idx="80">
                  <c:v>4.1787770740031219E-2</c:v>
                </c:pt>
                <c:pt idx="81">
                  <c:v>7.4206221256876304E-3</c:v>
                </c:pt>
                <c:pt idx="82">
                  <c:v>5.945293801958805E-2</c:v>
                </c:pt>
                <c:pt idx="83">
                  <c:v>3.0913069845413328E-2</c:v>
                </c:pt>
                <c:pt idx="84">
                  <c:v>1.5679488084298521E-3</c:v>
                </c:pt>
                <c:pt idx="85">
                  <c:v>-2.4729444571922811E-2</c:v>
                </c:pt>
                <c:pt idx="86">
                  <c:v>2.8866379678988235E-2</c:v>
                </c:pt>
                <c:pt idx="87">
                  <c:v>2.972259952399758E-2</c:v>
                </c:pt>
                <c:pt idx="88">
                  <c:v>-1.6612287467154072E-2</c:v>
                </c:pt>
                <c:pt idx="89">
                  <c:v>4.5832207231441977E-2</c:v>
                </c:pt>
                <c:pt idx="90">
                  <c:v>-6.9629464706753311E-2</c:v>
                </c:pt>
                <c:pt idx="91">
                  <c:v>-1.8753645803469179E-2</c:v>
                </c:pt>
                <c:pt idx="92">
                  <c:v>2.1086012161507461E-2</c:v>
                </c:pt>
                <c:pt idx="93">
                  <c:v>2.0283451569520911E-2</c:v>
                </c:pt>
                <c:pt idx="94">
                  <c:v>6.7603082371669593E-2</c:v>
                </c:pt>
                <c:pt idx="95">
                  <c:v>2.3387776717295264E-3</c:v>
                </c:pt>
                <c:pt idx="96">
                  <c:v>-7.4635698996353061E-3</c:v>
                </c:pt>
                <c:pt idx="97">
                  <c:v>0.14776267675976421</c:v>
                </c:pt>
                <c:pt idx="98">
                  <c:v>-0.11615030324628477</c:v>
                </c:pt>
                <c:pt idx="99">
                  <c:v>-9.1095447990295716E-2</c:v>
                </c:pt>
                <c:pt idx="100">
                  <c:v>-4.0183558194870274E-2</c:v>
                </c:pt>
                <c:pt idx="101">
                  <c:v>-2.8253806587951239E-2</c:v>
                </c:pt>
                <c:pt idx="102">
                  <c:v>-2.3148357928521733E-2</c:v>
                </c:pt>
                <c:pt idx="103">
                  <c:v>2.2100356697999663E-2</c:v>
                </c:pt>
                <c:pt idx="104">
                  <c:v>2.0652800461982777E-2</c:v>
                </c:pt>
                <c:pt idx="105">
                  <c:v>5.0274348693333339E-2</c:v>
                </c:pt>
                <c:pt idx="106">
                  <c:v>-6.8717889170298013E-3</c:v>
                </c:pt>
                <c:pt idx="107">
                  <c:v>7.4273162502466905E-2</c:v>
                </c:pt>
                <c:pt idx="108">
                  <c:v>3.0220729448123342E-2</c:v>
                </c:pt>
                <c:pt idx="109">
                  <c:v>3.690975300433904E-2</c:v>
                </c:pt>
                <c:pt idx="110">
                  <c:v>0.11997174350743858</c:v>
                </c:pt>
                <c:pt idx="111">
                  <c:v>-7.796454779818543E-2</c:v>
                </c:pt>
                <c:pt idx="112">
                  <c:v>6.4611518216197317E-2</c:v>
                </c:pt>
                <c:pt idx="113">
                  <c:v>-8.203502177515884E-2</c:v>
                </c:pt>
                <c:pt idx="114">
                  <c:v>-8.0249027595631989E-2</c:v>
                </c:pt>
                <c:pt idx="115">
                  <c:v>5.2162841507971749E-2</c:v>
                </c:pt>
                <c:pt idx="116">
                  <c:v>7.574503652690022E-2</c:v>
                </c:pt>
                <c:pt idx="117">
                  <c:v>4.0276097384070307E-2</c:v>
                </c:pt>
                <c:pt idx="118">
                  <c:v>-4.1095093498907637E-2</c:v>
                </c:pt>
                <c:pt idx="119">
                  <c:v>7.489336553260531E-2</c:v>
                </c:pt>
                <c:pt idx="120">
                  <c:v>2.6641573373258148E-2</c:v>
                </c:pt>
                <c:pt idx="121">
                  <c:v>-7.2223332574126803E-2</c:v>
                </c:pt>
                <c:pt idx="122">
                  <c:v>5.2931002859561878E-2</c:v>
                </c:pt>
                <c:pt idx="123">
                  <c:v>2.4106471893815384E-2</c:v>
                </c:pt>
                <c:pt idx="124">
                  <c:v>9.1689673399075633E-2</c:v>
                </c:pt>
                <c:pt idx="125">
                  <c:v>9.7653136561496306E-3</c:v>
                </c:pt>
                <c:pt idx="126">
                  <c:v>2.5140412785115286E-2</c:v>
                </c:pt>
                <c:pt idx="127">
                  <c:v>0.14993573151981074</c:v>
                </c:pt>
                <c:pt idx="128">
                  <c:v>8.3737584452614047E-2</c:v>
                </c:pt>
                <c:pt idx="129">
                  <c:v>-0.12600205699629574</c:v>
                </c:pt>
                <c:pt idx="130">
                  <c:v>-0.11496568281397911</c:v>
                </c:pt>
                <c:pt idx="131">
                  <c:v>5.3364711746822925E-2</c:v>
                </c:pt>
                <c:pt idx="132">
                  <c:v>-0.12267812572162434</c:v>
                </c:pt>
                <c:pt idx="133">
                  <c:v>-0.21268170187906035</c:v>
                </c:pt>
                <c:pt idx="134">
                  <c:v>-8.4615198444895207E-2</c:v>
                </c:pt>
                <c:pt idx="135">
                  <c:v>3.1283837309135192E-2</c:v>
                </c:pt>
                <c:pt idx="136">
                  <c:v>3.2210983900178888E-2</c:v>
                </c:pt>
                <c:pt idx="137">
                  <c:v>-8.2115564086724852E-2</c:v>
                </c:pt>
                <c:pt idx="138">
                  <c:v>4.0898685056477917E-2</c:v>
                </c:pt>
                <c:pt idx="139">
                  <c:v>3.7257228678775359E-2</c:v>
                </c:pt>
                <c:pt idx="140">
                  <c:v>-9.797204063166933E-4</c:v>
                </c:pt>
                <c:pt idx="141">
                  <c:v>-4.1704628542799507E-2</c:v>
                </c:pt>
                <c:pt idx="142">
                  <c:v>-7.2463808450197273E-2</c:v>
                </c:pt>
                <c:pt idx="143">
                  <c:v>-5.9821252627838255E-3</c:v>
                </c:pt>
                <c:pt idx="144">
                  <c:v>-7.6433107809055933E-2</c:v>
                </c:pt>
                <c:pt idx="145">
                  <c:v>2.406244567890499E-2</c:v>
                </c:pt>
                <c:pt idx="146">
                  <c:v>1.1851756411206022E-2</c:v>
                </c:pt>
                <c:pt idx="147">
                  <c:v>1.7542983483452908E-2</c:v>
                </c:pt>
                <c:pt idx="148">
                  <c:v>-7.3167297194689285E-2</c:v>
                </c:pt>
                <c:pt idx="149">
                  <c:v>-2.0183257015094484E-2</c:v>
                </c:pt>
                <c:pt idx="150">
                  <c:v>3.5857540986573275E-2</c:v>
                </c:pt>
                <c:pt idx="151">
                  <c:v>1.3295451820911172E-2</c:v>
                </c:pt>
                <c:pt idx="152">
                  <c:v>5.3007716022806404E-3</c:v>
                </c:pt>
                <c:pt idx="153">
                  <c:v>-1.2687143354698716E-2</c:v>
                </c:pt>
                <c:pt idx="154">
                  <c:v>1.1993385641845957E-2</c:v>
                </c:pt>
                <c:pt idx="155">
                  <c:v>-2.0560395234891036E-3</c:v>
                </c:pt>
                <c:pt idx="156">
                  <c:v>2.1341265828373732E-2</c:v>
                </c:pt>
                <c:pt idx="157">
                  <c:v>5.2917785236899946E-2</c:v>
                </c:pt>
                <c:pt idx="158">
                  <c:v>3.0501052993551665E-3</c:v>
                </c:pt>
                <c:pt idx="159">
                  <c:v>2.4440811146813499E-2</c:v>
                </c:pt>
                <c:pt idx="160">
                  <c:v>-3.7495296225309525E-2</c:v>
                </c:pt>
                <c:pt idx="161">
                  <c:v>7.5450835065382811E-4</c:v>
                </c:pt>
                <c:pt idx="162">
                  <c:v>-6.1275323378670581E-2</c:v>
                </c:pt>
                <c:pt idx="163">
                  <c:v>-5.0917185590044567E-3</c:v>
                </c:pt>
                <c:pt idx="164">
                  <c:v>4.3141375631934945E-2</c:v>
                </c:pt>
                <c:pt idx="165">
                  <c:v>-7.2440397682782074E-3</c:v>
                </c:pt>
              </c:numCache>
            </c:numRef>
          </c:xVal>
          <c:yVal>
            <c:numRef>
              <c:f>'NIKE BETA'!$X$8:$X$264</c:f>
              <c:numCache>
                <c:formatCode>General</c:formatCode>
                <c:ptCount val="257"/>
                <c:pt idx="0">
                  <c:v>9.2913632942810808E-3</c:v>
                </c:pt>
                <c:pt idx="1">
                  <c:v>1.4420748741048286E-2</c:v>
                </c:pt>
                <c:pt idx="2">
                  <c:v>1.0475588625905219E-2</c:v>
                </c:pt>
                <c:pt idx="3">
                  <c:v>-3.1636855765606361E-2</c:v>
                </c:pt>
                <c:pt idx="4">
                  <c:v>1.8306528522640602E-3</c:v>
                </c:pt>
                <c:pt idx="5">
                  <c:v>4.0447063970739938E-2</c:v>
                </c:pt>
                <c:pt idx="6">
                  <c:v>-4.9093794669569119E-2</c:v>
                </c:pt>
                <c:pt idx="7">
                  <c:v>1.8738099266653836E-2</c:v>
                </c:pt>
                <c:pt idx="8">
                  <c:v>-1.5170804362959605E-2</c:v>
                </c:pt>
                <c:pt idx="9">
                  <c:v>2.9157991623215182E-2</c:v>
                </c:pt>
                <c:pt idx="10">
                  <c:v>7.4967223911489604E-3</c:v>
                </c:pt>
                <c:pt idx="11">
                  <c:v>-2.3559612261126302E-2</c:v>
                </c:pt>
                <c:pt idx="12">
                  <c:v>7.0797156056363391E-3</c:v>
                </c:pt>
                <c:pt idx="13">
                  <c:v>-6.7731214650100235E-2</c:v>
                </c:pt>
                <c:pt idx="14">
                  <c:v>-1.6963569939678985E-2</c:v>
                </c:pt>
                <c:pt idx="15">
                  <c:v>2.3807140077601298E-2</c:v>
                </c:pt>
                <c:pt idx="16">
                  <c:v>8.654667944560851E-3</c:v>
                </c:pt>
                <c:pt idx="17">
                  <c:v>1.9991602820776614E-3</c:v>
                </c:pt>
                <c:pt idx="18">
                  <c:v>3.448111994611442E-2</c:v>
                </c:pt>
                <c:pt idx="19">
                  <c:v>3.3628380901965563E-3</c:v>
                </c:pt>
                <c:pt idx="20">
                  <c:v>5.292919120595649E-3</c:v>
                </c:pt>
                <c:pt idx="21">
                  <c:v>-2.559164733102625E-2</c:v>
                </c:pt>
                <c:pt idx="22">
                  <c:v>1.4065582183171164E-2</c:v>
                </c:pt>
                <c:pt idx="23">
                  <c:v>1.8402911264552214E-2</c:v>
                </c:pt>
                <c:pt idx="24">
                  <c:v>-7.727940848151176E-3</c:v>
                </c:pt>
                <c:pt idx="25">
                  <c:v>3.2856971632337219E-3</c:v>
                </c:pt>
                <c:pt idx="26">
                  <c:v>3.5396964429125981E-2</c:v>
                </c:pt>
                <c:pt idx="27">
                  <c:v>-9.8030247962344105E-3</c:v>
                </c:pt>
                <c:pt idx="28">
                  <c:v>2.7189341054313521E-3</c:v>
                </c:pt>
                <c:pt idx="29">
                  <c:v>1.8500257962074728E-2</c:v>
                </c:pt>
                <c:pt idx="30">
                  <c:v>-1.449315284531595E-2</c:v>
                </c:pt>
                <c:pt idx="31">
                  <c:v>4.8449179760113462E-3</c:v>
                </c:pt>
                <c:pt idx="32">
                  <c:v>-1.8528254185545155E-3</c:v>
                </c:pt>
                <c:pt idx="33">
                  <c:v>9.5462082873547637E-3</c:v>
                </c:pt>
                <c:pt idx="34">
                  <c:v>5.5243306645035278E-4</c:v>
                </c:pt>
                <c:pt idx="35">
                  <c:v>1.4370339640480184E-2</c:v>
                </c:pt>
                <c:pt idx="36">
                  <c:v>6.4964823815309686E-2</c:v>
                </c:pt>
                <c:pt idx="37">
                  <c:v>-3.0427144287320962E-2</c:v>
                </c:pt>
                <c:pt idx="38">
                  <c:v>4.5498330369745177E-3</c:v>
                </c:pt>
                <c:pt idx="39">
                  <c:v>8.7772957817157694E-3</c:v>
                </c:pt>
                <c:pt idx="40">
                  <c:v>3.4618340990609321E-2</c:v>
                </c:pt>
                <c:pt idx="41">
                  <c:v>-2.6662311949939054E-3</c:v>
                </c:pt>
                <c:pt idx="42">
                  <c:v>1.1480289422459758E-2</c:v>
                </c:pt>
                <c:pt idx="43">
                  <c:v>7.7889384609232618E-3</c:v>
                </c:pt>
                <c:pt idx="44">
                  <c:v>4.5559900809479179E-2</c:v>
                </c:pt>
                <c:pt idx="45">
                  <c:v>-2.1827906402855394E-3</c:v>
                </c:pt>
                <c:pt idx="46">
                  <c:v>-5.4914336782096396E-2</c:v>
                </c:pt>
                <c:pt idx="47">
                  <c:v>-3.29327872859662E-2</c:v>
                </c:pt>
                <c:pt idx="48">
                  <c:v>1.7365364119405726E-2</c:v>
                </c:pt>
                <c:pt idx="49">
                  <c:v>3.2137864472691409E-2</c:v>
                </c:pt>
                <c:pt idx="50">
                  <c:v>-3.2107078671402778E-2</c:v>
                </c:pt>
                <c:pt idx="51">
                  <c:v>-4.016821602168269E-2</c:v>
                </c:pt>
                <c:pt idx="52">
                  <c:v>-8.8414359823605435E-3</c:v>
                </c:pt>
                <c:pt idx="53">
                  <c:v>2.035935256865776E-3</c:v>
                </c:pt>
                <c:pt idx="54">
                  <c:v>1.1652936487459914E-2</c:v>
                </c:pt>
                <c:pt idx="55">
                  <c:v>-1.7147685892643736E-2</c:v>
                </c:pt>
                <c:pt idx="56">
                  <c:v>8.2321173292160769E-3</c:v>
                </c:pt>
                <c:pt idx="57">
                  <c:v>3.3974075577434364E-2</c:v>
                </c:pt>
                <c:pt idx="58">
                  <c:v>-2.0872519176638817E-2</c:v>
                </c:pt>
                <c:pt idx="59">
                  <c:v>1.4839477764203191E-2</c:v>
                </c:pt>
                <c:pt idx="60">
                  <c:v>-1.6112004330882414E-3</c:v>
                </c:pt>
                <c:pt idx="61">
                  <c:v>3.7896580157978865E-2</c:v>
                </c:pt>
                <c:pt idx="62">
                  <c:v>-3.9050264893922847E-2</c:v>
                </c:pt>
                <c:pt idx="63">
                  <c:v>2.7761191153649761E-2</c:v>
                </c:pt>
                <c:pt idx="64">
                  <c:v>-3.8627846004118095E-2</c:v>
                </c:pt>
                <c:pt idx="65">
                  <c:v>2.9486934553601501E-2</c:v>
                </c:pt>
                <c:pt idx="66">
                  <c:v>2.430597829964333E-3</c:v>
                </c:pt>
                <c:pt idx="67">
                  <c:v>-2.5556300095053261E-2</c:v>
                </c:pt>
                <c:pt idx="68">
                  <c:v>-6.9029486517020299E-3</c:v>
                </c:pt>
                <c:pt idx="69">
                  <c:v>2.6083588705248378E-2</c:v>
                </c:pt>
                <c:pt idx="70">
                  <c:v>-1.885525170271219E-2</c:v>
                </c:pt>
                <c:pt idx="71">
                  <c:v>8.9840632166310226E-3</c:v>
                </c:pt>
                <c:pt idx="72">
                  <c:v>2.1579994464252628E-2</c:v>
                </c:pt>
                <c:pt idx="73">
                  <c:v>1.3018871724538011E-2</c:v>
                </c:pt>
                <c:pt idx="74">
                  <c:v>3.5773331391289034E-2</c:v>
                </c:pt>
                <c:pt idx="75">
                  <c:v>-2.17370348891948E-2</c:v>
                </c:pt>
                <c:pt idx="76">
                  <c:v>4.0106178161048535E-2</c:v>
                </c:pt>
                <c:pt idx="77">
                  <c:v>-5.8628750874370377E-3</c:v>
                </c:pt>
                <c:pt idx="78">
                  <c:v>2.17566338244638E-2</c:v>
                </c:pt>
                <c:pt idx="79">
                  <c:v>-4.0473625833672361E-3</c:v>
                </c:pt>
                <c:pt idx="80">
                  <c:v>2.5276999964151732E-2</c:v>
                </c:pt>
                <c:pt idx="81">
                  <c:v>4.4886592867540379E-3</c:v>
                </c:pt>
                <c:pt idx="82">
                  <c:v>3.5962481021994799E-2</c:v>
                </c:pt>
                <c:pt idx="83">
                  <c:v>1.8699003357596885E-2</c:v>
                </c:pt>
                <c:pt idx="84">
                  <c:v>9.4843637917506947E-4</c:v>
                </c:pt>
                <c:pt idx="85">
                  <c:v>-1.4958590958267475E-2</c:v>
                </c:pt>
                <c:pt idx="86">
                  <c:v>1.7460981171986557E-2</c:v>
                </c:pt>
                <c:pt idx="87">
                  <c:v>1.7978899898167238E-2</c:v>
                </c:pt>
                <c:pt idx="88">
                  <c:v>-1.0048604706004905E-2</c:v>
                </c:pt>
                <c:pt idx="89">
                  <c:v>2.7723438700604112E-2</c:v>
                </c:pt>
                <c:pt idx="90">
                  <c:v>-4.2118159110374996E-2</c:v>
                </c:pt>
                <c:pt idx="91">
                  <c:v>-1.1343890710300441E-2</c:v>
                </c:pt>
                <c:pt idx="92">
                  <c:v>1.2754715535469814E-2</c:v>
                </c:pt>
                <c:pt idx="93">
                  <c:v>1.226925474884211E-2</c:v>
                </c:pt>
                <c:pt idx="94">
                  <c:v>4.0892420926590983E-2</c:v>
                </c:pt>
                <c:pt idx="95">
                  <c:v>1.4147029639902237E-3</c:v>
                </c:pt>
                <c:pt idx="96">
                  <c:v>-4.5146379609285817E-3</c:v>
                </c:pt>
                <c:pt idx="97">
                  <c:v>8.9380149000902021E-2</c:v>
                </c:pt>
                <c:pt idx="98">
                  <c:v>-7.0258143925826452E-2</c:v>
                </c:pt>
                <c:pt idx="99">
                  <c:v>-5.5102715335308902E-2</c:v>
                </c:pt>
                <c:pt idx="100">
                  <c:v>-2.4306628017325676E-2</c:v>
                </c:pt>
                <c:pt idx="101">
                  <c:v>-1.7090441903536199E-2</c:v>
                </c:pt>
                <c:pt idx="102">
                  <c:v>-1.4002207635567645E-2</c:v>
                </c:pt>
                <c:pt idx="103">
                  <c:v>1.3368282288577059E-2</c:v>
                </c:pt>
                <c:pt idx="104">
                  <c:v>1.2492670159049061E-2</c:v>
                </c:pt>
                <c:pt idx="105">
                  <c:v>3.0410445152121296E-2</c:v>
                </c:pt>
                <c:pt idx="106">
                  <c:v>-4.1566756286193505E-3</c:v>
                </c:pt>
                <c:pt idx="107">
                  <c:v>4.4927084950090575E-2</c:v>
                </c:pt>
                <c:pt idx="108">
                  <c:v>1.8280213652198337E-2</c:v>
                </c:pt>
                <c:pt idx="109">
                  <c:v>2.2326336362178248E-2</c:v>
                </c:pt>
                <c:pt idx="110">
                  <c:v>7.256969449752658E-2</c:v>
                </c:pt>
                <c:pt idx="111">
                  <c:v>-4.7159966588310204E-2</c:v>
                </c:pt>
                <c:pt idx="112">
                  <c:v>3.9082854019539127E-2</c:v>
                </c:pt>
                <c:pt idx="113">
                  <c:v>-4.9622155136489279E-2</c:v>
                </c:pt>
                <c:pt idx="114">
                  <c:v>-4.8541825317204891E-2</c:v>
                </c:pt>
                <c:pt idx="115">
                  <c:v>3.1552775359322015E-2</c:v>
                </c:pt>
                <c:pt idx="116">
                  <c:v>4.5817406663931033E-2</c:v>
                </c:pt>
                <c:pt idx="117">
                  <c:v>2.4362604037119696E-2</c:v>
                </c:pt>
                <c:pt idx="118">
                  <c:v>-2.4858006505324395E-2</c:v>
                </c:pt>
                <c:pt idx="119">
                  <c:v>4.5302239491549691E-2</c:v>
                </c:pt>
                <c:pt idx="120">
                  <c:v>1.6115218334814881E-2</c:v>
                </c:pt>
                <c:pt idx="121">
                  <c:v>-4.3687163554247017E-2</c:v>
                </c:pt>
                <c:pt idx="122">
                  <c:v>3.2017428393277848E-2</c:v>
                </c:pt>
                <c:pt idx="123">
                  <c:v>1.4581761084758477E-2</c:v>
                </c:pt>
                <c:pt idx="124">
                  <c:v>5.5462156276293077E-2</c:v>
                </c:pt>
                <c:pt idx="125">
                  <c:v>5.9069394840907995E-3</c:v>
                </c:pt>
                <c:pt idx="126">
                  <c:v>1.5207181474731239E-2</c:v>
                </c:pt>
                <c:pt idx="127">
                  <c:v>9.0694607851399545E-2</c:v>
                </c:pt>
                <c:pt idx="128">
                  <c:v>5.0652018083826994E-2</c:v>
                </c:pt>
                <c:pt idx="129">
                  <c:v>-7.6217370148614738E-2</c:v>
                </c:pt>
                <c:pt idx="130">
                  <c:v>-6.9541579005165624E-2</c:v>
                </c:pt>
                <c:pt idx="131">
                  <c:v>3.2279774513532783E-2</c:v>
                </c:pt>
                <c:pt idx="132">
                  <c:v>-7.420675773204416E-2</c:v>
                </c:pt>
                <c:pt idx="133">
                  <c:v>-0.12864901083662644</c:v>
                </c:pt>
                <c:pt idx="134">
                  <c:v>-5.1182877913355518E-2</c:v>
                </c:pt>
                <c:pt idx="135">
                  <c:v>1.8923276847214465E-2</c:v>
                </c:pt>
                <c:pt idx="136">
                  <c:v>1.948409844486252E-2</c:v>
                </c:pt>
                <c:pt idx="137">
                  <c:v>-4.9670874366314489E-2</c:v>
                </c:pt>
                <c:pt idx="138">
                  <c:v>2.4739201024574036E-2</c:v>
                </c:pt>
                <c:pt idx="139">
                  <c:v>2.253652088398277E-2</c:v>
                </c:pt>
                <c:pt idx="140">
                  <c:v>-5.9262296688208731E-4</c:v>
                </c:pt>
                <c:pt idx="141">
                  <c:v>-2.5226708089777294E-2</c:v>
                </c:pt>
              </c:numCache>
            </c:numRef>
          </c:yVal>
          <c:smooth val="0"/>
          <c:extLst>
            <c:ext xmlns:c16="http://schemas.microsoft.com/office/drawing/2014/chart" uri="{C3380CC4-5D6E-409C-BE32-E72D297353CC}">
              <c16:uniqueId val="{00000001-75B2-489D-865C-D40D66159762}"/>
            </c:ext>
          </c:extLst>
        </c:ser>
        <c:dLbls>
          <c:showLegendKey val="0"/>
          <c:showVal val="0"/>
          <c:showCatName val="0"/>
          <c:showSerName val="0"/>
          <c:showPercent val="0"/>
          <c:showBubbleSize val="0"/>
        </c:dLbls>
        <c:axId val="990814840"/>
        <c:axId val="990815232"/>
      </c:scatterChart>
      <c:valAx>
        <c:axId val="990814840"/>
        <c:scaling>
          <c:orientation val="minMax"/>
        </c:scaling>
        <c:delete val="0"/>
        <c:axPos val="b"/>
        <c:title>
          <c:tx>
            <c:rich>
              <a:bodyPr/>
              <a:lstStyle/>
              <a:p>
                <a:pPr>
                  <a:defRPr/>
                </a:pPr>
                <a:r>
                  <a:rPr lang="en-US"/>
                  <a:t>NKE</a:t>
                </a:r>
                <a:r>
                  <a:rPr lang="en-US" baseline="0"/>
                  <a:t> Rf</a:t>
                </a:r>
                <a:endParaRPr lang="en-US"/>
              </a:p>
            </c:rich>
          </c:tx>
          <c:layout>
            <c:manualLayout>
              <c:xMode val="edge"/>
              <c:yMode val="edge"/>
              <c:x val="0.509209150464771"/>
              <c:y val="0.94460908707655067"/>
            </c:manualLayout>
          </c:layout>
          <c:overlay val="0"/>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990815232"/>
        <c:crosses val="autoZero"/>
        <c:crossBetween val="midCat"/>
      </c:valAx>
      <c:valAx>
        <c:axId val="990815232"/>
        <c:scaling>
          <c:orientation val="minMax"/>
        </c:scaling>
        <c:delete val="0"/>
        <c:axPos val="l"/>
        <c:majorGridlines>
          <c:spPr>
            <a:ln w="3175">
              <a:solidFill>
                <a:srgbClr val="000000"/>
              </a:solidFill>
              <a:prstDash val="solid"/>
            </a:ln>
          </c:spPr>
        </c:majorGridlines>
        <c:title>
          <c:tx>
            <c:rich>
              <a:bodyPr/>
              <a:lstStyle/>
              <a:p>
                <a:pPr>
                  <a:defRPr/>
                </a:pPr>
                <a:r>
                  <a:rPr lang="en-US"/>
                  <a:t>Rm Rf</a:t>
                </a:r>
              </a:p>
            </c:rich>
          </c:tx>
          <c:layout>
            <c:manualLayout>
              <c:xMode val="edge"/>
              <c:yMode val="edge"/>
              <c:x val="9.034782180377586E-3"/>
              <c:y val="0.4522418505976909"/>
            </c:manualLayout>
          </c:layout>
          <c:overlay val="0"/>
        </c:title>
        <c:numFmt formatCode="0.0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Arial"/>
                <a:ea typeface="Arial"/>
                <a:cs typeface="Arial"/>
              </a:defRPr>
            </a:pPr>
            <a:endParaRPr lang="en-US"/>
          </a:p>
        </c:txPr>
        <c:crossAx val="990814840"/>
        <c:crosses val="autoZero"/>
        <c:crossBetween val="midCat"/>
      </c:valAx>
      <c:spPr>
        <a:solidFill>
          <a:schemeClr val="accent1">
            <a:lumMod val="20000"/>
            <a:lumOff val="80000"/>
          </a:schemeClr>
        </a:solidFill>
        <a:ln w="12700">
          <a:solidFill>
            <a:srgbClr val="808080"/>
          </a:solidFill>
          <a:prstDash val="solid"/>
        </a:ln>
      </c:spPr>
    </c:plotArea>
    <c:plotVisOnly val="1"/>
    <c:dispBlanksAs val="gap"/>
    <c:showDLblsOverMax val="0"/>
  </c:chart>
  <c:spPr>
    <a:gradFill flip="none" rotWithShape="1">
      <a:gsLst>
        <a:gs pos="17694">
          <a:srgbClr val="E2E9F6"/>
        </a:gs>
        <a:gs pos="10000">
          <a:schemeClr val="accent1">
            <a:lumMod val="5000"/>
            <a:lumOff val="95000"/>
          </a:schemeClr>
        </a:gs>
        <a:gs pos="61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w="3175">
      <a:solidFill>
        <a:schemeClr val="accent1"/>
      </a:solidFill>
      <a:prstDash val="solid"/>
    </a:ln>
  </c:spPr>
  <c:txPr>
    <a:bodyPr/>
    <a:lstStyle/>
    <a:p>
      <a:pPr>
        <a:defRPr sz="8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0" i="0" baseline="0">
                <a:effectLst/>
              </a:rPr>
              <a:t>Nike Implied Price from Valuation Techniques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'Floating Bars'!$E$16</c:f>
              <c:strCache>
                <c:ptCount val="1"/>
                <c:pt idx="0">
                  <c:v> </c:v>
                </c:pt>
              </c:strCache>
            </c:strRef>
          </c:tx>
          <c:spPr>
            <a:noFill/>
            <a:ln>
              <a:noFill/>
            </a:ln>
            <a:effectLst/>
          </c:spPr>
          <c:invertIfNegative val="0"/>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Bars'!$E$17:$E$23</c:f>
              <c:numCache>
                <c:formatCode>"$"#,##0.00_);[Red]\("$"#,##0.00\)</c:formatCode>
                <c:ptCount val="7"/>
                <c:pt idx="0">
                  <c:v>66.53</c:v>
                </c:pt>
                <c:pt idx="1">
                  <c:v>82.5</c:v>
                </c:pt>
                <c:pt idx="2">
                  <c:v>53.561592500000003</c:v>
                </c:pt>
                <c:pt idx="3">
                  <c:v>42.724929837296628</c:v>
                </c:pt>
                <c:pt idx="4">
                  <c:v>42.724929837296628</c:v>
                </c:pt>
                <c:pt idx="5">
                  <c:v>2.79</c:v>
                </c:pt>
                <c:pt idx="6">
                  <c:v>22.46</c:v>
                </c:pt>
              </c:numCache>
            </c:numRef>
          </c:val>
          <c:extLst>
            <c:ext xmlns:c16="http://schemas.microsoft.com/office/drawing/2014/chart" uri="{C3380CC4-5D6E-409C-BE32-E72D297353CC}">
              <c16:uniqueId val="{00000000-BAC4-4336-BD15-EFC9EC663659}"/>
            </c:ext>
          </c:extLst>
        </c:ser>
        <c:ser>
          <c:idx val="1"/>
          <c:order val="1"/>
          <c:tx>
            <c:strRef>
              <c:f>'Floating Bars'!$F$16</c:f>
              <c:strCache>
                <c:ptCount val="1"/>
                <c:pt idx="0">
                  <c:v>Below Median</c:v>
                </c:pt>
              </c:strCache>
            </c:strRef>
          </c:tx>
          <c:spPr>
            <a:solidFill>
              <a:srgbClr val="FF5050"/>
            </a:solidFill>
            <a:ln>
              <a:noFill/>
            </a:ln>
            <a:effectLst>
              <a:outerShdw blurRad="63500" sx="102000" sy="102000" algn="ctr" rotWithShape="0">
                <a:prstClr val="black">
                  <a:alpha val="63000"/>
                </a:prstClr>
              </a:outerShdw>
            </a:effectLst>
          </c:spPr>
          <c:invertIfNegative val="0"/>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Bars'!$F$17:$F$23</c:f>
              <c:numCache>
                <c:formatCode>"$"#,##0.00_);[Red]\("$"#,##0.00\)</c:formatCode>
                <c:ptCount val="7"/>
                <c:pt idx="0">
                  <c:v>18.179999999999993</c:v>
                </c:pt>
                <c:pt idx="1">
                  <c:v>21</c:v>
                </c:pt>
                <c:pt idx="2">
                  <c:v>18.710459624999999</c:v>
                </c:pt>
                <c:pt idx="3">
                  <c:v>31.236928886107634</c:v>
                </c:pt>
                <c:pt idx="4">
                  <c:v>3.2822439627033759</c:v>
                </c:pt>
                <c:pt idx="5">
                  <c:v>85.803320307571994</c:v>
                </c:pt>
                <c:pt idx="6">
                  <c:v>63.049287531126176</c:v>
                </c:pt>
              </c:numCache>
            </c:numRef>
          </c:val>
          <c:extLst>
            <c:ext xmlns:c16="http://schemas.microsoft.com/office/drawing/2014/chart" uri="{C3380CC4-5D6E-409C-BE32-E72D297353CC}">
              <c16:uniqueId val="{00000001-BAC4-4336-BD15-EFC9EC663659}"/>
            </c:ext>
          </c:extLst>
        </c:ser>
        <c:ser>
          <c:idx val="2"/>
          <c:order val="2"/>
          <c:tx>
            <c:strRef>
              <c:f>'Floating Bars'!$G$16</c:f>
              <c:strCache>
                <c:ptCount val="1"/>
                <c:pt idx="0">
                  <c:v>Above Median</c:v>
                </c:pt>
              </c:strCache>
            </c:strRef>
          </c:tx>
          <c:spPr>
            <a:solidFill>
              <a:schemeClr val="accent1">
                <a:lumMod val="60000"/>
                <a:lumOff val="40000"/>
              </a:schemeClr>
            </a:solidFill>
            <a:ln>
              <a:noFill/>
            </a:ln>
            <a:effectLst>
              <a:outerShdw blurRad="63500" sx="102000" sy="102000" algn="ctr" rotWithShape="0">
                <a:prstClr val="black">
                  <a:alpha val="40000"/>
                </a:prstClr>
              </a:outerShdw>
            </a:effectLst>
          </c:spPr>
          <c:invertIfNegative val="0"/>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Bars'!$G$17:$G$23</c:f>
              <c:numCache>
                <c:formatCode>"$"#,##0.00_);[Red]\("$"#,##0.00\)</c:formatCode>
                <c:ptCount val="7"/>
                <c:pt idx="0">
                  <c:v>12.160000000000011</c:v>
                </c:pt>
                <c:pt idx="1">
                  <c:v>46.5</c:v>
                </c:pt>
                <c:pt idx="2">
                  <c:v>13.167587874999995</c:v>
                </c:pt>
                <c:pt idx="3">
                  <c:v>30.352014119274102</c:v>
                </c:pt>
                <c:pt idx="4">
                  <c:v>43.441610850000004</c:v>
                </c:pt>
                <c:pt idx="5">
                  <c:v>141.79667969242797</c:v>
                </c:pt>
                <c:pt idx="6">
                  <c:v>83.440712468873812</c:v>
                </c:pt>
              </c:numCache>
            </c:numRef>
          </c:val>
          <c:extLst>
            <c:ext xmlns:c16="http://schemas.microsoft.com/office/drawing/2014/chart" uri="{C3380CC4-5D6E-409C-BE32-E72D297353CC}">
              <c16:uniqueId val="{00000002-BAC4-4336-BD15-EFC9EC663659}"/>
            </c:ext>
          </c:extLst>
        </c:ser>
        <c:dLbls>
          <c:showLegendKey val="0"/>
          <c:showVal val="0"/>
          <c:showCatName val="0"/>
          <c:showSerName val="0"/>
          <c:showPercent val="0"/>
          <c:showBubbleSize val="0"/>
        </c:dLbls>
        <c:gapWidth val="150"/>
        <c:overlap val="100"/>
        <c:axId val="626336352"/>
        <c:axId val="992865584"/>
      </c:barChart>
      <c:lineChart>
        <c:grouping val="standard"/>
        <c:varyColors val="0"/>
        <c:ser>
          <c:idx val="3"/>
          <c:order val="3"/>
          <c:tx>
            <c:strRef>
              <c:f>'Floating Bars'!$H$16</c:f>
              <c:strCache>
                <c:ptCount val="1"/>
                <c:pt idx="0">
                  <c:v>Current Price</c:v>
                </c:pt>
              </c:strCache>
            </c:strRef>
          </c:tx>
          <c:spPr>
            <a:ln w="28575" cap="rnd">
              <a:solidFill>
                <a:sysClr val="windowText" lastClr="000000"/>
              </a:solidFill>
              <a:round/>
            </a:ln>
            <a:effectLst/>
          </c:spPr>
          <c:marker>
            <c:symbol val="none"/>
          </c:marker>
          <c:cat>
            <c:strRef>
              <c:f>'Floating Bars'!$D$17:$D$23</c:f>
              <c:strCache>
                <c:ptCount val="7"/>
                <c:pt idx="0">
                  <c:v>Historical Share
Price</c:v>
                </c:pt>
                <c:pt idx="1">
                  <c:v>12m Analyst's</c:v>
                </c:pt>
                <c:pt idx="2">
                  <c:v>P/E</c:v>
                </c:pt>
                <c:pt idx="3">
                  <c:v>EV/EBITDA</c:v>
                </c:pt>
                <c:pt idx="4">
                  <c:v>P/B</c:v>
                </c:pt>
                <c:pt idx="5">
                  <c:v>Deterministic DCF</c:v>
                </c:pt>
                <c:pt idx="6">
                  <c:v>Stochastic DCF</c:v>
                </c:pt>
              </c:strCache>
            </c:strRef>
          </c:cat>
          <c:val>
            <c:numRef>
              <c:f>'Floating Bars'!$H$17:$H$23</c:f>
              <c:numCache>
                <c:formatCode>"$"#,##0.00_);[Red]\("$"#,##0.00\)</c:formatCode>
                <c:ptCount val="7"/>
                <c:pt idx="0">
                  <c:v>93.61</c:v>
                </c:pt>
                <c:pt idx="1">
                  <c:v>93.61</c:v>
                </c:pt>
                <c:pt idx="2">
                  <c:v>93.61</c:v>
                </c:pt>
                <c:pt idx="3">
                  <c:v>93.61</c:v>
                </c:pt>
                <c:pt idx="4">
                  <c:v>93.61</c:v>
                </c:pt>
                <c:pt idx="5">
                  <c:v>93.61</c:v>
                </c:pt>
                <c:pt idx="6">
                  <c:v>93.61</c:v>
                </c:pt>
              </c:numCache>
            </c:numRef>
          </c:val>
          <c:smooth val="0"/>
          <c:extLst>
            <c:ext xmlns:c16="http://schemas.microsoft.com/office/drawing/2014/chart" uri="{C3380CC4-5D6E-409C-BE32-E72D297353CC}">
              <c16:uniqueId val="{00000003-BAC4-4336-BD15-EFC9EC663659}"/>
            </c:ext>
          </c:extLst>
        </c:ser>
        <c:dLbls>
          <c:showLegendKey val="0"/>
          <c:showVal val="0"/>
          <c:showCatName val="0"/>
          <c:showSerName val="0"/>
          <c:showPercent val="0"/>
          <c:showBubbleSize val="0"/>
        </c:dLbls>
        <c:marker val="1"/>
        <c:smooth val="0"/>
        <c:axId val="626336352"/>
        <c:axId val="992865584"/>
      </c:lineChart>
      <c:catAx>
        <c:axId val="6263363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865584"/>
        <c:crosses val="autoZero"/>
        <c:auto val="1"/>
        <c:lblAlgn val="ctr"/>
        <c:lblOffset val="100"/>
        <c:noMultiLvlLbl val="0"/>
      </c:catAx>
      <c:valAx>
        <c:axId val="99286558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_);[Red]\(&quot;$&quot;#,##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3363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Drop" dropLines="19" dropStyle="combo" dx="22" fmlaLink="'Control Panel'!$A$71" fmlaRange="'Control Panel'!$B$72:$B$90" noThreeD="1" sel="1" val="0"/>
</file>

<file path=xl/ctrlProps/ctrlProp2.xml><?xml version="1.0" encoding="utf-8"?>
<formControlPr xmlns="http://schemas.microsoft.com/office/spreadsheetml/2009/9/main" objectType="Drop" dropLines="19" dropStyle="combo" dx="22" fmlaLink="'Control Panel'!$A$71" fmlaRange="'Control Panel'!$B$72:$B$90" noThreeD="1" sel="1" val="0"/>
</file>

<file path=xl/ctrlProps/ctrlProp3.xml><?xml version="1.0" encoding="utf-8"?>
<formControlPr xmlns="http://schemas.microsoft.com/office/spreadsheetml/2009/9/main" objectType="Drop" dropLines="19" dropStyle="combo" dx="22" fmlaLink="'Control Panel'!$A$71" fmlaRange="'Control Panel'!$B$72:$B$90" noThreeD="1" sel="1" val="0"/>
</file>

<file path=xl/ctrlProps/ctrlProp4.xml><?xml version="1.0" encoding="utf-8"?>
<formControlPr xmlns="http://schemas.microsoft.com/office/spreadsheetml/2009/9/main" objectType="Drop" dropLines="12" dropStyle="combo" dx="22" fmlaLink="$B$102" fmlaRange="$C$85:$T$96" noThreeD="1" sel="12" val="0"/>
</file>

<file path=xl/ctrlProps/ctrlProp5.xml><?xml version="1.0" encoding="utf-8"?>
<formControlPr xmlns="http://schemas.microsoft.com/office/spreadsheetml/2009/9/main" objectType="Drop" dropLines="12" dropStyle="combo" dx="22" fmlaLink="$B$103" fmlaRange="$C$85:$T$96" noThreeD="1" sel="7" val="0"/>
</file>

<file path=xl/ctrlProps/ctrlProp6.xml><?xml version="1.0" encoding="utf-8"?>
<formControlPr xmlns="http://schemas.microsoft.com/office/spreadsheetml/2009/9/main" objectType="Drop" dropLines="12" dropStyle="combo" dx="22" fmlaLink="$B$104" fmlaRange="$C$85:$T$96" noThreeD="1" sel="11" val="0"/>
</file>

<file path=xl/ctrlProps/ctrlProp7.xml><?xml version="1.0" encoding="utf-8"?>
<formControlPr xmlns="http://schemas.microsoft.com/office/spreadsheetml/2009/9/main" objectType="Drop" dropLines="19" dropStyle="combo" dx="22" fmlaLink="'Control Panel'!$A$71" fmlaRange="'Control Panel'!$B$72:$B$90" noThreeD="1" sel="1" val="0"/>
</file>

<file path=xl/ctrlProps/ctrlProp8.xml><?xml version="1.0" encoding="utf-8"?>
<formControlPr xmlns="http://schemas.microsoft.com/office/spreadsheetml/2009/9/main" objectType="Drop" dropLines="19" dropStyle="combo" dx="22" fmlaLink="'Control Panel'!$A$71" fmlaRange="'Control Panel'!$B$72:$B$90" noThreeD="1" sel="1" val="0"/>
</file>

<file path=xl/drawings/_rels/drawing1.xml.rels><?xml version="1.0" encoding="UTF-8" standalone="yes"?>
<Relationships xmlns="http://schemas.openxmlformats.org/package/2006/relationships"><Relationship Id="rId2" Type="http://schemas.microsoft.com/office/2007/relationships/hdphoto" Target="../media/hdphoto1.wdp"/><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image" Target="../media/image7.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6.png"/><Relationship Id="rId11" Type="http://schemas.openxmlformats.org/officeDocument/2006/relationships/image" Target="../media/image10.png"/><Relationship Id="rId5" Type="http://schemas.openxmlformats.org/officeDocument/2006/relationships/chart" Target="../charts/chart1.xml"/><Relationship Id="rId10" Type="http://schemas.openxmlformats.org/officeDocument/2006/relationships/chart" Target="../charts/chart2.xml"/><Relationship Id="rId4" Type="http://schemas.openxmlformats.org/officeDocument/2006/relationships/image" Target="../media/image5.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11.png"/><Relationship Id="rId5" Type="http://schemas.openxmlformats.org/officeDocument/2006/relationships/image" Target="../media/image5.png"/><Relationship Id="rId4" Type="http://schemas.openxmlformats.org/officeDocument/2006/relationships/image" Target="../media/image2.png"/></Relationships>
</file>

<file path=xl/drawings/_rels/drawing4.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2.png"/><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pn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3.png"/></Relationships>
</file>

<file path=xl/drawings/_rels/drawing10.xml.rels><?xml version="1.0" encoding="UTF-8" standalone="yes"?>
<Relationships xmlns="http://schemas.openxmlformats.org/package/2006/relationships"><Relationship Id="rId1" Type="http://schemas.openxmlformats.org/officeDocument/2006/relationships/image" Target="../media/image2.png"/></Relationships>
</file>

<file path=xl/drawings/_rels/drawing11.xml.rels><?xml version="1.0" encoding="UTF-8" standalone="yes"?>
<Relationships xmlns="http://schemas.openxmlformats.org/package/2006/relationships"><Relationship Id="rId3" Type="http://schemas.microsoft.com/office/2007/relationships/hdphoto" Target="../media/hdphoto1.wdp"/><Relationship Id="rId2" Type="http://schemas.openxmlformats.org/officeDocument/2006/relationships/image" Target="../media/image1.png"/><Relationship Id="rId1" Type="http://schemas.openxmlformats.org/officeDocument/2006/relationships/chart" Target="../charts/chart6.xml"/></Relationships>
</file>

<file path=xl/drawings/_rels/drawing12.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11" Type="http://schemas.openxmlformats.org/officeDocument/2006/relationships/image" Target="../media/image2.png"/><Relationship Id="rId5" Type="http://schemas.openxmlformats.org/officeDocument/2006/relationships/image" Target="../media/image18.png"/><Relationship Id="rId10" Type="http://schemas.openxmlformats.org/officeDocument/2006/relationships/image" Target="../media/image23.png"/><Relationship Id="rId4" Type="http://schemas.openxmlformats.org/officeDocument/2006/relationships/image" Target="../media/image17.png"/><Relationship Id="rId9" Type="http://schemas.openxmlformats.org/officeDocument/2006/relationships/image" Target="../media/image22.png"/></Relationships>
</file>

<file path=xl/drawings/drawing1.xml><?xml version="1.0" encoding="utf-8"?>
<xdr:wsDr xmlns:xdr="http://schemas.openxmlformats.org/drawingml/2006/spreadsheetDrawing" xmlns:a="http://schemas.openxmlformats.org/drawingml/2006/main">
  <xdr:twoCellAnchor editAs="oneCell">
    <xdr:from>
      <xdr:col>4</xdr:col>
      <xdr:colOff>874568</xdr:colOff>
      <xdr:row>2</xdr:row>
      <xdr:rowOff>157248</xdr:rowOff>
    </xdr:from>
    <xdr:to>
      <xdr:col>5</xdr:col>
      <xdr:colOff>653588</xdr:colOff>
      <xdr:row>6</xdr:row>
      <xdr:rowOff>39139</xdr:rowOff>
    </xdr:to>
    <xdr:pic>
      <xdr:nvPicPr>
        <xdr:cNvPr id="2" name="Picture 1">
          <a:extLst>
            <a:ext uri="{FF2B5EF4-FFF2-40B4-BE49-F238E27FC236}">
              <a16:creationId xmlns:a16="http://schemas.microsoft.com/office/drawing/2014/main" id="{00000000-0008-0000-0000-000002000000}"/>
            </a:ext>
          </a:extLst>
        </xdr:cNvPr>
        <xdr:cNvPicPr>
          <a:picLocks noChangeAspect="1" noChangeArrowheads="1"/>
        </xdr:cNvPicPr>
      </xdr:nvPicPr>
      <xdr:blipFill rotWithShape="1">
        <a:blip xmlns:r="http://schemas.openxmlformats.org/officeDocument/2006/relationships" r:embed="rId1" cstate="print">
          <a:extLst>
            <a:ext uri="{BEBA8EAE-BF5A-486C-A8C5-ECC9F3942E4B}">
              <a14:imgProps xmlns:a14="http://schemas.microsoft.com/office/drawing/2010/main">
                <a14:imgLayer r:embed="rId2">
                  <a14:imgEffect>
                    <a14:backgroundRemoval t="20458" b="79125" l="15163" r="87397"/>
                  </a14:imgEffect>
                </a14:imgLayer>
              </a14:imgProps>
            </a:ext>
            <a:ext uri="{28A0092B-C50C-407E-A947-70E740481C1C}">
              <a14:useLocalDpi xmlns:a14="http://schemas.microsoft.com/office/drawing/2010/main" val="0"/>
            </a:ext>
          </a:extLst>
        </a:blip>
        <a:srcRect l="6134" t="13125" r="3573" b="13542"/>
        <a:stretch/>
      </xdr:blipFill>
      <xdr:spPr bwMode="auto">
        <a:xfrm>
          <a:off x="6797386" y="538248"/>
          <a:ext cx="1502179" cy="7218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57150</xdr:colOff>
      <xdr:row>0</xdr:row>
      <xdr:rowOff>57570</xdr:rowOff>
    </xdr:from>
    <xdr:to>
      <xdr:col>1</xdr:col>
      <xdr:colOff>981287</xdr:colOff>
      <xdr:row>3</xdr:row>
      <xdr:rowOff>138646</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57150" y="57570"/>
          <a:ext cx="1559137" cy="689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564696</xdr:colOff>
      <xdr:row>13</xdr:row>
      <xdr:rowOff>59564</xdr:rowOff>
    </xdr:from>
    <xdr:to>
      <xdr:col>27</xdr:col>
      <xdr:colOff>463647</xdr:colOff>
      <xdr:row>29</xdr:row>
      <xdr:rowOff>78533</xdr:rowOff>
    </xdr:to>
    <xdr:pic>
      <xdr:nvPicPr>
        <xdr:cNvPr id="6" name="Picture 5">
          <a:extLst>
            <a:ext uri="{FF2B5EF4-FFF2-40B4-BE49-F238E27FC236}">
              <a16:creationId xmlns:a16="http://schemas.microsoft.com/office/drawing/2014/main" id="{00000000-0008-0000-0100-000006000000}"/>
            </a:ext>
          </a:extLst>
        </xdr:cNvPr>
        <xdr:cNvPicPr/>
      </xdr:nvPicPr>
      <xdr:blipFill>
        <a:blip xmlns:r="http://schemas.openxmlformats.org/officeDocument/2006/relationships" r:embed="rId2"/>
        <a:stretch>
          <a:fillRect/>
        </a:stretch>
      </xdr:blipFill>
      <xdr:spPr>
        <a:xfrm>
          <a:off x="14307054" y="4169092"/>
          <a:ext cx="7015744" cy="3026234"/>
        </a:xfrm>
        <a:prstGeom prst="rect">
          <a:avLst/>
        </a:prstGeom>
      </xdr:spPr>
    </xdr:pic>
    <xdr:clientData/>
  </xdr:twoCellAnchor>
  <xdr:twoCellAnchor>
    <xdr:from>
      <xdr:col>3</xdr:col>
      <xdr:colOff>432536</xdr:colOff>
      <xdr:row>60</xdr:row>
      <xdr:rowOff>110435</xdr:rowOff>
    </xdr:from>
    <xdr:to>
      <xdr:col>9</xdr:col>
      <xdr:colOff>483491</xdr:colOff>
      <xdr:row>74</xdr:row>
      <xdr:rowOff>90397</xdr:rowOff>
    </xdr:to>
    <xdr:grpSp>
      <xdr:nvGrpSpPr>
        <xdr:cNvPr id="7" name="Group 6">
          <a:extLst>
            <a:ext uri="{FF2B5EF4-FFF2-40B4-BE49-F238E27FC236}">
              <a16:creationId xmlns:a16="http://schemas.microsoft.com/office/drawing/2014/main" id="{00000000-0008-0000-0100-000007000000}"/>
            </a:ext>
          </a:extLst>
        </xdr:cNvPr>
        <xdr:cNvGrpSpPr/>
      </xdr:nvGrpSpPr>
      <xdr:grpSpPr>
        <a:xfrm>
          <a:off x="4431685" y="11621499"/>
          <a:ext cx="4860742" cy="2628047"/>
          <a:chOff x="8536014" y="26577174"/>
          <a:chExt cx="5956358" cy="3294342"/>
        </a:xfrm>
      </xdr:grpSpPr>
      <xdr:pic>
        <xdr:nvPicPr>
          <xdr:cNvPr id="8" name="Picture 7">
            <a:extLst>
              <a:ext uri="{FF2B5EF4-FFF2-40B4-BE49-F238E27FC236}">
                <a16:creationId xmlns:a16="http://schemas.microsoft.com/office/drawing/2014/main" id="{00000000-0008-0000-0100-000008000000}"/>
              </a:ext>
            </a:extLst>
          </xdr:cNvPr>
          <xdr:cNvPicPr/>
        </xdr:nvPicPr>
        <xdr:blipFill rotWithShape="1">
          <a:blip xmlns:r="http://schemas.openxmlformats.org/officeDocument/2006/relationships" r:embed="rId3"/>
          <a:srcRect t="85135"/>
          <a:stretch/>
        </xdr:blipFill>
        <xdr:spPr>
          <a:xfrm>
            <a:off x="8536014" y="29108656"/>
            <a:ext cx="5956358" cy="762860"/>
          </a:xfrm>
          <a:prstGeom prst="rect">
            <a:avLst/>
          </a:prstGeom>
        </xdr:spPr>
      </xdr:pic>
      <xdr:pic>
        <xdr:nvPicPr>
          <xdr:cNvPr id="9" name="Picture 8">
            <a:extLst>
              <a:ext uri="{FF2B5EF4-FFF2-40B4-BE49-F238E27FC236}">
                <a16:creationId xmlns:a16="http://schemas.microsoft.com/office/drawing/2014/main" id="{00000000-0008-0000-0100-000009000000}"/>
              </a:ext>
            </a:extLst>
          </xdr:cNvPr>
          <xdr:cNvPicPr/>
        </xdr:nvPicPr>
        <xdr:blipFill rotWithShape="1">
          <a:blip xmlns:r="http://schemas.openxmlformats.org/officeDocument/2006/relationships" r:embed="rId3"/>
          <a:srcRect b="50504"/>
          <a:stretch/>
        </xdr:blipFill>
        <xdr:spPr>
          <a:xfrm>
            <a:off x="8536014" y="26577174"/>
            <a:ext cx="5956358" cy="2535733"/>
          </a:xfrm>
          <a:prstGeom prst="rect">
            <a:avLst/>
          </a:prstGeom>
        </xdr:spPr>
      </xdr:pic>
    </xdr:grpSp>
    <xdr:clientData/>
  </xdr:twoCellAnchor>
  <xdr:twoCellAnchor editAs="oneCell">
    <xdr:from>
      <xdr:col>11</xdr:col>
      <xdr:colOff>143773</xdr:colOff>
      <xdr:row>30</xdr:row>
      <xdr:rowOff>131792</xdr:rowOff>
    </xdr:from>
    <xdr:to>
      <xdr:col>27</xdr:col>
      <xdr:colOff>469825</xdr:colOff>
      <xdr:row>64</xdr:row>
      <xdr:rowOff>35944</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rotWithShape="1">
        <a:blip xmlns:r="http://schemas.openxmlformats.org/officeDocument/2006/relationships" r:embed="rId4"/>
        <a:srcRect t="9649"/>
        <a:stretch/>
      </xdr:blipFill>
      <xdr:spPr>
        <a:xfrm>
          <a:off x="10112075" y="7332452"/>
          <a:ext cx="11216901" cy="6014529"/>
        </a:xfrm>
        <a:prstGeom prst="rect">
          <a:avLst/>
        </a:prstGeom>
      </xdr:spPr>
    </xdr:pic>
    <xdr:clientData/>
  </xdr:twoCellAnchor>
  <xdr:twoCellAnchor>
    <xdr:from>
      <xdr:col>18</xdr:col>
      <xdr:colOff>163779</xdr:colOff>
      <xdr:row>70</xdr:row>
      <xdr:rowOff>21548</xdr:rowOff>
    </xdr:from>
    <xdr:to>
      <xdr:col>27</xdr:col>
      <xdr:colOff>522941</xdr:colOff>
      <xdr:row>88</xdr:row>
      <xdr:rowOff>130735</xdr:rowOff>
    </xdr:to>
    <xdr:graphicFrame macro="">
      <xdr:nvGraphicFramePr>
        <xdr:cNvPr id="15" name="Chart 14">
          <a:extLst>
            <a:ext uri="{FF2B5EF4-FFF2-40B4-BE49-F238E27FC236}">
              <a16:creationId xmlns:a16="http://schemas.microsoft.com/office/drawing/2014/main" id="{00000000-0008-0000-01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11</xdr:col>
      <xdr:colOff>74892</xdr:colOff>
      <xdr:row>75</xdr:row>
      <xdr:rowOff>150967</xdr:rowOff>
    </xdr:from>
    <xdr:to>
      <xdr:col>18</xdr:col>
      <xdr:colOff>165495</xdr:colOff>
      <xdr:row>89</xdr:row>
      <xdr:rowOff>94987</xdr:rowOff>
    </xdr:to>
    <xdr:pic>
      <xdr:nvPicPr>
        <xdr:cNvPr id="17" name="Picture 16">
          <a:extLst>
            <a:ext uri="{FF2B5EF4-FFF2-40B4-BE49-F238E27FC236}">
              <a16:creationId xmlns:a16="http://schemas.microsoft.com/office/drawing/2014/main" id="{00000000-0008-0000-0100-00001100000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12592" y="14228917"/>
          <a:ext cx="5126153" cy="2522120"/>
        </a:xfrm>
        <a:prstGeom prst="rect">
          <a:avLst/>
        </a:prstGeom>
      </xdr:spPr>
    </xdr:pic>
    <xdr:clientData/>
  </xdr:twoCellAnchor>
  <xdr:twoCellAnchor editAs="oneCell">
    <xdr:from>
      <xdr:col>11</xdr:col>
      <xdr:colOff>24423</xdr:colOff>
      <xdr:row>100</xdr:row>
      <xdr:rowOff>146538</xdr:rowOff>
    </xdr:from>
    <xdr:to>
      <xdr:col>39</xdr:col>
      <xdr:colOff>972676</xdr:colOff>
      <xdr:row>129</xdr:row>
      <xdr:rowOff>2167</xdr:rowOff>
    </xdr:to>
    <xdr:pic>
      <xdr:nvPicPr>
        <xdr:cNvPr id="21" name="Picture 20">
          <a:extLst>
            <a:ext uri="{FF2B5EF4-FFF2-40B4-BE49-F238E27FC236}">
              <a16:creationId xmlns:a16="http://schemas.microsoft.com/office/drawing/2014/main" id="{00000000-0008-0000-0100-00001500000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08173" y="18097500"/>
          <a:ext cx="19220962" cy="5167648"/>
        </a:xfrm>
        <a:prstGeom prst="rect">
          <a:avLst/>
        </a:prstGeom>
      </xdr:spPr>
    </xdr:pic>
    <xdr:clientData/>
  </xdr:twoCellAnchor>
  <xdr:twoCellAnchor editAs="oneCell">
    <xdr:from>
      <xdr:col>1</xdr:col>
      <xdr:colOff>357949</xdr:colOff>
      <xdr:row>94</xdr:row>
      <xdr:rowOff>100793</xdr:rowOff>
    </xdr:from>
    <xdr:to>
      <xdr:col>9</xdr:col>
      <xdr:colOff>1102693</xdr:colOff>
      <xdr:row>123</xdr:row>
      <xdr:rowOff>100826</xdr:rowOff>
    </xdr:to>
    <xdr:pic>
      <xdr:nvPicPr>
        <xdr:cNvPr id="23" name="Picture 22">
          <a:extLst>
            <a:ext uri="{FF2B5EF4-FFF2-40B4-BE49-F238E27FC236}">
              <a16:creationId xmlns:a16="http://schemas.microsoft.com/office/drawing/2014/main" id="{00000000-0008-0000-01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003028" y="17487698"/>
          <a:ext cx="8154590" cy="5261461"/>
        </a:xfrm>
        <a:prstGeom prst="rect">
          <a:avLst/>
        </a:prstGeom>
      </xdr:spPr>
    </xdr:pic>
    <xdr:clientData/>
  </xdr:twoCellAnchor>
  <xdr:twoCellAnchor editAs="oneCell">
    <xdr:from>
      <xdr:col>1</xdr:col>
      <xdr:colOff>137567</xdr:colOff>
      <xdr:row>74</xdr:row>
      <xdr:rowOff>146538</xdr:rowOff>
    </xdr:from>
    <xdr:to>
      <xdr:col>9</xdr:col>
      <xdr:colOff>1172719</xdr:colOff>
      <xdr:row>86</xdr:row>
      <xdr:rowOff>128083</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82646" y="13904871"/>
          <a:ext cx="8444998" cy="2158688"/>
        </a:xfrm>
        <a:prstGeom prst="rect">
          <a:avLst/>
        </a:prstGeom>
      </xdr:spPr>
    </xdr:pic>
    <xdr:clientData/>
  </xdr:twoCellAnchor>
  <xdr:twoCellAnchor>
    <xdr:from>
      <xdr:col>29</xdr:col>
      <xdr:colOff>51998</xdr:colOff>
      <xdr:row>64</xdr:row>
      <xdr:rowOff>140803</xdr:rowOff>
    </xdr:from>
    <xdr:to>
      <xdr:col>39</xdr:col>
      <xdr:colOff>1018302</xdr:colOff>
      <xdr:row>81</xdr:row>
      <xdr:rowOff>34496</xdr:rowOff>
    </xdr:to>
    <xdr:graphicFrame macro="">
      <xdr:nvGraphicFramePr>
        <xdr:cNvPr id="26" name="Chart 9">
          <a:extLst>
            <a:ext uri="{FF2B5EF4-FFF2-40B4-BE49-F238E27FC236}">
              <a16:creationId xmlns:a16="http://schemas.microsoft.com/office/drawing/2014/main" id="{00000000-0008-0000-0100-00001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xdr:col>
      <xdr:colOff>60477</xdr:colOff>
      <xdr:row>62</xdr:row>
      <xdr:rowOff>40317</xdr:rowOff>
    </xdr:from>
    <xdr:to>
      <xdr:col>3</xdr:col>
      <xdr:colOff>383016</xdr:colOff>
      <xdr:row>74</xdr:row>
      <xdr:rowOff>161269</xdr:rowOff>
    </xdr:to>
    <xdr:sp macro="" textlink="">
      <xdr:nvSpPr>
        <xdr:cNvPr id="27" name="TextBox 26">
          <a:extLst>
            <a:ext uri="{FF2B5EF4-FFF2-40B4-BE49-F238E27FC236}">
              <a16:creationId xmlns:a16="http://schemas.microsoft.com/office/drawing/2014/main" id="{00000000-0008-0000-0100-00001B000000}"/>
            </a:ext>
          </a:extLst>
        </xdr:cNvPr>
        <xdr:cNvSpPr txBox="1"/>
      </xdr:nvSpPr>
      <xdr:spPr>
        <a:xfrm>
          <a:off x="705556" y="11621507"/>
          <a:ext cx="3951111" cy="2298095"/>
        </a:xfrm>
        <a:prstGeom prst="rect">
          <a:avLst/>
        </a:prstGeom>
        <a:noFill/>
        <a:ln w="9525" cmpd="sng">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Our</a:t>
          </a:r>
          <a:r>
            <a:rPr lang="en-US" sz="1100" baseline="0"/>
            <a:t> sensitivity analysis shows that Revenue Growth in the short term and COGS Growth in the mid term have the largest effect on the DCF valuation of Nike's stock. At the current stock price of Nike, our valuations point to selling Nike's stock. However, if Nike were to make decisions and improve products in ways that increase revenues in the next four years, then another valuation could point to buying Nike's stock. In doing this, Nike's COGS growth would also increase, but an increase in Revenue growth in the short term has a much larger effect on valuations than COGS in the short term and even mid term. That being said, investors should also look to see if Nike is working to minimize COGS in the mid term because this is also impacful on their stock price.</a:t>
          </a:r>
          <a:endParaRPr lang="en-US" sz="1100"/>
        </a:p>
      </xdr:txBody>
    </xdr:sp>
    <xdr:clientData/>
  </xdr:twoCellAnchor>
  <xdr:twoCellAnchor editAs="oneCell">
    <xdr:from>
      <xdr:col>31</xdr:col>
      <xdr:colOff>0</xdr:colOff>
      <xdr:row>83</xdr:row>
      <xdr:rowOff>0</xdr:rowOff>
    </xdr:from>
    <xdr:to>
      <xdr:col>37</xdr:col>
      <xdr:colOff>206434</xdr:colOff>
      <xdr:row>88</xdr:row>
      <xdr:rowOff>127960</xdr:rowOff>
    </xdr:to>
    <xdr:pic>
      <xdr:nvPicPr>
        <xdr:cNvPr id="29" name="Picture 28">
          <a:extLst>
            <a:ext uri="{FF2B5EF4-FFF2-40B4-BE49-F238E27FC236}">
              <a16:creationId xmlns:a16="http://schemas.microsoft.com/office/drawing/2014/main" id="{00000000-0008-0000-0100-00001D00000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22608016" y="14665476"/>
          <a:ext cx="4076910" cy="1035103"/>
        </a:xfrm>
        <a:prstGeom prst="rect">
          <a:avLst/>
        </a:prstGeom>
      </xdr:spPr>
    </xdr:pic>
    <xdr:clientData/>
  </xdr:twoCellAnchor>
  <xdr:twoCellAnchor>
    <xdr:from>
      <xdr:col>1</xdr:col>
      <xdr:colOff>372937</xdr:colOff>
      <xdr:row>91</xdr:row>
      <xdr:rowOff>80635</xdr:rowOff>
    </xdr:from>
    <xdr:to>
      <xdr:col>9</xdr:col>
      <xdr:colOff>332619</xdr:colOff>
      <xdr:row>94</xdr:row>
      <xdr:rowOff>141111</xdr:rowOff>
    </xdr:to>
    <xdr:sp macro="" textlink="">
      <xdr:nvSpPr>
        <xdr:cNvPr id="30" name="TextBox 29">
          <a:extLst>
            <a:ext uri="{FF2B5EF4-FFF2-40B4-BE49-F238E27FC236}">
              <a16:creationId xmlns:a16="http://schemas.microsoft.com/office/drawing/2014/main" id="{00000000-0008-0000-0100-00001E000000}"/>
            </a:ext>
          </a:extLst>
        </xdr:cNvPr>
        <xdr:cNvSpPr txBox="1"/>
      </xdr:nvSpPr>
      <xdr:spPr>
        <a:xfrm>
          <a:off x="1018016" y="16923254"/>
          <a:ext cx="7972778" cy="604762"/>
        </a:xfrm>
        <a:prstGeom prst="rect">
          <a:avLst/>
        </a:prstGeom>
        <a:noFill/>
        <a:ln w="9525" cmpd="sng">
          <a:gradFill flip="none" rotWithShape="1">
            <a:gsLst>
              <a:gs pos="18000">
                <a:schemeClr val="accent1">
                  <a:lumMod val="5000"/>
                  <a:lumOff val="95000"/>
                </a:schemeClr>
              </a:gs>
              <a:gs pos="49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Our tornado</a:t>
          </a:r>
          <a:r>
            <a:rPr lang="en-US" sz="1100" baseline="0"/>
            <a:t> chart furthers the claims made with our sensitivity analysis. Investors should be watching to see Nike makes decisions that will increase Revenue Growth in the short term.</a:t>
          </a:r>
          <a:endParaRPr lang="en-US" sz="1100"/>
        </a:p>
      </xdr:txBody>
    </xdr:sp>
    <xdr:clientData/>
  </xdr:twoCellAnchor>
  <xdr:twoCellAnchor>
    <xdr:from>
      <xdr:col>11</xdr:col>
      <xdr:colOff>256048</xdr:colOff>
      <xdr:row>12</xdr:row>
      <xdr:rowOff>92177</xdr:rowOff>
    </xdr:from>
    <xdr:to>
      <xdr:col>16</xdr:col>
      <xdr:colOff>430161</xdr:colOff>
      <xdr:row>19</xdr:row>
      <xdr:rowOff>116009</xdr:rowOff>
    </xdr:to>
    <xdr:sp macro="" textlink="">
      <xdr:nvSpPr>
        <xdr:cNvPr id="31" name="TextBox 30">
          <a:extLst>
            <a:ext uri="{FF2B5EF4-FFF2-40B4-BE49-F238E27FC236}">
              <a16:creationId xmlns:a16="http://schemas.microsoft.com/office/drawing/2014/main" id="{00000000-0008-0000-0100-00001F000000}"/>
            </a:ext>
          </a:extLst>
        </xdr:cNvPr>
        <xdr:cNvSpPr txBox="1"/>
      </xdr:nvSpPr>
      <xdr:spPr>
        <a:xfrm>
          <a:off x="9799365" y="2479533"/>
          <a:ext cx="3923056" cy="1348784"/>
        </a:xfrm>
        <a:prstGeom prst="rect">
          <a:avLst/>
        </a:prstGeom>
        <a:noFill/>
        <a:ln w="9525" cmpd="sng">
          <a:gradFill flip="none" rotWithShape="1">
            <a:gsLst>
              <a:gs pos="17000">
                <a:schemeClr val="accent1">
                  <a:lumMod val="5000"/>
                  <a:lumOff val="95000"/>
                </a:schemeClr>
              </a:gs>
              <a:gs pos="50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Stochastic</a:t>
          </a:r>
          <a:r>
            <a:rPr lang="en-US" sz="1100" baseline="0"/>
            <a:t> Model with our assumptions there is only a 33.5% certainty that the stocks price is greater than or equal to the current price of the stock. Our model advances our claim that Nike's stock is over priced and should not be bought. Furtermore, because the discrepancy is so large, we suggest selling or even shorting the stock.</a:t>
          </a:r>
          <a:endParaRPr lang="en-US" sz="1100"/>
        </a:p>
      </xdr:txBody>
    </xdr:sp>
    <xdr:clientData/>
  </xdr:twoCellAnchor>
  <xdr:twoCellAnchor>
    <xdr:from>
      <xdr:col>11</xdr:col>
      <xdr:colOff>103798</xdr:colOff>
      <xdr:row>70</xdr:row>
      <xdr:rowOff>18319</xdr:rowOff>
    </xdr:from>
    <xdr:to>
      <xdr:col>18</xdr:col>
      <xdr:colOff>73269</xdr:colOff>
      <xdr:row>74</xdr:row>
      <xdr:rowOff>101601</xdr:rowOff>
    </xdr:to>
    <xdr:sp macro="" textlink="">
      <xdr:nvSpPr>
        <xdr:cNvPr id="32" name="TextBox 31">
          <a:extLst>
            <a:ext uri="{FF2B5EF4-FFF2-40B4-BE49-F238E27FC236}">
              <a16:creationId xmlns:a16="http://schemas.microsoft.com/office/drawing/2014/main" id="{00000000-0008-0000-0100-000020000000}"/>
            </a:ext>
          </a:extLst>
        </xdr:cNvPr>
        <xdr:cNvSpPr txBox="1"/>
      </xdr:nvSpPr>
      <xdr:spPr>
        <a:xfrm>
          <a:off x="9641498" y="13175519"/>
          <a:ext cx="5005021" cy="819882"/>
        </a:xfrm>
        <a:prstGeom prst="rect">
          <a:avLst/>
        </a:prstGeom>
        <a:noFill/>
        <a:ln w="9525" cmpd="sng">
          <a:gradFill flip="none" rotWithShape="1">
            <a:gsLst>
              <a:gs pos="29000">
                <a:schemeClr val="accent1">
                  <a:lumMod val="5000"/>
                  <a:lumOff val="95000"/>
                </a:schemeClr>
              </a:gs>
              <a:gs pos="51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floating bar chart supports the claim that Nike's stock price</a:t>
          </a:r>
          <a:r>
            <a:rPr lang="en-US" sz="1100" baseline="0"/>
            <a:t> is overpriced. Interestingly, the only valuation that is above the current share price. This leads us to believe that there is a bias, such as a herd mentality, that surrounds Nike that is leading people to invest and neglect the true valuations.</a:t>
          </a:r>
          <a:endParaRPr lang="en-US" sz="1100"/>
        </a:p>
      </xdr:txBody>
    </xdr:sp>
    <xdr:clientData/>
  </xdr:twoCellAnchor>
  <xdr:twoCellAnchor>
    <xdr:from>
      <xdr:col>11</xdr:col>
      <xdr:colOff>307878</xdr:colOff>
      <xdr:row>95</xdr:row>
      <xdr:rowOff>96212</xdr:rowOff>
    </xdr:from>
    <xdr:to>
      <xdr:col>39</xdr:col>
      <xdr:colOff>461819</xdr:colOff>
      <xdr:row>99</xdr:row>
      <xdr:rowOff>115455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9813636" y="18511212"/>
          <a:ext cx="18107122" cy="788940"/>
        </a:xfrm>
        <a:prstGeom prst="rect">
          <a:avLst/>
        </a:prstGeom>
        <a:noFill/>
        <a:ln w="9525" cmpd="sng">
          <a:gradFill flip="none" rotWithShape="1">
            <a:gsLst>
              <a:gs pos="23000">
                <a:schemeClr val="accent1">
                  <a:lumMod val="5000"/>
                  <a:lumOff val="95000"/>
                </a:schemeClr>
              </a:gs>
              <a:gs pos="58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t="100000"/>
            </a:path>
            <a:tileRect r="-100000" b="-100000"/>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The valuation</a:t>
          </a:r>
          <a:r>
            <a:rPr lang="en-US" sz="1100" baseline="0"/>
            <a:t> we found based on Nike's DCF is a lower price that what Nike's current price. For investors to feel confident in investing in Nike,  they should look for higher sales revenue as stated in the sensitivity analysis. </a:t>
          </a:r>
          <a:endParaRPr lang="en-US" sz="1100"/>
        </a:p>
      </xdr:txBody>
    </xdr:sp>
    <xdr:clientData/>
  </xdr:twoCellAnchor>
  <xdr:twoCellAnchor>
    <xdr:from>
      <xdr:col>29</xdr:col>
      <xdr:colOff>275167</xdr:colOff>
      <xdr:row>58</xdr:row>
      <xdr:rowOff>42333</xdr:rowOff>
    </xdr:from>
    <xdr:to>
      <xdr:col>39</xdr:col>
      <xdr:colOff>973667</xdr:colOff>
      <xdr:row>64</xdr:row>
      <xdr:rowOff>42333</xdr:rowOff>
    </xdr:to>
    <xdr:sp macro="" textlink="">
      <xdr:nvSpPr>
        <xdr:cNvPr id="36" name="TextBox 35">
          <a:extLst>
            <a:ext uri="{FF2B5EF4-FFF2-40B4-BE49-F238E27FC236}">
              <a16:creationId xmlns:a16="http://schemas.microsoft.com/office/drawing/2014/main" id="{00000000-0008-0000-0100-000024000000}"/>
            </a:ext>
          </a:extLst>
        </xdr:cNvPr>
        <xdr:cNvSpPr txBox="1"/>
      </xdr:nvSpPr>
      <xdr:spPr>
        <a:xfrm>
          <a:off x="21579417" y="10826750"/>
          <a:ext cx="7154333" cy="1079500"/>
        </a:xfrm>
        <a:prstGeom prst="rect">
          <a:avLst/>
        </a:prstGeom>
        <a:noFill/>
        <a:ln w="9525" cmpd="sng">
          <a:gradFill flip="none" rotWithShape="1">
            <a:gsLst>
              <a:gs pos="28000">
                <a:schemeClr val="accent1">
                  <a:lumMod val="5000"/>
                  <a:lumOff val="95000"/>
                </a:schemeClr>
              </a:gs>
              <a:gs pos="58000">
                <a:schemeClr val="accent1">
                  <a:lumMod val="45000"/>
                  <a:lumOff val="55000"/>
                </a:schemeClr>
              </a:gs>
              <a:gs pos="83000">
                <a:schemeClr val="accent1">
                  <a:lumMod val="45000"/>
                  <a:lumOff val="55000"/>
                </a:schemeClr>
              </a:gs>
              <a:gs pos="100000">
                <a:schemeClr val="accent1">
                  <a:lumMod val="30000"/>
                  <a:lumOff val="70000"/>
                </a:schemeClr>
              </a:gs>
            </a:gsLst>
            <a:path path="circle">
              <a:fillToRect l="100000" b="100000"/>
            </a:path>
            <a:tileRect t="-100000" r="-100000"/>
          </a:gra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Both our characteristic line and our DuPont</a:t>
          </a:r>
          <a:r>
            <a:rPr lang="en-US" sz="1100" baseline="0"/>
            <a:t> analysis point to the true values of Beta and ROE respectively. This gives validity to our models and claim that Nike's stock is overpriced and investors should sell if they have shares in the company.</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38100</xdr:colOff>
          <xdr:row>69</xdr:row>
          <xdr:rowOff>63500</xdr:rowOff>
        </xdr:from>
        <xdr:to>
          <xdr:col>1</xdr:col>
          <xdr:colOff>2832100</xdr:colOff>
          <xdr:row>69</xdr:row>
          <xdr:rowOff>317500</xdr:rowOff>
        </xdr:to>
        <xdr:sp macro="" textlink="">
          <xdr:nvSpPr>
            <xdr:cNvPr id="2100" name="Drop Down 52" hidden="1">
              <a:extLst>
                <a:ext uri="{63B3BB69-23CF-44E3-9099-C40C66FF867C}">
                  <a14:compatExt spid="_x0000_s2100"/>
                </a:ext>
                <a:ext uri="{FF2B5EF4-FFF2-40B4-BE49-F238E27FC236}">
                  <a16:creationId xmlns:a16="http://schemas.microsoft.com/office/drawing/2014/main" id="{00000000-0008-0000-0300-000034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xdr:col>
      <xdr:colOff>520552</xdr:colOff>
      <xdr:row>15</xdr:row>
      <xdr:rowOff>82047</xdr:rowOff>
    </xdr:from>
    <xdr:to>
      <xdr:col>6</xdr:col>
      <xdr:colOff>1052182</xdr:colOff>
      <xdr:row>17</xdr:row>
      <xdr:rowOff>121832</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rotWithShape="1">
        <a:blip xmlns:r="http://schemas.openxmlformats.org/officeDocument/2006/relationships" r:embed="rId1"/>
        <a:srcRect l="19896" t="44153" r="69543" b="50223"/>
        <a:stretch/>
      </xdr:blipFill>
      <xdr:spPr>
        <a:xfrm>
          <a:off x="6479215" y="2961698"/>
          <a:ext cx="2779972" cy="416355"/>
        </a:xfrm>
        <a:prstGeom prst="rect">
          <a:avLst/>
        </a:prstGeom>
        <a:ln w="38100">
          <a:solidFill>
            <a:schemeClr val="accent1"/>
          </a:solidFill>
        </a:ln>
      </xdr:spPr>
    </xdr:pic>
    <xdr:clientData/>
  </xdr:twoCellAnchor>
  <xdr:twoCellAnchor>
    <xdr:from>
      <xdr:col>9</xdr:col>
      <xdr:colOff>80094</xdr:colOff>
      <xdr:row>101</xdr:row>
      <xdr:rowOff>28863</xdr:rowOff>
    </xdr:from>
    <xdr:to>
      <xdr:col>12</xdr:col>
      <xdr:colOff>1124958</xdr:colOff>
      <xdr:row>133</xdr:row>
      <xdr:rowOff>182993</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flipH="1">
          <a:off x="11510094" y="19930340"/>
          <a:ext cx="4984750" cy="615776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lvl="0"/>
          <a:r>
            <a:rPr lang="en-US" sz="1600">
              <a:solidFill>
                <a:schemeClr val="dk1"/>
              </a:solidFill>
              <a:effectLst/>
              <a:latin typeface="+mn-lt"/>
              <a:ea typeface="+mn-ea"/>
              <a:cs typeface="+mn-cs"/>
            </a:rPr>
            <a:t>What is the most likely outcome?</a:t>
          </a:r>
        </a:p>
        <a:p>
          <a:pPr lvl="1"/>
          <a:r>
            <a:rPr lang="en-US" sz="1600">
              <a:solidFill>
                <a:schemeClr val="dk1"/>
              </a:solidFill>
              <a:effectLst/>
              <a:latin typeface="+mn-lt"/>
              <a:ea typeface="+mn-ea"/>
              <a:cs typeface="+mn-cs"/>
            </a:rPr>
            <a:t>The mean stock price according to our stochastic analysis is $86.00.</a:t>
          </a:r>
        </a:p>
        <a:p>
          <a:pPr lvl="0"/>
          <a:r>
            <a:rPr lang="en-US" sz="1600">
              <a:solidFill>
                <a:schemeClr val="dk1"/>
              </a:solidFill>
              <a:effectLst/>
              <a:latin typeface="+mn-lt"/>
              <a:ea typeface="+mn-ea"/>
              <a:cs typeface="+mn-cs"/>
            </a:rPr>
            <a:t>How likely is the baseline outcome estimate to be over/underestimated?</a:t>
          </a:r>
        </a:p>
        <a:p>
          <a:pPr lvl="1"/>
          <a:r>
            <a:rPr lang="en-US" sz="1600">
              <a:solidFill>
                <a:schemeClr val="dk1"/>
              </a:solidFill>
              <a:effectLst/>
              <a:latin typeface="+mn-lt"/>
              <a:ea typeface="+mn-ea"/>
              <a:cs typeface="+mn-cs"/>
            </a:rPr>
            <a:t>The likelihood of the baseline outcome being below the actual outcome is 43.44%. Conversely, the likelihood of the baseline outcome being below the actual outcome is 56.56%.</a:t>
          </a:r>
        </a:p>
        <a:p>
          <a:pPr lvl="0"/>
          <a:r>
            <a:rPr lang="en-US" sz="1600">
              <a:solidFill>
                <a:schemeClr val="dk1"/>
              </a:solidFill>
              <a:effectLst/>
              <a:latin typeface="+mn-lt"/>
              <a:ea typeface="+mn-ea"/>
              <a:cs typeface="+mn-cs"/>
            </a:rPr>
            <a:t>What is the risk of losing money?</a:t>
          </a:r>
        </a:p>
        <a:p>
          <a:pPr lvl="1"/>
          <a:r>
            <a:rPr lang="en-US" sz="1600">
              <a:solidFill>
                <a:schemeClr val="dk1"/>
              </a:solidFill>
              <a:effectLst/>
              <a:latin typeface="+mn-lt"/>
              <a:ea typeface="+mn-ea"/>
              <a:cs typeface="+mn-cs"/>
            </a:rPr>
            <a:t>If the investor were to sell, we will consider the risk of losing money to be the likelihood that the price will increase above the current market price (much like opportunity cost). Therefore, the risk of losing money is 33.52%.</a:t>
          </a:r>
        </a:p>
        <a:p>
          <a:pPr lvl="0"/>
          <a:r>
            <a:rPr lang="en-US" sz="1600">
              <a:solidFill>
                <a:schemeClr val="dk1"/>
              </a:solidFill>
              <a:effectLst/>
              <a:latin typeface="+mn-lt"/>
              <a:ea typeface="+mn-ea"/>
              <a:cs typeface="+mn-cs"/>
            </a:rPr>
            <a:t>What is the risk in this decision? (Which elements caused the major effect in the outcome?)</a:t>
          </a:r>
        </a:p>
        <a:p>
          <a:pPr lvl="1"/>
          <a:r>
            <a:rPr lang="en-US" sz="1600">
              <a:solidFill>
                <a:schemeClr val="dk1"/>
              </a:solidFill>
              <a:effectLst/>
              <a:latin typeface="+mn-lt"/>
              <a:ea typeface="+mn-ea"/>
              <a:cs typeface="+mn-cs"/>
            </a:rPr>
            <a:t>According to the tornado chart and the sensitivity analysis, the most impactful variables are Short Term Revenue Growth and Mid-Term COGS Growth. Therefore, a large portion of the risk associated with this decision is related to these variables.</a:t>
          </a:r>
        </a:p>
        <a:p>
          <a:endParaRPr lang="en-US" sz="1100"/>
        </a:p>
      </xdr:txBody>
    </xdr:sp>
    <xdr:clientData/>
  </xdr:twoCellAnchor>
  <xdr:twoCellAnchor editAs="oneCell">
    <xdr:from>
      <xdr:col>1</xdr:col>
      <xdr:colOff>163710</xdr:colOff>
      <xdr:row>136</xdr:row>
      <xdr:rowOff>104179</xdr:rowOff>
    </xdr:from>
    <xdr:to>
      <xdr:col>5</xdr:col>
      <xdr:colOff>890382</xdr:colOff>
      <xdr:row>153</xdr:row>
      <xdr:rowOff>148828</xdr:rowOff>
    </xdr:to>
    <xdr:pic>
      <xdr:nvPicPr>
        <xdr:cNvPr id="11" name="Picture 10">
          <a:extLst>
            <a:ext uri="{FF2B5EF4-FFF2-40B4-BE49-F238E27FC236}">
              <a16:creationId xmlns:a16="http://schemas.microsoft.com/office/drawing/2014/main" id="{00000000-0008-0000-0300-00000B000000}"/>
            </a:ext>
          </a:extLst>
        </xdr:cNvPr>
        <xdr:cNvPicPr/>
      </xdr:nvPicPr>
      <xdr:blipFill>
        <a:blip xmlns:r="http://schemas.openxmlformats.org/officeDocument/2006/relationships" r:embed="rId2"/>
        <a:stretch>
          <a:fillRect/>
        </a:stretch>
      </xdr:blipFill>
      <xdr:spPr>
        <a:xfrm>
          <a:off x="1056679" y="27042070"/>
          <a:ext cx="6694679" cy="3333750"/>
        </a:xfrm>
        <a:prstGeom prst="rect">
          <a:avLst/>
        </a:prstGeom>
      </xdr:spPr>
    </xdr:pic>
    <xdr:clientData/>
  </xdr:twoCellAnchor>
  <xdr:twoCellAnchor>
    <xdr:from>
      <xdr:col>6</xdr:col>
      <xdr:colOff>329206</xdr:colOff>
      <xdr:row>136</xdr:row>
      <xdr:rowOff>128290</xdr:rowOff>
    </xdr:from>
    <xdr:to>
      <xdr:col>11</xdr:col>
      <xdr:colOff>706635</xdr:colOff>
      <xdr:row>154</xdr:row>
      <xdr:rowOff>54864</xdr:rowOff>
    </xdr:to>
    <xdr:grpSp>
      <xdr:nvGrpSpPr>
        <xdr:cNvPr id="8" name="Group 7">
          <a:extLst>
            <a:ext uri="{FF2B5EF4-FFF2-40B4-BE49-F238E27FC236}">
              <a16:creationId xmlns:a16="http://schemas.microsoft.com/office/drawing/2014/main" id="{00000000-0008-0000-0300-000008000000}"/>
            </a:ext>
          </a:extLst>
        </xdr:cNvPr>
        <xdr:cNvGrpSpPr/>
      </xdr:nvGrpSpPr>
      <xdr:grpSpPr>
        <a:xfrm>
          <a:off x="10489206" y="27674152"/>
          <a:ext cx="6924498" cy="3473815"/>
          <a:chOff x="8536014" y="26577174"/>
          <a:chExt cx="5956358" cy="3294342"/>
        </a:xfrm>
      </xdr:grpSpPr>
      <xdr:pic>
        <xdr:nvPicPr>
          <xdr:cNvPr id="12" name="Picture 11">
            <a:extLst>
              <a:ext uri="{FF2B5EF4-FFF2-40B4-BE49-F238E27FC236}">
                <a16:creationId xmlns:a16="http://schemas.microsoft.com/office/drawing/2014/main" id="{00000000-0008-0000-0300-00000C000000}"/>
              </a:ext>
            </a:extLst>
          </xdr:cNvPr>
          <xdr:cNvPicPr/>
        </xdr:nvPicPr>
        <xdr:blipFill rotWithShape="1">
          <a:blip xmlns:r="http://schemas.openxmlformats.org/officeDocument/2006/relationships" r:embed="rId3"/>
          <a:srcRect t="85135"/>
          <a:stretch/>
        </xdr:blipFill>
        <xdr:spPr>
          <a:xfrm>
            <a:off x="8536014" y="29108656"/>
            <a:ext cx="5956358" cy="762860"/>
          </a:xfrm>
          <a:prstGeom prst="rect">
            <a:avLst/>
          </a:prstGeom>
        </xdr:spPr>
      </xdr:pic>
      <xdr:pic>
        <xdr:nvPicPr>
          <xdr:cNvPr id="13" name="Picture 12">
            <a:extLst>
              <a:ext uri="{FF2B5EF4-FFF2-40B4-BE49-F238E27FC236}">
                <a16:creationId xmlns:a16="http://schemas.microsoft.com/office/drawing/2014/main" id="{00000000-0008-0000-0300-00000D000000}"/>
              </a:ext>
            </a:extLst>
          </xdr:cNvPr>
          <xdr:cNvPicPr/>
        </xdr:nvPicPr>
        <xdr:blipFill rotWithShape="1">
          <a:blip xmlns:r="http://schemas.openxmlformats.org/officeDocument/2006/relationships" r:embed="rId3"/>
          <a:srcRect b="50504"/>
          <a:stretch/>
        </xdr:blipFill>
        <xdr:spPr>
          <a:xfrm>
            <a:off x="8536014" y="26577174"/>
            <a:ext cx="5956358" cy="2535733"/>
          </a:xfrm>
          <a:prstGeom prst="rect">
            <a:avLst/>
          </a:prstGeom>
        </xdr:spPr>
      </xdr:pic>
    </xdr:grpSp>
    <xdr:clientData/>
  </xdr:twoCellAnchor>
  <xdr:twoCellAnchor editAs="oneCell">
    <xdr:from>
      <xdr:col>0</xdr:col>
      <xdr:colOff>30725</xdr:colOff>
      <xdr:row>0</xdr:row>
      <xdr:rowOff>52563</xdr:rowOff>
    </xdr:from>
    <xdr:to>
      <xdr:col>0</xdr:col>
      <xdr:colOff>1533770</xdr:colOff>
      <xdr:row>3</xdr:row>
      <xdr:rowOff>124704</xdr:rowOff>
    </xdr:to>
    <xdr:pic>
      <xdr:nvPicPr>
        <xdr:cNvPr id="15" name="Picture 14">
          <a:extLst>
            <a:ext uri="{FF2B5EF4-FFF2-40B4-BE49-F238E27FC236}">
              <a16:creationId xmlns:a16="http://schemas.microsoft.com/office/drawing/2014/main" id="{00000000-0008-0000-0300-00000F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bwMode="auto">
        <a:xfrm>
          <a:off x="30725" y="52563"/>
          <a:ext cx="1503045" cy="66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538235</xdr:colOff>
      <xdr:row>99</xdr:row>
      <xdr:rowOff>63102</xdr:rowOff>
    </xdr:from>
    <xdr:to>
      <xdr:col>8</xdr:col>
      <xdr:colOff>997953</xdr:colOff>
      <xdr:row>135</xdr:row>
      <xdr:rowOff>10746</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rotWithShape="1">
        <a:blip xmlns:r="http://schemas.openxmlformats.org/officeDocument/2006/relationships" r:embed="rId5"/>
        <a:srcRect t="9649"/>
        <a:stretch/>
      </xdr:blipFill>
      <xdr:spPr>
        <a:xfrm>
          <a:off x="538235" y="19668727"/>
          <a:ext cx="12236984" cy="673420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11</xdr:col>
          <xdr:colOff>101600</xdr:colOff>
          <xdr:row>13</xdr:row>
          <xdr:rowOff>76200</xdr:rowOff>
        </xdr:from>
        <xdr:to>
          <xdr:col>12</xdr:col>
          <xdr:colOff>1066800</xdr:colOff>
          <xdr:row>14</xdr:row>
          <xdr:rowOff>139700</xdr:rowOff>
        </xdr:to>
        <xdr:sp macro="" textlink="">
          <xdr:nvSpPr>
            <xdr:cNvPr id="2104" name="Drop Down 56" hidden="1">
              <a:extLst>
                <a:ext uri="{63B3BB69-23CF-44E3-9099-C40C66FF867C}">
                  <a14:compatExt spid="_x0000_s2104"/>
                </a:ext>
                <a:ext uri="{FF2B5EF4-FFF2-40B4-BE49-F238E27FC236}">
                  <a16:creationId xmlns:a16="http://schemas.microsoft.com/office/drawing/2014/main" id="{00000000-0008-0000-0300-0000380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6</xdr:col>
      <xdr:colOff>381000</xdr:colOff>
      <xdr:row>104</xdr:row>
      <xdr:rowOff>161924</xdr:rowOff>
    </xdr:from>
    <xdr:to>
      <xdr:col>13</xdr:col>
      <xdr:colOff>486834</xdr:colOff>
      <xdr:row>120</xdr:row>
      <xdr:rowOff>76199</xdr:rowOff>
    </xdr:to>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38100</xdr:colOff>
          <xdr:row>98</xdr:row>
          <xdr:rowOff>38100</xdr:rowOff>
        </xdr:from>
        <xdr:to>
          <xdr:col>3</xdr:col>
          <xdr:colOff>127000</xdr:colOff>
          <xdr:row>99</xdr:row>
          <xdr:rowOff>177800</xdr:rowOff>
        </xdr:to>
        <xdr:sp macro="" textlink="">
          <xdr:nvSpPr>
            <xdr:cNvPr id="6146" name="Drop Down 2" hidden="1">
              <a:extLst>
                <a:ext uri="{63B3BB69-23CF-44E3-9099-C40C66FF867C}">
                  <a14:compatExt spid="_x0000_s6146"/>
                </a:ext>
                <a:ext uri="{FF2B5EF4-FFF2-40B4-BE49-F238E27FC236}">
                  <a16:creationId xmlns:a16="http://schemas.microsoft.com/office/drawing/2014/main" id="{00000000-0008-0000-0400-000002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101</xdr:row>
          <xdr:rowOff>25400</xdr:rowOff>
        </xdr:from>
        <xdr:to>
          <xdr:col>2</xdr:col>
          <xdr:colOff>2641600</xdr:colOff>
          <xdr:row>101</xdr:row>
          <xdr:rowOff>304800</xdr:rowOff>
        </xdr:to>
        <xdr:sp macro="" textlink="">
          <xdr:nvSpPr>
            <xdr:cNvPr id="6147" name="Drop Down 3" hidden="1">
              <a:extLst>
                <a:ext uri="{63B3BB69-23CF-44E3-9099-C40C66FF867C}">
                  <a14:compatExt spid="_x0000_s6147"/>
                </a:ext>
                <a:ext uri="{FF2B5EF4-FFF2-40B4-BE49-F238E27FC236}">
                  <a16:creationId xmlns:a16="http://schemas.microsoft.com/office/drawing/2014/main" id="{00000000-0008-0000-0400-000003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102</xdr:row>
          <xdr:rowOff>25400</xdr:rowOff>
        </xdr:from>
        <xdr:to>
          <xdr:col>2</xdr:col>
          <xdr:colOff>2641600</xdr:colOff>
          <xdr:row>102</xdr:row>
          <xdr:rowOff>304800</xdr:rowOff>
        </xdr:to>
        <xdr:sp macro="" textlink="">
          <xdr:nvSpPr>
            <xdr:cNvPr id="6148" name="Drop Down 4" hidden="1">
              <a:extLst>
                <a:ext uri="{63B3BB69-23CF-44E3-9099-C40C66FF867C}">
                  <a14:compatExt spid="_x0000_s6148"/>
                </a:ext>
                <a:ext uri="{FF2B5EF4-FFF2-40B4-BE49-F238E27FC236}">
                  <a16:creationId xmlns:a16="http://schemas.microsoft.com/office/drawing/2014/main" id="{00000000-0008-0000-0400-000004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38100</xdr:colOff>
          <xdr:row>103</xdr:row>
          <xdr:rowOff>25400</xdr:rowOff>
        </xdr:from>
        <xdr:to>
          <xdr:col>2</xdr:col>
          <xdr:colOff>2641600</xdr:colOff>
          <xdr:row>103</xdr:row>
          <xdr:rowOff>304800</xdr:rowOff>
        </xdr:to>
        <xdr:sp macro="" textlink="">
          <xdr:nvSpPr>
            <xdr:cNvPr id="6149" name="Drop Down 5" hidden="1">
              <a:extLst>
                <a:ext uri="{63B3BB69-23CF-44E3-9099-C40C66FF867C}">
                  <a14:compatExt spid="_x0000_s6149"/>
                </a:ext>
                <a:ext uri="{FF2B5EF4-FFF2-40B4-BE49-F238E27FC236}">
                  <a16:creationId xmlns:a16="http://schemas.microsoft.com/office/drawing/2014/main" id="{00000000-0008-0000-0400-000005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10</xdr:col>
      <xdr:colOff>305768</xdr:colOff>
      <xdr:row>30</xdr:row>
      <xdr:rowOff>23552</xdr:rowOff>
    </xdr:from>
    <xdr:to>
      <xdr:col>15</xdr:col>
      <xdr:colOff>562210</xdr:colOff>
      <xdr:row>33</xdr:row>
      <xdr:rowOff>18972</xdr:rowOff>
    </xdr:to>
    <xdr:pic>
      <xdr:nvPicPr>
        <xdr:cNvPr id="7" name="Picture 6">
          <a:extLst>
            <a:ext uri="{FF2B5EF4-FFF2-40B4-BE49-F238E27FC236}">
              <a16:creationId xmlns:a16="http://schemas.microsoft.com/office/drawing/2014/main" id="{00000000-0008-0000-0400-000007000000}"/>
            </a:ext>
          </a:extLst>
        </xdr:cNvPr>
        <xdr:cNvPicPr>
          <a:picLocks noChangeAspect="1"/>
        </xdr:cNvPicPr>
      </xdr:nvPicPr>
      <xdr:blipFill rotWithShape="1">
        <a:blip xmlns:r="http://schemas.openxmlformats.org/officeDocument/2006/relationships" r:embed="rId2"/>
        <a:srcRect l="29941" t="59784" r="58242" b="32684"/>
        <a:stretch/>
      </xdr:blipFill>
      <xdr:spPr>
        <a:xfrm>
          <a:off x="10742447" y="5792981"/>
          <a:ext cx="3181977" cy="566920"/>
        </a:xfrm>
        <a:prstGeom prst="rect">
          <a:avLst/>
        </a:prstGeom>
        <a:ln w="38100">
          <a:solidFill>
            <a:schemeClr val="accent1"/>
          </a:solidFill>
        </a:ln>
      </xdr:spPr>
    </xdr:pic>
    <xdr:clientData/>
  </xdr:twoCellAnchor>
  <xdr:twoCellAnchor editAs="oneCell">
    <xdr:from>
      <xdr:col>0</xdr:col>
      <xdr:colOff>149832</xdr:colOff>
      <xdr:row>0</xdr:row>
      <xdr:rowOff>81099</xdr:rowOff>
    </xdr:from>
    <xdr:to>
      <xdr:col>1</xdr:col>
      <xdr:colOff>1042849</xdr:colOff>
      <xdr:row>3</xdr:row>
      <xdr:rowOff>128059</xdr:rowOff>
    </xdr:to>
    <xdr:pic>
      <xdr:nvPicPr>
        <xdr:cNvPr id="8" name="Picture 7">
          <a:extLst>
            <a:ext uri="{FF2B5EF4-FFF2-40B4-BE49-F238E27FC236}">
              <a16:creationId xmlns:a16="http://schemas.microsoft.com/office/drawing/2014/main" id="{00000000-0008-0000-0400-000008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bwMode="auto">
        <a:xfrm>
          <a:off x="149832" y="81099"/>
          <a:ext cx="1510378" cy="66432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2</xdr:col>
          <xdr:colOff>88900</xdr:colOff>
          <xdr:row>5</xdr:row>
          <xdr:rowOff>76200</xdr:rowOff>
        </xdr:from>
        <xdr:to>
          <xdr:col>2</xdr:col>
          <xdr:colOff>2654300</xdr:colOff>
          <xdr:row>6</xdr:row>
          <xdr:rowOff>139700</xdr:rowOff>
        </xdr:to>
        <xdr:sp macro="" textlink="">
          <xdr:nvSpPr>
            <xdr:cNvPr id="6151" name="Drop Down 7" hidden="1">
              <a:extLst>
                <a:ext uri="{63B3BB69-23CF-44E3-9099-C40C66FF867C}">
                  <a14:compatExt spid="_x0000_s6151"/>
                </a:ext>
                <a:ext uri="{FF2B5EF4-FFF2-40B4-BE49-F238E27FC236}">
                  <a16:creationId xmlns:a16="http://schemas.microsoft.com/office/drawing/2014/main" id="{00000000-0008-0000-0400-000007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101600</xdr:colOff>
          <xdr:row>48</xdr:row>
          <xdr:rowOff>76200</xdr:rowOff>
        </xdr:from>
        <xdr:to>
          <xdr:col>7</xdr:col>
          <xdr:colOff>685800</xdr:colOff>
          <xdr:row>49</xdr:row>
          <xdr:rowOff>114300</xdr:rowOff>
        </xdr:to>
        <xdr:sp macro="" textlink="">
          <xdr:nvSpPr>
            <xdr:cNvPr id="6152" name="Drop Down 8" hidden="1">
              <a:extLst>
                <a:ext uri="{63B3BB69-23CF-44E3-9099-C40C66FF867C}">
                  <a14:compatExt spid="_x0000_s6152"/>
                </a:ext>
                <a:ext uri="{FF2B5EF4-FFF2-40B4-BE49-F238E27FC236}">
                  <a16:creationId xmlns:a16="http://schemas.microsoft.com/office/drawing/2014/main" id="{00000000-0008-0000-0400-00000818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104775</xdr:colOff>
      <xdr:row>0</xdr:row>
      <xdr:rowOff>48864</xdr:rowOff>
    </xdr:from>
    <xdr:to>
      <xdr:col>1</xdr:col>
      <xdr:colOff>998220</xdr:colOff>
      <xdr:row>3</xdr:row>
      <xdr:rowOff>110422</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104775" y="48864"/>
          <a:ext cx="1503045" cy="66480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9</xdr:col>
      <xdr:colOff>328399</xdr:colOff>
      <xdr:row>9</xdr:row>
      <xdr:rowOff>59638</xdr:rowOff>
    </xdr:from>
    <xdr:to>
      <xdr:col>16</xdr:col>
      <xdr:colOff>600075</xdr:colOff>
      <xdr:row>27</xdr:row>
      <xdr:rowOff>72337</xdr:rowOff>
    </xdr:to>
    <xdr:graphicFrame macro="">
      <xdr:nvGraphicFramePr>
        <xdr:cNvPr id="2" name="Chart 8">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28575</xdr:colOff>
      <xdr:row>42</xdr:row>
      <xdr:rowOff>66676</xdr:rowOff>
    </xdr:from>
    <xdr:to>
      <xdr:col>20</xdr:col>
      <xdr:colOff>428625</xdr:colOff>
      <xdr:row>61</xdr:row>
      <xdr:rowOff>123826</xdr:rowOff>
    </xdr:to>
    <xdr:graphicFrame macro="">
      <xdr:nvGraphicFramePr>
        <xdr:cNvPr id="3" name="Chart 9">
          <a:extLst>
            <a:ext uri="{FF2B5EF4-FFF2-40B4-BE49-F238E27FC236}">
              <a16:creationId xmlns:a16="http://schemas.microsoft.com/office/drawing/2014/main" id="{00000000-0008-0000-06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76200</xdr:colOff>
      <xdr:row>0</xdr:row>
      <xdr:rowOff>45048</xdr:rowOff>
    </xdr:from>
    <xdr:to>
      <xdr:col>2</xdr:col>
      <xdr:colOff>331470</xdr:colOff>
      <xdr:row>3</xdr:row>
      <xdr:rowOff>133288</xdr:rowOff>
    </xdr:to>
    <xdr:pic>
      <xdr:nvPicPr>
        <xdr:cNvPr id="4" name="Picture 3">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bwMode="auto">
        <a:xfrm>
          <a:off x="76200" y="45048"/>
          <a:ext cx="1563370" cy="6914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57150</xdr:colOff>
      <xdr:row>0</xdr:row>
      <xdr:rowOff>44346</xdr:rowOff>
    </xdr:from>
    <xdr:to>
      <xdr:col>2</xdr:col>
      <xdr:colOff>255270</xdr:colOff>
      <xdr:row>3</xdr:row>
      <xdr:rowOff>133991</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57150" y="44346"/>
          <a:ext cx="1566545" cy="6928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104775</xdr:colOff>
      <xdr:row>0</xdr:row>
      <xdr:rowOff>2850</xdr:rowOff>
    </xdr:from>
    <xdr:to>
      <xdr:col>1</xdr:col>
      <xdr:colOff>110601</xdr:colOff>
      <xdr:row>3</xdr:row>
      <xdr:rowOff>115208</xdr:rowOff>
    </xdr:to>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104775" y="2850"/>
          <a:ext cx="1505898" cy="719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oneCellAnchor>
    <xdr:from>
      <xdr:col>8</xdr:col>
      <xdr:colOff>250150</xdr:colOff>
      <xdr:row>5</xdr:row>
      <xdr:rowOff>134697</xdr:rowOff>
    </xdr:from>
    <xdr:ext cx="11698143" cy="3022889"/>
    <xdr:pic>
      <xdr:nvPicPr>
        <xdr:cNvPr id="2" name="Picture 1">
          <a:extLst>
            <a:ext uri="{FF2B5EF4-FFF2-40B4-BE49-F238E27FC236}">
              <a16:creationId xmlns:a16="http://schemas.microsoft.com/office/drawing/2014/main" id="{00000000-0008-0000-0900-000002000000}"/>
            </a:ext>
          </a:extLst>
        </xdr:cNvPr>
        <xdr:cNvPicPr>
          <a:picLocks noChangeAspect="1"/>
        </xdr:cNvPicPr>
      </xdr:nvPicPr>
      <xdr:blipFill rotWithShape="1">
        <a:blip xmlns:r="http://schemas.openxmlformats.org/officeDocument/2006/relationships" r:embed="rId1"/>
        <a:srcRect l="7032" t="44339" r="60558" b="22101"/>
        <a:stretch/>
      </xdr:blipFill>
      <xdr:spPr>
        <a:xfrm>
          <a:off x="5126950" y="325197"/>
          <a:ext cx="11698143" cy="3022889"/>
        </a:xfrm>
        <a:prstGeom prst="rect">
          <a:avLst/>
        </a:prstGeom>
      </xdr:spPr>
    </xdr:pic>
    <xdr:clientData/>
  </xdr:oneCellAnchor>
  <xdr:twoCellAnchor editAs="oneCell">
    <xdr:from>
      <xdr:col>0</xdr:col>
      <xdr:colOff>66675</xdr:colOff>
      <xdr:row>0</xdr:row>
      <xdr:rowOff>51313</xdr:rowOff>
    </xdr:from>
    <xdr:to>
      <xdr:col>1</xdr:col>
      <xdr:colOff>960120</xdr:colOff>
      <xdr:row>3</xdr:row>
      <xdr:rowOff>127024</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66675" y="51313"/>
          <a:ext cx="1533826" cy="6784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85725</xdr:colOff>
      <xdr:row>0</xdr:row>
      <xdr:rowOff>53462</xdr:rowOff>
    </xdr:from>
    <xdr:to>
      <xdr:col>1</xdr:col>
      <xdr:colOff>974688</xdr:colOff>
      <xdr:row>3</xdr:row>
      <xdr:rowOff>141124</xdr:rowOff>
    </xdr:to>
    <xdr:pic>
      <xdr:nvPicPr>
        <xdr:cNvPr id="2" name="Picture 1">
          <a:extLst>
            <a:ext uri="{FF2B5EF4-FFF2-40B4-BE49-F238E27FC236}">
              <a16:creationId xmlns:a16="http://schemas.microsoft.com/office/drawing/2014/main" id="{00000000-0008-0000-0A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bwMode="auto">
        <a:xfrm>
          <a:off x="85725" y="53462"/>
          <a:ext cx="1562063" cy="6909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9</xdr:col>
      <xdr:colOff>388188</xdr:colOff>
      <xdr:row>5</xdr:row>
      <xdr:rowOff>182974</xdr:rowOff>
    </xdr:from>
    <xdr:to>
      <xdr:col>15</xdr:col>
      <xdr:colOff>537301</xdr:colOff>
      <xdr:row>22</xdr:row>
      <xdr:rowOff>27935</xdr:rowOff>
    </xdr:to>
    <xdr:graphicFrame macro="">
      <xdr:nvGraphicFramePr>
        <xdr:cNvPr id="8" name="Chart 7">
          <a:extLst>
            <a:ext uri="{FF2B5EF4-FFF2-40B4-BE49-F238E27FC236}">
              <a16:creationId xmlns:a16="http://schemas.microsoft.com/office/drawing/2014/main" id="{00000000-0008-0000-0B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2</xdr:col>
      <xdr:colOff>99443</xdr:colOff>
      <xdr:row>3</xdr:row>
      <xdr:rowOff>97456</xdr:rowOff>
    </xdr:to>
    <xdr:pic>
      <xdr:nvPicPr>
        <xdr:cNvPr id="4" name="Picture 3">
          <a:extLst>
            <a:ext uri="{FF2B5EF4-FFF2-40B4-BE49-F238E27FC236}">
              <a16:creationId xmlns:a16="http://schemas.microsoft.com/office/drawing/2014/main" id="{00000000-0008-0000-0B00-000004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20458" b="79125" l="15163" r="87397"/>
                  </a14:imgEffect>
                </a14:imgLayer>
              </a14:imgProps>
            </a:ext>
            <a:ext uri="{28A0092B-C50C-407E-A947-70E740481C1C}">
              <a14:useLocalDpi xmlns:a14="http://schemas.microsoft.com/office/drawing/2010/main" val="0"/>
            </a:ext>
          </a:extLst>
        </a:blip>
        <a:srcRect l="6134" t="13125" r="3573" b="13542"/>
        <a:stretch/>
      </xdr:blipFill>
      <xdr:spPr bwMode="auto">
        <a:xfrm>
          <a:off x="0" y="0"/>
          <a:ext cx="1583756" cy="7007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oneCellAnchor>
    <xdr:from>
      <xdr:col>2</xdr:col>
      <xdr:colOff>190500</xdr:colOff>
      <xdr:row>44</xdr:row>
      <xdr:rowOff>1</xdr:rowOff>
    </xdr:from>
    <xdr:ext cx="4686552" cy="2381375"/>
    <xdr:pic>
      <xdr:nvPicPr>
        <xdr:cNvPr id="2" name="Picture 1">
          <a:extLst>
            <a:ext uri="{FF2B5EF4-FFF2-40B4-BE49-F238E27FC236}">
              <a16:creationId xmlns:a16="http://schemas.microsoft.com/office/drawing/2014/main" id="{00000000-0008-0000-0C00-000002000000}"/>
            </a:ext>
          </a:extLst>
        </xdr:cNvPr>
        <xdr:cNvPicPr>
          <a:picLocks/>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700" y="6315076"/>
          <a:ext cx="4686552" cy="2381375"/>
        </a:xfrm>
        <a:prstGeom prst="rect">
          <a:avLst/>
        </a:prstGeom>
      </xdr:spPr>
    </xdr:pic>
    <xdr:clientData/>
  </xdr:oneCellAnchor>
  <xdr:oneCellAnchor>
    <xdr:from>
      <xdr:col>3</xdr:col>
      <xdr:colOff>809626</xdr:colOff>
      <xdr:row>104</xdr:row>
      <xdr:rowOff>0</xdr:rowOff>
    </xdr:from>
    <xdr:ext cx="1838426" cy="1018516"/>
    <xdr:pic>
      <xdr:nvPicPr>
        <xdr:cNvPr id="3" name="Picture 2">
          <a:extLst>
            <a:ext uri="{FF2B5EF4-FFF2-40B4-BE49-F238E27FC236}">
              <a16:creationId xmlns:a16="http://schemas.microsoft.com/office/drawing/2014/main" id="{00000000-0008-0000-0C00-000003000000}"/>
            </a:ext>
          </a:extLst>
        </xdr:cNvPr>
        <xdr:cNvPicPr>
          <a:picLocks/>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8401" y="16030575"/>
          <a:ext cx="1838426" cy="1018516"/>
        </a:xfrm>
        <a:prstGeom prst="rect">
          <a:avLst/>
        </a:prstGeom>
      </xdr:spPr>
    </xdr:pic>
    <xdr:clientData/>
  </xdr:oneCellAnchor>
  <xdr:oneCellAnchor>
    <xdr:from>
      <xdr:col>3</xdr:col>
      <xdr:colOff>809626</xdr:colOff>
      <xdr:row>119</xdr:row>
      <xdr:rowOff>0</xdr:rowOff>
    </xdr:from>
    <xdr:ext cx="1838426" cy="1018516"/>
    <xdr:pic>
      <xdr:nvPicPr>
        <xdr:cNvPr id="4" name="Picture 3">
          <a:extLst>
            <a:ext uri="{FF2B5EF4-FFF2-40B4-BE49-F238E27FC236}">
              <a16:creationId xmlns:a16="http://schemas.microsoft.com/office/drawing/2014/main" id="{00000000-0008-0000-0C00-000004000000}"/>
            </a:ext>
          </a:extLst>
        </xdr:cNvPr>
        <xdr:cNvPicPr>
          <a:picLocks/>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438401" y="18459450"/>
          <a:ext cx="1838426" cy="1018516"/>
        </a:xfrm>
        <a:prstGeom prst="rect">
          <a:avLst/>
        </a:prstGeom>
      </xdr:spPr>
    </xdr:pic>
    <xdr:clientData/>
  </xdr:oneCellAnchor>
  <xdr:oneCellAnchor>
    <xdr:from>
      <xdr:col>3</xdr:col>
      <xdr:colOff>809626</xdr:colOff>
      <xdr:row>136</xdr:row>
      <xdr:rowOff>0</xdr:rowOff>
    </xdr:from>
    <xdr:ext cx="1838426" cy="1018516"/>
    <xdr:pic>
      <xdr:nvPicPr>
        <xdr:cNvPr id="5" name="Picture 4">
          <a:extLst>
            <a:ext uri="{FF2B5EF4-FFF2-40B4-BE49-F238E27FC236}">
              <a16:creationId xmlns:a16="http://schemas.microsoft.com/office/drawing/2014/main" id="{00000000-0008-0000-0C00-000005000000}"/>
            </a:ext>
          </a:extLst>
        </xdr:cNvPr>
        <xdr:cNvPicPr>
          <a:picLocks/>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438401" y="21212175"/>
          <a:ext cx="1838426" cy="1018516"/>
        </a:xfrm>
        <a:prstGeom prst="rect">
          <a:avLst/>
        </a:prstGeom>
      </xdr:spPr>
    </xdr:pic>
    <xdr:clientData/>
  </xdr:oneCellAnchor>
  <xdr:oneCellAnchor>
    <xdr:from>
      <xdr:col>3</xdr:col>
      <xdr:colOff>809626</xdr:colOff>
      <xdr:row>151</xdr:row>
      <xdr:rowOff>0</xdr:rowOff>
    </xdr:from>
    <xdr:ext cx="1838426" cy="1018516"/>
    <xdr:pic>
      <xdr:nvPicPr>
        <xdr:cNvPr id="6" name="Picture 5">
          <a:extLst>
            <a:ext uri="{FF2B5EF4-FFF2-40B4-BE49-F238E27FC236}">
              <a16:creationId xmlns:a16="http://schemas.microsoft.com/office/drawing/2014/main" id="{00000000-0008-0000-0C00-000006000000}"/>
            </a:ext>
          </a:extLst>
        </xdr:cNvPr>
        <xdr:cNvPicPr>
          <a:picLocks/>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438401" y="23641050"/>
          <a:ext cx="1838426" cy="1018516"/>
        </a:xfrm>
        <a:prstGeom prst="rect">
          <a:avLst/>
        </a:prstGeom>
      </xdr:spPr>
    </xdr:pic>
    <xdr:clientData/>
  </xdr:oneCellAnchor>
  <xdr:oneCellAnchor>
    <xdr:from>
      <xdr:col>3</xdr:col>
      <xdr:colOff>809626</xdr:colOff>
      <xdr:row>166</xdr:row>
      <xdr:rowOff>0</xdr:rowOff>
    </xdr:from>
    <xdr:ext cx="1838426" cy="1018516"/>
    <xdr:pic>
      <xdr:nvPicPr>
        <xdr:cNvPr id="7" name="Picture 6">
          <a:extLst>
            <a:ext uri="{FF2B5EF4-FFF2-40B4-BE49-F238E27FC236}">
              <a16:creationId xmlns:a16="http://schemas.microsoft.com/office/drawing/2014/main" id="{00000000-0008-0000-0C00-000007000000}"/>
            </a:ext>
          </a:extLst>
        </xdr:cNvPr>
        <xdr:cNvPicPr>
          <a:picLocks/>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2438401" y="26069925"/>
          <a:ext cx="1838426" cy="1018516"/>
        </a:xfrm>
        <a:prstGeom prst="rect">
          <a:avLst/>
        </a:prstGeom>
      </xdr:spPr>
    </xdr:pic>
    <xdr:clientData/>
  </xdr:oneCellAnchor>
  <xdr:oneCellAnchor>
    <xdr:from>
      <xdr:col>3</xdr:col>
      <xdr:colOff>809626</xdr:colOff>
      <xdr:row>181</xdr:row>
      <xdr:rowOff>0</xdr:rowOff>
    </xdr:from>
    <xdr:ext cx="1838426" cy="1018516"/>
    <xdr:pic>
      <xdr:nvPicPr>
        <xdr:cNvPr id="8" name="Picture 7">
          <a:extLst>
            <a:ext uri="{FF2B5EF4-FFF2-40B4-BE49-F238E27FC236}">
              <a16:creationId xmlns:a16="http://schemas.microsoft.com/office/drawing/2014/main" id="{00000000-0008-0000-0C00-000008000000}"/>
            </a:ext>
          </a:extLst>
        </xdr:cNvPr>
        <xdr:cNvPicPr>
          <a:picLocks/>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2438401" y="28498800"/>
          <a:ext cx="1838426" cy="1018516"/>
        </a:xfrm>
        <a:prstGeom prst="rect">
          <a:avLst/>
        </a:prstGeom>
      </xdr:spPr>
    </xdr:pic>
    <xdr:clientData/>
  </xdr:oneCellAnchor>
  <xdr:oneCellAnchor>
    <xdr:from>
      <xdr:col>3</xdr:col>
      <xdr:colOff>809626</xdr:colOff>
      <xdr:row>196</xdr:row>
      <xdr:rowOff>0</xdr:rowOff>
    </xdr:from>
    <xdr:ext cx="1838426" cy="1018516"/>
    <xdr:pic>
      <xdr:nvPicPr>
        <xdr:cNvPr id="9" name="Picture 8">
          <a:extLst>
            <a:ext uri="{FF2B5EF4-FFF2-40B4-BE49-F238E27FC236}">
              <a16:creationId xmlns:a16="http://schemas.microsoft.com/office/drawing/2014/main" id="{00000000-0008-0000-0C00-000009000000}"/>
            </a:ext>
          </a:extLst>
        </xdr:cNvPr>
        <xdr:cNvPicPr>
          <a:picLocks/>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2438401" y="30927675"/>
          <a:ext cx="1838426" cy="1018516"/>
        </a:xfrm>
        <a:prstGeom prst="rect">
          <a:avLst/>
        </a:prstGeom>
      </xdr:spPr>
    </xdr:pic>
    <xdr:clientData/>
  </xdr:oneCellAnchor>
  <xdr:oneCellAnchor>
    <xdr:from>
      <xdr:col>2</xdr:col>
      <xdr:colOff>190500</xdr:colOff>
      <xdr:row>209</xdr:row>
      <xdr:rowOff>0</xdr:rowOff>
    </xdr:from>
    <xdr:ext cx="4686552" cy="3930856"/>
    <xdr:pic>
      <xdr:nvPicPr>
        <xdr:cNvPr id="10" name="Picture 9">
          <a:extLst>
            <a:ext uri="{FF2B5EF4-FFF2-40B4-BE49-F238E27FC236}">
              <a16:creationId xmlns:a16="http://schemas.microsoft.com/office/drawing/2014/main" id="{00000000-0008-0000-0C00-00000A000000}"/>
            </a:ext>
          </a:extLst>
        </xdr:cNvPr>
        <xdr:cNvPicPr>
          <a:picLocks/>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409700" y="33032700"/>
          <a:ext cx="4686552" cy="3930856"/>
        </a:xfrm>
        <a:prstGeom prst="rect">
          <a:avLst/>
        </a:prstGeom>
      </xdr:spPr>
    </xdr:pic>
    <xdr:clientData/>
  </xdr:oneCellAnchor>
  <xdr:oneCellAnchor>
    <xdr:from>
      <xdr:col>2</xdr:col>
      <xdr:colOff>190500</xdr:colOff>
      <xdr:row>241</xdr:row>
      <xdr:rowOff>1</xdr:rowOff>
    </xdr:from>
    <xdr:ext cx="4686552" cy="2886460"/>
    <xdr:pic>
      <xdr:nvPicPr>
        <xdr:cNvPr id="11" name="Picture 10">
          <a:extLst>
            <a:ext uri="{FF2B5EF4-FFF2-40B4-BE49-F238E27FC236}">
              <a16:creationId xmlns:a16="http://schemas.microsoft.com/office/drawing/2014/main" id="{00000000-0008-0000-0C00-00000B000000}"/>
            </a:ext>
          </a:extLst>
        </xdr:cNvPr>
        <xdr:cNvPicPr>
          <a:picLocks/>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409700" y="38214301"/>
          <a:ext cx="4686552" cy="2886460"/>
        </a:xfrm>
        <a:prstGeom prst="rect">
          <a:avLst/>
        </a:prstGeom>
      </xdr:spPr>
    </xdr:pic>
    <xdr:clientData/>
  </xdr:oneCellAnchor>
  <xdr:twoCellAnchor editAs="oneCell">
    <xdr:from>
      <xdr:col>0</xdr:col>
      <xdr:colOff>47625</xdr:colOff>
      <xdr:row>0</xdr:row>
      <xdr:rowOff>63787</xdr:rowOff>
    </xdr:from>
    <xdr:to>
      <xdr:col>3</xdr:col>
      <xdr:colOff>79338</xdr:colOff>
      <xdr:row>3</xdr:row>
      <xdr:rowOff>149848</xdr:rowOff>
    </xdr:to>
    <xdr:pic>
      <xdr:nvPicPr>
        <xdr:cNvPr id="12" name="Picture 11">
          <a:extLst>
            <a:ext uri="{FF2B5EF4-FFF2-40B4-BE49-F238E27FC236}">
              <a16:creationId xmlns:a16="http://schemas.microsoft.com/office/drawing/2014/main" id="{00000000-0008-0000-0C00-00000C000000}"/>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xdr:blipFill>
      <xdr:spPr bwMode="auto">
        <a:xfrm>
          <a:off x="47625" y="63787"/>
          <a:ext cx="1565702" cy="6925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3.xml"/><Relationship Id="rId1" Type="http://schemas.openxmlformats.org/officeDocument/2006/relationships/printerSettings" Target="../printerSettings/printerSettings2.bin"/><Relationship Id="rId6" Type="http://schemas.openxmlformats.org/officeDocument/2006/relationships/comments" Target="../comments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5.xml.rels><?xml version="1.0" encoding="UTF-8" standalone="yes"?>
<Relationships xmlns="http://schemas.openxmlformats.org/package/2006/relationships"><Relationship Id="rId8" Type="http://schemas.openxmlformats.org/officeDocument/2006/relationships/ctrlProp" Target="../ctrlProps/ctrlProp7.xml"/><Relationship Id="rId3" Type="http://schemas.openxmlformats.org/officeDocument/2006/relationships/vmlDrawing" Target="../drawings/vmlDrawing2.vml"/><Relationship Id="rId7" Type="http://schemas.openxmlformats.org/officeDocument/2006/relationships/ctrlProp" Target="../ctrlProps/ctrlProp6.xml"/><Relationship Id="rId2" Type="http://schemas.openxmlformats.org/officeDocument/2006/relationships/drawing" Target="../drawings/drawing4.xml"/><Relationship Id="rId1" Type="http://schemas.openxmlformats.org/officeDocument/2006/relationships/printerSettings" Target="../printerSettings/printerSettings3.bin"/><Relationship Id="rId6" Type="http://schemas.openxmlformats.org/officeDocument/2006/relationships/ctrlProp" Target="../ctrlProps/ctrlProp5.xml"/><Relationship Id="rId5" Type="http://schemas.openxmlformats.org/officeDocument/2006/relationships/ctrlProp" Target="../ctrlProps/ctrlProp4.xml"/><Relationship Id="rId4" Type="http://schemas.openxmlformats.org/officeDocument/2006/relationships/ctrlProp" Target="../ctrlProps/ctrlProp3.xml"/><Relationship Id="rId9" Type="http://schemas.openxmlformats.org/officeDocument/2006/relationships/ctrlProp" Target="../ctrlProps/ctrlProp8.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12FEB-9D74-4250-946C-D7093285A1CE}">
  <dimension ref="B3:F30"/>
  <sheetViews>
    <sheetView workbookViewId="0">
      <selection activeCell="C12" sqref="C12"/>
    </sheetView>
  </sheetViews>
  <sheetFormatPr baseColWidth="10" defaultColWidth="8.6640625" defaultRowHeight="15"/>
  <cols>
    <col min="1" max="1" width="8.6640625" style="49"/>
    <col min="2" max="2" width="9.1640625" style="49" customWidth="1"/>
    <col min="3" max="3" width="33.1640625" style="49" customWidth="1"/>
    <col min="4" max="4" width="60.83203125" style="49" customWidth="1"/>
    <col min="5" max="6" width="25.83203125" style="49" customWidth="1"/>
    <col min="7" max="16384" width="8.6640625" style="49"/>
  </cols>
  <sheetData>
    <row r="3" spans="2:6">
      <c r="B3" s="73" t="s">
        <v>251</v>
      </c>
      <c r="C3" s="73"/>
      <c r="D3" s="73"/>
      <c r="E3" s="73"/>
      <c r="F3" s="73"/>
    </row>
    <row r="4" spans="2:6">
      <c r="B4" s="73" t="s">
        <v>252</v>
      </c>
      <c r="C4" s="73"/>
      <c r="D4" s="272" t="s">
        <v>471</v>
      </c>
      <c r="E4" s="73"/>
      <c r="F4" s="73"/>
    </row>
    <row r="5" spans="2:6" ht="21">
      <c r="B5" s="297" t="s">
        <v>260</v>
      </c>
      <c r="C5" s="73"/>
      <c r="D5" s="311" t="str">
        <f>'Control Panel'!C57</f>
        <v>Sell</v>
      </c>
      <c r="E5" s="73"/>
      <c r="F5" s="73"/>
    </row>
    <row r="6" spans="2:6">
      <c r="B6" s="73" t="s">
        <v>275</v>
      </c>
      <c r="C6" s="73"/>
      <c r="D6" s="73"/>
      <c r="E6" s="73"/>
      <c r="F6" s="73"/>
    </row>
    <row r="7" spans="2:6">
      <c r="B7" s="73" t="s">
        <v>253</v>
      </c>
      <c r="C7" s="73"/>
      <c r="D7" s="73"/>
      <c r="E7" s="73"/>
      <c r="F7" s="73"/>
    </row>
    <row r="9" spans="2:6">
      <c r="B9" s="74" t="s">
        <v>254</v>
      </c>
      <c r="C9" s="73" t="s">
        <v>569</v>
      </c>
      <c r="D9" s="73"/>
      <c r="E9" s="73"/>
      <c r="F9" s="73"/>
    </row>
    <row r="10" spans="2:6">
      <c r="B10" s="73"/>
      <c r="C10" s="73"/>
      <c r="D10" s="73"/>
      <c r="E10" s="73"/>
      <c r="F10" s="73"/>
    </row>
    <row r="11" spans="2:6">
      <c r="B11" s="74" t="s">
        <v>255</v>
      </c>
      <c r="C11" s="73" t="s">
        <v>578</v>
      </c>
      <c r="D11" s="73"/>
      <c r="E11" s="73"/>
      <c r="F11" s="73"/>
    </row>
    <row r="12" spans="2:6">
      <c r="B12" s="73"/>
      <c r="C12" s="73" t="s">
        <v>579</v>
      </c>
      <c r="D12" s="73"/>
      <c r="E12" s="73"/>
      <c r="F12" s="73"/>
    </row>
    <row r="14" spans="2:6">
      <c r="B14" s="72" t="s">
        <v>256</v>
      </c>
      <c r="C14" s="72"/>
      <c r="D14" s="72" t="s">
        <v>257</v>
      </c>
      <c r="E14" s="72" t="s">
        <v>258</v>
      </c>
      <c r="F14" s="72" t="s">
        <v>259</v>
      </c>
    </row>
    <row r="15" spans="2:6" ht="32">
      <c r="B15" s="299" t="s">
        <v>261</v>
      </c>
      <c r="C15" s="300"/>
      <c r="D15" s="302" t="s">
        <v>551</v>
      </c>
      <c r="E15" s="301"/>
      <c r="F15" s="301"/>
    </row>
    <row r="16" spans="2:6" ht="32">
      <c r="B16" s="299" t="s">
        <v>262</v>
      </c>
      <c r="C16" s="300"/>
      <c r="D16" s="302" t="s">
        <v>552</v>
      </c>
      <c r="E16" s="301"/>
      <c r="F16" s="301"/>
    </row>
    <row r="17" spans="2:6" ht="32">
      <c r="B17" s="299" t="s">
        <v>263</v>
      </c>
      <c r="C17" s="300"/>
      <c r="D17" s="302" t="s">
        <v>553</v>
      </c>
      <c r="E17" s="301"/>
      <c r="F17" s="301"/>
    </row>
    <row r="18" spans="2:6">
      <c r="B18" s="299" t="s">
        <v>264</v>
      </c>
      <c r="C18" s="300"/>
      <c r="D18" s="444" t="s">
        <v>549</v>
      </c>
      <c r="E18" s="301"/>
      <c r="F18" s="301"/>
    </row>
    <row r="19" spans="2:6">
      <c r="B19" s="300"/>
      <c r="C19" s="299" t="s">
        <v>2</v>
      </c>
      <c r="D19" s="444"/>
      <c r="E19" s="301"/>
      <c r="F19" s="301"/>
    </row>
    <row r="20" spans="2:6">
      <c r="B20" s="300"/>
      <c r="C20" s="299" t="s">
        <v>14</v>
      </c>
      <c r="D20" s="444"/>
      <c r="E20" s="301"/>
      <c r="F20" s="301"/>
    </row>
    <row r="21" spans="2:6">
      <c r="B21" s="300"/>
      <c r="C21" s="299" t="s">
        <v>267</v>
      </c>
      <c r="D21" s="444"/>
      <c r="E21" s="301"/>
      <c r="F21" s="301"/>
    </row>
    <row r="22" spans="2:6">
      <c r="B22" s="300"/>
      <c r="C22" s="299" t="s">
        <v>101</v>
      </c>
      <c r="D22" s="444"/>
      <c r="E22" s="301"/>
      <c r="F22" s="301"/>
    </row>
    <row r="23" spans="2:6" ht="40.5" customHeight="1">
      <c r="B23" s="299" t="s">
        <v>265</v>
      </c>
      <c r="C23" s="300"/>
      <c r="D23" s="302" t="s">
        <v>550</v>
      </c>
      <c r="E23" s="301"/>
      <c r="F23" s="301"/>
    </row>
    <row r="24" spans="2:6" ht="40.5" customHeight="1">
      <c r="B24" s="299" t="s">
        <v>266</v>
      </c>
      <c r="C24" s="300"/>
      <c r="D24" s="302" t="s">
        <v>554</v>
      </c>
      <c r="E24" s="301"/>
      <c r="F24" s="301"/>
    </row>
    <row r="25" spans="2:6" ht="40.5" customHeight="1">
      <c r="B25" s="299" t="s">
        <v>543</v>
      </c>
      <c r="C25" s="300"/>
      <c r="D25" s="302" t="s">
        <v>555</v>
      </c>
      <c r="E25" s="301"/>
      <c r="F25" s="301"/>
    </row>
    <row r="26" spans="2:6" ht="40.5" customHeight="1">
      <c r="B26" s="299" t="s">
        <v>469</v>
      </c>
      <c r="C26" s="300"/>
      <c r="D26" s="302" t="s">
        <v>556</v>
      </c>
      <c r="E26" s="301"/>
      <c r="F26" s="301"/>
    </row>
    <row r="27" spans="2:6" ht="40.5" customHeight="1">
      <c r="B27" s="299" t="s">
        <v>467</v>
      </c>
      <c r="C27" s="300"/>
      <c r="D27" s="302" t="s">
        <v>557</v>
      </c>
      <c r="E27" s="301"/>
      <c r="F27" s="301"/>
    </row>
    <row r="28" spans="2:6" ht="40.5" customHeight="1">
      <c r="B28" s="299" t="s">
        <v>466</v>
      </c>
      <c r="C28" s="300"/>
      <c r="D28" s="302" t="s">
        <v>559</v>
      </c>
      <c r="E28" s="301"/>
      <c r="F28" s="301"/>
    </row>
    <row r="29" spans="2:6" ht="40.5" customHeight="1">
      <c r="B29" s="299" t="s">
        <v>465</v>
      </c>
      <c r="C29" s="300"/>
      <c r="D29" s="302" t="s">
        <v>560</v>
      </c>
      <c r="E29" s="301"/>
      <c r="F29" s="301"/>
    </row>
    <row r="30" spans="2:6">
      <c r="B30" s="299"/>
      <c r="C30" s="300"/>
      <c r="D30" s="302"/>
      <c r="E30" s="301"/>
      <c r="F30" s="301"/>
    </row>
  </sheetData>
  <mergeCells count="1">
    <mergeCell ref="D18:D22"/>
  </mergeCells>
  <conditionalFormatting sqref="D5">
    <cfRule type="containsText" dxfId="19" priority="1" operator="containsText" text="Buy">
      <formula>NOT(ISERROR(SEARCH("Buy",D5)))</formula>
    </cfRule>
    <cfRule type="containsText" dxfId="18" priority="2" operator="containsText" text="Sell">
      <formula>NOT(ISERROR(SEARCH("Sell",D5)))</formula>
    </cfRule>
    <cfRule type="expression" dxfId="17" priority="3">
      <formula>"sell"</formula>
    </cfRule>
  </conditionalFormatting>
  <hyperlinks>
    <hyperlink ref="B15" location="Summary!A1" display="Summary" xr:uid="{F1A14699-3522-43D9-9F13-4E1277EC055F}"/>
    <hyperlink ref="B16" location="'Control Panel'!A1" display="Control Panel" xr:uid="{2AA2FE63-85FE-4F4B-A29F-0791B6C67C75}"/>
    <hyperlink ref="B17" location="'DCF Model'!A1" display="DCF Model" xr:uid="{75705ADF-5DD3-498C-89F9-AB9500510BF6}"/>
    <hyperlink ref="B18" location="'Financial Statement Information'!A1" display="Financial Statement Information" xr:uid="{31EC7173-EC83-4676-98B7-50CB87A94BB2}"/>
    <hyperlink ref="B23" location="'NIKE BETA'!A1" display="Nike Beta" xr:uid="{E0DDCC0B-6935-4A1B-9B46-9887D36CF5C9}"/>
    <hyperlink ref="B24" location="'USTBill TYX'!A1" display="US T-Bill " xr:uid="{CD88AEF8-C42C-428F-AED3-0811305BC0BB}"/>
    <hyperlink ref="C19" location="'Financial Statement Information'!C28" display="Income Statement" xr:uid="{D65B2F5A-74D5-4C17-BF5A-2C8A9AFC71E2}"/>
    <hyperlink ref="C20" location="'Financial Statement Information'!C56" display="Balance Sheet" xr:uid="{1E9D22E6-BFFA-425B-8C85-A62A3C963001}"/>
    <hyperlink ref="C21" location="'Financial Statement Information'!C98" display="Net Working Cash Flows Calculations" xr:uid="{CC7A257D-490B-4C79-ABC2-22F92BD0DBAB}"/>
    <hyperlink ref="C22" location="'Financial Statement Information'!C130" display="Statement of Cash Flows" xr:uid="{2752062C-D36D-408B-8CF8-E7355E1DA959}"/>
    <hyperlink ref="B26" location="DuPont!A1" display="DuPont" xr:uid="{4908E5F4-0396-40AF-B385-D7FD246D3768}"/>
    <hyperlink ref="B27" location="'Multiple Valuation'!A1" display="Multiple Valuation" xr:uid="{8BCF1689-4A7C-40A2-96C5-22A3A5A532EF}"/>
    <hyperlink ref="B28" location="'Floating Bars'!A1" display="Floating Bars" xr:uid="{B72CD081-77F1-41F9-922B-ED16E87D1D63}"/>
    <hyperlink ref="B29" location="'Crystal Ball Report'!A1" display="Crystal Ball Report" xr:uid="{3768F2A1-A462-4C8C-9014-B13BFB0A47C2}"/>
    <hyperlink ref="B25" location="'Ratio Analysis'!A1" display="Ratio Analysis" xr:uid="{95F76FF8-0BF1-4339-914D-D943DED5EEE7}"/>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68ADD-CFEB-4620-AE02-76B25D593DD1}">
  <dimension ref="A1:AO129"/>
  <sheetViews>
    <sheetView zoomScale="47" zoomScaleNormal="47" workbookViewId="0">
      <selection activeCell="L209" sqref="A209:L235"/>
    </sheetView>
  </sheetViews>
  <sheetFormatPr baseColWidth="10" defaultColWidth="9.1640625" defaultRowHeight="15"/>
  <cols>
    <col min="1" max="1" width="9.1640625" style="274"/>
    <col min="2" max="2" width="15.6640625" style="274" customWidth="1"/>
    <col min="3" max="3" width="27.6640625" style="274" customWidth="1"/>
    <col min="4" max="4" width="13" style="274" bestFit="1" customWidth="1"/>
    <col min="5" max="5" width="10.83203125" style="274" customWidth="1"/>
    <col min="6" max="6" width="11.33203125" style="274" bestFit="1" customWidth="1"/>
    <col min="7" max="9" width="9.1640625" style="274"/>
    <col min="10" max="10" width="16.83203125" style="274" customWidth="1"/>
    <col min="11" max="11" width="3.5" style="274" customWidth="1"/>
    <col min="12" max="12" width="9.1640625" style="274"/>
    <col min="13" max="13" width="17" style="274" customWidth="1"/>
    <col min="14" max="28" width="9.1640625" style="274"/>
    <col min="29" max="29" width="3.5" style="274" customWidth="1"/>
    <col min="30" max="39" width="9.1640625" style="274"/>
    <col min="40" max="40" width="15.5" style="274" customWidth="1"/>
    <col min="41" max="16384" width="9.1640625" style="274"/>
  </cols>
  <sheetData>
    <row r="1" spans="1:28" s="75" customFormat="1" ht="19">
      <c r="A1" s="273"/>
      <c r="C1" s="76" t="s">
        <v>268</v>
      </c>
    </row>
    <row r="2" spans="1:28" s="75" customFormat="1">
      <c r="C2" s="77" t="s">
        <v>261</v>
      </c>
    </row>
    <row r="3" spans="1:28" s="75" customFormat="1">
      <c r="C3" s="77" t="s">
        <v>561</v>
      </c>
    </row>
    <row r="4" spans="1:28" s="75" customFormat="1"/>
    <row r="6" spans="1:28">
      <c r="B6" s="58"/>
      <c r="C6" s="58"/>
      <c r="D6" s="58"/>
      <c r="E6" s="58"/>
      <c r="F6" s="58"/>
      <c r="G6" s="58"/>
      <c r="H6" s="58"/>
      <c r="I6" s="58"/>
      <c r="J6" s="58"/>
    </row>
    <row r="7" spans="1:28" ht="23.25" customHeight="1">
      <c r="B7" s="315" t="s">
        <v>472</v>
      </c>
      <c r="C7" s="311" t="str">
        <f>'Control Panel'!C57</f>
        <v>Sell</v>
      </c>
      <c r="D7" s="58"/>
      <c r="E7" s="58"/>
      <c r="F7" s="58"/>
      <c r="G7" s="58"/>
      <c r="H7" s="58"/>
      <c r="I7" s="58"/>
      <c r="J7" s="58"/>
    </row>
    <row r="8" spans="1:28" ht="15" customHeight="1">
      <c r="B8" s="58"/>
      <c r="C8" s="58"/>
      <c r="D8" s="58"/>
      <c r="E8" s="58"/>
      <c r="F8" s="58"/>
      <c r="G8" s="58"/>
      <c r="H8" s="58"/>
      <c r="I8" s="58"/>
      <c r="J8" s="58"/>
    </row>
    <row r="9" spans="1:28" ht="15" customHeight="1"/>
    <row r="10" spans="1:28" ht="15" customHeight="1">
      <c r="B10" s="74" t="s">
        <v>499</v>
      </c>
      <c r="C10" s="58"/>
      <c r="D10" s="443"/>
      <c r="E10" s="58"/>
      <c r="F10" s="58"/>
      <c r="G10" s="58"/>
      <c r="H10" s="58"/>
      <c r="I10" s="58"/>
      <c r="J10" s="58"/>
      <c r="L10" s="74" t="s">
        <v>546</v>
      </c>
      <c r="M10" s="58"/>
      <c r="N10" s="58"/>
      <c r="O10" s="58"/>
      <c r="P10" s="58"/>
      <c r="Q10" s="58"/>
      <c r="R10" s="58"/>
      <c r="S10" s="58"/>
      <c r="T10" s="58"/>
      <c r="U10" s="58"/>
      <c r="V10" s="58"/>
      <c r="W10" s="58"/>
      <c r="X10" s="58"/>
      <c r="Y10" s="58"/>
      <c r="Z10" s="58"/>
      <c r="AA10" s="58"/>
      <c r="AB10" s="58"/>
    </row>
    <row r="11" spans="1:28" ht="15" customHeight="1">
      <c r="B11" s="442" t="s">
        <v>369</v>
      </c>
      <c r="C11" s="440"/>
      <c r="D11" s="442" t="s">
        <v>546</v>
      </c>
      <c r="E11" s="58"/>
      <c r="F11" s="58"/>
      <c r="G11" s="58"/>
      <c r="H11" s="58"/>
      <c r="I11" s="58"/>
      <c r="J11" s="58"/>
      <c r="L11" s="58"/>
      <c r="M11" s="58"/>
      <c r="N11" s="58"/>
      <c r="O11" s="58"/>
      <c r="P11" s="58"/>
      <c r="Q11" s="58"/>
      <c r="R11" s="58"/>
      <c r="S11" s="58"/>
      <c r="T11" s="58"/>
      <c r="U11" s="58"/>
      <c r="V11" s="58"/>
      <c r="W11" s="58"/>
      <c r="X11" s="58"/>
      <c r="Y11" s="58"/>
      <c r="Z11" s="58"/>
      <c r="AA11" s="58"/>
      <c r="AB11" s="58"/>
    </row>
    <row r="12" spans="1:28" ht="15" customHeight="1">
      <c r="B12" s="443"/>
      <c r="C12" s="441" t="s">
        <v>580</v>
      </c>
      <c r="D12" s="442" t="s">
        <v>583</v>
      </c>
      <c r="E12" s="58"/>
      <c r="F12" s="58"/>
      <c r="G12" s="58"/>
      <c r="H12" s="58"/>
      <c r="I12" s="58"/>
      <c r="J12" s="58"/>
      <c r="L12" s="74" t="s">
        <v>255</v>
      </c>
      <c r="M12" s="58"/>
      <c r="N12" s="58"/>
      <c r="O12" s="58"/>
      <c r="P12" s="58"/>
      <c r="Q12" s="58"/>
      <c r="R12" s="58"/>
      <c r="S12" s="58"/>
      <c r="T12" s="58"/>
      <c r="U12" s="58"/>
      <c r="V12" s="58"/>
      <c r="W12" s="58"/>
      <c r="X12" s="58"/>
      <c r="Y12" s="58"/>
      <c r="Z12" s="58"/>
      <c r="AA12" s="58"/>
      <c r="AB12" s="58"/>
    </row>
    <row r="13" spans="1:28" ht="15" customHeight="1">
      <c r="B13" s="443"/>
      <c r="C13" s="441" t="s">
        <v>581</v>
      </c>
      <c r="D13" s="442" t="s">
        <v>576</v>
      </c>
      <c r="E13" s="58"/>
      <c r="F13" s="58"/>
      <c r="G13" s="58"/>
      <c r="H13" s="58"/>
      <c r="I13" s="58"/>
      <c r="J13" s="58"/>
      <c r="L13" s="58"/>
      <c r="M13" s="58"/>
      <c r="N13" s="58"/>
      <c r="O13" s="58"/>
      <c r="P13" s="58"/>
      <c r="Q13" s="58"/>
      <c r="R13" s="58"/>
      <c r="S13" s="58"/>
      <c r="T13" s="58"/>
      <c r="U13" s="58"/>
      <c r="V13" s="58"/>
      <c r="W13" s="58"/>
      <c r="X13" s="58"/>
      <c r="Y13" s="58"/>
      <c r="Z13" s="58"/>
      <c r="AA13" s="58"/>
      <c r="AB13" s="58"/>
    </row>
    <row r="14" spans="1:28" ht="15" customHeight="1">
      <c r="B14" s="443"/>
      <c r="C14" s="441" t="s">
        <v>582</v>
      </c>
      <c r="D14" s="442" t="s">
        <v>577</v>
      </c>
      <c r="E14" s="58"/>
      <c r="F14" s="58"/>
      <c r="G14" s="58"/>
      <c r="H14" s="58"/>
      <c r="I14" s="58"/>
      <c r="J14" s="58"/>
      <c r="L14" s="58"/>
      <c r="M14" s="58"/>
      <c r="N14" s="58"/>
      <c r="O14" s="58"/>
      <c r="P14" s="58"/>
      <c r="Q14" s="58"/>
      <c r="R14" s="58"/>
      <c r="S14" s="58"/>
      <c r="T14" s="58"/>
      <c r="U14" s="58"/>
      <c r="V14" s="58"/>
      <c r="W14" s="58"/>
      <c r="X14" s="58"/>
      <c r="Y14" s="58"/>
      <c r="Z14" s="58"/>
      <c r="AA14" s="58"/>
      <c r="AB14" s="58"/>
    </row>
    <row r="15" spans="1:28" ht="15" customHeight="1">
      <c r="B15" s="442" t="s">
        <v>544</v>
      </c>
      <c r="C15" s="58"/>
      <c r="D15" s="58"/>
      <c r="E15" s="58"/>
      <c r="F15" s="58"/>
      <c r="G15" s="58"/>
      <c r="H15" s="58"/>
      <c r="I15" s="58"/>
      <c r="J15" s="58"/>
      <c r="L15" s="58"/>
      <c r="M15" s="58"/>
      <c r="N15" s="58"/>
      <c r="O15" s="58"/>
      <c r="P15" s="58"/>
      <c r="Q15" s="58"/>
      <c r="R15" s="58"/>
      <c r="S15" s="58"/>
      <c r="T15" s="58"/>
      <c r="U15" s="58"/>
      <c r="V15" s="58"/>
      <c r="W15" s="58"/>
      <c r="X15" s="58"/>
      <c r="Y15" s="58"/>
      <c r="Z15" s="58"/>
      <c r="AA15" s="58"/>
      <c r="AB15" s="58"/>
    </row>
    <row r="16" spans="1:28" ht="15" customHeight="1">
      <c r="B16" s="442" t="s">
        <v>545</v>
      </c>
      <c r="C16" s="58"/>
      <c r="D16" s="58"/>
      <c r="E16" s="58"/>
      <c r="F16" s="58"/>
      <c r="G16" s="58"/>
      <c r="H16" s="58"/>
      <c r="I16" s="58"/>
      <c r="J16" s="58"/>
      <c r="L16" s="58"/>
      <c r="M16" s="58"/>
      <c r="N16" s="58"/>
      <c r="O16" s="58"/>
      <c r="P16" s="58"/>
      <c r="Q16" s="58"/>
      <c r="R16" s="58"/>
      <c r="S16" s="58"/>
      <c r="T16" s="58"/>
      <c r="U16" s="58"/>
      <c r="V16" s="58"/>
      <c r="W16" s="58"/>
      <c r="X16" s="58"/>
      <c r="Y16" s="58"/>
      <c r="Z16" s="58"/>
      <c r="AA16" s="58"/>
      <c r="AB16" s="58"/>
    </row>
    <row r="17" spans="2:28" ht="15" customHeight="1">
      <c r="L17" s="58"/>
      <c r="M17" s="58"/>
      <c r="N17" s="58"/>
      <c r="O17" s="58"/>
      <c r="P17" s="58"/>
      <c r="Q17" s="58"/>
      <c r="R17" s="58"/>
      <c r="S17" s="58"/>
      <c r="T17" s="58"/>
      <c r="U17" s="58"/>
      <c r="V17" s="58"/>
      <c r="W17" s="58"/>
      <c r="X17" s="58"/>
      <c r="Y17" s="58"/>
      <c r="Z17" s="58"/>
      <c r="AA17" s="58"/>
      <c r="AB17" s="58"/>
    </row>
    <row r="18" spans="2:28" ht="15" customHeight="1">
      <c r="B18" s="58" t="s">
        <v>497</v>
      </c>
      <c r="C18" s="58"/>
      <c r="D18" s="58"/>
      <c r="E18" s="58"/>
      <c r="F18" s="58"/>
      <c r="G18" s="58"/>
      <c r="H18" s="58"/>
      <c r="I18" s="58"/>
      <c r="J18" s="58"/>
      <c r="L18" s="58"/>
      <c r="M18" s="58"/>
      <c r="N18" s="58"/>
      <c r="O18" s="58"/>
      <c r="P18" s="58"/>
      <c r="Q18" s="58"/>
      <c r="R18" s="58"/>
      <c r="S18" s="58"/>
      <c r="T18" s="58"/>
      <c r="U18" s="58"/>
      <c r="V18" s="58"/>
      <c r="W18" s="58"/>
      <c r="X18" s="58"/>
      <c r="Y18" s="58"/>
      <c r="Z18" s="58"/>
      <c r="AA18" s="58"/>
      <c r="AB18" s="58"/>
    </row>
    <row r="19" spans="2:28" ht="15" customHeight="1">
      <c r="B19" s="316"/>
      <c r="C19" s="58"/>
      <c r="D19" s="58"/>
      <c r="E19" s="58"/>
      <c r="F19" s="58"/>
      <c r="G19" s="58"/>
      <c r="H19" s="58"/>
      <c r="I19" s="58"/>
      <c r="J19" s="58"/>
      <c r="L19" s="58"/>
      <c r="M19" s="58"/>
      <c r="N19" s="58"/>
      <c r="O19" s="58"/>
      <c r="P19" s="58"/>
      <c r="Q19" s="58"/>
      <c r="R19" s="58"/>
      <c r="S19" s="58"/>
      <c r="T19" s="58"/>
      <c r="U19" s="58"/>
      <c r="V19" s="58"/>
      <c r="W19" s="58"/>
      <c r="X19" s="58"/>
      <c r="Y19" s="58"/>
      <c r="Z19" s="58"/>
      <c r="AA19" s="58"/>
      <c r="AB19" s="58"/>
    </row>
    <row r="20" spans="2:28" ht="15" customHeight="1">
      <c r="B20" s="74" t="s">
        <v>572</v>
      </c>
      <c r="C20" s="58"/>
      <c r="D20" s="58"/>
      <c r="E20" s="58"/>
      <c r="F20" s="58"/>
      <c r="G20" s="58"/>
      <c r="H20" s="58"/>
      <c r="I20" s="58"/>
      <c r="J20" s="58"/>
      <c r="L20" s="58"/>
      <c r="M20" s="58"/>
      <c r="N20" s="58"/>
      <c r="O20" s="58"/>
      <c r="P20" s="58"/>
      <c r="Q20" s="58"/>
      <c r="R20" s="58"/>
      <c r="S20" s="58"/>
      <c r="T20" s="58"/>
      <c r="U20" s="58"/>
      <c r="V20" s="58"/>
      <c r="W20" s="58"/>
      <c r="X20" s="58"/>
      <c r="Y20" s="58"/>
      <c r="Z20" s="58"/>
      <c r="AA20" s="58"/>
      <c r="AB20" s="58"/>
    </row>
    <row r="21" spans="2:28" ht="15" customHeight="1">
      <c r="B21" s="58" t="s">
        <v>474</v>
      </c>
      <c r="C21" s="58"/>
      <c r="D21" s="58"/>
      <c r="E21" s="58"/>
      <c r="F21" s="58"/>
      <c r="G21" s="58"/>
      <c r="H21" s="58"/>
      <c r="I21" s="58"/>
      <c r="J21" s="58"/>
      <c r="L21" s="58"/>
      <c r="M21" s="58"/>
      <c r="N21" s="58"/>
      <c r="O21" s="58"/>
      <c r="P21" s="58"/>
      <c r="Q21" s="58"/>
      <c r="R21" s="58"/>
      <c r="S21" s="58"/>
      <c r="T21" s="58"/>
      <c r="U21" s="58"/>
      <c r="V21" s="58"/>
      <c r="W21" s="58"/>
      <c r="X21" s="58"/>
      <c r="Y21" s="58"/>
      <c r="Z21" s="58"/>
      <c r="AA21" s="58"/>
      <c r="AB21" s="58"/>
    </row>
    <row r="22" spans="2:28" ht="15" customHeight="1">
      <c r="B22" s="58" t="s">
        <v>475</v>
      </c>
      <c r="C22" s="58"/>
      <c r="D22" s="58"/>
      <c r="E22" s="58"/>
      <c r="F22" s="58"/>
      <c r="G22" s="58"/>
      <c r="H22" s="58"/>
      <c r="I22" s="58"/>
      <c r="J22" s="58"/>
      <c r="L22" s="58"/>
      <c r="M22" s="58"/>
      <c r="N22" s="58"/>
      <c r="O22" s="58"/>
      <c r="P22" s="58"/>
      <c r="Q22" s="58"/>
      <c r="R22" s="58"/>
      <c r="S22" s="58"/>
      <c r="T22" s="58"/>
      <c r="U22" s="58"/>
      <c r="V22" s="58"/>
      <c r="W22" s="58"/>
      <c r="X22" s="58"/>
      <c r="Y22" s="58"/>
      <c r="Z22" s="58"/>
      <c r="AA22" s="58"/>
      <c r="AB22" s="58"/>
    </row>
    <row r="23" spans="2:28" ht="15" customHeight="1">
      <c r="B23" s="58" t="s">
        <v>476</v>
      </c>
      <c r="C23" s="58"/>
      <c r="D23" s="58"/>
      <c r="E23" s="58"/>
      <c r="F23" s="58"/>
      <c r="G23" s="58"/>
      <c r="H23" s="58"/>
      <c r="I23" s="58"/>
      <c r="J23" s="58"/>
      <c r="L23" s="58"/>
      <c r="M23" s="58"/>
      <c r="N23" s="58"/>
      <c r="O23" s="58"/>
      <c r="P23" s="58"/>
      <c r="Q23" s="58"/>
      <c r="R23" s="58"/>
      <c r="S23" s="58"/>
      <c r="T23" s="58"/>
      <c r="U23" s="58"/>
      <c r="V23" s="58"/>
      <c r="W23" s="58"/>
      <c r="X23" s="58"/>
      <c r="Y23" s="58"/>
      <c r="Z23" s="58"/>
      <c r="AA23" s="58"/>
      <c r="AB23" s="58"/>
    </row>
    <row r="24" spans="2:28" ht="15" customHeight="1">
      <c r="B24" s="58" t="s">
        <v>477</v>
      </c>
      <c r="C24" s="58"/>
      <c r="D24" s="58"/>
      <c r="E24" s="58"/>
      <c r="F24" s="58"/>
      <c r="G24" s="58"/>
      <c r="H24" s="58"/>
      <c r="I24" s="58"/>
      <c r="J24" s="58"/>
      <c r="L24" s="58"/>
      <c r="M24" s="58"/>
      <c r="N24" s="58"/>
      <c r="O24" s="58"/>
      <c r="P24" s="58"/>
      <c r="Q24" s="58"/>
      <c r="R24" s="58"/>
      <c r="S24" s="58"/>
      <c r="T24" s="58"/>
      <c r="U24" s="58"/>
      <c r="V24" s="58"/>
      <c r="W24" s="58"/>
      <c r="X24" s="58"/>
      <c r="Y24" s="58"/>
      <c r="Z24" s="58"/>
      <c r="AA24" s="58"/>
      <c r="AB24" s="58"/>
    </row>
    <row r="25" spans="2:28">
      <c r="B25" s="58" t="s">
        <v>478</v>
      </c>
      <c r="C25" s="58"/>
      <c r="D25" s="58"/>
      <c r="E25" s="58"/>
      <c r="F25" s="58"/>
      <c r="G25" s="58"/>
      <c r="H25" s="58"/>
      <c r="I25" s="58"/>
      <c r="J25" s="58"/>
      <c r="L25" s="58"/>
      <c r="M25" s="58"/>
      <c r="N25" s="58"/>
      <c r="O25" s="58"/>
      <c r="P25" s="58"/>
      <c r="Q25" s="58"/>
      <c r="R25" s="58"/>
      <c r="S25" s="58"/>
      <c r="T25" s="58"/>
      <c r="U25" s="58"/>
      <c r="V25" s="58"/>
      <c r="W25" s="58"/>
      <c r="X25" s="58"/>
      <c r="Y25" s="58"/>
      <c r="Z25" s="58"/>
      <c r="AA25" s="58"/>
      <c r="AB25" s="58"/>
    </row>
    <row r="26" spans="2:28">
      <c r="B26" s="58" t="s">
        <v>479</v>
      </c>
      <c r="C26" s="58"/>
      <c r="D26" s="58"/>
      <c r="E26" s="58"/>
      <c r="F26" s="58"/>
      <c r="G26" s="58"/>
      <c r="H26" s="58"/>
      <c r="I26" s="58"/>
      <c r="J26" s="58"/>
      <c r="L26" s="58"/>
      <c r="M26" s="58"/>
      <c r="N26" s="58"/>
      <c r="O26" s="58"/>
      <c r="P26" s="58"/>
      <c r="Q26" s="58"/>
      <c r="R26" s="58"/>
      <c r="S26" s="58"/>
      <c r="T26" s="58"/>
      <c r="U26" s="58"/>
      <c r="V26" s="58"/>
      <c r="W26" s="58"/>
      <c r="X26" s="58"/>
      <c r="Y26" s="58"/>
      <c r="Z26" s="58"/>
      <c r="AA26" s="58"/>
      <c r="AB26" s="58"/>
    </row>
    <row r="27" spans="2:28">
      <c r="B27" s="58" t="s">
        <v>480</v>
      </c>
      <c r="C27" s="58"/>
      <c r="D27" s="58"/>
      <c r="E27" s="58"/>
      <c r="F27" s="58"/>
      <c r="G27" s="58"/>
      <c r="H27" s="58"/>
      <c r="I27" s="58"/>
      <c r="J27" s="58"/>
      <c r="L27" s="58"/>
      <c r="M27" s="58"/>
      <c r="N27" s="58"/>
      <c r="O27" s="58"/>
      <c r="P27" s="58"/>
      <c r="Q27" s="58"/>
      <c r="R27" s="58"/>
      <c r="S27" s="58"/>
      <c r="T27" s="58"/>
      <c r="U27" s="58"/>
      <c r="V27" s="58"/>
      <c r="W27" s="58"/>
      <c r="X27" s="58"/>
      <c r="Y27" s="58"/>
      <c r="Z27" s="58"/>
      <c r="AA27" s="58"/>
      <c r="AB27" s="58"/>
    </row>
    <row r="28" spans="2:28">
      <c r="B28" s="58"/>
      <c r="C28" s="58"/>
      <c r="D28" s="58"/>
      <c r="E28" s="58"/>
      <c r="F28" s="58"/>
      <c r="G28" s="58"/>
      <c r="H28" s="58"/>
      <c r="I28" s="58"/>
      <c r="J28" s="58"/>
      <c r="L28" s="58"/>
      <c r="M28" s="58"/>
      <c r="N28" s="58"/>
      <c r="O28" s="58"/>
      <c r="P28" s="58"/>
      <c r="Q28" s="58"/>
      <c r="R28" s="58"/>
      <c r="S28" s="58"/>
      <c r="T28" s="58"/>
      <c r="U28" s="58"/>
      <c r="V28" s="58"/>
      <c r="W28" s="58"/>
      <c r="X28" s="58"/>
      <c r="Y28" s="58"/>
      <c r="Z28" s="58"/>
      <c r="AA28" s="58"/>
      <c r="AB28" s="58"/>
    </row>
    <row r="29" spans="2:28">
      <c r="B29" s="74" t="s">
        <v>573</v>
      </c>
      <c r="C29" s="74"/>
      <c r="D29" s="58"/>
      <c r="E29" s="58"/>
      <c r="F29" s="58"/>
      <c r="G29" s="58"/>
      <c r="H29" s="58"/>
      <c r="I29" s="58"/>
      <c r="J29" s="58"/>
      <c r="L29" s="58"/>
      <c r="M29" s="58"/>
      <c r="N29" s="58"/>
      <c r="O29" s="58"/>
      <c r="P29" s="58"/>
      <c r="Q29" s="58"/>
      <c r="R29" s="58"/>
      <c r="S29" s="58"/>
      <c r="T29" s="58"/>
      <c r="U29" s="58"/>
      <c r="V29" s="58"/>
      <c r="W29" s="58"/>
      <c r="X29" s="58"/>
      <c r="Y29" s="58"/>
      <c r="Z29" s="58"/>
      <c r="AA29" s="58"/>
      <c r="AB29" s="58"/>
    </row>
    <row r="30" spans="2:28">
      <c r="B30" s="317" t="s">
        <v>481</v>
      </c>
      <c r="C30" s="58"/>
      <c r="D30" s="58"/>
      <c r="E30" s="58"/>
      <c r="F30" s="58"/>
      <c r="G30" s="58"/>
      <c r="H30" s="58"/>
      <c r="I30" s="58"/>
      <c r="J30" s="58"/>
      <c r="L30" s="58"/>
      <c r="M30" s="58"/>
      <c r="N30" s="58"/>
      <c r="O30" s="58"/>
      <c r="P30" s="58"/>
      <c r="Q30" s="58"/>
      <c r="R30" s="58"/>
      <c r="S30" s="58"/>
      <c r="T30" s="58"/>
      <c r="U30" s="58"/>
      <c r="V30" s="58"/>
      <c r="W30" s="58"/>
      <c r="X30" s="58"/>
      <c r="Y30" s="58"/>
      <c r="Z30" s="58"/>
      <c r="AA30" s="58"/>
      <c r="AB30" s="58"/>
    </row>
    <row r="31" spans="2:28">
      <c r="B31" s="317" t="s">
        <v>484</v>
      </c>
      <c r="C31" s="58"/>
      <c r="D31" s="58"/>
      <c r="E31" s="58"/>
      <c r="F31" s="58"/>
      <c r="G31" s="58"/>
      <c r="H31" s="58"/>
      <c r="I31" s="58"/>
      <c r="J31" s="58"/>
      <c r="L31" s="58"/>
      <c r="M31" s="58"/>
      <c r="N31" s="58"/>
      <c r="O31" s="58"/>
      <c r="P31" s="58"/>
      <c r="Q31" s="58"/>
      <c r="R31" s="58"/>
      <c r="S31" s="58"/>
      <c r="T31" s="58"/>
      <c r="U31" s="58"/>
      <c r="V31" s="58"/>
      <c r="W31" s="58"/>
      <c r="X31" s="58"/>
      <c r="Y31" s="58"/>
      <c r="Z31" s="58"/>
      <c r="AA31" s="58"/>
      <c r="AB31" s="58"/>
    </row>
    <row r="32" spans="2:28">
      <c r="B32" s="317" t="s">
        <v>483</v>
      </c>
      <c r="C32" s="58"/>
      <c r="D32" s="58"/>
      <c r="E32" s="58"/>
      <c r="F32" s="58"/>
      <c r="G32" s="58"/>
      <c r="H32" s="58"/>
      <c r="I32" s="58"/>
      <c r="J32" s="58"/>
      <c r="L32" s="58"/>
      <c r="M32" s="58"/>
      <c r="N32" s="58"/>
      <c r="O32" s="58"/>
      <c r="P32" s="58"/>
      <c r="Q32" s="58"/>
      <c r="R32" s="58"/>
      <c r="S32" s="58"/>
      <c r="T32" s="58"/>
      <c r="U32" s="58"/>
      <c r="V32" s="58"/>
      <c r="W32" s="58"/>
      <c r="X32" s="58"/>
      <c r="Y32" s="58"/>
      <c r="Z32" s="58"/>
      <c r="AA32" s="58"/>
      <c r="AB32" s="58"/>
    </row>
    <row r="33" spans="2:28">
      <c r="B33" s="317" t="s">
        <v>491</v>
      </c>
      <c r="C33" s="58"/>
      <c r="D33" s="58"/>
      <c r="E33" s="58"/>
      <c r="F33" s="58"/>
      <c r="G33" s="58"/>
      <c r="H33" s="58"/>
      <c r="I33" s="58"/>
      <c r="J33" s="58"/>
      <c r="L33" s="58"/>
      <c r="M33" s="58"/>
      <c r="N33" s="58"/>
      <c r="O33" s="58"/>
      <c r="P33" s="58"/>
      <c r="Q33" s="58"/>
      <c r="R33" s="58"/>
      <c r="S33" s="58"/>
      <c r="T33" s="58"/>
      <c r="U33" s="58"/>
      <c r="V33" s="58"/>
      <c r="W33" s="58"/>
      <c r="X33" s="58"/>
      <c r="Y33" s="58"/>
      <c r="Z33" s="58"/>
      <c r="AA33" s="58"/>
      <c r="AB33" s="58"/>
    </row>
    <row r="34" spans="2:28">
      <c r="B34" s="317" t="s">
        <v>482</v>
      </c>
      <c r="C34" s="58"/>
      <c r="D34" s="58"/>
      <c r="E34" s="58"/>
      <c r="F34" s="58"/>
      <c r="G34" s="58"/>
      <c r="H34" s="58"/>
      <c r="I34" s="58"/>
      <c r="J34" s="58"/>
      <c r="L34" s="58"/>
      <c r="M34" s="58"/>
      <c r="N34" s="58"/>
      <c r="O34" s="58"/>
      <c r="P34" s="58"/>
      <c r="Q34" s="58"/>
      <c r="R34" s="58"/>
      <c r="S34" s="58"/>
      <c r="T34" s="58"/>
      <c r="U34" s="58"/>
      <c r="V34" s="58"/>
      <c r="W34" s="58"/>
      <c r="X34" s="58"/>
      <c r="Y34" s="58"/>
      <c r="Z34" s="58"/>
      <c r="AA34" s="58"/>
      <c r="AB34" s="58"/>
    </row>
    <row r="35" spans="2:28">
      <c r="B35" s="317" t="s">
        <v>485</v>
      </c>
      <c r="C35" s="58"/>
      <c r="D35" s="58"/>
      <c r="E35" s="58"/>
      <c r="F35" s="58"/>
      <c r="G35" s="58"/>
      <c r="H35" s="58"/>
      <c r="I35" s="58"/>
      <c r="J35" s="58"/>
      <c r="L35" s="58"/>
      <c r="M35" s="58"/>
      <c r="N35" s="58"/>
      <c r="O35" s="58"/>
      <c r="P35" s="58"/>
      <c r="Q35" s="58"/>
      <c r="R35" s="58"/>
      <c r="S35" s="58"/>
      <c r="T35" s="58"/>
      <c r="U35" s="58"/>
      <c r="V35" s="58"/>
      <c r="W35" s="58"/>
      <c r="X35" s="58"/>
      <c r="Y35" s="58"/>
      <c r="Z35" s="58"/>
      <c r="AA35" s="58"/>
      <c r="AB35" s="58"/>
    </row>
    <row r="36" spans="2:28">
      <c r="B36" s="317" t="s">
        <v>486</v>
      </c>
      <c r="C36" s="58"/>
      <c r="D36" s="58"/>
      <c r="E36" s="58"/>
      <c r="F36" s="58"/>
      <c r="G36" s="58"/>
      <c r="H36" s="58"/>
      <c r="I36" s="58"/>
      <c r="J36" s="58"/>
      <c r="L36" s="58"/>
      <c r="M36" s="58"/>
      <c r="N36" s="58"/>
      <c r="O36" s="58"/>
      <c r="P36" s="58"/>
      <c r="Q36" s="58"/>
      <c r="R36" s="58"/>
      <c r="S36" s="58"/>
      <c r="T36" s="58"/>
      <c r="U36" s="58"/>
      <c r="V36" s="58"/>
      <c r="W36" s="58"/>
      <c r="X36" s="58"/>
      <c r="Y36" s="58"/>
      <c r="Z36" s="58"/>
      <c r="AA36" s="58"/>
      <c r="AB36" s="58"/>
    </row>
    <row r="37" spans="2:28">
      <c r="B37" s="317" t="s">
        <v>487</v>
      </c>
      <c r="C37" s="58"/>
      <c r="D37" s="58"/>
      <c r="E37" s="58"/>
      <c r="F37" s="58"/>
      <c r="G37" s="58"/>
      <c r="H37" s="58"/>
      <c r="I37" s="58"/>
      <c r="J37" s="58"/>
      <c r="L37" s="58"/>
      <c r="M37" s="58"/>
      <c r="N37" s="58"/>
      <c r="O37" s="58"/>
      <c r="P37" s="58"/>
      <c r="Q37" s="58"/>
      <c r="R37" s="58"/>
      <c r="S37" s="58"/>
      <c r="T37" s="58"/>
      <c r="U37" s="58"/>
      <c r="V37" s="58"/>
      <c r="W37" s="58"/>
      <c r="X37" s="58"/>
      <c r="Y37" s="58"/>
      <c r="Z37" s="58"/>
      <c r="AA37" s="58"/>
      <c r="AB37" s="58"/>
    </row>
    <row r="38" spans="2:28">
      <c r="B38" s="317" t="s">
        <v>488</v>
      </c>
      <c r="C38" s="58"/>
      <c r="D38" s="58"/>
      <c r="E38" s="58"/>
      <c r="F38" s="58"/>
      <c r="G38" s="58"/>
      <c r="H38" s="58"/>
      <c r="I38" s="58"/>
      <c r="J38" s="58"/>
      <c r="L38" s="58"/>
      <c r="M38" s="58"/>
      <c r="N38" s="58"/>
      <c r="O38" s="58"/>
      <c r="P38" s="58"/>
      <c r="Q38" s="58"/>
      <c r="R38" s="58"/>
      <c r="S38" s="58"/>
      <c r="T38" s="58"/>
      <c r="U38" s="58"/>
      <c r="V38" s="58"/>
      <c r="W38" s="58"/>
      <c r="X38" s="58"/>
      <c r="Y38" s="58"/>
      <c r="Z38" s="58"/>
      <c r="AA38" s="58"/>
      <c r="AB38" s="58"/>
    </row>
    <row r="39" spans="2:28">
      <c r="B39" s="317" t="s">
        <v>489</v>
      </c>
      <c r="C39" s="58"/>
      <c r="D39" s="58"/>
      <c r="E39" s="58"/>
      <c r="F39" s="58"/>
      <c r="G39" s="58"/>
      <c r="H39" s="58"/>
      <c r="I39" s="58"/>
      <c r="J39" s="58"/>
      <c r="L39" s="58"/>
      <c r="M39" s="58"/>
      <c r="N39" s="58"/>
      <c r="O39" s="58"/>
      <c r="P39" s="58"/>
      <c r="Q39" s="58"/>
      <c r="R39" s="58"/>
      <c r="S39" s="58"/>
      <c r="T39" s="58"/>
      <c r="U39" s="58"/>
      <c r="V39" s="58"/>
      <c r="W39" s="58"/>
      <c r="X39" s="58"/>
      <c r="Y39" s="58"/>
      <c r="Z39" s="58"/>
      <c r="AA39" s="58"/>
      <c r="AB39" s="58"/>
    </row>
    <row r="40" spans="2:28">
      <c r="B40" s="317" t="s">
        <v>490</v>
      </c>
      <c r="C40" s="58"/>
      <c r="D40" s="58"/>
      <c r="E40" s="58"/>
      <c r="F40" s="58"/>
      <c r="G40" s="58"/>
      <c r="H40" s="58"/>
      <c r="I40" s="58"/>
      <c r="J40" s="58"/>
      <c r="L40" s="58"/>
      <c r="M40" s="58"/>
      <c r="N40" s="58"/>
      <c r="O40" s="58"/>
      <c r="P40" s="58"/>
      <c r="Q40" s="58"/>
      <c r="R40" s="58"/>
      <c r="S40" s="58"/>
      <c r="T40" s="58"/>
      <c r="U40" s="58"/>
      <c r="V40" s="58"/>
      <c r="W40" s="58"/>
      <c r="X40" s="58"/>
      <c r="Y40" s="58"/>
      <c r="Z40" s="58"/>
      <c r="AA40" s="58"/>
      <c r="AB40" s="58"/>
    </row>
    <row r="41" spans="2:28">
      <c r="B41" s="317" t="s">
        <v>492</v>
      </c>
      <c r="C41" s="58"/>
      <c r="D41" s="58"/>
      <c r="E41" s="58"/>
      <c r="F41" s="58"/>
      <c r="G41" s="58"/>
      <c r="H41" s="58"/>
      <c r="I41" s="58"/>
      <c r="J41" s="58"/>
      <c r="L41" s="58"/>
      <c r="M41" s="58"/>
      <c r="N41" s="58"/>
      <c r="O41" s="58"/>
      <c r="P41" s="58"/>
      <c r="Q41" s="58"/>
      <c r="R41" s="58"/>
      <c r="S41" s="58"/>
      <c r="T41" s="58"/>
      <c r="U41" s="58"/>
      <c r="V41" s="58"/>
      <c r="W41" s="58"/>
      <c r="X41" s="58"/>
      <c r="Y41" s="58"/>
      <c r="Z41" s="58"/>
      <c r="AA41" s="58"/>
      <c r="AB41" s="58"/>
    </row>
    <row r="42" spans="2:28">
      <c r="B42" s="317" t="s">
        <v>493</v>
      </c>
      <c r="C42" s="58"/>
      <c r="D42" s="58"/>
      <c r="E42" s="58"/>
      <c r="F42" s="58"/>
      <c r="G42" s="58"/>
      <c r="H42" s="58"/>
      <c r="I42" s="58"/>
      <c r="J42" s="58"/>
      <c r="L42" s="58"/>
      <c r="M42" s="58"/>
      <c r="N42" s="58"/>
      <c r="O42" s="58"/>
      <c r="P42" s="58"/>
      <c r="Q42" s="58"/>
      <c r="R42" s="58"/>
      <c r="S42" s="58"/>
      <c r="T42" s="58"/>
      <c r="U42" s="58"/>
      <c r="V42" s="58"/>
      <c r="W42" s="58"/>
      <c r="X42" s="58"/>
      <c r="Y42" s="58"/>
      <c r="Z42" s="58"/>
      <c r="AA42" s="58"/>
      <c r="AB42" s="58"/>
    </row>
    <row r="43" spans="2:28">
      <c r="B43" s="317" t="s">
        <v>494</v>
      </c>
      <c r="C43" s="58"/>
      <c r="D43" s="58"/>
      <c r="E43" s="58"/>
      <c r="F43" s="58"/>
      <c r="G43" s="58"/>
      <c r="H43" s="58"/>
      <c r="I43" s="58"/>
      <c r="J43" s="58"/>
      <c r="L43" s="58"/>
      <c r="M43" s="58"/>
      <c r="N43" s="58"/>
      <c r="O43" s="58"/>
      <c r="P43" s="58"/>
      <c r="Q43" s="58"/>
      <c r="R43" s="58"/>
      <c r="S43" s="58"/>
      <c r="T43" s="58"/>
      <c r="U43" s="58"/>
      <c r="V43" s="58"/>
      <c r="W43" s="58"/>
      <c r="X43" s="58"/>
      <c r="Y43" s="58"/>
      <c r="Z43" s="58"/>
      <c r="AA43" s="58"/>
      <c r="AB43" s="58"/>
    </row>
    <row r="44" spans="2:28">
      <c r="B44" s="317" t="s">
        <v>495</v>
      </c>
      <c r="C44" s="58"/>
      <c r="D44" s="58"/>
      <c r="E44" s="58"/>
      <c r="F44" s="58"/>
      <c r="G44" s="58"/>
      <c r="H44" s="58"/>
      <c r="I44" s="58"/>
      <c r="J44" s="58"/>
      <c r="L44" s="58"/>
      <c r="M44" s="58"/>
      <c r="N44" s="58"/>
      <c r="O44" s="58"/>
      <c r="P44" s="58"/>
      <c r="Q44" s="58"/>
      <c r="R44" s="58"/>
      <c r="S44" s="58"/>
      <c r="T44" s="58"/>
      <c r="U44" s="58"/>
      <c r="V44" s="58"/>
      <c r="W44" s="58"/>
      <c r="X44" s="58"/>
      <c r="Y44" s="58"/>
      <c r="Z44" s="58"/>
      <c r="AA44" s="58"/>
      <c r="AB44" s="58"/>
    </row>
    <row r="45" spans="2:28">
      <c r="B45" s="318" t="s">
        <v>496</v>
      </c>
      <c r="C45" s="58"/>
      <c r="D45" s="58"/>
      <c r="E45" s="58"/>
      <c r="F45" s="58"/>
      <c r="G45" s="58"/>
      <c r="H45" s="58"/>
      <c r="I45" s="58"/>
      <c r="J45" s="58"/>
      <c r="L45" s="58"/>
      <c r="M45" s="58"/>
      <c r="N45" s="58"/>
      <c r="O45" s="58"/>
      <c r="P45" s="58"/>
      <c r="Q45" s="58"/>
      <c r="R45" s="58"/>
      <c r="S45" s="58"/>
      <c r="T45" s="58"/>
      <c r="U45" s="58"/>
      <c r="V45" s="58"/>
      <c r="W45" s="58"/>
      <c r="X45" s="58"/>
      <c r="Y45" s="58"/>
      <c r="Z45" s="58"/>
      <c r="AA45" s="58"/>
      <c r="AB45" s="58"/>
    </row>
    <row r="46" spans="2:28">
      <c r="B46" s="58"/>
      <c r="C46" s="58"/>
      <c r="D46" s="58"/>
      <c r="E46" s="58"/>
      <c r="F46" s="58"/>
      <c r="G46" s="58"/>
      <c r="H46" s="58"/>
      <c r="I46" s="58"/>
      <c r="J46" s="58"/>
      <c r="L46" s="58"/>
      <c r="M46" s="58"/>
      <c r="N46" s="58"/>
      <c r="O46" s="58"/>
      <c r="P46" s="58"/>
      <c r="Q46" s="58"/>
      <c r="R46" s="58"/>
      <c r="S46" s="58"/>
      <c r="T46" s="58"/>
      <c r="U46" s="58"/>
      <c r="V46" s="58"/>
      <c r="W46" s="58"/>
      <c r="X46" s="58"/>
      <c r="Y46" s="58"/>
      <c r="Z46" s="58"/>
      <c r="AA46" s="58"/>
      <c r="AB46" s="58"/>
    </row>
    <row r="47" spans="2:28">
      <c r="B47" s="321" t="s">
        <v>498</v>
      </c>
      <c r="C47" s="58"/>
      <c r="D47" s="58"/>
      <c r="E47" s="58"/>
      <c r="F47" s="58"/>
      <c r="G47" s="58"/>
      <c r="H47" s="58"/>
      <c r="I47" s="58"/>
      <c r="J47" s="58"/>
      <c r="L47" s="58"/>
      <c r="M47" s="58"/>
      <c r="N47" s="58"/>
      <c r="O47" s="58"/>
      <c r="P47" s="58"/>
      <c r="Q47" s="58"/>
      <c r="R47" s="58"/>
      <c r="S47" s="58"/>
      <c r="T47" s="58"/>
      <c r="U47" s="58"/>
      <c r="V47" s="58"/>
      <c r="W47" s="58"/>
      <c r="X47" s="58"/>
      <c r="Y47" s="58"/>
      <c r="Z47" s="58"/>
      <c r="AA47" s="58"/>
      <c r="AB47" s="58"/>
    </row>
    <row r="48" spans="2:28">
      <c r="B48" s="318" t="s">
        <v>574</v>
      </c>
      <c r="C48" s="58"/>
      <c r="D48" s="58"/>
      <c r="E48" s="58"/>
      <c r="F48" s="58"/>
      <c r="G48" s="58"/>
      <c r="H48" s="58"/>
      <c r="I48" s="58"/>
      <c r="J48" s="58"/>
      <c r="K48" s="274" t="s">
        <v>541</v>
      </c>
      <c r="L48" s="58"/>
      <c r="M48" s="58"/>
      <c r="N48" s="58"/>
      <c r="O48" s="58"/>
      <c r="P48" s="58"/>
      <c r="Q48" s="58"/>
      <c r="R48" s="58"/>
      <c r="S48" s="58"/>
      <c r="T48" s="58"/>
      <c r="U48" s="58"/>
      <c r="V48" s="58"/>
      <c r="W48" s="58"/>
      <c r="X48" s="58"/>
      <c r="Y48" s="58"/>
      <c r="Z48" s="58"/>
      <c r="AA48" s="58"/>
      <c r="AB48" s="58"/>
    </row>
    <row r="49" spans="2:41">
      <c r="B49" s="318"/>
      <c r="C49" s="58"/>
      <c r="D49" s="58"/>
      <c r="E49" s="58"/>
      <c r="F49" s="58"/>
      <c r="G49" s="58"/>
      <c r="H49" s="58"/>
      <c r="I49" s="58"/>
      <c r="J49" s="58"/>
      <c r="L49" s="58"/>
      <c r="M49" s="58"/>
      <c r="N49" s="58"/>
      <c r="O49" s="58"/>
      <c r="P49" s="58"/>
      <c r="Q49" s="58"/>
      <c r="R49" s="58"/>
      <c r="S49" s="58"/>
      <c r="T49" s="58"/>
      <c r="U49" s="58"/>
      <c r="V49" s="58"/>
      <c r="W49" s="58"/>
      <c r="X49" s="58"/>
      <c r="Y49" s="58"/>
      <c r="Z49" s="58"/>
      <c r="AA49" s="58"/>
      <c r="AB49" s="58"/>
    </row>
    <row r="50" spans="2:41">
      <c r="B50" s="58"/>
      <c r="C50" s="58"/>
      <c r="D50" s="277" t="s">
        <v>287</v>
      </c>
      <c r="E50" s="278" t="s">
        <v>419</v>
      </c>
      <c r="F50" s="279" t="s">
        <v>292</v>
      </c>
      <c r="G50" s="58"/>
      <c r="H50" s="58"/>
      <c r="I50" s="58"/>
      <c r="J50" s="58"/>
      <c r="L50" s="58"/>
      <c r="M50" s="58"/>
      <c r="N50" s="58"/>
      <c r="O50" s="58"/>
      <c r="P50" s="58"/>
      <c r="Q50" s="58"/>
      <c r="R50" s="58"/>
      <c r="S50" s="58"/>
      <c r="T50" s="58"/>
      <c r="U50" s="58"/>
      <c r="V50" s="58"/>
      <c r="W50" s="58"/>
      <c r="X50" s="58"/>
      <c r="Y50" s="58"/>
      <c r="Z50" s="58"/>
      <c r="AA50" s="58"/>
      <c r="AB50" s="58"/>
    </row>
    <row r="51" spans="2:41">
      <c r="B51" s="58"/>
      <c r="C51" s="134" t="s">
        <v>454</v>
      </c>
      <c r="D51" s="261">
        <v>5.5E-2</v>
      </c>
      <c r="E51" s="132">
        <v>5.8999999999999997E-2</v>
      </c>
      <c r="F51" s="131">
        <v>6.3E-2</v>
      </c>
      <c r="G51" s="58"/>
      <c r="H51" s="58"/>
      <c r="I51" s="58"/>
      <c r="J51" s="58"/>
      <c r="L51" s="58"/>
      <c r="M51" s="58"/>
      <c r="N51" s="58"/>
      <c r="O51" s="58"/>
      <c r="P51" s="58"/>
      <c r="Q51" s="58"/>
      <c r="R51" s="58"/>
      <c r="S51" s="58"/>
      <c r="T51" s="58"/>
      <c r="U51" s="58"/>
      <c r="V51" s="58"/>
      <c r="W51" s="58"/>
      <c r="X51" s="58"/>
      <c r="Y51" s="58"/>
      <c r="Z51" s="58"/>
      <c r="AA51" s="58"/>
      <c r="AB51" s="58"/>
    </row>
    <row r="52" spans="2:41">
      <c r="B52" s="58"/>
      <c r="C52" s="280" t="s">
        <v>449</v>
      </c>
      <c r="D52" s="142">
        <v>6.2E-2</v>
      </c>
      <c r="E52" s="140">
        <v>6.6000000000000003E-2</v>
      </c>
      <c r="F52" s="139">
        <v>7.0000000000000007E-2</v>
      </c>
      <c r="G52" s="58"/>
      <c r="H52" s="58"/>
      <c r="I52" s="58"/>
      <c r="J52" s="58"/>
      <c r="L52" s="58"/>
      <c r="M52" s="58"/>
      <c r="N52" s="58"/>
      <c r="O52" s="58"/>
      <c r="P52" s="58"/>
      <c r="Q52" s="58"/>
      <c r="R52" s="58"/>
      <c r="S52" s="58"/>
      <c r="T52" s="58"/>
      <c r="U52" s="58"/>
      <c r="V52" s="58"/>
      <c r="W52" s="58"/>
      <c r="X52" s="58"/>
      <c r="Y52" s="58"/>
      <c r="Z52" s="58"/>
      <c r="AA52" s="58"/>
      <c r="AB52" s="58"/>
    </row>
    <row r="53" spans="2:41">
      <c r="B53" s="58"/>
      <c r="C53" s="126" t="s">
        <v>444</v>
      </c>
      <c r="D53" s="254">
        <v>1.4999999999999999E-2</v>
      </c>
      <c r="E53" s="275">
        <v>1.7000000000000001E-2</v>
      </c>
      <c r="F53" s="124">
        <v>1.9E-2</v>
      </c>
      <c r="G53" s="58"/>
      <c r="H53" s="58"/>
      <c r="I53" s="58"/>
      <c r="J53" s="58"/>
      <c r="L53" s="58"/>
      <c r="M53" s="58"/>
      <c r="N53" s="58"/>
      <c r="O53" s="58"/>
      <c r="P53" s="58"/>
      <c r="Q53" s="58"/>
      <c r="R53" s="58"/>
      <c r="S53" s="58"/>
      <c r="T53" s="58"/>
      <c r="U53" s="58"/>
      <c r="V53" s="58"/>
      <c r="W53" s="58"/>
      <c r="X53" s="58"/>
      <c r="Y53" s="58"/>
      <c r="Z53" s="58"/>
      <c r="AA53" s="58"/>
      <c r="AB53" s="58"/>
    </row>
    <row r="54" spans="2:41">
      <c r="B54" s="58"/>
      <c r="C54" s="280" t="s">
        <v>438</v>
      </c>
      <c r="D54" s="142">
        <v>5.8999999999999997E-2</v>
      </c>
      <c r="E54" s="140">
        <v>6.3E-2</v>
      </c>
      <c r="F54" s="139">
        <v>6.5000000000000002E-2</v>
      </c>
      <c r="G54" s="58"/>
      <c r="H54" s="58"/>
      <c r="I54" s="58"/>
      <c r="J54" s="58"/>
      <c r="L54" s="58"/>
      <c r="M54" s="58"/>
      <c r="N54" s="58"/>
      <c r="O54" s="58"/>
      <c r="P54" s="58"/>
      <c r="Q54" s="58"/>
      <c r="R54" s="58"/>
      <c r="S54" s="58"/>
      <c r="T54" s="58"/>
      <c r="U54" s="58"/>
      <c r="V54" s="58"/>
      <c r="W54" s="58"/>
      <c r="X54" s="58"/>
      <c r="Y54" s="58"/>
      <c r="Z54" s="58"/>
      <c r="AA54" s="58"/>
      <c r="AB54" s="58"/>
    </row>
    <row r="55" spans="2:41">
      <c r="B55" s="58"/>
      <c r="C55" s="126" t="s">
        <v>433</v>
      </c>
      <c r="D55" s="254">
        <v>6.0999999999999999E-2</v>
      </c>
      <c r="E55" s="275">
        <v>6.8000000000000005E-2</v>
      </c>
      <c r="F55" s="124">
        <v>7.4999999999999997E-2</v>
      </c>
      <c r="G55" s="58"/>
      <c r="H55" s="58"/>
      <c r="I55" s="58"/>
      <c r="J55" s="58"/>
      <c r="L55" s="58"/>
      <c r="M55" s="58"/>
      <c r="N55" s="58"/>
      <c r="O55" s="58"/>
      <c r="P55" s="58"/>
      <c r="Q55" s="58"/>
      <c r="R55" s="58"/>
      <c r="S55" s="58"/>
      <c r="T55" s="58"/>
      <c r="U55" s="58"/>
      <c r="V55" s="58"/>
      <c r="W55" s="58"/>
      <c r="X55" s="58"/>
      <c r="Y55" s="58"/>
      <c r="Z55" s="58"/>
      <c r="AA55" s="58"/>
      <c r="AB55" s="58"/>
      <c r="AO55" s="274" t="s">
        <v>541</v>
      </c>
    </row>
    <row r="56" spans="2:41">
      <c r="B56" s="58"/>
      <c r="C56" s="280" t="s">
        <v>428</v>
      </c>
      <c r="D56" s="142">
        <v>0.04</v>
      </c>
      <c r="E56" s="140">
        <v>4.4999999999999998E-2</v>
      </c>
      <c r="F56" s="139">
        <v>0.05</v>
      </c>
      <c r="G56" s="58"/>
      <c r="H56" s="58"/>
      <c r="I56" s="58"/>
      <c r="J56" s="58"/>
      <c r="L56" s="58"/>
      <c r="M56" s="58"/>
      <c r="N56" s="58"/>
      <c r="O56" s="58"/>
      <c r="P56" s="58"/>
      <c r="Q56" s="58"/>
      <c r="R56" s="58"/>
      <c r="S56" s="58"/>
      <c r="T56" s="58"/>
      <c r="U56" s="58"/>
      <c r="V56" s="58"/>
      <c r="W56" s="58"/>
      <c r="X56" s="58"/>
      <c r="Y56" s="58"/>
      <c r="Z56" s="58"/>
      <c r="AA56" s="58"/>
      <c r="AB56" s="58"/>
      <c r="AD56" s="74" t="s">
        <v>577</v>
      </c>
      <c r="AE56" s="58"/>
      <c r="AF56" s="58"/>
      <c r="AG56" s="58"/>
      <c r="AH56" s="58"/>
      <c r="AI56" s="58"/>
      <c r="AJ56" s="58"/>
      <c r="AK56" s="58"/>
      <c r="AL56" s="58"/>
      <c r="AM56" s="58"/>
      <c r="AN56" s="58"/>
    </row>
    <row r="57" spans="2:41">
      <c r="B57" s="58"/>
      <c r="C57" s="123" t="s">
        <v>423</v>
      </c>
      <c r="D57" s="251">
        <v>5.7000000000000002E-2</v>
      </c>
      <c r="E57" s="276">
        <v>6.6359053405539714E-2</v>
      </c>
      <c r="F57" s="120">
        <v>7.4999999999999997E-2</v>
      </c>
      <c r="G57" s="58"/>
      <c r="H57" s="58"/>
      <c r="I57" s="58"/>
      <c r="J57" s="58"/>
      <c r="L57" s="58"/>
      <c r="M57" s="58"/>
      <c r="N57" s="58"/>
      <c r="O57" s="58"/>
      <c r="P57" s="58"/>
      <c r="Q57" s="58"/>
      <c r="R57" s="58"/>
      <c r="S57" s="58"/>
      <c r="T57" s="58"/>
      <c r="U57" s="58"/>
      <c r="V57" s="58"/>
      <c r="W57" s="58"/>
      <c r="X57" s="58"/>
      <c r="Y57" s="58"/>
      <c r="Z57" s="58"/>
      <c r="AA57" s="58"/>
      <c r="AB57" s="58"/>
      <c r="AD57" s="58"/>
      <c r="AE57" s="58"/>
      <c r="AF57" s="58"/>
      <c r="AG57" s="58"/>
      <c r="AH57" s="58"/>
      <c r="AI57" s="58"/>
      <c r="AJ57" s="58"/>
      <c r="AK57" s="58"/>
      <c r="AL57" s="58"/>
      <c r="AM57" s="58"/>
      <c r="AN57" s="58"/>
    </row>
    <row r="58" spans="2:41">
      <c r="B58" s="318"/>
      <c r="C58" s="58"/>
      <c r="D58" s="58"/>
      <c r="E58" s="58"/>
      <c r="F58" s="58"/>
      <c r="G58" s="58"/>
      <c r="H58" s="58"/>
      <c r="I58" s="58"/>
      <c r="J58" s="58"/>
      <c r="L58" s="58"/>
      <c r="M58" s="58"/>
      <c r="N58" s="58"/>
      <c r="O58" s="58"/>
      <c r="P58" s="58"/>
      <c r="Q58" s="58"/>
      <c r="R58" s="58"/>
      <c r="S58" s="58"/>
      <c r="T58" s="58"/>
      <c r="U58" s="58"/>
      <c r="V58" s="58"/>
      <c r="W58" s="58"/>
      <c r="X58" s="58"/>
      <c r="Y58" s="58"/>
      <c r="Z58" s="58"/>
      <c r="AA58" s="58"/>
      <c r="AB58" s="58"/>
      <c r="AD58" s="74" t="s">
        <v>255</v>
      </c>
      <c r="AE58" s="58"/>
      <c r="AF58" s="58"/>
      <c r="AG58" s="58"/>
      <c r="AH58" s="58"/>
      <c r="AI58" s="58"/>
      <c r="AJ58" s="58"/>
      <c r="AK58" s="58"/>
      <c r="AL58" s="58"/>
      <c r="AM58" s="58"/>
      <c r="AN58" s="58"/>
    </row>
    <row r="59" spans="2:41">
      <c r="L59" s="58"/>
      <c r="M59" s="58"/>
      <c r="N59" s="58"/>
      <c r="O59" s="58"/>
      <c r="P59" s="58"/>
      <c r="Q59" s="58"/>
      <c r="R59" s="58"/>
      <c r="S59" s="58"/>
      <c r="T59" s="58"/>
      <c r="U59" s="58"/>
      <c r="V59" s="58"/>
      <c r="W59" s="58"/>
      <c r="X59" s="58"/>
      <c r="Y59" s="58"/>
      <c r="Z59" s="58"/>
      <c r="AA59" s="58"/>
      <c r="AB59" s="58"/>
      <c r="AD59" s="58"/>
      <c r="AE59" s="58"/>
      <c r="AF59" s="58"/>
      <c r="AG59" s="58"/>
      <c r="AH59" s="58"/>
      <c r="AI59" s="58"/>
      <c r="AJ59" s="58"/>
      <c r="AK59" s="58"/>
      <c r="AL59" s="58"/>
      <c r="AM59" s="58"/>
      <c r="AN59" s="58"/>
    </row>
    <row r="60" spans="2:41">
      <c r="B60" s="74" t="s">
        <v>544</v>
      </c>
      <c r="C60" s="58"/>
      <c r="D60" s="58"/>
      <c r="E60" s="58"/>
      <c r="F60" s="58"/>
      <c r="G60" s="58"/>
      <c r="H60" s="58"/>
      <c r="I60" s="58"/>
      <c r="J60" s="58"/>
      <c r="L60" s="58"/>
      <c r="M60" s="58"/>
      <c r="N60" s="58"/>
      <c r="O60" s="58"/>
      <c r="P60" s="58"/>
      <c r="Q60" s="58"/>
      <c r="R60" s="58"/>
      <c r="S60" s="58"/>
      <c r="T60" s="58"/>
      <c r="U60" s="58"/>
      <c r="V60" s="58"/>
      <c r="W60" s="58"/>
      <c r="X60" s="58"/>
      <c r="Y60" s="58"/>
      <c r="Z60" s="58"/>
      <c r="AA60" s="58"/>
      <c r="AB60" s="58"/>
      <c r="AD60" s="58"/>
      <c r="AE60" s="58"/>
      <c r="AF60" s="58"/>
      <c r="AG60" s="58"/>
      <c r="AH60" s="58"/>
      <c r="AI60" s="58"/>
      <c r="AJ60" s="58"/>
      <c r="AK60" s="58"/>
      <c r="AL60" s="58"/>
      <c r="AM60" s="58"/>
      <c r="AN60" s="58"/>
    </row>
    <row r="61" spans="2:41">
      <c r="B61" s="58"/>
      <c r="C61" s="58"/>
      <c r="D61" s="58"/>
      <c r="E61" s="58"/>
      <c r="F61" s="58"/>
      <c r="G61" s="58"/>
      <c r="H61" s="58"/>
      <c r="I61" s="58"/>
      <c r="J61" s="58"/>
      <c r="L61" s="58"/>
      <c r="M61" s="58"/>
      <c r="N61" s="58"/>
      <c r="O61" s="58"/>
      <c r="P61" s="58"/>
      <c r="Q61" s="58"/>
      <c r="R61" s="58"/>
      <c r="S61" s="58"/>
      <c r="T61" s="58"/>
      <c r="U61" s="58"/>
      <c r="V61" s="58"/>
      <c r="W61" s="58"/>
      <c r="X61" s="58"/>
      <c r="Y61" s="58"/>
      <c r="Z61" s="58"/>
      <c r="AA61" s="58"/>
      <c r="AB61" s="58"/>
      <c r="AD61" s="58"/>
      <c r="AE61" s="58"/>
      <c r="AF61" s="58"/>
      <c r="AG61" s="58"/>
      <c r="AH61" s="58"/>
      <c r="AI61" s="58"/>
      <c r="AJ61" s="58"/>
      <c r="AK61" s="58"/>
      <c r="AL61" s="58"/>
      <c r="AM61" s="58"/>
      <c r="AN61" s="58"/>
    </row>
    <row r="62" spans="2:41">
      <c r="B62" s="74" t="s">
        <v>255</v>
      </c>
      <c r="C62" s="58"/>
      <c r="D62" s="58"/>
      <c r="E62" s="58"/>
      <c r="F62" s="58"/>
      <c r="G62" s="58"/>
      <c r="H62" s="58"/>
      <c r="I62" s="58"/>
      <c r="J62" s="58"/>
      <c r="L62" s="58"/>
      <c r="M62" s="58"/>
      <c r="N62" s="58"/>
      <c r="O62" s="58"/>
      <c r="P62" s="58"/>
      <c r="Q62" s="58"/>
      <c r="R62" s="58"/>
      <c r="S62" s="58"/>
      <c r="T62" s="58"/>
      <c r="U62" s="58"/>
      <c r="V62" s="58"/>
      <c r="W62" s="58"/>
      <c r="X62" s="58"/>
      <c r="Y62" s="58"/>
      <c r="Z62" s="58"/>
      <c r="AA62" s="58"/>
      <c r="AB62" s="58"/>
      <c r="AD62" s="58"/>
      <c r="AE62" s="58"/>
      <c r="AF62" s="58"/>
      <c r="AG62" s="58"/>
      <c r="AH62" s="58"/>
      <c r="AI62" s="58"/>
      <c r="AJ62" s="58"/>
      <c r="AK62" s="58"/>
      <c r="AL62" s="58"/>
      <c r="AM62" s="58"/>
      <c r="AN62" s="58"/>
    </row>
    <row r="63" spans="2:41">
      <c r="B63" s="58"/>
      <c r="C63" s="58"/>
      <c r="D63" s="58"/>
      <c r="E63" s="58"/>
      <c r="F63" s="58"/>
      <c r="G63" s="58"/>
      <c r="H63" s="58"/>
      <c r="I63" s="58"/>
      <c r="J63" s="58"/>
      <c r="L63" s="58"/>
      <c r="M63" s="58"/>
      <c r="N63" s="58"/>
      <c r="O63" s="58"/>
      <c r="P63" s="58"/>
      <c r="Q63" s="58"/>
      <c r="R63" s="58"/>
      <c r="S63" s="58"/>
      <c r="T63" s="58"/>
      <c r="U63" s="58"/>
      <c r="V63" s="58"/>
      <c r="W63" s="58"/>
      <c r="X63" s="58"/>
      <c r="Y63" s="58"/>
      <c r="Z63" s="58"/>
      <c r="AA63" s="58"/>
      <c r="AB63" s="58"/>
      <c r="AD63" s="58"/>
      <c r="AE63" s="58"/>
      <c r="AF63" s="58"/>
      <c r="AG63" s="58"/>
      <c r="AH63" s="58"/>
      <c r="AI63" s="58"/>
      <c r="AJ63" s="58"/>
      <c r="AK63" s="58"/>
      <c r="AL63" s="58"/>
      <c r="AM63" s="58"/>
      <c r="AN63" s="58"/>
    </row>
    <row r="64" spans="2:41">
      <c r="B64" s="58"/>
      <c r="C64" s="58"/>
      <c r="D64" s="58"/>
      <c r="E64" s="58"/>
      <c r="F64" s="58"/>
      <c r="G64" s="58"/>
      <c r="H64" s="58"/>
      <c r="I64" s="58"/>
      <c r="J64" s="58"/>
      <c r="L64" s="58"/>
      <c r="M64" s="58"/>
      <c r="N64" s="58"/>
      <c r="O64" s="58"/>
      <c r="P64" s="58"/>
      <c r="Q64" s="58"/>
      <c r="R64" s="58"/>
      <c r="S64" s="58"/>
      <c r="T64" s="58"/>
      <c r="U64" s="58"/>
      <c r="V64" s="58"/>
      <c r="W64" s="58"/>
      <c r="X64" s="58"/>
      <c r="Y64" s="58"/>
      <c r="Z64" s="58"/>
      <c r="AA64" s="58"/>
      <c r="AB64" s="58"/>
      <c r="AD64" s="58"/>
      <c r="AE64" s="58"/>
      <c r="AF64" s="58"/>
      <c r="AG64" s="58"/>
      <c r="AH64" s="58"/>
      <c r="AI64" s="58"/>
      <c r="AJ64" s="58"/>
      <c r="AK64" s="58"/>
      <c r="AL64" s="58"/>
      <c r="AM64" s="58"/>
      <c r="AN64" s="58"/>
    </row>
    <row r="65" spans="2:40">
      <c r="B65" s="58"/>
      <c r="C65" s="58"/>
      <c r="D65" s="58"/>
      <c r="E65" s="58"/>
      <c r="F65" s="58"/>
      <c r="G65" s="58"/>
      <c r="H65" s="58"/>
      <c r="I65" s="58"/>
      <c r="J65" s="58"/>
      <c r="L65" s="58"/>
      <c r="M65" s="58"/>
      <c r="N65" s="58"/>
      <c r="O65" s="58"/>
      <c r="P65" s="58"/>
      <c r="Q65" s="58"/>
      <c r="R65" s="58"/>
      <c r="S65" s="58"/>
      <c r="T65" s="58"/>
      <c r="U65" s="58"/>
      <c r="V65" s="58"/>
      <c r="W65" s="58"/>
      <c r="X65" s="58"/>
      <c r="Y65" s="58"/>
      <c r="Z65" s="58"/>
      <c r="AA65" s="58"/>
      <c r="AB65" s="58"/>
      <c r="AD65" s="58"/>
      <c r="AE65" s="58"/>
      <c r="AF65" s="58"/>
      <c r="AG65" s="58"/>
      <c r="AH65" s="58"/>
      <c r="AI65" s="58"/>
      <c r="AJ65" s="58"/>
      <c r="AK65" s="58"/>
      <c r="AL65" s="58"/>
      <c r="AM65" s="58"/>
      <c r="AN65" s="58"/>
    </row>
    <row r="66" spans="2:40">
      <c r="B66" s="58"/>
      <c r="C66" s="58"/>
      <c r="D66" s="58"/>
      <c r="E66" s="58"/>
      <c r="F66" s="58"/>
      <c r="G66" s="58"/>
      <c r="H66" s="58"/>
      <c r="I66" s="58"/>
      <c r="J66" s="58"/>
      <c r="L66" s="58"/>
      <c r="M66" s="58"/>
      <c r="N66" s="58"/>
      <c r="O66" s="58"/>
      <c r="P66" s="58"/>
      <c r="Q66" s="58"/>
      <c r="R66" s="58"/>
      <c r="S66" s="58"/>
      <c r="T66" s="58"/>
      <c r="U66" s="58"/>
      <c r="V66" s="58"/>
      <c r="W66" s="58"/>
      <c r="X66" s="58"/>
      <c r="Y66" s="58"/>
      <c r="Z66" s="58"/>
      <c r="AA66" s="58"/>
      <c r="AB66" s="58"/>
      <c r="AD66" s="58"/>
      <c r="AE66" s="58"/>
      <c r="AF66" s="58"/>
      <c r="AG66" s="58"/>
      <c r="AH66" s="58"/>
      <c r="AI66" s="58"/>
      <c r="AJ66" s="58"/>
      <c r="AK66" s="58"/>
      <c r="AL66" s="58"/>
      <c r="AM66" s="58"/>
      <c r="AN66" s="58"/>
    </row>
    <row r="67" spans="2:40">
      <c r="B67" s="58"/>
      <c r="C67" s="58"/>
      <c r="D67" s="58"/>
      <c r="E67" s="58"/>
      <c r="F67" s="58"/>
      <c r="G67" s="58"/>
      <c r="H67" s="58"/>
      <c r="I67" s="58"/>
      <c r="J67" s="58"/>
      <c r="AD67" s="58"/>
      <c r="AE67" s="58"/>
      <c r="AF67" s="58"/>
      <c r="AG67" s="58"/>
      <c r="AH67" s="58"/>
      <c r="AI67" s="58"/>
      <c r="AJ67" s="58"/>
      <c r="AK67" s="58"/>
      <c r="AL67" s="58"/>
      <c r="AM67" s="58"/>
      <c r="AN67" s="58"/>
    </row>
    <row r="68" spans="2:40">
      <c r="B68" s="58"/>
      <c r="C68" s="58"/>
      <c r="D68" s="58"/>
      <c r="E68" s="58"/>
      <c r="F68" s="58"/>
      <c r="G68" s="58"/>
      <c r="H68" s="58"/>
      <c r="I68" s="58"/>
      <c r="J68" s="58"/>
      <c r="L68" s="74" t="s">
        <v>575</v>
      </c>
      <c r="M68" s="58"/>
      <c r="N68" s="58"/>
      <c r="O68" s="58"/>
      <c r="P68" s="58"/>
      <c r="Q68" s="58"/>
      <c r="R68" s="58"/>
      <c r="S68" s="58"/>
      <c r="T68" s="58"/>
      <c r="U68" s="58"/>
      <c r="V68" s="58"/>
      <c r="W68" s="58"/>
      <c r="X68" s="58"/>
      <c r="Y68" s="58"/>
      <c r="Z68" s="58"/>
      <c r="AA68" s="58"/>
      <c r="AB68" s="58"/>
      <c r="AD68" s="58"/>
      <c r="AE68" s="58"/>
      <c r="AF68" s="58"/>
      <c r="AG68" s="58"/>
      <c r="AH68" s="58"/>
      <c r="AI68" s="58"/>
      <c r="AJ68" s="58"/>
      <c r="AK68" s="58"/>
      <c r="AL68" s="58"/>
      <c r="AM68" s="58"/>
      <c r="AN68" s="58"/>
    </row>
    <row r="69" spans="2:40">
      <c r="B69" s="58"/>
      <c r="C69" s="58"/>
      <c r="D69" s="58"/>
      <c r="E69" s="58"/>
      <c r="F69" s="58"/>
      <c r="G69" s="58"/>
      <c r="H69" s="58"/>
      <c r="I69" s="58"/>
      <c r="J69" s="58"/>
      <c r="L69" s="58"/>
      <c r="M69" s="58"/>
      <c r="N69" s="58"/>
      <c r="O69" s="58"/>
      <c r="P69" s="58"/>
      <c r="Q69" s="58"/>
      <c r="R69" s="58"/>
      <c r="S69" s="58"/>
      <c r="T69" s="58"/>
      <c r="U69" s="58"/>
      <c r="V69" s="58"/>
      <c r="W69" s="58"/>
      <c r="X69" s="58"/>
      <c r="Y69" s="58"/>
      <c r="Z69" s="58"/>
      <c r="AA69" s="58"/>
      <c r="AB69" s="58"/>
      <c r="AD69" s="58"/>
      <c r="AE69" s="58"/>
      <c r="AF69" s="58"/>
      <c r="AG69" s="58"/>
      <c r="AH69" s="58"/>
      <c r="AI69" s="58"/>
      <c r="AJ69" s="58"/>
      <c r="AK69" s="58"/>
      <c r="AL69" s="58"/>
      <c r="AM69" s="58"/>
      <c r="AN69" s="58"/>
    </row>
    <row r="70" spans="2:40">
      <c r="B70" s="58"/>
      <c r="C70" s="58"/>
      <c r="D70" s="58"/>
      <c r="E70" s="58"/>
      <c r="F70" s="58"/>
      <c r="G70" s="58"/>
      <c r="H70" s="58"/>
      <c r="I70" s="58"/>
      <c r="J70" s="58"/>
      <c r="L70" s="74" t="s">
        <v>255</v>
      </c>
      <c r="M70" s="58"/>
      <c r="N70" s="58"/>
      <c r="O70" s="58"/>
      <c r="P70" s="58"/>
      <c r="Q70" s="58"/>
      <c r="R70" s="58"/>
      <c r="S70" s="58"/>
      <c r="T70" s="58"/>
      <c r="U70" s="58"/>
      <c r="V70" s="58"/>
      <c r="W70" s="58"/>
      <c r="X70" s="58"/>
      <c r="Y70" s="58"/>
      <c r="Z70" s="58"/>
      <c r="AA70" s="58"/>
      <c r="AB70" s="58"/>
      <c r="AD70" s="58"/>
      <c r="AE70" s="58"/>
      <c r="AF70" s="58"/>
      <c r="AG70" s="58"/>
      <c r="AH70" s="58"/>
      <c r="AI70" s="58"/>
      <c r="AJ70" s="58"/>
      <c r="AK70" s="58"/>
      <c r="AL70" s="58"/>
      <c r="AM70" s="58"/>
      <c r="AN70" s="58"/>
    </row>
    <row r="71" spans="2:40">
      <c r="B71" s="58"/>
      <c r="C71" s="58"/>
      <c r="D71" s="58"/>
      <c r="E71" s="58"/>
      <c r="F71" s="58"/>
      <c r="G71" s="58"/>
      <c r="H71" s="58"/>
      <c r="I71" s="58"/>
      <c r="J71" s="58"/>
      <c r="L71" s="58"/>
      <c r="M71" s="58"/>
      <c r="N71" s="58"/>
      <c r="O71" s="58"/>
      <c r="P71" s="58"/>
      <c r="Q71" s="58"/>
      <c r="R71" s="58"/>
      <c r="S71" s="58"/>
      <c r="T71" s="58"/>
      <c r="U71" s="58"/>
      <c r="V71" s="58"/>
      <c r="W71" s="58"/>
      <c r="X71" s="58"/>
      <c r="Y71" s="58"/>
      <c r="Z71" s="58"/>
      <c r="AA71" s="58"/>
      <c r="AB71" s="58"/>
      <c r="AD71" s="58"/>
      <c r="AE71" s="58"/>
      <c r="AF71" s="58"/>
      <c r="AG71" s="58"/>
      <c r="AH71" s="58"/>
      <c r="AI71" s="58"/>
      <c r="AJ71" s="58"/>
      <c r="AK71" s="58"/>
      <c r="AL71" s="58"/>
      <c r="AM71" s="58"/>
      <c r="AN71" s="58"/>
    </row>
    <row r="72" spans="2:40">
      <c r="B72" s="58"/>
      <c r="C72" s="58"/>
      <c r="D72" s="58"/>
      <c r="E72" s="58"/>
      <c r="F72" s="58"/>
      <c r="G72" s="58"/>
      <c r="H72" s="58"/>
      <c r="I72" s="58"/>
      <c r="J72" s="58"/>
      <c r="L72" s="58"/>
      <c r="M72" s="58"/>
      <c r="N72" s="58"/>
      <c r="O72" s="58"/>
      <c r="P72" s="58"/>
      <c r="Q72" s="58"/>
      <c r="R72" s="58"/>
      <c r="S72" s="58"/>
      <c r="T72" s="58"/>
      <c r="U72" s="58"/>
      <c r="V72" s="58"/>
      <c r="W72" s="58"/>
      <c r="X72" s="58"/>
      <c r="Y72" s="58"/>
      <c r="Z72" s="58"/>
      <c r="AA72" s="58"/>
      <c r="AB72" s="58"/>
      <c r="AD72" s="58"/>
      <c r="AE72" s="58"/>
      <c r="AF72" s="58"/>
      <c r="AG72" s="58"/>
      <c r="AH72" s="58"/>
      <c r="AI72" s="58"/>
      <c r="AJ72" s="58"/>
      <c r="AK72" s="58"/>
      <c r="AL72" s="58"/>
      <c r="AM72" s="58"/>
      <c r="AN72" s="58"/>
    </row>
    <row r="73" spans="2:40">
      <c r="B73" s="58"/>
      <c r="C73" s="58"/>
      <c r="D73" s="58"/>
      <c r="E73" s="58"/>
      <c r="F73" s="58"/>
      <c r="G73" s="58"/>
      <c r="H73" s="58"/>
      <c r="I73" s="58"/>
      <c r="J73" s="58"/>
      <c r="L73" s="58"/>
      <c r="M73" s="58"/>
      <c r="N73" s="58"/>
      <c r="O73" s="58"/>
      <c r="P73" s="58"/>
      <c r="Q73" s="58"/>
      <c r="R73" s="58"/>
      <c r="S73" s="58"/>
      <c r="T73" s="58"/>
      <c r="U73" s="58"/>
      <c r="V73" s="58"/>
      <c r="W73" s="58"/>
      <c r="X73" s="58"/>
      <c r="Y73" s="58"/>
      <c r="Z73" s="58"/>
      <c r="AA73" s="58"/>
      <c r="AB73" s="58"/>
      <c r="AD73" s="58"/>
      <c r="AE73" s="58"/>
      <c r="AF73" s="58"/>
      <c r="AG73" s="58"/>
      <c r="AH73" s="58"/>
      <c r="AI73" s="58"/>
      <c r="AJ73" s="58"/>
      <c r="AK73" s="58"/>
      <c r="AL73" s="58"/>
      <c r="AM73" s="58"/>
      <c r="AN73" s="58"/>
    </row>
    <row r="74" spans="2:40">
      <c r="B74" s="58"/>
      <c r="C74" s="58"/>
      <c r="D74" s="58"/>
      <c r="E74" s="58"/>
      <c r="F74" s="58"/>
      <c r="G74" s="58"/>
      <c r="H74" s="58"/>
      <c r="I74" s="58"/>
      <c r="J74" s="58"/>
      <c r="L74" s="58"/>
      <c r="M74" s="58"/>
      <c r="N74" s="58"/>
      <c r="O74" s="58"/>
      <c r="P74" s="58"/>
      <c r="Q74" s="58"/>
      <c r="R74" s="58"/>
      <c r="S74" s="58"/>
      <c r="T74" s="58"/>
      <c r="U74" s="58"/>
      <c r="V74" s="58"/>
      <c r="W74" s="58"/>
      <c r="X74" s="58"/>
      <c r="Y74" s="58"/>
      <c r="Z74" s="58"/>
      <c r="AA74" s="58"/>
      <c r="AB74" s="58"/>
      <c r="AD74" s="58"/>
      <c r="AE74" s="58"/>
      <c r="AF74" s="58"/>
      <c r="AG74" s="58"/>
      <c r="AH74" s="58"/>
      <c r="AI74" s="58"/>
      <c r="AJ74" s="58"/>
      <c r="AK74" s="58"/>
      <c r="AL74" s="58"/>
      <c r="AM74" s="58"/>
      <c r="AN74" s="58"/>
    </row>
    <row r="75" spans="2:40">
      <c r="B75" s="58"/>
      <c r="C75" s="58"/>
      <c r="D75" s="58"/>
      <c r="E75" s="58"/>
      <c r="F75" s="58"/>
      <c r="G75" s="58"/>
      <c r="H75" s="58"/>
      <c r="I75" s="58"/>
      <c r="J75" s="58"/>
      <c r="L75" s="58"/>
      <c r="M75" s="58"/>
      <c r="N75" s="58"/>
      <c r="O75" s="58"/>
      <c r="P75" s="58"/>
      <c r="Q75" s="58"/>
      <c r="R75" s="58"/>
      <c r="S75" s="58"/>
      <c r="T75" s="58"/>
      <c r="U75" s="58"/>
      <c r="V75" s="58"/>
      <c r="W75" s="58"/>
      <c r="X75" s="58"/>
      <c r="Y75" s="58"/>
      <c r="Z75" s="58"/>
      <c r="AA75" s="58"/>
      <c r="AB75" s="58"/>
      <c r="AD75" s="58"/>
      <c r="AE75" s="58"/>
      <c r="AF75" s="58"/>
      <c r="AG75" s="58"/>
      <c r="AH75" s="58"/>
      <c r="AI75" s="58"/>
      <c r="AJ75" s="58"/>
      <c r="AK75" s="58"/>
      <c r="AL75" s="58"/>
      <c r="AM75" s="58"/>
      <c r="AN75" s="58"/>
    </row>
    <row r="76" spans="2:40">
      <c r="B76" s="58"/>
      <c r="C76" s="58"/>
      <c r="D76" s="58"/>
      <c r="E76" s="58"/>
      <c r="F76" s="58"/>
      <c r="G76" s="58"/>
      <c r="H76" s="58"/>
      <c r="I76" s="58"/>
      <c r="J76" s="58"/>
      <c r="L76" s="58"/>
      <c r="M76" s="58"/>
      <c r="N76" s="58"/>
      <c r="O76" s="58"/>
      <c r="P76" s="58"/>
      <c r="Q76" s="58"/>
      <c r="R76" s="58"/>
      <c r="S76" s="58"/>
      <c r="T76" s="58"/>
      <c r="U76" s="58"/>
      <c r="V76" s="58"/>
      <c r="W76" s="58"/>
      <c r="X76" s="58"/>
      <c r="Y76" s="58"/>
      <c r="Z76" s="58"/>
      <c r="AA76" s="58"/>
      <c r="AB76" s="58"/>
      <c r="AD76" s="58"/>
      <c r="AE76" s="58"/>
      <c r="AF76" s="58"/>
      <c r="AG76" s="58"/>
      <c r="AH76" s="58"/>
      <c r="AI76" s="58"/>
      <c r="AJ76" s="58"/>
      <c r="AK76" s="58"/>
      <c r="AL76" s="58"/>
      <c r="AM76" s="58"/>
      <c r="AN76" s="58"/>
    </row>
    <row r="77" spans="2:40">
      <c r="B77" s="58"/>
      <c r="C77" s="58"/>
      <c r="D77" s="58"/>
      <c r="E77" s="58"/>
      <c r="F77" s="58"/>
      <c r="G77" s="58"/>
      <c r="H77" s="58"/>
      <c r="I77" s="58"/>
      <c r="J77" s="58"/>
      <c r="L77" s="58"/>
      <c r="M77" s="58"/>
      <c r="N77" s="58"/>
      <c r="O77" s="58"/>
      <c r="P77" s="58"/>
      <c r="Q77" s="58"/>
      <c r="R77" s="58"/>
      <c r="S77" s="58"/>
      <c r="T77" s="58"/>
      <c r="U77" s="58"/>
      <c r="V77" s="58"/>
      <c r="W77" s="58"/>
      <c r="X77" s="58"/>
      <c r="Y77" s="58"/>
      <c r="Z77" s="58"/>
      <c r="AA77" s="58"/>
      <c r="AB77" s="58"/>
      <c r="AD77" s="58"/>
      <c r="AE77" s="58"/>
      <c r="AF77" s="58"/>
      <c r="AG77" s="58"/>
      <c r="AH77" s="58"/>
      <c r="AI77" s="58"/>
      <c r="AJ77" s="58"/>
      <c r="AK77" s="58"/>
      <c r="AL77" s="58"/>
      <c r="AM77" s="58"/>
      <c r="AN77" s="58"/>
    </row>
    <row r="78" spans="2:40">
      <c r="B78" s="58"/>
      <c r="C78" s="58"/>
      <c r="D78" s="58"/>
      <c r="E78" s="58"/>
      <c r="F78" s="58"/>
      <c r="G78" s="58"/>
      <c r="H78" s="58"/>
      <c r="I78" s="58"/>
      <c r="J78" s="58"/>
      <c r="L78" s="58"/>
      <c r="M78" s="58"/>
      <c r="N78" s="58"/>
      <c r="O78" s="58"/>
      <c r="P78" s="58"/>
      <c r="Q78" s="58"/>
      <c r="R78" s="58"/>
      <c r="S78" s="58"/>
      <c r="T78" s="58"/>
      <c r="U78" s="58"/>
      <c r="V78" s="58"/>
      <c r="W78" s="58"/>
      <c r="X78" s="58"/>
      <c r="Y78" s="58"/>
      <c r="Z78" s="58"/>
      <c r="AA78" s="58"/>
      <c r="AB78" s="58"/>
      <c r="AD78" s="58"/>
      <c r="AE78" s="58"/>
      <c r="AF78" s="58"/>
      <c r="AG78" s="58"/>
      <c r="AH78" s="58"/>
      <c r="AI78" s="58"/>
      <c r="AJ78" s="58"/>
      <c r="AK78" s="58"/>
      <c r="AL78" s="58"/>
      <c r="AM78" s="58"/>
      <c r="AN78" s="58"/>
    </row>
    <row r="79" spans="2:40">
      <c r="B79" s="58"/>
      <c r="C79" s="58"/>
      <c r="D79" s="58"/>
      <c r="E79" s="58"/>
      <c r="F79" s="58"/>
      <c r="G79" s="58"/>
      <c r="H79" s="58"/>
      <c r="I79" s="58"/>
      <c r="J79" s="58"/>
      <c r="L79" s="58"/>
      <c r="M79" s="58"/>
      <c r="N79" s="58"/>
      <c r="O79" s="58"/>
      <c r="P79" s="58"/>
      <c r="Q79" s="58"/>
      <c r="R79" s="58"/>
      <c r="S79" s="58"/>
      <c r="T79" s="58"/>
      <c r="U79" s="58"/>
      <c r="V79" s="58"/>
      <c r="W79" s="58"/>
      <c r="X79" s="58"/>
      <c r="Y79" s="58"/>
      <c r="Z79" s="58"/>
      <c r="AA79" s="58"/>
      <c r="AB79" s="58"/>
      <c r="AD79" s="58"/>
      <c r="AE79" s="58"/>
      <c r="AF79" s="58"/>
      <c r="AG79" s="58"/>
      <c r="AH79" s="58"/>
      <c r="AI79" s="58"/>
      <c r="AJ79" s="58"/>
      <c r="AK79" s="58"/>
      <c r="AL79" s="58"/>
      <c r="AM79" s="58"/>
      <c r="AN79" s="58"/>
    </row>
    <row r="80" spans="2:40">
      <c r="B80" s="58"/>
      <c r="C80" s="58"/>
      <c r="D80" s="58"/>
      <c r="E80" s="58"/>
      <c r="F80" s="58"/>
      <c r="G80" s="58"/>
      <c r="H80" s="58"/>
      <c r="I80" s="58"/>
      <c r="J80" s="58"/>
      <c r="L80" s="58"/>
      <c r="M80" s="58"/>
      <c r="N80" s="58"/>
      <c r="O80" s="58"/>
      <c r="P80" s="58"/>
      <c r="Q80" s="58"/>
      <c r="R80" s="58"/>
      <c r="S80" s="58"/>
      <c r="T80" s="58"/>
      <c r="U80" s="58"/>
      <c r="V80" s="58"/>
      <c r="W80" s="58"/>
      <c r="X80" s="58"/>
      <c r="Y80" s="58"/>
      <c r="Z80" s="58"/>
      <c r="AA80" s="58"/>
      <c r="AB80" s="58"/>
      <c r="AD80" s="58"/>
      <c r="AE80" s="58"/>
      <c r="AF80" s="58"/>
      <c r="AG80" s="58"/>
      <c r="AH80" s="58"/>
      <c r="AI80" s="58"/>
      <c r="AJ80" s="58"/>
      <c r="AK80" s="58"/>
      <c r="AL80" s="58"/>
      <c r="AM80" s="58"/>
      <c r="AN80" s="58"/>
    </row>
    <row r="81" spans="2:40">
      <c r="B81" s="58"/>
      <c r="C81" s="58"/>
      <c r="D81" s="58"/>
      <c r="E81" s="58"/>
      <c r="F81" s="58"/>
      <c r="G81" s="58"/>
      <c r="H81" s="58"/>
      <c r="I81" s="58"/>
      <c r="J81" s="58"/>
      <c r="L81" s="58"/>
      <c r="M81" s="58"/>
      <c r="N81" s="58"/>
      <c r="O81" s="58"/>
      <c r="P81" s="58"/>
      <c r="Q81" s="58"/>
      <c r="R81" s="58"/>
      <c r="S81" s="58"/>
      <c r="T81" s="58"/>
      <c r="U81" s="58"/>
      <c r="V81" s="58"/>
      <c r="W81" s="58"/>
      <c r="X81" s="58"/>
      <c r="Y81" s="58"/>
      <c r="Z81" s="58"/>
      <c r="AA81" s="58"/>
      <c r="AB81" s="58"/>
      <c r="AD81" s="58"/>
      <c r="AE81" s="58"/>
      <c r="AF81" s="58"/>
      <c r="AG81" s="58"/>
      <c r="AH81" s="58"/>
      <c r="AI81" s="58"/>
      <c r="AJ81" s="58"/>
      <c r="AK81" s="58"/>
      <c r="AL81" s="58"/>
      <c r="AM81" s="58"/>
      <c r="AN81" s="58"/>
    </row>
    <row r="82" spans="2:40">
      <c r="B82" s="58"/>
      <c r="C82" s="58"/>
      <c r="D82" s="58"/>
      <c r="E82" s="58"/>
      <c r="F82" s="58"/>
      <c r="G82" s="58"/>
      <c r="H82" s="58"/>
      <c r="I82" s="58"/>
      <c r="J82" s="58"/>
      <c r="L82" s="58"/>
      <c r="M82" s="58"/>
      <c r="N82" s="58"/>
      <c r="O82" s="58"/>
      <c r="P82" s="58"/>
      <c r="Q82" s="58"/>
      <c r="R82" s="58"/>
      <c r="S82" s="58"/>
      <c r="T82" s="58"/>
      <c r="U82" s="58"/>
      <c r="V82" s="58"/>
      <c r="W82" s="58"/>
      <c r="X82" s="58"/>
      <c r="Y82" s="58"/>
      <c r="Z82" s="58"/>
      <c r="AA82" s="58"/>
      <c r="AB82" s="58"/>
      <c r="AD82" s="58"/>
      <c r="AE82" s="58"/>
      <c r="AF82" s="58"/>
      <c r="AG82" s="58"/>
      <c r="AH82" s="58"/>
      <c r="AI82" s="58"/>
      <c r="AJ82" s="58"/>
      <c r="AK82" s="58"/>
      <c r="AL82" s="58"/>
      <c r="AM82" s="58"/>
      <c r="AN82" s="58"/>
    </row>
    <row r="83" spans="2:40">
      <c r="B83" s="58"/>
      <c r="C83" s="58"/>
      <c r="D83" s="58"/>
      <c r="E83" s="58"/>
      <c r="F83" s="58"/>
      <c r="G83" s="58"/>
      <c r="H83" s="58"/>
      <c r="I83" s="58"/>
      <c r="J83" s="58"/>
      <c r="L83" s="58"/>
      <c r="M83" s="58"/>
      <c r="N83" s="58"/>
      <c r="O83" s="58"/>
      <c r="P83" s="58"/>
      <c r="Q83" s="58"/>
      <c r="R83" s="58"/>
      <c r="S83" s="58"/>
      <c r="T83" s="58"/>
      <c r="U83" s="58"/>
      <c r="V83" s="58"/>
      <c r="W83" s="58"/>
      <c r="X83" s="58"/>
      <c r="Y83" s="58"/>
      <c r="Z83" s="58"/>
      <c r="AA83" s="58"/>
      <c r="AB83" s="58"/>
      <c r="AD83" s="58"/>
      <c r="AE83" s="58"/>
      <c r="AF83" s="58"/>
      <c r="AG83" s="58"/>
      <c r="AH83" s="58"/>
      <c r="AI83" s="58"/>
      <c r="AJ83" s="58"/>
      <c r="AK83" s="58"/>
      <c r="AL83" s="58"/>
      <c r="AM83" s="58"/>
      <c r="AN83" s="58"/>
    </row>
    <row r="84" spans="2:40">
      <c r="B84" s="58"/>
      <c r="C84" s="58"/>
      <c r="D84" s="58"/>
      <c r="E84" s="58"/>
      <c r="F84" s="58"/>
      <c r="G84" s="58"/>
      <c r="H84" s="58"/>
      <c r="I84" s="58"/>
      <c r="J84" s="58"/>
      <c r="L84" s="58"/>
      <c r="M84" s="58"/>
      <c r="N84" s="58"/>
      <c r="O84" s="58"/>
      <c r="P84" s="58"/>
      <c r="Q84" s="58"/>
      <c r="R84" s="58"/>
      <c r="S84" s="58"/>
      <c r="T84" s="58"/>
      <c r="U84" s="58"/>
      <c r="V84" s="58"/>
      <c r="W84" s="58"/>
      <c r="X84" s="58"/>
      <c r="Y84" s="58"/>
      <c r="Z84" s="58"/>
      <c r="AA84" s="58"/>
      <c r="AB84" s="58"/>
      <c r="AD84" s="58"/>
      <c r="AE84" s="58"/>
      <c r="AF84" s="58"/>
      <c r="AG84" s="58"/>
      <c r="AH84" s="58"/>
      <c r="AI84" s="58"/>
      <c r="AJ84" s="58"/>
      <c r="AK84" s="58"/>
      <c r="AL84" s="58"/>
      <c r="AM84" s="58"/>
      <c r="AN84" s="58"/>
    </row>
    <row r="85" spans="2:40">
      <c r="B85" s="58"/>
      <c r="C85" s="58"/>
      <c r="D85" s="58"/>
      <c r="E85" s="58"/>
      <c r="F85" s="58"/>
      <c r="G85" s="58"/>
      <c r="H85" s="58"/>
      <c r="I85" s="58"/>
      <c r="J85" s="58"/>
      <c r="L85" s="58"/>
      <c r="M85" s="58"/>
      <c r="N85" s="58"/>
      <c r="O85" s="58"/>
      <c r="P85" s="58"/>
      <c r="Q85" s="58"/>
      <c r="R85" s="58"/>
      <c r="S85" s="58"/>
      <c r="T85" s="58"/>
      <c r="U85" s="58"/>
      <c r="V85" s="58"/>
      <c r="W85" s="58"/>
      <c r="X85" s="58"/>
      <c r="Y85" s="58"/>
      <c r="Z85" s="58"/>
      <c r="AA85" s="58"/>
      <c r="AB85" s="58"/>
      <c r="AD85" s="58"/>
      <c r="AE85" s="58"/>
      <c r="AF85" s="58"/>
      <c r="AG85" s="58"/>
      <c r="AH85" s="58"/>
      <c r="AI85" s="58"/>
      <c r="AJ85" s="58"/>
      <c r="AK85" s="58"/>
      <c r="AL85" s="58"/>
      <c r="AM85" s="58"/>
      <c r="AN85" s="58"/>
    </row>
    <row r="86" spans="2:40">
      <c r="B86" s="58"/>
      <c r="C86" s="58"/>
      <c r="D86" s="58"/>
      <c r="E86" s="58"/>
      <c r="F86" s="58"/>
      <c r="G86" s="58"/>
      <c r="H86" s="58"/>
      <c r="I86" s="58"/>
      <c r="J86" s="58"/>
      <c r="L86" s="58"/>
      <c r="M86" s="58"/>
      <c r="N86" s="58"/>
      <c r="O86" s="58"/>
      <c r="P86" s="58"/>
      <c r="Q86" s="58"/>
      <c r="R86" s="58"/>
      <c r="S86" s="58"/>
      <c r="T86" s="58"/>
      <c r="U86" s="58"/>
      <c r="V86" s="58"/>
      <c r="W86" s="58"/>
      <c r="X86" s="58"/>
      <c r="Y86" s="58"/>
      <c r="Z86" s="58"/>
      <c r="AA86" s="58"/>
      <c r="AB86" s="58"/>
      <c r="AD86" s="58"/>
      <c r="AE86" s="58"/>
      <c r="AF86" s="58"/>
      <c r="AG86" s="58"/>
      <c r="AH86" s="58"/>
      <c r="AI86" s="58"/>
      <c r="AJ86" s="58"/>
      <c r="AK86" s="58"/>
      <c r="AL86" s="58"/>
      <c r="AM86" s="58"/>
      <c r="AN86" s="58"/>
    </row>
    <row r="87" spans="2:40">
      <c r="B87" s="58"/>
      <c r="C87" s="58"/>
      <c r="D87" s="58"/>
      <c r="E87" s="58"/>
      <c r="F87" s="58"/>
      <c r="G87" s="58"/>
      <c r="H87" s="58"/>
      <c r="I87" s="58"/>
      <c r="J87" s="58"/>
      <c r="L87" s="58"/>
      <c r="M87" s="58"/>
      <c r="N87" s="58"/>
      <c r="O87" s="58"/>
      <c r="P87" s="58"/>
      <c r="Q87" s="58"/>
      <c r="R87" s="58"/>
      <c r="S87" s="58"/>
      <c r="T87" s="58"/>
      <c r="U87" s="58"/>
      <c r="V87" s="58"/>
      <c r="W87" s="58"/>
      <c r="X87" s="58"/>
      <c r="Y87" s="58"/>
      <c r="Z87" s="58"/>
      <c r="AA87" s="58"/>
      <c r="AB87" s="58"/>
      <c r="AD87" s="58"/>
      <c r="AE87" s="58"/>
      <c r="AF87" s="58"/>
      <c r="AG87" s="58"/>
      <c r="AH87" s="58"/>
      <c r="AI87" s="58"/>
      <c r="AJ87" s="58"/>
      <c r="AK87" s="58"/>
      <c r="AL87" s="58"/>
      <c r="AM87" s="58"/>
      <c r="AN87" s="58"/>
    </row>
    <row r="88" spans="2:40">
      <c r="L88" s="58"/>
      <c r="M88" s="58"/>
      <c r="N88" s="58"/>
      <c r="O88" s="58"/>
      <c r="P88" s="58"/>
      <c r="Q88" s="58"/>
      <c r="R88" s="58"/>
      <c r="S88" s="58"/>
      <c r="T88" s="58"/>
      <c r="U88" s="58"/>
      <c r="V88" s="58"/>
      <c r="W88" s="58"/>
      <c r="X88" s="58"/>
      <c r="Y88" s="58"/>
      <c r="Z88" s="58"/>
      <c r="AA88" s="58"/>
      <c r="AB88" s="58"/>
      <c r="AD88" s="58"/>
      <c r="AE88" s="58"/>
      <c r="AF88" s="58"/>
      <c r="AG88" s="58"/>
      <c r="AH88" s="58"/>
      <c r="AI88" s="58"/>
      <c r="AJ88" s="58"/>
      <c r="AK88" s="58"/>
      <c r="AL88" s="58"/>
      <c r="AM88" s="58"/>
      <c r="AN88" s="58"/>
    </row>
    <row r="89" spans="2:40">
      <c r="B89" s="74" t="s">
        <v>545</v>
      </c>
      <c r="C89" s="58"/>
      <c r="D89" s="58"/>
      <c r="E89" s="58"/>
      <c r="F89" s="58"/>
      <c r="G89" s="58"/>
      <c r="H89" s="58"/>
      <c r="I89" s="58"/>
      <c r="J89" s="58"/>
      <c r="L89" s="58"/>
      <c r="M89" s="58"/>
      <c r="N89" s="58"/>
      <c r="O89" s="58"/>
      <c r="P89" s="58"/>
      <c r="Q89" s="58"/>
      <c r="R89" s="58"/>
      <c r="S89" s="58"/>
      <c r="T89" s="58"/>
      <c r="U89" s="58"/>
      <c r="V89" s="58"/>
      <c r="W89" s="58"/>
      <c r="X89" s="58"/>
      <c r="Y89" s="58"/>
      <c r="Z89" s="58"/>
      <c r="AA89" s="58"/>
      <c r="AB89" s="58"/>
      <c r="AD89" s="58"/>
      <c r="AE89" s="58"/>
      <c r="AF89" s="58"/>
      <c r="AG89" s="58"/>
      <c r="AH89" s="58"/>
      <c r="AI89" s="58"/>
      <c r="AJ89" s="58"/>
      <c r="AK89" s="58"/>
      <c r="AL89" s="58"/>
      <c r="AM89" s="58"/>
      <c r="AN89" s="58"/>
    </row>
    <row r="90" spans="2:40">
      <c r="B90" s="74"/>
      <c r="C90" s="58"/>
      <c r="D90" s="58"/>
      <c r="E90" s="58"/>
      <c r="F90" s="58"/>
      <c r="G90" s="58"/>
      <c r="H90" s="58"/>
      <c r="I90" s="58"/>
      <c r="J90" s="58"/>
      <c r="L90" s="58"/>
      <c r="M90" s="58"/>
      <c r="N90" s="58"/>
      <c r="O90" s="58"/>
      <c r="P90" s="58"/>
      <c r="Q90" s="58"/>
      <c r="R90" s="58"/>
      <c r="S90" s="58"/>
      <c r="T90" s="58"/>
      <c r="U90" s="58"/>
      <c r="V90" s="58"/>
      <c r="W90" s="58"/>
      <c r="X90" s="58"/>
      <c r="Y90" s="58"/>
      <c r="Z90" s="58"/>
      <c r="AA90" s="58"/>
      <c r="AB90" s="58"/>
      <c r="AD90" s="58"/>
      <c r="AE90" s="58"/>
      <c r="AF90" s="58"/>
      <c r="AG90" s="58"/>
      <c r="AH90" s="58"/>
      <c r="AI90" s="58"/>
      <c r="AJ90" s="58"/>
      <c r="AK90" s="58"/>
      <c r="AL90" s="58"/>
      <c r="AM90" s="58"/>
      <c r="AN90" s="58"/>
    </row>
    <row r="91" spans="2:40">
      <c r="B91" s="74" t="s">
        <v>255</v>
      </c>
      <c r="C91" s="58"/>
      <c r="D91" s="58"/>
      <c r="E91" s="58"/>
      <c r="F91" s="58"/>
      <c r="G91" s="58"/>
      <c r="H91" s="58"/>
      <c r="I91" s="58"/>
      <c r="J91" s="58"/>
      <c r="L91" s="58"/>
      <c r="M91" s="58"/>
      <c r="N91" s="58"/>
      <c r="O91" s="58"/>
      <c r="P91" s="58"/>
      <c r="Q91" s="58"/>
      <c r="R91" s="58"/>
      <c r="S91" s="58"/>
      <c r="T91" s="58"/>
      <c r="U91" s="58"/>
      <c r="V91" s="58"/>
      <c r="W91" s="58"/>
      <c r="X91" s="58"/>
      <c r="Y91" s="58"/>
      <c r="Z91" s="58"/>
      <c r="AA91" s="58"/>
      <c r="AB91" s="58"/>
      <c r="AD91" s="58"/>
      <c r="AE91" s="58"/>
      <c r="AF91" s="58"/>
      <c r="AG91" s="58"/>
      <c r="AH91" s="58"/>
      <c r="AI91" s="58"/>
      <c r="AJ91" s="58"/>
      <c r="AK91" s="58"/>
      <c r="AL91" s="58"/>
      <c r="AM91" s="58"/>
      <c r="AN91" s="58"/>
    </row>
    <row r="92" spans="2:40">
      <c r="B92" s="74"/>
      <c r="C92" s="58"/>
      <c r="D92" s="58"/>
      <c r="E92" s="58"/>
      <c r="F92" s="58"/>
      <c r="G92" s="58"/>
      <c r="H92" s="58"/>
      <c r="I92" s="58"/>
      <c r="J92" s="58"/>
    </row>
    <row r="93" spans="2:40">
      <c r="B93" s="74"/>
      <c r="C93" s="58"/>
      <c r="D93" s="58"/>
      <c r="E93" s="58"/>
      <c r="F93" s="58"/>
      <c r="G93" s="58"/>
      <c r="H93" s="58"/>
      <c r="I93" s="58"/>
      <c r="J93" s="58"/>
      <c r="L93" s="74" t="s">
        <v>576</v>
      </c>
      <c r="M93" s="58"/>
      <c r="N93" s="58"/>
      <c r="O93" s="58"/>
      <c r="P93" s="58"/>
      <c r="Q93" s="58"/>
      <c r="R93" s="58"/>
      <c r="S93" s="58"/>
      <c r="T93" s="58"/>
      <c r="U93" s="58"/>
      <c r="V93" s="58"/>
      <c r="W93" s="58"/>
      <c r="X93" s="58"/>
      <c r="Y93" s="58"/>
      <c r="Z93" s="58"/>
      <c r="AA93" s="58"/>
      <c r="AB93" s="58"/>
      <c r="AC93" s="58"/>
      <c r="AD93" s="58"/>
      <c r="AE93" s="58"/>
      <c r="AF93" s="58"/>
      <c r="AG93" s="58"/>
      <c r="AH93" s="58"/>
      <c r="AI93" s="58"/>
      <c r="AJ93" s="58"/>
      <c r="AK93" s="58"/>
      <c r="AL93" s="58"/>
      <c r="AM93" s="58"/>
      <c r="AN93" s="58"/>
    </row>
    <row r="94" spans="2:40">
      <c r="B94" s="74"/>
      <c r="C94" s="58"/>
      <c r="D94" s="58"/>
      <c r="E94" s="58"/>
      <c r="F94" s="58"/>
      <c r="G94" s="58"/>
      <c r="H94" s="58"/>
      <c r="I94" s="58"/>
      <c r="J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row>
    <row r="95" spans="2:40">
      <c r="B95" s="74"/>
      <c r="C95" s="58"/>
      <c r="D95" s="58"/>
      <c r="E95" s="58"/>
      <c r="F95" s="58"/>
      <c r="G95" s="58"/>
      <c r="H95" s="58"/>
      <c r="I95" s="58"/>
      <c r="J95" s="58"/>
      <c r="L95" s="74" t="s">
        <v>255</v>
      </c>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row>
    <row r="96" spans="2:40">
      <c r="B96" s="74"/>
      <c r="C96" s="58"/>
      <c r="D96" s="58"/>
      <c r="E96" s="58"/>
      <c r="F96" s="58"/>
      <c r="G96" s="58"/>
      <c r="H96" s="58"/>
      <c r="I96" s="58"/>
      <c r="J96" s="58"/>
      <c r="L96" s="58"/>
      <c r="M96" s="58"/>
      <c r="N96" s="58"/>
      <c r="O96" s="58"/>
      <c r="P96" s="58"/>
      <c r="Q96" s="58"/>
      <c r="R96" s="58"/>
      <c r="S96" s="58"/>
      <c r="T96" s="58"/>
      <c r="U96" s="58"/>
      <c r="V96" s="58"/>
      <c r="W96" s="58"/>
      <c r="X96" s="58"/>
      <c r="Y96" s="58"/>
      <c r="Z96" s="58"/>
      <c r="AA96" s="58"/>
      <c r="AB96" s="58"/>
      <c r="AC96" s="58"/>
      <c r="AD96" s="58"/>
      <c r="AE96" s="58"/>
      <c r="AF96" s="58"/>
      <c r="AG96" s="58"/>
      <c r="AH96" s="58"/>
      <c r="AI96" s="58"/>
      <c r="AJ96" s="58"/>
      <c r="AK96" s="58"/>
      <c r="AL96" s="58"/>
      <c r="AM96" s="58"/>
      <c r="AN96" s="58"/>
    </row>
    <row r="97" spans="2:40">
      <c r="B97" s="74"/>
      <c r="C97" s="58"/>
      <c r="D97" s="58"/>
      <c r="E97" s="58"/>
      <c r="F97" s="58"/>
      <c r="G97" s="58"/>
      <c r="H97" s="58"/>
      <c r="I97" s="58"/>
      <c r="J97" s="58"/>
      <c r="L97" s="58"/>
      <c r="M97" s="58"/>
      <c r="N97" s="58"/>
      <c r="O97" s="58"/>
      <c r="P97" s="58"/>
      <c r="Q97" s="58"/>
      <c r="R97" s="58"/>
      <c r="S97" s="58"/>
      <c r="T97" s="58"/>
      <c r="U97" s="58"/>
      <c r="V97" s="58"/>
      <c r="W97" s="58"/>
      <c r="X97" s="58"/>
      <c r="Y97" s="58"/>
      <c r="Z97" s="58"/>
      <c r="AA97" s="58"/>
      <c r="AB97" s="58"/>
      <c r="AC97" s="58"/>
      <c r="AD97" s="58"/>
      <c r="AE97" s="58"/>
      <c r="AF97" s="58"/>
      <c r="AG97" s="58"/>
      <c r="AH97" s="58"/>
      <c r="AI97" s="58"/>
      <c r="AJ97" s="58"/>
      <c r="AK97" s="58"/>
      <c r="AL97" s="58"/>
      <c r="AM97" s="58"/>
      <c r="AN97" s="58"/>
    </row>
    <row r="98" spans="2:40">
      <c r="B98" s="58"/>
      <c r="C98" s="58"/>
      <c r="D98" s="58"/>
      <c r="E98" s="58"/>
      <c r="F98" s="58"/>
      <c r="G98" s="58"/>
      <c r="H98" s="58"/>
      <c r="I98" s="58"/>
      <c r="J98" s="58"/>
      <c r="L98" s="58"/>
      <c r="M98" s="58"/>
      <c r="N98" s="58"/>
      <c r="O98" s="58"/>
      <c r="P98" s="58"/>
      <c r="Q98" s="58"/>
      <c r="R98" s="58"/>
      <c r="S98" s="58"/>
      <c r="T98" s="58"/>
      <c r="U98" s="58"/>
      <c r="V98" s="58"/>
      <c r="W98" s="58"/>
      <c r="X98" s="58"/>
      <c r="Y98" s="58"/>
      <c r="Z98" s="58"/>
      <c r="AA98" s="58"/>
      <c r="AB98" s="58"/>
      <c r="AC98" s="58"/>
      <c r="AD98" s="58"/>
      <c r="AE98" s="58"/>
      <c r="AF98" s="58"/>
      <c r="AG98" s="58"/>
      <c r="AH98" s="58"/>
      <c r="AI98" s="58"/>
      <c r="AJ98" s="58"/>
      <c r="AK98" s="58"/>
      <c r="AL98" s="58"/>
      <c r="AM98" s="58"/>
      <c r="AN98" s="58"/>
    </row>
    <row r="99" spans="2:40">
      <c r="B99" s="58"/>
      <c r="C99" s="58"/>
      <c r="D99" s="58"/>
      <c r="E99" s="58"/>
      <c r="F99" s="58"/>
      <c r="G99" s="58"/>
      <c r="H99" s="58"/>
      <c r="I99" s="58"/>
      <c r="J99" s="58"/>
      <c r="L99" s="58"/>
      <c r="M99" s="58"/>
      <c r="N99" s="58"/>
      <c r="O99" s="58"/>
      <c r="P99" s="58"/>
      <c r="Q99" s="58"/>
      <c r="R99" s="58"/>
      <c r="S99" s="58"/>
      <c r="T99" s="58"/>
      <c r="U99" s="58"/>
      <c r="V99" s="58"/>
      <c r="W99" s="58"/>
      <c r="X99" s="58"/>
      <c r="Y99" s="58"/>
      <c r="Z99" s="58"/>
      <c r="AA99" s="58"/>
      <c r="AB99" s="58"/>
      <c r="AC99" s="58"/>
      <c r="AD99" s="58"/>
      <c r="AE99" s="58"/>
      <c r="AF99" s="58"/>
      <c r="AG99" s="58"/>
      <c r="AH99" s="58"/>
      <c r="AI99" s="58"/>
      <c r="AJ99" s="58"/>
      <c r="AK99" s="58"/>
      <c r="AL99" s="58"/>
      <c r="AM99" s="58"/>
      <c r="AN99" s="58"/>
    </row>
    <row r="100" spans="2:40">
      <c r="B100" s="58"/>
      <c r="C100" s="58"/>
      <c r="D100" s="58"/>
      <c r="E100" s="58"/>
      <c r="F100" s="58"/>
      <c r="G100" s="58"/>
      <c r="H100" s="58"/>
      <c r="I100" s="58"/>
      <c r="J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row>
    <row r="101" spans="2:40">
      <c r="B101" s="58"/>
      <c r="C101" s="58"/>
      <c r="D101" s="58"/>
      <c r="E101" s="58"/>
      <c r="F101" s="58"/>
      <c r="G101" s="58"/>
      <c r="H101" s="58"/>
      <c r="I101" s="58"/>
      <c r="J101" s="58"/>
      <c r="L101" s="58"/>
      <c r="M101" s="58"/>
      <c r="N101" s="58"/>
      <c r="O101" s="58"/>
      <c r="P101" s="58"/>
      <c r="Q101" s="58"/>
      <c r="R101" s="58"/>
      <c r="S101" s="58"/>
      <c r="T101" s="58"/>
      <c r="U101" s="58"/>
      <c r="V101" s="58"/>
      <c r="W101" s="58"/>
      <c r="X101" s="58"/>
      <c r="Y101" s="58"/>
      <c r="Z101" s="58"/>
      <c r="AA101" s="58"/>
      <c r="AB101" s="58"/>
      <c r="AC101" s="58"/>
      <c r="AD101" s="58"/>
      <c r="AE101" s="58"/>
      <c r="AF101" s="58"/>
      <c r="AG101" s="58"/>
      <c r="AH101" s="58"/>
      <c r="AI101" s="58"/>
      <c r="AJ101" s="58"/>
      <c r="AK101" s="58"/>
      <c r="AL101" s="58"/>
      <c r="AM101" s="58"/>
      <c r="AN101" s="58"/>
    </row>
    <row r="102" spans="2:40">
      <c r="B102" s="58"/>
      <c r="C102" s="58"/>
      <c r="D102" s="58"/>
      <c r="E102" s="58"/>
      <c r="F102" s="58"/>
      <c r="G102" s="58"/>
      <c r="H102" s="58"/>
      <c r="I102" s="58"/>
      <c r="J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row>
    <row r="103" spans="2:40">
      <c r="B103" s="58"/>
      <c r="C103" s="58"/>
      <c r="D103" s="58"/>
      <c r="E103" s="58"/>
      <c r="F103" s="58"/>
      <c r="G103" s="58"/>
      <c r="H103" s="58"/>
      <c r="I103" s="58"/>
      <c r="J103" s="58"/>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row>
    <row r="104" spans="2:40">
      <c r="B104" s="58"/>
      <c r="C104" s="58"/>
      <c r="D104" s="58"/>
      <c r="E104" s="58"/>
      <c r="F104" s="58"/>
      <c r="G104" s="58"/>
      <c r="H104" s="58"/>
      <c r="I104" s="58"/>
      <c r="J104" s="58"/>
      <c r="L104" s="58"/>
      <c r="M104" s="58"/>
      <c r="N104" s="58"/>
      <c r="O104" s="58"/>
      <c r="P104" s="58"/>
      <c r="Q104" s="58"/>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row>
    <row r="105" spans="2:40">
      <c r="B105" s="58"/>
      <c r="C105" s="58"/>
      <c r="D105" s="58"/>
      <c r="E105" s="58"/>
      <c r="F105" s="58"/>
      <c r="G105" s="58"/>
      <c r="H105" s="58"/>
      <c r="I105" s="58"/>
      <c r="J105" s="58"/>
      <c r="L105" s="58"/>
      <c r="M105" s="58"/>
      <c r="N105" s="58"/>
      <c r="O105" s="58"/>
      <c r="P105" s="58"/>
      <c r="Q105" s="58"/>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row>
    <row r="106" spans="2:40">
      <c r="B106" s="58"/>
      <c r="C106" s="58"/>
      <c r="D106" s="58"/>
      <c r="E106" s="58"/>
      <c r="F106" s="58"/>
      <c r="G106" s="58"/>
      <c r="H106" s="58"/>
      <c r="I106" s="58"/>
      <c r="J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row>
    <row r="107" spans="2:40">
      <c r="B107" s="58"/>
      <c r="C107" s="58"/>
      <c r="D107" s="58"/>
      <c r="E107" s="58"/>
      <c r="F107" s="58"/>
      <c r="G107" s="58"/>
      <c r="H107" s="58"/>
      <c r="I107" s="58"/>
      <c r="J107" s="58"/>
      <c r="L107" s="58"/>
      <c r="M107" s="58"/>
      <c r="N107" s="58"/>
      <c r="O107" s="58"/>
      <c r="P107" s="58"/>
      <c r="Q107" s="58"/>
      <c r="R107" s="58"/>
      <c r="S107" s="58"/>
      <c r="T107" s="58"/>
      <c r="U107" s="58"/>
      <c r="V107" s="58"/>
      <c r="W107" s="58"/>
      <c r="X107" s="58"/>
      <c r="Y107" s="58"/>
      <c r="Z107" s="58"/>
      <c r="AA107" s="58"/>
      <c r="AB107" s="58"/>
      <c r="AC107" s="58"/>
      <c r="AD107" s="58"/>
      <c r="AE107" s="58"/>
      <c r="AF107" s="58"/>
      <c r="AG107" s="58"/>
      <c r="AH107" s="58"/>
      <c r="AI107" s="58"/>
      <c r="AJ107" s="58"/>
      <c r="AK107" s="58"/>
      <c r="AL107" s="58"/>
      <c r="AM107" s="58"/>
      <c r="AN107" s="58"/>
    </row>
    <row r="108" spans="2:40">
      <c r="B108" s="58"/>
      <c r="C108" s="58"/>
      <c r="D108" s="58"/>
      <c r="E108" s="58"/>
      <c r="F108" s="58"/>
      <c r="G108" s="58"/>
      <c r="H108" s="58"/>
      <c r="I108" s="58"/>
      <c r="J108" s="58"/>
      <c r="L108" s="58"/>
      <c r="M108" s="58"/>
      <c r="N108" s="58"/>
      <c r="O108" s="58"/>
      <c r="P108" s="58"/>
      <c r="Q108" s="58"/>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row>
    <row r="109" spans="2:40">
      <c r="B109" s="58"/>
      <c r="C109" s="58"/>
      <c r="D109" s="58"/>
      <c r="E109" s="58"/>
      <c r="F109" s="58"/>
      <c r="G109" s="58"/>
      <c r="H109" s="58"/>
      <c r="I109" s="58"/>
      <c r="J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row>
    <row r="110" spans="2:40">
      <c r="B110" s="58"/>
      <c r="C110" s="58"/>
      <c r="D110" s="58"/>
      <c r="E110" s="58"/>
      <c r="F110" s="58"/>
      <c r="G110" s="58"/>
      <c r="H110" s="58"/>
      <c r="I110" s="58"/>
      <c r="J110" s="58"/>
      <c r="L110" s="58"/>
      <c r="M110" s="58"/>
      <c r="N110" s="58"/>
      <c r="O110" s="58"/>
      <c r="P110" s="58"/>
      <c r="Q110" s="58"/>
      <c r="R110" s="58"/>
      <c r="S110" s="58"/>
      <c r="T110" s="58"/>
      <c r="U110" s="58"/>
      <c r="V110" s="58"/>
      <c r="W110" s="58"/>
      <c r="X110" s="58"/>
      <c r="Y110" s="58"/>
      <c r="Z110" s="58"/>
      <c r="AA110" s="58"/>
      <c r="AB110" s="58"/>
      <c r="AC110" s="58"/>
      <c r="AD110" s="58"/>
      <c r="AE110" s="58"/>
      <c r="AF110" s="58"/>
      <c r="AG110" s="58"/>
      <c r="AH110" s="58"/>
      <c r="AI110" s="58"/>
      <c r="AJ110" s="58"/>
      <c r="AK110" s="58"/>
      <c r="AL110" s="58"/>
      <c r="AM110" s="58"/>
      <c r="AN110" s="58"/>
    </row>
    <row r="111" spans="2:40">
      <c r="B111" s="58"/>
      <c r="C111" s="58"/>
      <c r="D111" s="58"/>
      <c r="E111" s="58"/>
      <c r="F111" s="58"/>
      <c r="G111" s="58"/>
      <c r="H111" s="58"/>
      <c r="I111" s="58"/>
      <c r="J111" s="58"/>
      <c r="L111" s="58"/>
      <c r="M111" s="58"/>
      <c r="N111" s="58"/>
      <c r="O111" s="58"/>
      <c r="P111" s="58"/>
      <c r="Q111" s="58"/>
      <c r="R111" s="58"/>
      <c r="S111" s="58"/>
      <c r="T111" s="58"/>
      <c r="U111" s="58"/>
      <c r="V111" s="58"/>
      <c r="W111" s="58"/>
      <c r="X111" s="58"/>
      <c r="Y111" s="58"/>
      <c r="Z111" s="58"/>
      <c r="AA111" s="58"/>
      <c r="AB111" s="58"/>
      <c r="AC111" s="58"/>
      <c r="AD111" s="58"/>
      <c r="AE111" s="58"/>
      <c r="AF111" s="58"/>
      <c r="AG111" s="58"/>
      <c r="AH111" s="58"/>
      <c r="AI111" s="58"/>
      <c r="AJ111" s="58"/>
      <c r="AK111" s="58"/>
      <c r="AL111" s="58"/>
      <c r="AM111" s="58"/>
      <c r="AN111" s="58"/>
    </row>
    <row r="112" spans="2:40">
      <c r="B112" s="58"/>
      <c r="C112" s="58"/>
      <c r="D112" s="58"/>
      <c r="E112" s="58"/>
      <c r="F112" s="58"/>
      <c r="G112" s="58"/>
      <c r="H112" s="58"/>
      <c r="I112" s="58"/>
      <c r="J112" s="58"/>
      <c r="L112" s="58"/>
      <c r="M112" s="58"/>
      <c r="N112" s="58"/>
      <c r="O112" s="58"/>
      <c r="P112" s="58"/>
      <c r="Q112" s="58"/>
      <c r="R112" s="58"/>
      <c r="S112" s="324"/>
      <c r="T112" s="324"/>
      <c r="U112" s="324"/>
      <c r="V112" s="324"/>
      <c r="W112" s="324"/>
      <c r="X112" s="324"/>
      <c r="Y112" s="324"/>
      <c r="Z112" s="324"/>
      <c r="AA112" s="324"/>
      <c r="AB112" s="324"/>
      <c r="AC112" s="324"/>
      <c r="AD112" s="324"/>
      <c r="AE112" s="58"/>
      <c r="AF112" s="58"/>
      <c r="AG112" s="58"/>
      <c r="AH112" s="58"/>
      <c r="AI112" s="58"/>
      <c r="AJ112" s="58"/>
      <c r="AK112" s="58"/>
      <c r="AL112" s="58"/>
      <c r="AM112" s="58"/>
      <c r="AN112" s="58"/>
    </row>
    <row r="113" spans="2:40">
      <c r="B113" s="58"/>
      <c r="C113" s="58"/>
      <c r="D113" s="58"/>
      <c r="E113" s="58"/>
      <c r="F113" s="58"/>
      <c r="G113" s="58"/>
      <c r="H113" s="58"/>
      <c r="I113" s="58"/>
      <c r="J113" s="58"/>
      <c r="L113" s="58"/>
      <c r="M113" s="58"/>
      <c r="N113" s="58"/>
      <c r="O113" s="58"/>
      <c r="P113" s="58"/>
      <c r="Q113" s="58"/>
      <c r="R113" s="58"/>
      <c r="S113" s="324"/>
      <c r="T113" s="324"/>
      <c r="U113" s="324"/>
      <c r="V113" s="324"/>
      <c r="W113" s="324"/>
      <c r="X113" s="324"/>
      <c r="Y113" s="324"/>
      <c r="Z113" s="324"/>
      <c r="AA113" s="324"/>
      <c r="AB113" s="324"/>
      <c r="AC113" s="324"/>
      <c r="AD113" s="324"/>
      <c r="AE113" s="58"/>
      <c r="AF113" s="58"/>
      <c r="AG113" s="58"/>
      <c r="AH113" s="58"/>
      <c r="AI113" s="58"/>
      <c r="AJ113" s="58"/>
      <c r="AK113" s="58"/>
      <c r="AL113" s="58"/>
      <c r="AM113" s="58"/>
      <c r="AN113" s="58"/>
    </row>
    <row r="114" spans="2:40">
      <c r="B114" s="58"/>
      <c r="C114" s="58"/>
      <c r="D114" s="58"/>
      <c r="E114" s="58"/>
      <c r="F114" s="58"/>
      <c r="G114" s="58"/>
      <c r="H114" s="58"/>
      <c r="I114" s="58"/>
      <c r="J114" s="58"/>
      <c r="L114" s="58"/>
      <c r="M114" s="58"/>
      <c r="N114" s="58"/>
      <c r="O114" s="58"/>
      <c r="P114" s="58"/>
      <c r="Q114" s="58"/>
      <c r="R114" s="58"/>
      <c r="S114" s="58"/>
      <c r="T114" s="58"/>
      <c r="U114" s="58"/>
      <c r="V114" s="58"/>
      <c r="W114" s="58"/>
      <c r="X114" s="58"/>
      <c r="Y114" s="58"/>
      <c r="Z114" s="58"/>
      <c r="AA114" s="58"/>
      <c r="AB114" s="58"/>
      <c r="AC114" s="58"/>
      <c r="AD114" s="58"/>
      <c r="AE114" s="58"/>
      <c r="AF114" s="58"/>
      <c r="AG114" s="58"/>
      <c r="AH114" s="58"/>
      <c r="AI114" s="58"/>
      <c r="AJ114" s="58"/>
      <c r="AK114" s="58"/>
      <c r="AL114" s="58"/>
      <c r="AM114" s="58"/>
      <c r="AN114" s="58"/>
    </row>
    <row r="115" spans="2:40">
      <c r="B115" s="58"/>
      <c r="C115" s="58"/>
      <c r="D115" s="58"/>
      <c r="E115" s="58"/>
      <c r="F115" s="58"/>
      <c r="G115" s="58"/>
      <c r="H115" s="58"/>
      <c r="I115" s="58"/>
      <c r="J115" s="58"/>
      <c r="L115" s="58"/>
      <c r="M115" s="58"/>
      <c r="N115" s="58"/>
      <c r="O115" s="58"/>
      <c r="P115" s="58"/>
      <c r="Q115" s="58"/>
      <c r="R115" s="58"/>
      <c r="S115" s="58"/>
      <c r="T115" s="58"/>
      <c r="U115" s="58"/>
      <c r="V115" s="58"/>
      <c r="W115" s="58"/>
      <c r="X115" s="58"/>
      <c r="Y115" s="58"/>
      <c r="Z115" s="58"/>
      <c r="AA115" s="58"/>
      <c r="AB115" s="58"/>
      <c r="AC115" s="58"/>
      <c r="AD115" s="58"/>
      <c r="AE115" s="58"/>
      <c r="AF115" s="58"/>
      <c r="AG115" s="58"/>
      <c r="AH115" s="58"/>
      <c r="AI115" s="58"/>
      <c r="AJ115" s="58"/>
      <c r="AK115" s="58"/>
      <c r="AL115" s="58"/>
      <c r="AM115" s="58"/>
      <c r="AN115" s="58"/>
    </row>
    <row r="116" spans="2:40">
      <c r="B116" s="58"/>
      <c r="C116" s="58"/>
      <c r="D116" s="58"/>
      <c r="E116" s="58"/>
      <c r="F116" s="58"/>
      <c r="G116" s="58"/>
      <c r="H116" s="58"/>
      <c r="I116" s="58"/>
      <c r="J116" s="58"/>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row>
    <row r="117" spans="2:40">
      <c r="B117" s="58"/>
      <c r="C117" s="58"/>
      <c r="D117" s="58"/>
      <c r="E117" s="58"/>
      <c r="F117" s="58"/>
      <c r="G117" s="58"/>
      <c r="H117" s="58"/>
      <c r="I117" s="58"/>
      <c r="J117" s="58"/>
      <c r="L117" s="58"/>
      <c r="M117" s="58"/>
      <c r="N117" s="58"/>
      <c r="O117" s="58"/>
      <c r="P117" s="58"/>
      <c r="Q117" s="58"/>
      <c r="R117" s="58"/>
      <c r="S117" s="58"/>
      <c r="T117" s="58"/>
      <c r="U117" s="58"/>
      <c r="V117" s="58"/>
      <c r="W117" s="58"/>
      <c r="X117" s="58"/>
      <c r="Y117" s="58"/>
      <c r="Z117" s="58"/>
      <c r="AA117" s="58"/>
      <c r="AB117" s="58"/>
      <c r="AC117" s="58"/>
      <c r="AD117" s="58"/>
      <c r="AE117" s="58"/>
      <c r="AF117" s="58"/>
      <c r="AG117" s="58"/>
      <c r="AH117" s="58"/>
      <c r="AI117" s="58"/>
      <c r="AJ117" s="58"/>
      <c r="AK117" s="58"/>
      <c r="AL117" s="58"/>
      <c r="AM117" s="58"/>
      <c r="AN117" s="58"/>
    </row>
    <row r="118" spans="2:40">
      <c r="B118" s="58"/>
      <c r="C118" s="58"/>
      <c r="D118" s="58"/>
      <c r="E118" s="58"/>
      <c r="F118" s="58"/>
      <c r="G118" s="58"/>
      <c r="H118" s="58"/>
      <c r="I118" s="58"/>
      <c r="J118" s="58"/>
      <c r="L118" s="58"/>
      <c r="M118" s="58"/>
      <c r="N118" s="58"/>
      <c r="O118" s="58"/>
      <c r="P118" s="58"/>
      <c r="Q118" s="58"/>
      <c r="R118" s="58"/>
      <c r="S118" s="58"/>
      <c r="T118" s="58"/>
      <c r="U118" s="58"/>
      <c r="V118" s="58"/>
      <c r="W118" s="58"/>
      <c r="X118" s="58"/>
      <c r="Y118" s="58"/>
      <c r="Z118" s="58"/>
      <c r="AA118" s="58"/>
      <c r="AB118" s="58"/>
      <c r="AC118" s="58"/>
      <c r="AD118" s="58"/>
      <c r="AE118" s="58"/>
      <c r="AF118" s="58"/>
      <c r="AG118" s="58"/>
      <c r="AH118" s="58"/>
      <c r="AI118" s="58"/>
      <c r="AJ118" s="58"/>
      <c r="AK118" s="58"/>
      <c r="AL118" s="58"/>
      <c r="AM118" s="58"/>
      <c r="AN118" s="58"/>
    </row>
    <row r="119" spans="2:40">
      <c r="B119" s="58"/>
      <c r="C119" s="58"/>
      <c r="D119" s="58"/>
      <c r="E119" s="58"/>
      <c r="F119" s="58"/>
      <c r="G119" s="58"/>
      <c r="H119" s="58"/>
      <c r="I119" s="58"/>
      <c r="J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row>
    <row r="120" spans="2:40">
      <c r="B120" s="58"/>
      <c r="C120" s="58"/>
      <c r="D120" s="58"/>
      <c r="E120" s="58"/>
      <c r="F120" s="58"/>
      <c r="G120" s="58"/>
      <c r="H120" s="58"/>
      <c r="I120" s="58"/>
      <c r="J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row>
    <row r="121" spans="2:40">
      <c r="B121" s="58"/>
      <c r="C121" s="58"/>
      <c r="D121" s="58"/>
      <c r="E121" s="58"/>
      <c r="F121" s="58"/>
      <c r="G121" s="58"/>
      <c r="H121" s="58"/>
      <c r="I121" s="58"/>
      <c r="J121" s="58"/>
      <c r="L121" s="58"/>
      <c r="M121" s="58"/>
      <c r="N121" s="58"/>
      <c r="O121" s="58"/>
      <c r="P121" s="58"/>
      <c r="Q121" s="58"/>
      <c r="R121" s="58"/>
      <c r="S121" s="58"/>
      <c r="T121" s="58"/>
      <c r="U121" s="58"/>
      <c r="V121" s="58"/>
      <c r="W121" s="58"/>
      <c r="X121" s="58"/>
      <c r="Y121" s="58"/>
      <c r="Z121" s="58"/>
      <c r="AA121" s="58"/>
      <c r="AB121" s="58"/>
      <c r="AC121" s="58"/>
      <c r="AD121" s="58"/>
      <c r="AE121" s="58"/>
      <c r="AF121" s="58"/>
      <c r="AG121" s="58"/>
      <c r="AH121" s="58"/>
      <c r="AI121" s="58"/>
      <c r="AJ121" s="58"/>
      <c r="AK121" s="58"/>
      <c r="AL121" s="58"/>
      <c r="AM121" s="58"/>
      <c r="AN121" s="58"/>
    </row>
    <row r="122" spans="2:40">
      <c r="B122" s="58"/>
      <c r="C122" s="58"/>
      <c r="D122" s="58"/>
      <c r="E122" s="58"/>
      <c r="F122" s="58"/>
      <c r="G122" s="58"/>
      <c r="H122" s="58"/>
      <c r="I122" s="58"/>
      <c r="J122" s="58"/>
      <c r="L122" s="58"/>
      <c r="M122" s="58"/>
      <c r="N122" s="58"/>
      <c r="O122" s="58"/>
      <c r="P122" s="58"/>
      <c r="Q122" s="58"/>
      <c r="R122" s="58"/>
      <c r="S122" s="58"/>
      <c r="T122" s="58"/>
      <c r="U122" s="58"/>
      <c r="V122" s="58"/>
      <c r="W122" s="58"/>
      <c r="X122" s="58"/>
      <c r="Y122" s="58"/>
      <c r="Z122" s="58"/>
      <c r="AA122" s="58"/>
      <c r="AB122" s="58"/>
      <c r="AC122" s="58"/>
      <c r="AD122" s="58"/>
      <c r="AE122" s="58"/>
      <c r="AF122" s="58"/>
      <c r="AG122" s="58"/>
      <c r="AH122" s="58"/>
      <c r="AI122" s="58"/>
      <c r="AJ122" s="58"/>
      <c r="AK122" s="58"/>
      <c r="AL122" s="58"/>
      <c r="AM122" s="58"/>
      <c r="AN122" s="58"/>
    </row>
    <row r="123" spans="2:40">
      <c r="B123" s="58"/>
      <c r="C123" s="58"/>
      <c r="D123" s="58"/>
      <c r="E123" s="58"/>
      <c r="F123" s="58"/>
      <c r="G123" s="58"/>
      <c r="H123" s="58"/>
      <c r="I123" s="58"/>
      <c r="J123" s="58"/>
      <c r="L123" s="58"/>
      <c r="M123" s="58"/>
      <c r="N123" s="58"/>
      <c r="O123" s="58"/>
      <c r="P123" s="58"/>
      <c r="Q123" s="58"/>
      <c r="R123" s="58"/>
      <c r="S123" s="58"/>
      <c r="T123" s="58"/>
      <c r="U123" s="58"/>
      <c r="V123" s="58"/>
      <c r="W123" s="58"/>
      <c r="X123" s="58"/>
      <c r="Y123" s="58"/>
      <c r="Z123" s="58"/>
      <c r="AA123" s="58"/>
      <c r="AB123" s="58"/>
      <c r="AC123" s="58"/>
      <c r="AD123" s="58"/>
      <c r="AE123" s="58"/>
      <c r="AF123" s="58"/>
      <c r="AG123" s="58"/>
      <c r="AH123" s="58"/>
      <c r="AI123" s="58"/>
      <c r="AJ123" s="58"/>
      <c r="AK123" s="58"/>
      <c r="AL123" s="58"/>
      <c r="AM123" s="58"/>
      <c r="AN123" s="58"/>
    </row>
    <row r="124" spans="2:40">
      <c r="B124" s="58"/>
      <c r="C124" s="58"/>
      <c r="D124" s="58"/>
      <c r="E124" s="58"/>
      <c r="F124" s="58"/>
      <c r="G124" s="58"/>
      <c r="H124" s="58"/>
      <c r="I124" s="58"/>
      <c r="J124" s="58"/>
      <c r="L124" s="58"/>
      <c r="M124" s="58"/>
      <c r="N124" s="58"/>
      <c r="O124" s="58"/>
      <c r="P124" s="58"/>
      <c r="Q124" s="58"/>
      <c r="R124" s="58"/>
      <c r="S124" s="58"/>
      <c r="T124" s="58"/>
      <c r="U124" s="58"/>
      <c r="V124" s="58"/>
      <c r="W124" s="58"/>
      <c r="X124" s="58"/>
      <c r="Y124" s="58"/>
      <c r="Z124" s="58"/>
      <c r="AA124" s="58"/>
      <c r="AB124" s="58"/>
      <c r="AC124" s="58"/>
      <c r="AD124" s="58"/>
      <c r="AE124" s="58"/>
      <c r="AF124" s="58"/>
      <c r="AG124" s="58"/>
      <c r="AH124" s="58"/>
      <c r="AI124" s="58"/>
      <c r="AJ124" s="58"/>
      <c r="AK124" s="58"/>
      <c r="AL124" s="58"/>
      <c r="AM124" s="58"/>
      <c r="AN124" s="58"/>
    </row>
    <row r="125" spans="2:40">
      <c r="B125" s="58"/>
      <c r="C125" s="58"/>
      <c r="D125" s="58"/>
      <c r="E125" s="58"/>
      <c r="F125" s="58"/>
      <c r="G125" s="58"/>
      <c r="H125" s="58"/>
      <c r="I125" s="58"/>
      <c r="J125" s="58"/>
      <c r="L125" s="58"/>
      <c r="M125" s="58"/>
      <c r="N125" s="58"/>
      <c r="O125" s="58"/>
      <c r="P125" s="58"/>
      <c r="Q125" s="58"/>
      <c r="R125" s="58"/>
      <c r="S125" s="58"/>
      <c r="T125" s="58"/>
      <c r="U125" s="58"/>
      <c r="V125" s="58"/>
      <c r="W125" s="58"/>
      <c r="X125" s="58"/>
      <c r="Y125" s="58"/>
      <c r="Z125" s="58"/>
      <c r="AA125" s="58"/>
      <c r="AB125" s="58"/>
      <c r="AC125" s="58"/>
      <c r="AD125" s="58"/>
      <c r="AE125" s="58"/>
      <c r="AF125" s="58"/>
      <c r="AG125" s="58"/>
      <c r="AH125" s="58"/>
      <c r="AI125" s="58"/>
      <c r="AJ125" s="58"/>
      <c r="AK125" s="58"/>
      <c r="AL125" s="58"/>
      <c r="AM125" s="58"/>
      <c r="AN125" s="58"/>
    </row>
    <row r="126" spans="2:40">
      <c r="L126" s="58"/>
      <c r="M126" s="58"/>
      <c r="N126" s="58"/>
      <c r="O126" s="58"/>
      <c r="P126" s="58"/>
      <c r="Q126" s="58"/>
      <c r="R126" s="58"/>
      <c r="S126" s="58"/>
      <c r="T126" s="58"/>
      <c r="U126" s="58"/>
      <c r="V126" s="58"/>
      <c r="W126" s="58"/>
      <c r="X126" s="58"/>
      <c r="Y126" s="58"/>
      <c r="Z126" s="58"/>
      <c r="AA126" s="58"/>
      <c r="AB126" s="58"/>
      <c r="AC126" s="58"/>
      <c r="AD126" s="58"/>
      <c r="AE126" s="58"/>
      <c r="AF126" s="58"/>
      <c r="AG126" s="58"/>
      <c r="AH126" s="58"/>
      <c r="AI126" s="58"/>
      <c r="AJ126" s="58"/>
      <c r="AK126" s="58"/>
      <c r="AL126" s="58"/>
      <c r="AM126" s="58"/>
      <c r="AN126" s="58"/>
    </row>
    <row r="127" spans="2:40">
      <c r="L127" s="58"/>
      <c r="M127" s="58"/>
      <c r="N127" s="58"/>
      <c r="O127" s="58"/>
      <c r="P127" s="58"/>
      <c r="Q127" s="58"/>
      <c r="R127" s="58"/>
      <c r="S127" s="58"/>
      <c r="T127" s="58"/>
      <c r="U127" s="58"/>
      <c r="V127" s="58"/>
      <c r="W127" s="58"/>
      <c r="X127" s="58"/>
      <c r="Y127" s="58"/>
      <c r="Z127" s="58"/>
      <c r="AA127" s="58"/>
      <c r="AB127" s="58"/>
      <c r="AC127" s="58"/>
      <c r="AD127" s="58"/>
      <c r="AE127" s="58"/>
      <c r="AF127" s="58"/>
      <c r="AG127" s="58"/>
      <c r="AH127" s="58"/>
      <c r="AI127" s="58"/>
      <c r="AJ127" s="58"/>
      <c r="AK127" s="58"/>
      <c r="AL127" s="58"/>
      <c r="AM127" s="58"/>
      <c r="AN127" s="58"/>
    </row>
    <row r="128" spans="2:40">
      <c r="L128" s="58"/>
      <c r="M128" s="58"/>
      <c r="N128" s="58"/>
      <c r="O128" s="58"/>
      <c r="P128" s="58"/>
      <c r="Q128" s="58"/>
      <c r="R128" s="58"/>
      <c r="S128" s="58"/>
      <c r="T128" s="58"/>
      <c r="U128" s="58"/>
      <c r="V128" s="58"/>
      <c r="W128" s="58"/>
      <c r="X128" s="58"/>
      <c r="Y128" s="58"/>
      <c r="Z128" s="58"/>
      <c r="AA128" s="58"/>
      <c r="AB128" s="58"/>
      <c r="AC128" s="58"/>
      <c r="AD128" s="58"/>
      <c r="AE128" s="58"/>
      <c r="AF128" s="58"/>
      <c r="AG128" s="58"/>
      <c r="AH128" s="58"/>
      <c r="AI128" s="58"/>
      <c r="AJ128" s="58"/>
      <c r="AK128" s="58"/>
      <c r="AL128" s="58"/>
      <c r="AM128" s="58"/>
      <c r="AN128" s="58"/>
    </row>
    <row r="129" spans="12:40">
      <c r="L129" s="58"/>
      <c r="M129" s="58"/>
      <c r="N129" s="58"/>
      <c r="O129" s="58"/>
      <c r="P129" s="58"/>
      <c r="Q129" s="58"/>
      <c r="R129" s="58"/>
      <c r="S129" s="58"/>
      <c r="T129" s="58"/>
      <c r="U129" s="58"/>
      <c r="V129" s="58"/>
      <c r="W129" s="58"/>
      <c r="X129" s="58"/>
      <c r="Y129" s="58"/>
      <c r="Z129" s="58"/>
      <c r="AA129" s="58"/>
      <c r="AB129" s="58"/>
      <c r="AC129" s="58"/>
      <c r="AD129" s="58"/>
      <c r="AE129" s="58"/>
      <c r="AF129" s="58"/>
      <c r="AG129" s="58"/>
      <c r="AH129" s="58"/>
      <c r="AI129" s="58"/>
      <c r="AJ129" s="58"/>
      <c r="AK129" s="58"/>
      <c r="AL129" s="58"/>
      <c r="AM129" s="58"/>
      <c r="AN129" s="58"/>
    </row>
  </sheetData>
  <conditionalFormatting sqref="C7">
    <cfRule type="containsText" dxfId="16" priority="1" operator="containsText" text="Buy">
      <formula>NOT(ISERROR(SEARCH("Buy",C7)))</formula>
    </cfRule>
    <cfRule type="containsText" dxfId="15" priority="2" operator="containsText" text="Sell">
      <formula>NOT(ISERROR(SEARCH("Sell",C7)))</formula>
    </cfRule>
    <cfRule type="expression" dxfId="14" priority="3">
      <formula>"sell"</formula>
    </cfRule>
  </conditionalFormatting>
  <hyperlinks>
    <hyperlink ref="C1" location="Menu!A1" display="MENU" xr:uid="{9E71EF0D-3983-4641-AFF4-1852423FBA58}"/>
    <hyperlink ref="B11" location="Summary!B18" display="Assumptions" xr:uid="{ED2A089B-5A91-4733-B46F-0B5C09C23F91}"/>
    <hyperlink ref="C12" location="Summary!B20" display="General Assumptions" xr:uid="{FEFDB8DC-F83D-40AB-AB84-BC91EC78789A}"/>
    <hyperlink ref="C13" location="Summary!B29" display="Growth Matrix Assumptions" xr:uid="{DBA40F66-C922-41EB-8ECA-D2C8B634F23A}"/>
    <hyperlink ref="C14" location="Summary!B47" display="Stochastic Assmuptions" xr:uid="{997B1218-6566-4551-BD0D-F6E264FC72E3}"/>
    <hyperlink ref="B15" location="Summary!B60" display="Sensitivity Analysis" xr:uid="{5EC3C108-0A9F-440E-9736-65362312BF1B}"/>
    <hyperlink ref="B16" location="Summary!B89" display="Tornado Chart" xr:uid="{0C62317E-D70C-44F5-BA78-B41455D38D69}"/>
    <hyperlink ref="D11" location="Summary!L10" display="Stochastic Models" xr:uid="{FE7C1D49-149D-4B56-A271-FF4AAD8DCD08}"/>
    <hyperlink ref="D12" location="Summary!L68" display="Floating Bar Charts" xr:uid="{CF08F670-615F-4FF7-8A36-2F2660B98784}"/>
    <hyperlink ref="D13" location="Summary!L93" display="DCF Valuation" xr:uid="{550BD69B-D48A-4DDC-945E-742520802822}"/>
    <hyperlink ref="D14" location="Summary!AD56" display="Characteristic Line &amp; DuPont Analysis" xr:uid="{5E2F07A5-6900-413E-AC57-1103E27F535A}"/>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98286-58D2-400F-825E-8B3DE9ED0D19}">
  <dimension ref="A1:C31"/>
  <sheetViews>
    <sheetView workbookViewId="0"/>
  </sheetViews>
  <sheetFormatPr baseColWidth="10" defaultColWidth="8.83203125" defaultRowHeight="15"/>
  <cols>
    <col min="1" max="2" width="36.5" customWidth="1"/>
  </cols>
  <sheetData>
    <row r="1" spans="1:3">
      <c r="A1" s="6" t="s">
        <v>339</v>
      </c>
    </row>
    <row r="3" spans="1:3">
      <c r="A3" t="s">
        <v>340</v>
      </c>
      <c r="B3" t="s">
        <v>341</v>
      </c>
      <c r="C3">
        <v>0</v>
      </c>
    </row>
    <row r="4" spans="1:3">
      <c r="A4" t="s">
        <v>342</v>
      </c>
    </row>
    <row r="5" spans="1:3">
      <c r="A5" t="s">
        <v>343</v>
      </c>
    </row>
    <row r="7" spans="1:3">
      <c r="A7" s="6" t="s">
        <v>344</v>
      </c>
      <c r="B7" t="s">
        <v>345</v>
      </c>
    </row>
    <row r="8" spans="1:3">
      <c r="B8">
        <v>2</v>
      </c>
    </row>
    <row r="10" spans="1:3">
      <c r="A10" t="s">
        <v>346</v>
      </c>
    </row>
    <row r="11" spans="1:3">
      <c r="A11" t="e">
        <f>CB_DATA_!#REF!</f>
        <v>#REF!</v>
      </c>
      <c r="B11" t="e">
        <f>'Control Panel'!#REF!</f>
        <v>#REF!</v>
      </c>
    </row>
    <row r="13" spans="1:3">
      <c r="A13" t="s">
        <v>347</v>
      </c>
    </row>
    <row r="14" spans="1:3">
      <c r="A14" t="s">
        <v>351</v>
      </c>
      <c r="B14" t="s">
        <v>355</v>
      </c>
    </row>
    <row r="16" spans="1:3">
      <c r="A16" t="s">
        <v>348</v>
      </c>
    </row>
    <row r="19" spans="1:2">
      <c r="A19" t="s">
        <v>349</v>
      </c>
    </row>
    <row r="20" spans="1:2">
      <c r="A20">
        <v>28</v>
      </c>
      <c r="B20">
        <v>31</v>
      </c>
    </row>
    <row r="25" spans="1:2">
      <c r="A25" s="6" t="s">
        <v>350</v>
      </c>
    </row>
    <row r="26" spans="1:2">
      <c r="A26" s="237" t="s">
        <v>352</v>
      </c>
      <c r="B26" s="237" t="s">
        <v>356</v>
      </c>
    </row>
    <row r="27" spans="1:2">
      <c r="A27" t="s">
        <v>353</v>
      </c>
      <c r="B27" t="s">
        <v>402</v>
      </c>
    </row>
    <row r="28" spans="1:2">
      <c r="A28" s="237" t="s">
        <v>354</v>
      </c>
      <c r="B28" s="237" t="s">
        <v>354</v>
      </c>
    </row>
    <row r="29" spans="1:2">
      <c r="B29" s="237" t="s">
        <v>352</v>
      </c>
    </row>
    <row r="30" spans="1:2">
      <c r="B30" t="s">
        <v>357</v>
      </c>
    </row>
    <row r="31" spans="1:2">
      <c r="B31" s="237" t="s">
        <v>354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6D8BF4-A3AA-49B4-A72B-4ADB99DED235}">
  <dimension ref="A1:W100"/>
  <sheetViews>
    <sheetView showGridLines="0" zoomScale="58" zoomScaleNormal="58" workbookViewId="0">
      <selection activeCell="L67" sqref="L67"/>
    </sheetView>
  </sheetViews>
  <sheetFormatPr baseColWidth="10" defaultColWidth="8.6640625" defaultRowHeight="15"/>
  <cols>
    <col min="1" max="1" width="23.1640625" style="73" bestFit="1" customWidth="1"/>
    <col min="2" max="2" width="42.83203125" style="73" bestFit="1" customWidth="1"/>
    <col min="3" max="3" width="19.1640625" style="73" bestFit="1" customWidth="1"/>
    <col min="4" max="4" width="14.1640625" style="73" customWidth="1"/>
    <col min="5" max="5" width="13.5" style="73" bestFit="1" customWidth="1"/>
    <col min="6" max="6" width="20.33203125" style="73" bestFit="1" customWidth="1"/>
    <col min="7" max="7" width="17.33203125" style="73" bestFit="1" customWidth="1"/>
    <col min="8" max="8" width="18.1640625" style="73" customWidth="1"/>
    <col min="9" max="9" width="15.33203125" style="73" bestFit="1" customWidth="1"/>
    <col min="10" max="10" width="26.6640625" style="73" customWidth="1"/>
    <col min="11" max="11" width="8.6640625" style="73"/>
    <col min="12" max="12" width="23.83203125" style="73" bestFit="1" customWidth="1"/>
    <col min="13" max="13" width="17.1640625" style="73" bestFit="1" customWidth="1"/>
    <col min="14" max="14" width="9.83203125" style="73" bestFit="1" customWidth="1"/>
    <col min="15" max="15" width="8.6640625" style="73"/>
    <col min="16" max="16" width="9.5" style="73" bestFit="1" customWidth="1"/>
    <col min="17" max="17" width="8.6640625" style="73"/>
    <col min="18" max="18" width="10.1640625" style="73" bestFit="1" customWidth="1"/>
    <col min="19" max="16384" width="8.6640625" style="73"/>
  </cols>
  <sheetData>
    <row r="1" spans="1:13" s="75" customFormat="1" ht="19">
      <c r="B1" s="76" t="s">
        <v>268</v>
      </c>
    </row>
    <row r="2" spans="1:13" s="75" customFormat="1">
      <c r="B2" s="77" t="s">
        <v>262</v>
      </c>
    </row>
    <row r="3" spans="1:13" s="75" customFormat="1">
      <c r="B3" s="77" t="s">
        <v>562</v>
      </c>
    </row>
    <row r="4" spans="1:13" s="75" customFormat="1"/>
    <row r="5" spans="1:13" ht="39.75" customHeight="1">
      <c r="A5" s="363" t="s">
        <v>470</v>
      </c>
      <c r="B5" s="312" t="str">
        <f>C57</f>
        <v>Sell</v>
      </c>
      <c r="C5" s="368"/>
    </row>
    <row r="6" spans="1:13">
      <c r="A6" s="74" t="s">
        <v>124</v>
      </c>
    </row>
    <row r="8" spans="1:13">
      <c r="B8" s="364" t="s">
        <v>125</v>
      </c>
      <c r="C8" s="365"/>
      <c r="D8" s="365"/>
      <c r="H8" s="58"/>
      <c r="I8" s="58"/>
      <c r="J8" s="377" t="s">
        <v>404</v>
      </c>
    </row>
    <row r="9" spans="1:13">
      <c r="B9" s="365" t="s">
        <v>126</v>
      </c>
      <c r="C9" s="15">
        <f>C15</f>
        <v>6.6359053405539714E-2</v>
      </c>
      <c r="D9" s="365" t="str">
        <f ca="1">_xlfn.FORMULATEXT(C9)</f>
        <v>=C15</v>
      </c>
      <c r="H9" s="58"/>
      <c r="I9" s="58"/>
      <c r="J9" s="246">
        <f>C56</f>
        <v>88.593320307572</v>
      </c>
      <c r="L9" s="73" t="s">
        <v>338</v>
      </c>
      <c r="M9" s="226">
        <f>C55*1.03</f>
        <v>96.418300000000002</v>
      </c>
    </row>
    <row r="10" spans="1:13" ht="16">
      <c r="B10" s="365" t="s">
        <v>127</v>
      </c>
      <c r="C10" s="15">
        <v>4.4999999999999998E-2</v>
      </c>
      <c r="D10" s="365" t="s">
        <v>473</v>
      </c>
      <c r="H10" s="247" t="s">
        <v>406</v>
      </c>
      <c r="I10" s="245">
        <v>0.05</v>
      </c>
      <c r="J10" s="244">
        <f t="dataTable" ref="J10:J20" dt2D="0" dtr="0" r1="C9" ca="1"/>
        <v>104.54970567267429</v>
      </c>
    </row>
    <row r="11" spans="1:13">
      <c r="B11" s="365" t="s">
        <v>128</v>
      </c>
      <c r="C11" s="15">
        <f>C13</f>
        <v>1.7000000000000001E-2</v>
      </c>
      <c r="D11" s="365" t="s">
        <v>335</v>
      </c>
      <c r="H11" s="248"/>
      <c r="I11" s="219">
        <f t="shared" ref="I11:I20" si="0">I10+0.0025</f>
        <v>5.2500000000000005E-2</v>
      </c>
      <c r="J11" s="242">
        <v>101.92159215350448</v>
      </c>
      <c r="L11" s="73" t="s">
        <v>337</v>
      </c>
      <c r="M11" s="227">
        <f>C55*0.97</f>
        <v>90.801699999999997</v>
      </c>
    </row>
    <row r="12" spans="1:13">
      <c r="B12" s="365" t="s">
        <v>129</v>
      </c>
      <c r="C12" s="367"/>
      <c r="D12" s="365"/>
      <c r="H12" s="243"/>
      <c r="I12" s="219">
        <f t="shared" si="0"/>
        <v>5.5000000000000007E-2</v>
      </c>
      <c r="J12" s="242">
        <v>99.365045565172906</v>
      </c>
    </row>
    <row r="13" spans="1:13">
      <c r="B13" s="365" t="s">
        <v>130</v>
      </c>
      <c r="C13" s="15">
        <v>1.7000000000000001E-2</v>
      </c>
      <c r="D13" s="365" t="s">
        <v>131</v>
      </c>
      <c r="H13" s="243"/>
      <c r="I13" s="219">
        <f t="shared" si="0"/>
        <v>5.7500000000000009E-2</v>
      </c>
      <c r="J13" s="242">
        <v>96.877928545076486</v>
      </c>
    </row>
    <row r="14" spans="1:13">
      <c r="B14" s="365" t="s">
        <v>132</v>
      </c>
      <c r="C14" s="15">
        <v>0.21</v>
      </c>
      <c r="D14" s="365" t="s">
        <v>133</v>
      </c>
      <c r="G14" s="58"/>
      <c r="H14" s="243"/>
      <c r="I14" s="219">
        <f t="shared" si="0"/>
        <v>6.0000000000000012E-2</v>
      </c>
      <c r="J14" s="242">
        <v>94.458172744811122</v>
      </c>
      <c r="L14" s="313"/>
      <c r="M14" s="313"/>
    </row>
    <row r="15" spans="1:13">
      <c r="B15" s="365" t="s">
        <v>134</v>
      </c>
      <c r="C15" s="16">
        <f>C20*(1-C14)*(C21)+C32*C34</f>
        <v>6.6359053405539714E-2</v>
      </c>
      <c r="D15" s="365" t="s">
        <v>135</v>
      </c>
      <c r="H15" s="243"/>
      <c r="I15" s="219">
        <f t="shared" si="0"/>
        <v>6.2500000000000014E-2</v>
      </c>
      <c r="J15" s="242">
        <v>92.103776440268419</v>
      </c>
      <c r="L15" s="313"/>
      <c r="M15" s="313"/>
    </row>
    <row r="16" spans="1:13">
      <c r="B16" s="365"/>
      <c r="C16" s="365"/>
      <c r="D16" s="365"/>
      <c r="H16" s="243"/>
      <c r="I16" s="219">
        <f t="shared" si="0"/>
        <v>6.5000000000000016E-2</v>
      </c>
      <c r="J16" s="242">
        <v>89.812802229979241</v>
      </c>
    </row>
    <row r="17" spans="2:23">
      <c r="B17" s="365"/>
      <c r="C17" s="365"/>
      <c r="D17" s="365"/>
      <c r="H17" s="243"/>
      <c r="I17" s="219">
        <f t="shared" si="0"/>
        <v>6.7500000000000018E-2</v>
      </c>
      <c r="J17" s="242">
        <v>87.58337481824195</v>
      </c>
    </row>
    <row r="18" spans="2:23">
      <c r="B18" s="364" t="s">
        <v>136</v>
      </c>
      <c r="C18" s="365"/>
      <c r="D18" s="365"/>
      <c r="H18" s="243"/>
      <c r="I18" s="219">
        <f t="shared" si="0"/>
        <v>7.0000000000000021E-2</v>
      </c>
      <c r="J18" s="242">
        <v>85.413678879723761</v>
      </c>
    </row>
    <row r="19" spans="2:23">
      <c r="B19" s="366" t="s">
        <v>137</v>
      </c>
      <c r="C19" s="365"/>
      <c r="D19" s="365"/>
      <c r="G19" s="370"/>
      <c r="H19" s="243"/>
      <c r="I19" s="219">
        <f t="shared" si="0"/>
        <v>7.2500000000000023E-2</v>
      </c>
      <c r="J19" s="242">
        <v>83.301957002352367</v>
      </c>
      <c r="K19" s="370"/>
      <c r="L19" s="370"/>
      <c r="M19" s="370"/>
      <c r="N19" s="370"/>
      <c r="O19" s="370"/>
      <c r="P19" s="370"/>
      <c r="Q19" s="370"/>
      <c r="R19" s="370"/>
    </row>
    <row r="20" spans="2:23">
      <c r="B20" s="365" t="s">
        <v>138</v>
      </c>
      <c r="C20" s="15">
        <v>3.15E-2</v>
      </c>
      <c r="D20" s="365" t="s">
        <v>408</v>
      </c>
      <c r="G20" s="370"/>
      <c r="H20" s="241"/>
      <c r="I20" s="220">
        <f t="shared" si="0"/>
        <v>7.5000000000000025E-2</v>
      </c>
      <c r="J20" s="240">
        <v>81.24650770545702</v>
      </c>
      <c r="K20" s="378"/>
      <c r="L20" s="378"/>
      <c r="M20" s="378"/>
      <c r="N20" s="378"/>
      <c r="O20" s="378"/>
      <c r="P20" s="378"/>
      <c r="Q20" s="378"/>
      <c r="R20" s="378"/>
    </row>
    <row r="21" spans="2:23">
      <c r="B21" s="116" t="s">
        <v>139</v>
      </c>
      <c r="C21" s="16">
        <f>C24/(C24+C48)</f>
        <v>6.6017888384446388E-2</v>
      </c>
      <c r="D21" s="365" t="str">
        <f ca="1">_xlfn.FORMULATEXT(C21)</f>
        <v>=C24/(C24+C48)</v>
      </c>
      <c r="G21" s="370"/>
      <c r="H21" s="58"/>
      <c r="I21" s="58"/>
      <c r="J21" s="58"/>
      <c r="K21" s="370"/>
      <c r="L21" s="370"/>
      <c r="M21" s="370"/>
      <c r="N21" s="370"/>
      <c r="O21" s="370"/>
      <c r="P21" s="370"/>
      <c r="Q21" s="370"/>
      <c r="R21" s="370"/>
    </row>
    <row r="22" spans="2:23">
      <c r="B22" s="365" t="s">
        <v>140</v>
      </c>
      <c r="C22" s="45">
        <f>'Financial Statement Information'!H86</f>
        <v>14677</v>
      </c>
      <c r="D22" s="365" t="str">
        <f ca="1">_xlfn.FORMULATEXT(C22)</f>
        <v>='Financial Statement Information'!H86</v>
      </c>
      <c r="F22" s="73" t="s">
        <v>141</v>
      </c>
      <c r="G22" s="370"/>
      <c r="H22" s="58"/>
      <c r="I22" s="58"/>
      <c r="J22" s="58"/>
      <c r="K22" s="370"/>
      <c r="L22" s="370"/>
      <c r="M22" s="370"/>
      <c r="N22" s="210" t="s">
        <v>410</v>
      </c>
      <c r="O22" s="211"/>
      <c r="P22" s="211"/>
      <c r="Q22" s="211"/>
      <c r="R22" s="211"/>
      <c r="S22" s="211"/>
      <c r="T22" s="211"/>
      <c r="U22" s="211"/>
      <c r="V22" s="212"/>
    </row>
    <row r="23" spans="2:23">
      <c r="B23" s="365" t="s">
        <v>142</v>
      </c>
      <c r="C23" s="45">
        <f>'Financial Statement Information'!H63</f>
        <v>4466</v>
      </c>
      <c r="D23" s="365" t="str">
        <f ca="1">_xlfn.FORMULATEXT(C23)</f>
        <v>='Financial Statement Information'!H63</v>
      </c>
      <c r="F23" s="73" t="s">
        <v>141</v>
      </c>
      <c r="G23" s="370"/>
      <c r="H23" s="379"/>
      <c r="I23" s="322"/>
      <c r="J23" s="377" t="s">
        <v>404</v>
      </c>
      <c r="K23" s="370"/>
      <c r="L23" s="370"/>
      <c r="M23" s="382">
        <f>C56</f>
        <v>88.593320307572</v>
      </c>
      <c r="N23" s="224">
        <f t="shared" ref="N23:P23" si="1">O23-0.0025</f>
        <v>5.5999999999999994E-2</v>
      </c>
      <c r="O23" s="224">
        <f t="shared" si="1"/>
        <v>5.8499999999999996E-2</v>
      </c>
      <c r="P23" s="224">
        <f t="shared" si="1"/>
        <v>6.0999999999999999E-2</v>
      </c>
      <c r="Q23" s="224">
        <f>R23-0.0025</f>
        <v>6.3500000000000001E-2</v>
      </c>
      <c r="R23" s="270">
        <v>6.6000000000000003E-2</v>
      </c>
      <c r="S23" s="224">
        <f t="shared" ref="S23:V23" si="2">R23+0.0025</f>
        <v>6.8500000000000005E-2</v>
      </c>
      <c r="T23" s="224">
        <f t="shared" si="2"/>
        <v>7.1000000000000008E-2</v>
      </c>
      <c r="U23" s="224">
        <f t="shared" si="2"/>
        <v>7.350000000000001E-2</v>
      </c>
      <c r="V23" s="225">
        <f t="shared" si="2"/>
        <v>7.6000000000000012E-2</v>
      </c>
      <c r="W23" s="370"/>
    </row>
    <row r="24" spans="2:23">
      <c r="B24" s="366" t="s">
        <v>143</v>
      </c>
      <c r="C24" s="45">
        <f>C22-C23</f>
        <v>10211</v>
      </c>
      <c r="D24" s="365" t="s">
        <v>144</v>
      </c>
      <c r="F24" s="73" t="s">
        <v>141</v>
      </c>
      <c r="G24" s="370"/>
      <c r="H24" s="58"/>
      <c r="I24" s="58"/>
      <c r="J24" s="246">
        <f>C56</f>
        <v>88.593320307572</v>
      </c>
      <c r="K24" s="370"/>
      <c r="L24" s="222" t="s">
        <v>336</v>
      </c>
      <c r="M24" s="219">
        <v>0.08</v>
      </c>
      <c r="N24" s="228">
        <f t="dataTable" ref="N24:V32" dt2D="1" dtr="1" r1="I71" r2="F71" ca="1"/>
        <v>155.57512962475636</v>
      </c>
      <c r="O24" s="229">
        <v>143.769994976568</v>
      </c>
      <c r="P24" s="229">
        <v>131.8021275845708</v>
      </c>
      <c r="Q24" s="229">
        <v>119.66963035043698</v>
      </c>
      <c r="R24" s="229">
        <v>107.37058840135191</v>
      </c>
      <c r="S24" s="229">
        <v>94.903068964973968</v>
      </c>
      <c r="T24" s="229">
        <v>82.265121243794042</v>
      </c>
      <c r="U24" s="229">
        <v>69.454776288919035</v>
      </c>
      <c r="V24" s="230">
        <v>56.470046873267428</v>
      </c>
    </row>
    <row r="25" spans="2:23">
      <c r="B25" s="365"/>
      <c r="C25" s="365"/>
      <c r="D25" s="365"/>
      <c r="G25" s="370"/>
      <c r="H25" s="445" t="s">
        <v>405</v>
      </c>
      <c r="I25" s="245">
        <f>0.04</f>
        <v>0.04</v>
      </c>
      <c r="J25" s="244">
        <f t="dataTable" ref="J25:J35" dt2D="0" dtr="0" r1="C45" ca="1"/>
        <v>98.463434506337492</v>
      </c>
      <c r="K25" s="370"/>
      <c r="L25" s="221"/>
      <c r="M25" s="219">
        <f>M24+0.0025</f>
        <v>8.2500000000000004E-2</v>
      </c>
      <c r="N25" s="228">
        <v>166.86713964143078</v>
      </c>
      <c r="O25" s="229">
        <v>155.06200499324237</v>
      </c>
      <c r="P25" s="229">
        <v>143.09413760124514</v>
      </c>
      <c r="Q25" s="229">
        <v>130.9616403671113</v>
      </c>
      <c r="R25" s="229">
        <v>118.66259841802626</v>
      </c>
      <c r="S25" s="229">
        <v>106.19507898164831</v>
      </c>
      <c r="T25" s="229">
        <v>93.55713126046841</v>
      </c>
      <c r="U25" s="229">
        <v>80.746786305593375</v>
      </c>
      <c r="V25" s="230">
        <v>67.762056889941775</v>
      </c>
    </row>
    <row r="26" spans="2:23">
      <c r="B26" s="366" t="s">
        <v>145</v>
      </c>
      <c r="C26" s="365" t="s">
        <v>177</v>
      </c>
      <c r="D26" s="365"/>
      <c r="G26" s="370"/>
      <c r="H26" s="446"/>
      <c r="I26" s="219">
        <f t="shared" ref="I26:I35" si="3">I25+0.0025</f>
        <v>4.2500000000000003E-2</v>
      </c>
      <c r="J26" s="242">
        <v>96.940066997985923</v>
      </c>
      <c r="K26" s="370"/>
      <c r="L26" s="221"/>
      <c r="M26" s="219">
        <f t="shared" ref="M26:M32" si="4">M25+0.0025</f>
        <v>8.5000000000000006E-2</v>
      </c>
      <c r="N26" s="228">
        <v>178.26169932715572</v>
      </c>
      <c r="O26" s="229">
        <v>166.45656467896731</v>
      </c>
      <c r="P26" s="229">
        <v>154.48869728697014</v>
      </c>
      <c r="Q26" s="229">
        <v>142.35620005283627</v>
      </c>
      <c r="R26" s="229">
        <v>130.05715810375122</v>
      </c>
      <c r="S26" s="229">
        <v>117.58963866737329</v>
      </c>
      <c r="T26" s="229">
        <v>104.95169094619335</v>
      </c>
      <c r="U26" s="229">
        <v>92.141345991318374</v>
      </c>
      <c r="V26" s="230">
        <v>79.156616575666746</v>
      </c>
    </row>
    <row r="27" spans="2:23">
      <c r="B27" s="365" t="s">
        <v>146</v>
      </c>
      <c r="C27" s="17"/>
      <c r="D27" s="365"/>
      <c r="G27" s="370"/>
      <c r="H27" s="243"/>
      <c r="I27" s="219">
        <f t="shared" si="3"/>
        <v>4.5000000000000005E-2</v>
      </c>
      <c r="J27" s="242">
        <v>95.442223161783943</v>
      </c>
      <c r="K27" s="370"/>
      <c r="L27" s="221"/>
      <c r="M27" s="219">
        <f t="shared" si="4"/>
        <v>8.7500000000000008E-2</v>
      </c>
      <c r="N27" s="228">
        <v>189.75951296607889</v>
      </c>
      <c r="O27" s="229">
        <v>177.9543783178905</v>
      </c>
      <c r="P27" s="229">
        <v>165.9865109258933</v>
      </c>
      <c r="Q27" s="229">
        <v>153.85401369175949</v>
      </c>
      <c r="R27" s="229">
        <v>141.55497174267444</v>
      </c>
      <c r="S27" s="229">
        <v>129.08745230629648</v>
      </c>
      <c r="T27" s="229">
        <v>116.44950458511659</v>
      </c>
      <c r="U27" s="229">
        <v>103.63915963024158</v>
      </c>
      <c r="V27" s="230">
        <v>90.654430214589965</v>
      </c>
    </row>
    <row r="28" spans="2:23">
      <c r="B28" s="365" t="s">
        <v>145</v>
      </c>
      <c r="C28" s="18"/>
      <c r="D28" s="365"/>
      <c r="G28" s="370"/>
      <c r="H28" s="243"/>
      <c r="I28" s="219">
        <f t="shared" si="3"/>
        <v>4.7500000000000007E-2</v>
      </c>
      <c r="J28" s="242">
        <v>93.969433328327455</v>
      </c>
      <c r="K28" s="370"/>
      <c r="L28" s="221"/>
      <c r="M28" s="219">
        <f t="shared" si="4"/>
        <v>9.0000000000000011E-2</v>
      </c>
      <c r="N28" s="228">
        <v>201.36128807348896</v>
      </c>
      <c r="O28" s="229">
        <v>189.55615342530061</v>
      </c>
      <c r="P28" s="229">
        <v>177.58828603330338</v>
      </c>
      <c r="Q28" s="229">
        <v>165.45578879916954</v>
      </c>
      <c r="R28" s="229">
        <v>153.15674685008449</v>
      </c>
      <c r="S28" s="229">
        <v>140.68922741370656</v>
      </c>
      <c r="T28" s="229">
        <v>128.05127969252669</v>
      </c>
      <c r="U28" s="229">
        <v>115.24093473765164</v>
      </c>
      <c r="V28" s="230">
        <v>102.25620532200001</v>
      </c>
    </row>
    <row r="29" spans="2:23">
      <c r="B29" s="365" t="s">
        <v>147</v>
      </c>
      <c r="C29" s="16"/>
      <c r="D29" s="365"/>
      <c r="G29" s="370"/>
      <c r="H29" s="243"/>
      <c r="I29" s="219">
        <f t="shared" si="3"/>
        <v>5.000000000000001E-2</v>
      </c>
      <c r="J29" s="242">
        <v>92.521237182410289</v>
      </c>
      <c r="K29" s="370"/>
      <c r="L29" s="221"/>
      <c r="M29" s="219">
        <f t="shared" si="4"/>
        <v>9.2500000000000013E-2</v>
      </c>
      <c r="N29" s="228">
        <v>213.06773540322425</v>
      </c>
      <c r="O29" s="229">
        <v>201.26260075503589</v>
      </c>
      <c r="P29" s="229">
        <v>189.29473336303869</v>
      </c>
      <c r="Q29" s="229">
        <v>177.16223612890485</v>
      </c>
      <c r="R29" s="229">
        <v>164.86319417981983</v>
      </c>
      <c r="S29" s="229">
        <v>152.39567474344187</v>
      </c>
      <c r="T29" s="229">
        <v>139.75772702226195</v>
      </c>
      <c r="U29" s="229">
        <v>126.94738206738691</v>
      </c>
      <c r="V29" s="230">
        <v>113.96265265173531</v>
      </c>
    </row>
    <row r="30" spans="2:23" ht="15" customHeight="1">
      <c r="B30" s="365"/>
      <c r="C30" s="365"/>
      <c r="D30" s="365"/>
      <c r="G30" s="370"/>
      <c r="H30" s="243"/>
      <c r="I30" s="219">
        <f t="shared" si="3"/>
        <v>5.2500000000000012E-2</v>
      </c>
      <c r="J30" s="242">
        <v>91.097183563025496</v>
      </c>
      <c r="K30" s="370"/>
      <c r="L30" s="221"/>
      <c r="M30" s="219">
        <f t="shared" si="4"/>
        <v>9.5000000000000015E-2</v>
      </c>
      <c r="N30" s="228">
        <v>224.87956895509021</v>
      </c>
      <c r="O30" s="229">
        <v>213.07443430690182</v>
      </c>
      <c r="P30" s="229">
        <v>201.10656691490456</v>
      </c>
      <c r="Q30" s="229">
        <v>188.97406968077075</v>
      </c>
      <c r="R30" s="229">
        <v>176.67502773168565</v>
      </c>
      <c r="S30" s="229">
        <v>164.20750829530778</v>
      </c>
      <c r="T30" s="229">
        <v>151.56956057412785</v>
      </c>
      <c r="U30" s="229">
        <v>138.75921561925281</v>
      </c>
      <c r="V30" s="230">
        <v>125.77448620360123</v>
      </c>
    </row>
    <row r="31" spans="2:23">
      <c r="B31" s="366" t="s">
        <v>148</v>
      </c>
      <c r="C31" s="365"/>
      <c r="D31" s="365"/>
      <c r="G31" s="370"/>
      <c r="H31" s="243"/>
      <c r="I31" s="219">
        <f t="shared" si="3"/>
        <v>5.5000000000000014E-2</v>
      </c>
      <c r="J31" s="242">
        <v>89.696830267929215</v>
      </c>
      <c r="K31" s="370"/>
      <c r="L31" s="221"/>
      <c r="M31" s="219">
        <f t="shared" si="4"/>
        <v>9.7500000000000017E-2</v>
      </c>
      <c r="N31" s="228">
        <v>236.79750598226568</v>
      </c>
      <c r="O31" s="229">
        <v>224.99237133407723</v>
      </c>
      <c r="P31" s="229">
        <v>213.02450394208003</v>
      </c>
      <c r="Q31" s="229">
        <v>200.89200670794619</v>
      </c>
      <c r="R31" s="229">
        <v>188.59296475886117</v>
      </c>
      <c r="S31" s="229">
        <v>176.12544532248322</v>
      </c>
      <c r="T31" s="229">
        <v>163.48749760130332</v>
      </c>
      <c r="U31" s="229">
        <v>150.67715264642828</v>
      </c>
      <c r="V31" s="230">
        <v>137.69242323077668</v>
      </c>
    </row>
    <row r="32" spans="2:23">
      <c r="B32" s="365" t="s">
        <v>149</v>
      </c>
      <c r="C32" s="19">
        <f>C44+C36*C45</f>
        <v>6.9290618576355878E-2</v>
      </c>
      <c r="D32" s="365" t="str">
        <f t="shared" ref="D32:D42" ca="1" si="5">_xlfn.FORMULATEXT(C32)</f>
        <v>=C44+C36*C45</v>
      </c>
      <c r="G32" s="370"/>
      <c r="H32" s="243"/>
      <c r="I32" s="219">
        <f t="shared" si="3"/>
        <v>5.7500000000000016E-2</v>
      </c>
      <c r="J32" s="242">
        <v>88.31974386265982</v>
      </c>
      <c r="K32" s="370"/>
      <c r="L32" s="223"/>
      <c r="M32" s="220">
        <f t="shared" si="4"/>
        <v>0.10000000000000002</v>
      </c>
      <c r="N32" s="231">
        <v>248.82226699871731</v>
      </c>
      <c r="O32" s="232">
        <v>237.01713235052895</v>
      </c>
      <c r="P32" s="232">
        <v>225.04926495853175</v>
      </c>
      <c r="Q32" s="232">
        <v>212.91676772439791</v>
      </c>
      <c r="R32" s="232">
        <v>200.61772577531283</v>
      </c>
      <c r="S32" s="232">
        <v>188.15020633893488</v>
      </c>
      <c r="T32" s="232">
        <v>175.51225861775498</v>
      </c>
      <c r="U32" s="232">
        <v>162.70191366287995</v>
      </c>
      <c r="V32" s="233">
        <v>149.71718424722837</v>
      </c>
    </row>
    <row r="33" spans="2:18">
      <c r="B33" s="365" t="s">
        <v>150</v>
      </c>
      <c r="C33" s="31">
        <f>'Financial Statement Information'!H91</f>
        <v>9040</v>
      </c>
      <c r="D33" s="365" t="str">
        <f ca="1">"[MM USD]"&amp;" "&amp;_xlfn.FORMULATEXT(C33)</f>
        <v>[MM USD] ='Financial Statement Information'!H91</v>
      </c>
      <c r="F33" s="371"/>
      <c r="G33" s="372"/>
      <c r="H33" s="243"/>
      <c r="I33" s="219">
        <f t="shared" si="3"/>
        <v>6.0000000000000019E-2</v>
      </c>
      <c r="J33" s="242">
        <v>86.965499493900438</v>
      </c>
      <c r="K33" s="372"/>
      <c r="L33" s="372"/>
      <c r="M33" s="380"/>
      <c r="N33" s="372"/>
      <c r="O33" s="372"/>
      <c r="P33" s="372"/>
      <c r="Q33" s="381"/>
      <c r="R33" s="381"/>
    </row>
    <row r="34" spans="2:18">
      <c r="B34" s="116" t="s">
        <v>151</v>
      </c>
      <c r="C34" s="46">
        <f>C48/(C48+C24)</f>
        <v>0.93398211161555367</v>
      </c>
      <c r="D34" s="365" t="str">
        <f t="shared" ca="1" si="5"/>
        <v>=C48/(C48+C24)</v>
      </c>
      <c r="F34" s="371">
        <v>0</v>
      </c>
      <c r="G34" s="371">
        <v>0</v>
      </c>
      <c r="H34" s="243"/>
      <c r="I34" s="219">
        <f t="shared" si="3"/>
        <v>6.2500000000000014E-2</v>
      </c>
      <c r="J34" s="242">
        <v>85.633680707082817</v>
      </c>
      <c r="K34" s="372"/>
      <c r="L34" s="372"/>
      <c r="M34" s="370"/>
      <c r="N34" s="370"/>
      <c r="O34" s="370"/>
      <c r="P34" s="370"/>
      <c r="Q34" s="370"/>
      <c r="R34" s="370"/>
    </row>
    <row r="35" spans="2:18">
      <c r="B35" s="365" t="s">
        <v>152</v>
      </c>
      <c r="C35" s="46">
        <f>C44+C43*C45</f>
        <v>9.2157333333333341E-2</v>
      </c>
      <c r="D35" s="365" t="str">
        <f t="shared" ca="1" si="5"/>
        <v>=C44+C43*C45</v>
      </c>
      <c r="H35" s="241"/>
      <c r="I35" s="220">
        <f t="shared" si="3"/>
        <v>6.5000000000000016E-2</v>
      </c>
      <c r="J35" s="240">
        <v>84.323879268128152</v>
      </c>
      <c r="K35" s="370"/>
      <c r="L35" s="370"/>
      <c r="M35" s="370"/>
      <c r="N35" s="370"/>
      <c r="O35" s="370"/>
      <c r="P35" s="370"/>
      <c r="Q35" s="370"/>
      <c r="R35" s="370"/>
    </row>
    <row r="36" spans="2:18">
      <c r="B36" s="365" t="s">
        <v>153</v>
      </c>
      <c r="C36" s="20">
        <f>C37</f>
        <v>0.65882956566706208</v>
      </c>
      <c r="D36" s="365" t="str">
        <f t="shared" ca="1" si="5"/>
        <v>=C37</v>
      </c>
      <c r="H36" s="58"/>
      <c r="I36" s="58"/>
      <c r="J36" s="58"/>
      <c r="K36" s="370"/>
      <c r="L36" s="370"/>
      <c r="M36" s="370"/>
      <c r="N36" s="370"/>
      <c r="O36" s="370"/>
      <c r="P36" s="370"/>
      <c r="Q36" s="370"/>
      <c r="R36" s="370"/>
    </row>
    <row r="37" spans="2:18">
      <c r="B37" s="365" t="s">
        <v>154</v>
      </c>
      <c r="C37" s="21">
        <f>AVERAGE(C38:C42)</f>
        <v>0.65882956566706208</v>
      </c>
      <c r="D37" s="365" t="str">
        <f t="shared" ca="1" si="5"/>
        <v>=AVERAGE(C38:C42)</v>
      </c>
      <c r="H37" s="58"/>
      <c r="I37" s="58"/>
      <c r="J37" s="58"/>
      <c r="K37" s="370"/>
      <c r="L37" s="370"/>
      <c r="M37" s="370"/>
      <c r="N37" s="370"/>
      <c r="O37" s="370"/>
      <c r="P37" s="370"/>
      <c r="Q37" s="370"/>
      <c r="R37" s="370"/>
    </row>
    <row r="38" spans="2:18" ht="15" customHeight="1">
      <c r="B38" s="365" t="s">
        <v>155</v>
      </c>
      <c r="C38" s="22">
        <f>'NIKE BETA'!I14</f>
        <v>0.44957062057371067</v>
      </c>
      <c r="D38" s="373" t="str">
        <f t="shared" ca="1" si="5"/>
        <v>='NIKE BETA'!I14</v>
      </c>
      <c r="F38" s="73">
        <v>0.52</v>
      </c>
      <c r="H38" s="58"/>
      <c r="I38" s="58"/>
      <c r="J38" s="58"/>
      <c r="K38" s="370"/>
      <c r="L38" s="370"/>
      <c r="M38" s="370"/>
      <c r="N38" s="370"/>
      <c r="O38" s="370"/>
      <c r="P38" s="370"/>
      <c r="Q38" s="370"/>
      <c r="R38" s="370"/>
    </row>
    <row r="39" spans="2:18">
      <c r="B39" s="365" t="s">
        <v>156</v>
      </c>
      <c r="C39" s="22">
        <f>'NIKE BETA'!I15</f>
        <v>0.4509481446189797</v>
      </c>
      <c r="D39" s="373" t="str">
        <f t="shared" ca="1" si="5"/>
        <v>='NIKE BETA'!I15</v>
      </c>
      <c r="F39" s="73">
        <v>0.67</v>
      </c>
      <c r="H39" s="58"/>
      <c r="I39" s="58"/>
      <c r="J39" s="58"/>
      <c r="K39" s="370"/>
      <c r="L39" s="370"/>
      <c r="M39" s="370"/>
      <c r="N39" s="370"/>
      <c r="O39" s="370"/>
      <c r="P39" s="370"/>
      <c r="Q39" s="370"/>
      <c r="R39" s="370"/>
    </row>
    <row r="40" spans="2:18">
      <c r="B40" s="365" t="s">
        <v>157</v>
      </c>
      <c r="C40" s="22">
        <f>'NIKE BETA'!I16</f>
        <v>0.55648792761657528</v>
      </c>
      <c r="D40" s="373" t="str">
        <f t="shared" ca="1" si="5"/>
        <v>='NIKE BETA'!I16</v>
      </c>
      <c r="F40" s="73">
        <v>0.68</v>
      </c>
      <c r="H40" s="379"/>
      <c r="I40" s="322"/>
      <c r="J40" s="377" t="s">
        <v>404</v>
      </c>
      <c r="K40" s="370"/>
      <c r="L40" s="370"/>
      <c r="M40" s="370"/>
      <c r="N40" s="370"/>
      <c r="O40" s="370"/>
      <c r="P40" s="370"/>
      <c r="Q40" s="370"/>
      <c r="R40" s="370"/>
    </row>
    <row r="41" spans="2:18">
      <c r="B41" s="365" t="s">
        <v>214</v>
      </c>
      <c r="C41" s="22">
        <f>'NIKE BETA'!I17</f>
        <v>0.77461285972727545</v>
      </c>
      <c r="D41" s="373" t="str">
        <f t="shared" ca="1" si="5"/>
        <v>='NIKE BETA'!I17</v>
      </c>
      <c r="F41" s="73">
        <v>0.66</v>
      </c>
      <c r="H41" s="58"/>
      <c r="I41" s="58"/>
      <c r="J41" s="246">
        <f>C56</f>
        <v>88.593320307572</v>
      </c>
    </row>
    <row r="42" spans="2:18" ht="15" customHeight="1">
      <c r="B42" s="365" t="s">
        <v>158</v>
      </c>
      <c r="C42" s="22">
        <f>'NIKE BETA'!I18</f>
        <v>1.0625282757987691</v>
      </c>
      <c r="D42" s="373" t="str">
        <f t="shared" ca="1" si="5"/>
        <v>='NIKE BETA'!I18</v>
      </c>
      <c r="F42" s="73">
        <v>0.63</v>
      </c>
      <c r="H42" s="445" t="s">
        <v>403</v>
      </c>
      <c r="I42" s="245">
        <v>3.5000000000000003E-2</v>
      </c>
      <c r="J42" s="244">
        <f t="dataTable" ref="J42:J52" dt2D="0" dtr="0" r1="C10" ca="1"/>
        <v>130.34981706601997</v>
      </c>
    </row>
    <row r="43" spans="2:18">
      <c r="B43" s="365" t="s">
        <v>215</v>
      </c>
      <c r="C43" s="23">
        <v>1.06</v>
      </c>
      <c r="D43" s="365" t="s">
        <v>203</v>
      </c>
      <c r="F43" s="374">
        <v>43768</v>
      </c>
      <c r="H43" s="446"/>
      <c r="I43" s="219">
        <f t="shared" ref="I43:I52" si="6">I42+0.0025</f>
        <v>3.7500000000000006E-2</v>
      </c>
      <c r="J43" s="242">
        <v>116.09150109972063</v>
      </c>
    </row>
    <row r="44" spans="2:18">
      <c r="B44" s="365" t="s">
        <v>159</v>
      </c>
      <c r="C44" s="24">
        <f>'USTBill TYX'!B10</f>
        <v>3.173733333333334E-2</v>
      </c>
      <c r="D44" s="365" t="str">
        <f ca="1">_xlfn.FORMULATEXT(C44) &amp; "    (Assumption: 10-year mean on 30-year treasury bills)"</f>
        <v>='USTBill TYX'!B10    (Assumption: 10-year mean on 30-year treasury bills)</v>
      </c>
      <c r="H44" s="271"/>
      <c r="I44" s="219">
        <f t="shared" si="6"/>
        <v>4.0000000000000008E-2</v>
      </c>
      <c r="J44" s="242">
        <v>104.93281903913855</v>
      </c>
    </row>
    <row r="45" spans="2:18">
      <c r="B45" s="365" t="s">
        <v>160</v>
      </c>
      <c r="C45" s="15">
        <v>5.7000000000000002E-2</v>
      </c>
      <c r="D45" s="365" t="s">
        <v>161</v>
      </c>
      <c r="H45" s="243"/>
      <c r="I45" s="219">
        <f t="shared" si="6"/>
        <v>4.250000000000001E-2</v>
      </c>
      <c r="J45" s="242">
        <v>95.962113853180412</v>
      </c>
    </row>
    <row r="46" spans="2:18">
      <c r="B46" s="365" t="s">
        <v>160</v>
      </c>
      <c r="C46" s="15">
        <v>5.8000000000000003E-2</v>
      </c>
      <c r="D46" s="365" t="s">
        <v>162</v>
      </c>
      <c r="H46" s="243"/>
      <c r="I46" s="219">
        <f t="shared" si="6"/>
        <v>4.5000000000000012E-2</v>
      </c>
      <c r="J46" s="242">
        <v>88.593320307571958</v>
      </c>
    </row>
    <row r="47" spans="2:18" ht="15" customHeight="1">
      <c r="B47" s="365"/>
      <c r="C47" s="365"/>
      <c r="D47" s="365"/>
      <c r="H47" s="243"/>
      <c r="I47" s="219">
        <f t="shared" si="6"/>
        <v>4.7500000000000014E-2</v>
      </c>
      <c r="J47" s="242">
        <v>82.432525703866517</v>
      </c>
    </row>
    <row r="48" spans="2:18">
      <c r="B48" s="366" t="s">
        <v>163</v>
      </c>
      <c r="C48" s="30">
        <f>C50*C49</f>
        <v>144459.20000000001</v>
      </c>
      <c r="D48" s="365" t="s">
        <v>164</v>
      </c>
      <c r="H48" s="243"/>
      <c r="I48" s="219">
        <f t="shared" si="6"/>
        <v>5.0000000000000017E-2</v>
      </c>
      <c r="J48" s="242">
        <v>77.205184827995211</v>
      </c>
    </row>
    <row r="49" spans="1:10">
      <c r="B49" s="365" t="s">
        <v>165</v>
      </c>
      <c r="C49" s="29">
        <v>1598</v>
      </c>
      <c r="D49" s="365" t="s">
        <v>166</v>
      </c>
      <c r="E49" s="365" t="s">
        <v>216</v>
      </c>
      <c r="F49" s="374">
        <v>43768</v>
      </c>
      <c r="G49" s="73" t="s">
        <v>167</v>
      </c>
      <c r="H49" s="243"/>
      <c r="I49" s="219">
        <f t="shared" si="6"/>
        <v>5.2500000000000019E-2</v>
      </c>
      <c r="J49" s="242">
        <v>72.71408914590863</v>
      </c>
    </row>
    <row r="50" spans="1:10">
      <c r="B50" s="365" t="s">
        <v>168</v>
      </c>
      <c r="C50" s="25">
        <v>90.4</v>
      </c>
      <c r="D50" s="365" t="s">
        <v>169</v>
      </c>
      <c r="E50" s="365" t="s">
        <v>203</v>
      </c>
      <c r="F50" s="374">
        <v>43768</v>
      </c>
      <c r="G50" s="73" t="s">
        <v>167</v>
      </c>
      <c r="H50" s="243"/>
      <c r="I50" s="219">
        <f t="shared" si="6"/>
        <v>5.5000000000000021E-2</v>
      </c>
      <c r="J50" s="242">
        <v>68.813927106201859</v>
      </c>
    </row>
    <row r="51" spans="1:10">
      <c r="B51" s="365"/>
      <c r="C51" s="365"/>
      <c r="D51" s="365"/>
      <c r="F51" s="374"/>
      <c r="H51" s="243"/>
      <c r="I51" s="219">
        <f t="shared" si="6"/>
        <v>5.7500000000000023E-2</v>
      </c>
      <c r="J51" s="242">
        <v>65.395266552878624</v>
      </c>
    </row>
    <row r="52" spans="1:10">
      <c r="B52" s="365"/>
      <c r="C52" s="369"/>
      <c r="D52" s="365"/>
      <c r="H52" s="241"/>
      <c r="I52" s="220">
        <f t="shared" si="6"/>
        <v>6.0000000000000026E-2</v>
      </c>
      <c r="J52" s="240">
        <v>62.374124668546457</v>
      </c>
    </row>
    <row r="53" spans="1:10">
      <c r="A53" s="364" t="s">
        <v>170</v>
      </c>
      <c r="B53" s="365"/>
      <c r="C53" s="365"/>
      <c r="D53" s="365"/>
    </row>
    <row r="54" spans="1:10">
      <c r="B54" s="365"/>
      <c r="C54" s="365"/>
      <c r="D54" s="365"/>
    </row>
    <row r="55" spans="1:10" ht="19">
      <c r="B55" s="365" t="s">
        <v>168</v>
      </c>
      <c r="C55" s="26">
        <v>93.61</v>
      </c>
      <c r="D55" s="375" t="s">
        <v>169</v>
      </c>
      <c r="E55" s="375" t="s">
        <v>407</v>
      </c>
      <c r="F55" s="376"/>
      <c r="G55" s="376" t="str">
        <f t="shared" ref="G55" si="7">IF(E55&lt;0,"THERE IS SOMETHING TERRIBLY WRONG GO FIX THE MODEL!!!!","")</f>
        <v/>
      </c>
    </row>
    <row r="56" spans="1:10" ht="20" thickBot="1">
      <c r="B56" s="365" t="s">
        <v>171</v>
      </c>
      <c r="C56" s="47">
        <f>IF(A71=5,86,(IF(D76&lt;E76,0.001,'DCF Model'!I35)))</f>
        <v>88.593320307572</v>
      </c>
      <c r="D56" s="365" t="s">
        <v>169</v>
      </c>
      <c r="E56" s="376" t="str">
        <f>IF(C56&lt;0,"THERE IS SOMETHING TERRIBLY WRONG GO FIX THE MODEL!!!!","")</f>
        <v/>
      </c>
    </row>
    <row r="57" spans="1:10" ht="16" thickBot="1">
      <c r="B57" s="365" t="s">
        <v>172</v>
      </c>
      <c r="C57" s="27" t="str">
        <f>IF(C56&gt;C55*1.03,"Buy",IF(C56&lt;C55*0.97,"Sell","Hold"))</f>
        <v>Sell</v>
      </c>
      <c r="D57" s="365" t="s">
        <v>173</v>
      </c>
    </row>
    <row r="59" spans="1:10">
      <c r="B59" s="316" t="s">
        <v>174</v>
      </c>
      <c r="C59" s="28">
        <f>'DCF Model'!E40</f>
        <v>29.679760425930411</v>
      </c>
    </row>
    <row r="60" spans="1:10">
      <c r="B60" s="316" t="s">
        <v>175</v>
      </c>
      <c r="C60" s="28">
        <f>'DCF Model'!E41</f>
        <v>151783.12585150005</v>
      </c>
      <c r="D60" s="73" t="s">
        <v>21</v>
      </c>
    </row>
    <row r="62" spans="1:10" s="48" customFormat="1"/>
    <row r="64" spans="1:10" ht="18" customHeight="1">
      <c r="B64" s="447" t="s">
        <v>242</v>
      </c>
      <c r="C64" s="448"/>
    </row>
    <row r="65" spans="1:19" ht="14.25" customHeight="1">
      <c r="B65" s="39" t="s">
        <v>243</v>
      </c>
      <c r="C65" s="41">
        <v>0.45</v>
      </c>
    </row>
    <row r="66" spans="1:19">
      <c r="B66" s="39" t="s">
        <v>244</v>
      </c>
      <c r="C66" s="41">
        <v>0.25</v>
      </c>
    </row>
    <row r="67" spans="1:19">
      <c r="B67" s="40" t="s">
        <v>245</v>
      </c>
      <c r="C67" s="42">
        <f>1-C65-C66</f>
        <v>0.30000000000000004</v>
      </c>
    </row>
    <row r="70" spans="1:19" ht="32">
      <c r="B70" s="298"/>
      <c r="C70" s="35" t="s">
        <v>236</v>
      </c>
      <c r="D70" s="36" t="s">
        <v>117</v>
      </c>
      <c r="E70" s="36" t="s">
        <v>237</v>
      </c>
      <c r="F70" s="36" t="s">
        <v>238</v>
      </c>
      <c r="G70" s="36" t="s">
        <v>239</v>
      </c>
      <c r="H70" s="36" t="s">
        <v>240</v>
      </c>
      <c r="I70" s="37" t="s">
        <v>241</v>
      </c>
      <c r="J70" s="383" t="s">
        <v>274</v>
      </c>
      <c r="M70" s="449" t="s">
        <v>248</v>
      </c>
      <c r="N70" s="450"/>
      <c r="O70" s="55" t="s">
        <v>249</v>
      </c>
      <c r="P70" s="98" t="s">
        <v>250</v>
      </c>
      <c r="Q70" s="102"/>
      <c r="R70" s="95" t="str">
        <f>"Change vs "&amp;B71</f>
        <v>Change vs Base Case</v>
      </c>
      <c r="S70" s="103" t="s">
        <v>273</v>
      </c>
    </row>
    <row r="71" spans="1:19">
      <c r="A71" s="54">
        <v>1</v>
      </c>
      <c r="B71" s="33" t="str">
        <f>INDEX(B72:B90,$A$71)</f>
        <v>Base Case</v>
      </c>
      <c r="C71" s="34">
        <f>INDEX(C72:C90,$A$71)</f>
        <v>6.6359053405539714E-2</v>
      </c>
      <c r="D71" s="38">
        <f>INDEX(D72:D90,$A$71)</f>
        <v>4.4999999999999998E-2</v>
      </c>
      <c r="E71" s="34">
        <f>INDEX(E72:E90,$A$71)</f>
        <v>1.7000000000000001E-2</v>
      </c>
      <c r="F71" s="34">
        <f t="shared" ref="F71:I71" si="8">INDEX(F72:F90,$A$71)</f>
        <v>6.8000000000000005E-2</v>
      </c>
      <c r="G71" s="34">
        <f t="shared" si="8"/>
        <v>6.3E-2</v>
      </c>
      <c r="H71" s="34">
        <f t="shared" si="8"/>
        <v>6.6000000000000003E-2</v>
      </c>
      <c r="I71" s="34">
        <f t="shared" si="8"/>
        <v>5.8999999999999997E-2</v>
      </c>
      <c r="J71" s="383"/>
      <c r="M71" s="104" t="str">
        <f>B71</f>
        <v>Base Case</v>
      </c>
      <c r="N71" s="69">
        <f>IFERROR(C56,"")</f>
        <v>88.593320307572</v>
      </c>
      <c r="O71" s="99">
        <f>IFERROR(C59,"")</f>
        <v>29.679760425930411</v>
      </c>
      <c r="P71" s="96">
        <f>IFERROR(C60,"")</f>
        <v>151783.12585150005</v>
      </c>
      <c r="Q71" s="11"/>
      <c r="R71" s="105">
        <f>(N71/$N$72)-1</f>
        <v>0</v>
      </c>
      <c r="S71" s="106"/>
    </row>
    <row r="72" spans="1:19" ht="16">
      <c r="A72" s="73">
        <v>1</v>
      </c>
      <c r="B72" s="50" t="s">
        <v>217</v>
      </c>
      <c r="C72" s="79">
        <f>C9</f>
        <v>6.6359053405539714E-2</v>
      </c>
      <c r="D72" s="79">
        <f>C10</f>
        <v>4.4999999999999998E-2</v>
      </c>
      <c r="E72" s="79">
        <f>C11</f>
        <v>1.7000000000000001E-2</v>
      </c>
      <c r="F72" s="93">
        <v>6.8000000000000005E-2</v>
      </c>
      <c r="G72" s="93">
        <v>6.3E-2</v>
      </c>
      <c r="H72" s="93">
        <v>6.6000000000000003E-2</v>
      </c>
      <c r="I72" s="94">
        <v>5.8999999999999997E-2</v>
      </c>
      <c r="L72" s="50" t="str">
        <f>B72</f>
        <v>Base Case</v>
      </c>
      <c r="M72" s="66">
        <v>1</v>
      </c>
      <c r="N72" s="62">
        <f t="dataTable" ref="N72:P90" dt2D="0" dtr="0" r1="A71"/>
        <v>88.593320307572</v>
      </c>
      <c r="O72" s="100">
        <v>29.679760425930411</v>
      </c>
      <c r="P72" s="101">
        <v>151783.12585150005</v>
      </c>
      <c r="Q72" s="11"/>
      <c r="R72" s="107">
        <f t="shared" ref="R72:R90" si="9">(N72/$N$72)-1</f>
        <v>0</v>
      </c>
      <c r="S72" s="106"/>
    </row>
    <row r="73" spans="1:19" ht="16">
      <c r="A73" s="73">
        <v>2</v>
      </c>
      <c r="B73" s="50" t="s">
        <v>218</v>
      </c>
      <c r="C73" s="93">
        <v>7.4999999999999997E-2</v>
      </c>
      <c r="D73" s="93">
        <v>0.05</v>
      </c>
      <c r="E73" s="93">
        <v>1.4999999999999999E-2</v>
      </c>
      <c r="F73" s="93">
        <v>6.0999999999999999E-2</v>
      </c>
      <c r="G73" s="93">
        <v>5.8999999999999997E-2</v>
      </c>
      <c r="H73" s="93">
        <v>7.0000000000000007E-2</v>
      </c>
      <c r="I73" s="94">
        <v>6.3E-2</v>
      </c>
      <c r="L73" s="50" t="str">
        <f t="shared" ref="L73:L90" si="10">B73</f>
        <v>Pessimistic Case</v>
      </c>
      <c r="M73" s="66">
        <v>2</v>
      </c>
      <c r="N73" s="63">
        <v>2.7895217269153925</v>
      </c>
      <c r="O73" s="59">
        <v>3.119276967336416</v>
      </c>
      <c r="P73" s="97">
        <v>14668.655719610797</v>
      </c>
      <c r="Q73" s="53"/>
      <c r="R73" s="70">
        <f t="shared" si="9"/>
        <v>-0.9685131822892411</v>
      </c>
      <c r="S73" s="108"/>
    </row>
    <row r="74" spans="1:19" ht="16">
      <c r="A74" s="73">
        <v>3</v>
      </c>
      <c r="B74" s="50" t="s">
        <v>219</v>
      </c>
      <c r="C74" s="93">
        <v>5.7000000000000002E-2</v>
      </c>
      <c r="D74" s="93">
        <v>0.04</v>
      </c>
      <c r="E74" s="93">
        <v>1.9E-2</v>
      </c>
      <c r="F74" s="93">
        <v>7.4999999999999997E-2</v>
      </c>
      <c r="G74" s="93">
        <v>6.5000000000000002E-2</v>
      </c>
      <c r="H74" s="93">
        <v>6.2E-2</v>
      </c>
      <c r="I74" s="94">
        <v>5.5E-2</v>
      </c>
      <c r="L74" s="50" t="str">
        <f t="shared" si="10"/>
        <v>Optimistic Case</v>
      </c>
      <c r="M74" s="67">
        <v>3</v>
      </c>
      <c r="N74" s="64">
        <v>230.38768204545141</v>
      </c>
      <c r="O74" s="60">
        <v>68.477476485932513</v>
      </c>
      <c r="P74" s="57">
        <v>378370.51590863138</v>
      </c>
      <c r="Q74" s="13"/>
      <c r="R74" s="71">
        <f t="shared" si="9"/>
        <v>1.6005084948346875</v>
      </c>
      <c r="S74" s="109"/>
    </row>
    <row r="75" spans="1:19" ht="16">
      <c r="A75" s="73">
        <v>4</v>
      </c>
      <c r="B75" s="50" t="s">
        <v>220</v>
      </c>
      <c r="C75" s="79">
        <f>($C$65*C72)+($C$66*C73)+($C$67*C74)</f>
        <v>6.5711574032492878E-2</v>
      </c>
      <c r="D75" s="79">
        <f t="shared" ref="D75:I75" si="11">($C$65*D72)+($C$66*D73)+($C$67*D74)</f>
        <v>4.4750000000000005E-2</v>
      </c>
      <c r="E75" s="79">
        <f>($C$65*E72)+($C$66*E73)+($C$67*E74)</f>
        <v>1.7100000000000001E-2</v>
      </c>
      <c r="F75" s="79">
        <f t="shared" si="11"/>
        <v>6.8350000000000008E-2</v>
      </c>
      <c r="G75" s="79">
        <f t="shared" si="11"/>
        <v>6.2600000000000003E-2</v>
      </c>
      <c r="H75" s="79">
        <f t="shared" si="11"/>
        <v>6.5800000000000011E-2</v>
      </c>
      <c r="I75" s="80">
        <f t="shared" si="11"/>
        <v>5.8800000000000005E-2</v>
      </c>
      <c r="J75" s="73" t="str">
        <f ca="1">_xlfn.FORMULATEXT(I75)</f>
        <v>=($C$65*I72)+($C$66*I73)+($C$67*I74)</v>
      </c>
      <c r="L75" s="50" t="str">
        <f t="shared" si="10"/>
        <v>Weighted Average</v>
      </c>
      <c r="M75" s="68">
        <v>4</v>
      </c>
      <c r="N75" s="65">
        <v>91.37873131774019</v>
      </c>
      <c r="O75" s="61">
        <v>30.427726311189033</v>
      </c>
      <c r="P75" s="97">
        <v>156234.21264574883</v>
      </c>
      <c r="Q75" s="11"/>
      <c r="R75" s="107">
        <f t="shared" si="9"/>
        <v>3.1440417861053227E-2</v>
      </c>
      <c r="S75" s="106"/>
    </row>
    <row r="76" spans="1:19" ht="16">
      <c r="A76" s="73">
        <v>5</v>
      </c>
      <c r="B76" s="51" t="s">
        <v>221</v>
      </c>
      <c r="C76" s="238">
        <v>6.6359053405539714E-2</v>
      </c>
      <c r="D76" s="238">
        <v>4.4999999999999998E-2</v>
      </c>
      <c r="E76" s="238">
        <v>1.7000000000000001E-2</v>
      </c>
      <c r="F76" s="238">
        <v>6.8000000000000005E-2</v>
      </c>
      <c r="G76" s="238">
        <v>6.3E-2</v>
      </c>
      <c r="H76" s="238">
        <v>6.6000000000000003E-2</v>
      </c>
      <c r="I76" s="239">
        <v>5.8999999999999997E-2</v>
      </c>
      <c r="L76" s="50" t="str">
        <f t="shared" si="10"/>
        <v>Monte Carlo</v>
      </c>
      <c r="M76" s="68">
        <v>5</v>
      </c>
      <c r="N76" s="65">
        <v>86</v>
      </c>
      <c r="O76" s="61">
        <v>29.679760425930411</v>
      </c>
      <c r="P76" s="97">
        <v>151783.12585150005</v>
      </c>
      <c r="Q76" s="11"/>
      <c r="R76" s="107">
        <f>IFERROR((N76/$N$72)-1,"")</f>
        <v>-2.9272187774074809E-2</v>
      </c>
      <c r="S76" s="106"/>
    </row>
    <row r="77" spans="1:19" ht="16">
      <c r="A77" s="73">
        <v>6</v>
      </c>
      <c r="B77" s="52" t="s">
        <v>223</v>
      </c>
      <c r="C77" s="86">
        <f>C$73</f>
        <v>7.4999999999999997E-2</v>
      </c>
      <c r="D77" s="87">
        <f>D$72</f>
        <v>4.4999999999999998E-2</v>
      </c>
      <c r="E77" s="87">
        <f>E$72</f>
        <v>1.7000000000000001E-2</v>
      </c>
      <c r="F77" s="87">
        <f t="shared" ref="F77:F82" si="12">F$72</f>
        <v>6.8000000000000005E-2</v>
      </c>
      <c r="G77" s="87">
        <f t="shared" ref="G77:I84" si="13">G$72</f>
        <v>6.3E-2</v>
      </c>
      <c r="H77" s="87">
        <f t="shared" si="13"/>
        <v>6.6000000000000003E-2</v>
      </c>
      <c r="I77" s="88">
        <f t="shared" si="13"/>
        <v>5.8999999999999997E-2</v>
      </c>
      <c r="L77" s="50" t="str">
        <f t="shared" si="10"/>
        <v>HI WACC 10</v>
      </c>
      <c r="M77" s="66">
        <v>6</v>
      </c>
      <c r="N77" s="63">
        <v>81.24650770545702</v>
      </c>
      <c r="O77" s="59">
        <v>27.384073633018886</v>
      </c>
      <c r="P77" s="56">
        <v>140042.91931332031</v>
      </c>
      <c r="Q77" s="53"/>
      <c r="R77" s="70">
        <f t="shared" si="9"/>
        <v>-8.2927387489359683E-2</v>
      </c>
      <c r="S77" s="108">
        <f>ABS(N77-N78)</f>
        <v>16.12339013317002</v>
      </c>
    </row>
    <row r="78" spans="1:19" ht="16">
      <c r="A78" s="73">
        <v>7</v>
      </c>
      <c r="B78" s="51" t="s">
        <v>224</v>
      </c>
      <c r="C78" s="89">
        <f>C74</f>
        <v>5.7000000000000002E-2</v>
      </c>
      <c r="D78" s="84">
        <f>D$72</f>
        <v>4.4999999999999998E-2</v>
      </c>
      <c r="E78" s="84">
        <f t="shared" ref="E78:E80" si="14">E$72</f>
        <v>1.7000000000000001E-2</v>
      </c>
      <c r="F78" s="84">
        <f t="shared" si="12"/>
        <v>6.8000000000000005E-2</v>
      </c>
      <c r="G78" s="84">
        <f t="shared" si="13"/>
        <v>6.3E-2</v>
      </c>
      <c r="H78" s="84">
        <f t="shared" si="13"/>
        <v>6.6000000000000003E-2</v>
      </c>
      <c r="I78" s="85">
        <f t="shared" si="13"/>
        <v>5.8999999999999997E-2</v>
      </c>
      <c r="L78" s="50" t="str">
        <f t="shared" si="10"/>
        <v>LO WACC 10</v>
      </c>
      <c r="M78" s="67">
        <v>7</v>
      </c>
      <c r="N78" s="64">
        <v>97.36989783862704</v>
      </c>
      <c r="O78" s="60">
        <v>32.422211365703511</v>
      </c>
      <c r="P78" s="57">
        <v>165808.09674612602</v>
      </c>
      <c r="Q78" s="13"/>
      <c r="R78" s="71">
        <f t="shared" si="9"/>
        <v>9.9065905878514826E-2</v>
      </c>
      <c r="S78" s="109"/>
    </row>
    <row r="79" spans="1:19" ht="16">
      <c r="A79" s="73">
        <v>8</v>
      </c>
      <c r="B79" s="52" t="s">
        <v>225</v>
      </c>
      <c r="C79" s="90">
        <f>C$72</f>
        <v>6.6359053405539714E-2</v>
      </c>
      <c r="D79" s="81">
        <f>D73</f>
        <v>0.05</v>
      </c>
      <c r="E79" s="84">
        <f t="shared" si="14"/>
        <v>1.7000000000000001E-2</v>
      </c>
      <c r="F79" s="84">
        <f t="shared" si="12"/>
        <v>6.8000000000000005E-2</v>
      </c>
      <c r="G79" s="84">
        <f t="shared" si="13"/>
        <v>6.3E-2</v>
      </c>
      <c r="H79" s="84">
        <f t="shared" si="13"/>
        <v>6.6000000000000003E-2</v>
      </c>
      <c r="I79" s="85">
        <f t="shared" si="13"/>
        <v>5.8999999999999997E-2</v>
      </c>
      <c r="L79" s="50" t="str">
        <f t="shared" si="10"/>
        <v>HI WACC CV</v>
      </c>
      <c r="M79" s="66">
        <v>8</v>
      </c>
      <c r="N79" s="63">
        <v>77.205184827995254</v>
      </c>
      <c r="O79" s="59">
        <v>26.121265928762302</v>
      </c>
      <c r="P79" s="56">
        <v>133584.88535513642</v>
      </c>
      <c r="Q79" s="53"/>
      <c r="R79" s="70">
        <f t="shared" si="9"/>
        <v>-0.1285439516211857</v>
      </c>
      <c r="S79" s="108">
        <f>ABS(N79-N80)</f>
        <v>27.727634211143325</v>
      </c>
    </row>
    <row r="80" spans="1:19" ht="16">
      <c r="A80" s="73">
        <v>9</v>
      </c>
      <c r="B80" s="51" t="s">
        <v>226</v>
      </c>
      <c r="C80" s="90">
        <f t="shared" ref="C80:C90" si="15">C$72</f>
        <v>6.6359053405539714E-2</v>
      </c>
      <c r="D80" s="81">
        <f>D74</f>
        <v>0.04</v>
      </c>
      <c r="E80" s="84">
        <f t="shared" si="14"/>
        <v>1.7000000000000001E-2</v>
      </c>
      <c r="F80" s="84">
        <f t="shared" si="12"/>
        <v>6.8000000000000005E-2</v>
      </c>
      <c r="G80" s="84">
        <f t="shared" si="13"/>
        <v>6.3E-2</v>
      </c>
      <c r="H80" s="84">
        <f t="shared" si="13"/>
        <v>6.6000000000000003E-2</v>
      </c>
      <c r="I80" s="85">
        <f t="shared" si="13"/>
        <v>5.8999999999999997E-2</v>
      </c>
      <c r="L80" s="50" t="str">
        <f t="shared" si="10"/>
        <v>LO WACC CV</v>
      </c>
      <c r="M80" s="67">
        <v>9</v>
      </c>
      <c r="N80" s="64">
        <v>104.93281903913858</v>
      </c>
      <c r="O80" s="60">
        <v>34.785426443606376</v>
      </c>
      <c r="P80" s="57">
        <v>177893.64482454344</v>
      </c>
      <c r="Q80" s="13"/>
      <c r="R80" s="71">
        <f t="shared" si="9"/>
        <v>0.18443262623909185</v>
      </c>
      <c r="S80" s="109"/>
    </row>
    <row r="81" spans="1:19" ht="16">
      <c r="A81" s="73">
        <v>10</v>
      </c>
      <c r="B81" s="52" t="s">
        <v>227</v>
      </c>
      <c r="C81" s="90">
        <f t="shared" si="15"/>
        <v>6.6359053405539714E-2</v>
      </c>
      <c r="D81" s="84">
        <f t="shared" ref="D81:F90" si="16">D$72</f>
        <v>4.4999999999999998E-2</v>
      </c>
      <c r="E81" s="81">
        <f>E74</f>
        <v>1.9E-2</v>
      </c>
      <c r="F81" s="84">
        <f t="shared" si="12"/>
        <v>6.8000000000000005E-2</v>
      </c>
      <c r="G81" s="84">
        <f t="shared" si="13"/>
        <v>6.3E-2</v>
      </c>
      <c r="H81" s="84">
        <f t="shared" si="13"/>
        <v>6.6000000000000003E-2</v>
      </c>
      <c r="I81" s="85">
        <f t="shared" si="13"/>
        <v>5.8999999999999997E-2</v>
      </c>
      <c r="L81" s="50" t="str">
        <f t="shared" si="10"/>
        <v>HI Growth CV</v>
      </c>
      <c r="M81" s="66">
        <v>10</v>
      </c>
      <c r="N81" s="63">
        <v>94.534169744274266</v>
      </c>
      <c r="O81" s="59">
        <v>31.536120500581983</v>
      </c>
      <c r="P81" s="56">
        <v>161276.60325135029</v>
      </c>
      <c r="Q81" s="53"/>
      <c r="R81" s="70">
        <f t="shared" si="9"/>
        <v>6.7057532284344301E-2</v>
      </c>
      <c r="S81" s="108">
        <f>ABS(N81-N82)</f>
        <v>11.089585615177583</v>
      </c>
    </row>
    <row r="82" spans="1:19" ht="16">
      <c r="A82" s="73">
        <v>11</v>
      </c>
      <c r="B82" s="51" t="s">
        <v>228</v>
      </c>
      <c r="C82" s="90">
        <f t="shared" si="15"/>
        <v>6.6359053405539714E-2</v>
      </c>
      <c r="D82" s="84">
        <f>D$72</f>
        <v>4.4999999999999998E-2</v>
      </c>
      <c r="E82" s="81">
        <f>E73</f>
        <v>1.4999999999999999E-2</v>
      </c>
      <c r="F82" s="84">
        <f t="shared" si="12"/>
        <v>6.8000000000000005E-2</v>
      </c>
      <c r="G82" s="84">
        <f t="shared" si="13"/>
        <v>6.3E-2</v>
      </c>
      <c r="H82" s="84">
        <f t="shared" si="13"/>
        <v>6.6000000000000003E-2</v>
      </c>
      <c r="I82" s="85">
        <f t="shared" si="13"/>
        <v>5.8999999999999997E-2</v>
      </c>
      <c r="L82" s="50" t="str">
        <f t="shared" si="10"/>
        <v>LO Growth CV</v>
      </c>
      <c r="M82" s="67">
        <v>11</v>
      </c>
      <c r="N82" s="64">
        <v>83.444584129096683</v>
      </c>
      <c r="O82" s="60">
        <v>28.070915027899044</v>
      </c>
      <c r="P82" s="57">
        <v>143555.44543829651</v>
      </c>
      <c r="Q82" s="13"/>
      <c r="R82" s="71">
        <f t="shared" si="9"/>
        <v>-5.8116527979765298E-2</v>
      </c>
      <c r="S82" s="109"/>
    </row>
    <row r="83" spans="1:19" ht="16">
      <c r="A83" s="73">
        <v>12</v>
      </c>
      <c r="B83" s="52" t="s">
        <v>222</v>
      </c>
      <c r="C83" s="90">
        <f t="shared" si="15"/>
        <v>6.6359053405539714E-2</v>
      </c>
      <c r="D83" s="84">
        <f t="shared" si="16"/>
        <v>4.4999999999999998E-2</v>
      </c>
      <c r="E83" s="84">
        <f t="shared" si="16"/>
        <v>1.7000000000000001E-2</v>
      </c>
      <c r="F83" s="81">
        <f>F74</f>
        <v>7.4999999999999997E-2</v>
      </c>
      <c r="G83" s="84">
        <f t="shared" si="13"/>
        <v>6.3E-2</v>
      </c>
      <c r="H83" s="84">
        <f t="shared" si="13"/>
        <v>6.6000000000000003E-2</v>
      </c>
      <c r="I83" s="85">
        <f t="shared" si="13"/>
        <v>5.8999999999999997E-2</v>
      </c>
      <c r="L83" s="50" t="str">
        <f t="shared" si="10"/>
        <v>HI Revenue Growth ST</v>
      </c>
      <c r="M83" s="66">
        <v>12</v>
      </c>
      <c r="N83" s="63">
        <v>119.11032851832817</v>
      </c>
      <c r="O83" s="59">
        <v>37.222289755471344</v>
      </c>
      <c r="P83" s="56">
        <v>200549.30497228843</v>
      </c>
      <c r="Q83" s="53"/>
      <c r="R83" s="70">
        <f t="shared" si="9"/>
        <v>0.34446172809427833</v>
      </c>
      <c r="S83" s="108">
        <f>ABS(N83-N84)</f>
        <v>60.261541439956794</v>
      </c>
    </row>
    <row r="84" spans="1:19" ht="16">
      <c r="A84" s="73">
        <v>13</v>
      </c>
      <c r="B84" s="51" t="s">
        <v>229</v>
      </c>
      <c r="C84" s="90">
        <f t="shared" si="15"/>
        <v>6.6359053405539714E-2</v>
      </c>
      <c r="D84" s="84">
        <f t="shared" si="16"/>
        <v>4.4999999999999998E-2</v>
      </c>
      <c r="E84" s="84">
        <f t="shared" si="16"/>
        <v>1.7000000000000001E-2</v>
      </c>
      <c r="F84" s="81">
        <f>F73</f>
        <v>6.0999999999999999E-2</v>
      </c>
      <c r="G84" s="84">
        <f t="shared" si="13"/>
        <v>6.3E-2</v>
      </c>
      <c r="H84" s="84">
        <f t="shared" si="13"/>
        <v>6.6000000000000003E-2</v>
      </c>
      <c r="I84" s="85">
        <f t="shared" si="13"/>
        <v>5.8999999999999997E-2</v>
      </c>
      <c r="L84" s="50" t="str">
        <f t="shared" si="10"/>
        <v>LO Revenue Growth ST</v>
      </c>
      <c r="M84" s="67">
        <v>13</v>
      </c>
      <c r="N84" s="64">
        <v>58.84878707837138</v>
      </c>
      <c r="O84" s="60">
        <v>21.538763224470358</v>
      </c>
      <c r="P84" s="57">
        <v>104251.36175123746</v>
      </c>
      <c r="Q84" s="13"/>
      <c r="R84" s="71">
        <f t="shared" si="9"/>
        <v>-0.33574239147980522</v>
      </c>
      <c r="S84" s="109"/>
    </row>
    <row r="85" spans="1:19" ht="16">
      <c r="A85" s="73">
        <v>14</v>
      </c>
      <c r="B85" s="52" t="s">
        <v>230</v>
      </c>
      <c r="C85" s="90">
        <f t="shared" si="15"/>
        <v>6.6359053405539714E-2</v>
      </c>
      <c r="D85" s="84">
        <f t="shared" si="16"/>
        <v>4.4999999999999998E-2</v>
      </c>
      <c r="E85" s="84">
        <f t="shared" si="16"/>
        <v>1.7000000000000001E-2</v>
      </c>
      <c r="F85" s="84">
        <f t="shared" si="16"/>
        <v>6.8000000000000005E-2</v>
      </c>
      <c r="G85" s="81">
        <f>G74</f>
        <v>6.5000000000000002E-2</v>
      </c>
      <c r="H85" s="84">
        <f>H$72</f>
        <v>6.6000000000000003E-2</v>
      </c>
      <c r="I85" s="85">
        <f>I$72</f>
        <v>5.8999999999999997E-2</v>
      </c>
      <c r="L85" s="50" t="str">
        <f t="shared" si="10"/>
        <v>HI Revenue Growth MT</v>
      </c>
      <c r="M85" s="66">
        <v>14</v>
      </c>
      <c r="N85" s="63">
        <v>98.723082145270197</v>
      </c>
      <c r="O85" s="59">
        <v>32.845046070952641</v>
      </c>
      <c r="P85" s="56">
        <v>167970.48526814178</v>
      </c>
      <c r="Q85" s="53"/>
      <c r="R85" s="70">
        <f t="shared" si="9"/>
        <v>0.11434001798928417</v>
      </c>
      <c r="S85" s="108">
        <f>ABS(N85-N86)</f>
        <v>30.075482449030062</v>
      </c>
    </row>
    <row r="86" spans="1:19" ht="16">
      <c r="A86" s="73">
        <v>15</v>
      </c>
      <c r="B86" s="51" t="s">
        <v>231</v>
      </c>
      <c r="C86" s="90">
        <f t="shared" si="15"/>
        <v>6.6359053405539714E-2</v>
      </c>
      <c r="D86" s="84">
        <f t="shared" si="16"/>
        <v>4.4999999999999998E-2</v>
      </c>
      <c r="E86" s="84">
        <f t="shared" si="16"/>
        <v>1.7000000000000001E-2</v>
      </c>
      <c r="F86" s="84">
        <f t="shared" si="16"/>
        <v>6.8000000000000005E-2</v>
      </c>
      <c r="G86" s="81">
        <f>G73</f>
        <v>5.8999999999999997E-2</v>
      </c>
      <c r="H86" s="84">
        <f>H$72</f>
        <v>6.6000000000000003E-2</v>
      </c>
      <c r="I86" s="85">
        <f>I$72</f>
        <v>5.8999999999999997E-2</v>
      </c>
      <c r="L86" s="50" t="str">
        <f t="shared" si="10"/>
        <v>LO Revenue Growth MT</v>
      </c>
      <c r="M86" s="67">
        <v>15</v>
      </c>
      <c r="N86" s="64">
        <v>68.647599696240135</v>
      </c>
      <c r="O86" s="60">
        <v>23.4472443863412</v>
      </c>
      <c r="P86" s="57">
        <v>119909.86431459173</v>
      </c>
      <c r="Q86" s="13"/>
      <c r="R86" s="71">
        <f t="shared" si="9"/>
        <v>-0.22513797363148513</v>
      </c>
      <c r="S86" s="109"/>
    </row>
    <row r="87" spans="1:19" ht="16">
      <c r="A87" s="73">
        <v>16</v>
      </c>
      <c r="B87" s="52" t="s">
        <v>232</v>
      </c>
      <c r="C87" s="90">
        <f t="shared" si="15"/>
        <v>6.6359053405539714E-2</v>
      </c>
      <c r="D87" s="84">
        <f t="shared" si="16"/>
        <v>4.4999999999999998E-2</v>
      </c>
      <c r="E87" s="84">
        <f t="shared" si="16"/>
        <v>1.7000000000000001E-2</v>
      </c>
      <c r="F87" s="84">
        <f t="shared" si="16"/>
        <v>6.8000000000000005E-2</v>
      </c>
      <c r="G87" s="84">
        <f>G$72</f>
        <v>6.3E-2</v>
      </c>
      <c r="H87" s="81">
        <f>H73</f>
        <v>7.0000000000000007E-2</v>
      </c>
      <c r="I87" s="85">
        <f>I$72</f>
        <v>5.8999999999999997E-2</v>
      </c>
      <c r="L87" s="50" t="str">
        <f t="shared" si="10"/>
        <v>HI COGS Growth ST</v>
      </c>
      <c r="M87" s="66">
        <v>16</v>
      </c>
      <c r="N87" s="63">
        <v>72.854360131348898</v>
      </c>
      <c r="O87" s="59">
        <v>25.446377184373624</v>
      </c>
      <c r="P87" s="56">
        <v>126632.26748989553</v>
      </c>
      <c r="Q87" s="53"/>
      <c r="R87" s="70">
        <f t="shared" si="9"/>
        <v>-0.17765402765786065</v>
      </c>
      <c r="S87" s="108">
        <f>ABS(N87-N88)</f>
        <v>31.248697841668942</v>
      </c>
    </row>
    <row r="88" spans="1:19" ht="16">
      <c r="A88" s="73">
        <v>17</v>
      </c>
      <c r="B88" s="51" t="s">
        <v>233</v>
      </c>
      <c r="C88" s="90">
        <f t="shared" si="15"/>
        <v>6.6359053405539714E-2</v>
      </c>
      <c r="D88" s="84">
        <f t="shared" si="16"/>
        <v>4.4999999999999998E-2</v>
      </c>
      <c r="E88" s="84">
        <f t="shared" si="16"/>
        <v>1.7000000000000001E-2</v>
      </c>
      <c r="F88" s="84">
        <f t="shared" si="16"/>
        <v>6.8000000000000005E-2</v>
      </c>
      <c r="G88" s="84">
        <f>G$72</f>
        <v>6.3E-2</v>
      </c>
      <c r="H88" s="81">
        <f>H74</f>
        <v>6.2E-2</v>
      </c>
      <c r="I88" s="85">
        <f>I$72</f>
        <v>5.8999999999999997E-2</v>
      </c>
      <c r="L88" s="50" t="str">
        <f t="shared" si="10"/>
        <v>LO COGS Growth ST</v>
      </c>
      <c r="M88" s="67">
        <v>17</v>
      </c>
      <c r="N88" s="64">
        <v>104.10305797301784</v>
      </c>
      <c r="O88" s="60">
        <v>33.621565658003156</v>
      </c>
      <c r="P88" s="57">
        <v>176567.68664088252</v>
      </c>
      <c r="Q88" s="13"/>
      <c r="R88" s="71">
        <f t="shared" si="9"/>
        <v>0.17506667107181717</v>
      </c>
      <c r="S88" s="109"/>
    </row>
    <row r="89" spans="1:19" ht="16">
      <c r="A89" s="73">
        <v>18</v>
      </c>
      <c r="B89" s="52" t="s">
        <v>234</v>
      </c>
      <c r="C89" s="90">
        <f t="shared" si="15"/>
        <v>6.6359053405539714E-2</v>
      </c>
      <c r="D89" s="84">
        <f t="shared" si="16"/>
        <v>4.4999999999999998E-2</v>
      </c>
      <c r="E89" s="84">
        <f t="shared" si="16"/>
        <v>1.7000000000000001E-2</v>
      </c>
      <c r="F89" s="84">
        <f t="shared" si="16"/>
        <v>6.8000000000000005E-2</v>
      </c>
      <c r="G89" s="84">
        <f>G$72</f>
        <v>6.3E-2</v>
      </c>
      <c r="H89" s="84">
        <f>H$72</f>
        <v>6.6000000000000003E-2</v>
      </c>
      <c r="I89" s="82">
        <f>I73</f>
        <v>6.3E-2</v>
      </c>
      <c r="L89" s="50" t="str">
        <f t="shared" si="10"/>
        <v>HI COGS Growth MT</v>
      </c>
      <c r="M89" s="66">
        <v>18</v>
      </c>
      <c r="N89" s="63">
        <v>69.313211579269307</v>
      </c>
      <c r="O89" s="59">
        <v>23.655230691672461</v>
      </c>
      <c r="P89" s="56">
        <v>120973.51210367234</v>
      </c>
      <c r="Q89" s="53"/>
      <c r="R89" s="70">
        <f t="shared" si="9"/>
        <v>-0.2176248577360842</v>
      </c>
      <c r="S89" s="108">
        <f>ABS(N89-N90)</f>
        <v>38.14264806082231</v>
      </c>
    </row>
    <row r="90" spans="1:19" ht="16">
      <c r="A90" s="73">
        <v>19</v>
      </c>
      <c r="B90" s="51" t="s">
        <v>235</v>
      </c>
      <c r="C90" s="91">
        <f t="shared" si="15"/>
        <v>6.6359053405539714E-2</v>
      </c>
      <c r="D90" s="92">
        <f t="shared" si="16"/>
        <v>4.4999999999999998E-2</v>
      </c>
      <c r="E90" s="92">
        <f t="shared" si="16"/>
        <v>1.7000000000000001E-2</v>
      </c>
      <c r="F90" s="92">
        <f t="shared" si="16"/>
        <v>6.8000000000000005E-2</v>
      </c>
      <c r="G90" s="92">
        <f>G$72</f>
        <v>6.3E-2</v>
      </c>
      <c r="H90" s="92">
        <f>H$72</f>
        <v>6.6000000000000003E-2</v>
      </c>
      <c r="I90" s="83">
        <f>I74</f>
        <v>5.5E-2</v>
      </c>
      <c r="L90" s="50" t="str">
        <f t="shared" si="10"/>
        <v>LO COGS Growth MT</v>
      </c>
      <c r="M90" s="67">
        <v>19</v>
      </c>
      <c r="N90" s="64">
        <v>107.45585964009162</v>
      </c>
      <c r="O90" s="60">
        <v>35.573810644929281</v>
      </c>
      <c r="P90" s="57">
        <v>181925.46370486642</v>
      </c>
      <c r="Q90" s="13"/>
      <c r="R90" s="71">
        <f t="shared" si="9"/>
        <v>0.21291152952653758</v>
      </c>
      <c r="S90" s="109"/>
    </row>
    <row r="91" spans="1:19">
      <c r="R91" s="58"/>
      <c r="S91" s="58"/>
    </row>
    <row r="92" spans="1:19">
      <c r="R92" s="58"/>
      <c r="S92" s="58"/>
    </row>
    <row r="93" spans="1:19">
      <c r="R93" s="324"/>
      <c r="S93" s="58"/>
    </row>
    <row r="94" spans="1:19" ht="21">
      <c r="B94" s="451" t="s">
        <v>334</v>
      </c>
      <c r="C94" s="451"/>
      <c r="D94" s="451"/>
      <c r="E94" s="451"/>
      <c r="F94" s="451"/>
      <c r="G94" s="451"/>
      <c r="H94" s="451"/>
      <c r="I94" s="43"/>
      <c r="R94" s="324"/>
      <c r="S94" s="58"/>
    </row>
    <row r="95" spans="1:19" ht="16">
      <c r="B95" s="12"/>
      <c r="C95" s="205" t="s">
        <v>325</v>
      </c>
      <c r="D95" s="205" t="s">
        <v>326</v>
      </c>
      <c r="E95" s="205" t="s">
        <v>327</v>
      </c>
      <c r="F95" s="205" t="s">
        <v>328</v>
      </c>
      <c r="G95" s="205" t="s">
        <v>329</v>
      </c>
      <c r="H95" s="206" t="s">
        <v>330</v>
      </c>
      <c r="I95" s="43"/>
      <c r="R95" s="324"/>
      <c r="S95" s="58"/>
    </row>
    <row r="96" spans="1:19" ht="16">
      <c r="B96" s="207" t="s">
        <v>331</v>
      </c>
      <c r="C96" s="44">
        <v>8.1995422332003701E-2</v>
      </c>
      <c r="D96" s="209">
        <v>9.9777931665986794E-2</v>
      </c>
      <c r="E96" s="209">
        <v>8.3507980274688101E-2</v>
      </c>
      <c r="F96" s="209">
        <v>0.14350024193927405</v>
      </c>
      <c r="G96" s="209">
        <v>4.7962706643270014E-2</v>
      </c>
      <c r="H96" s="208">
        <v>9.1348856571044537E-2</v>
      </c>
      <c r="I96" s="43"/>
      <c r="R96" s="370"/>
    </row>
    <row r="97" spans="2:9" ht="16">
      <c r="B97" s="207" t="s">
        <v>4</v>
      </c>
      <c r="C97" s="44">
        <v>5.9582739813020792E-2</v>
      </c>
      <c r="D97" s="209">
        <v>8.331823004732819E-2</v>
      </c>
      <c r="E97" s="209">
        <v>0.10002273613641464</v>
      </c>
      <c r="F97" s="209">
        <v>0.10205194554046144</v>
      </c>
      <c r="G97" s="209">
        <v>2.8186242562799738E-2</v>
      </c>
      <c r="H97" s="208">
        <v>7.4632378820004952E-2</v>
      </c>
      <c r="I97" s="43"/>
    </row>
    <row r="98" spans="2:9" ht="16">
      <c r="B98" s="207" t="s">
        <v>332</v>
      </c>
      <c r="C98" s="44">
        <v>9.6750000000000003E-2</v>
      </c>
      <c r="D98" s="209">
        <v>8.4333333333333302E-2</v>
      </c>
      <c r="E98" s="209"/>
      <c r="F98" s="209"/>
      <c r="G98" s="209"/>
      <c r="H98" s="208">
        <f>9.05416666666667/100</f>
        <v>9.0541666666666701E-2</v>
      </c>
      <c r="I98" s="43"/>
    </row>
    <row r="99" spans="2:9" ht="16">
      <c r="B99" s="207" t="s">
        <v>333</v>
      </c>
      <c r="C99" s="44">
        <v>6.9249999999999992E-2</v>
      </c>
      <c r="D99" s="209">
        <v>6.8333333333333302E-2</v>
      </c>
      <c r="E99" s="209"/>
      <c r="F99" s="209"/>
      <c r="G99" s="209"/>
      <c r="H99" s="208">
        <f>6.87916666666667/100</f>
        <v>6.8791666666666695E-2</v>
      </c>
      <c r="I99" s="43"/>
    </row>
    <row r="100" spans="2:9">
      <c r="B100" s="43"/>
      <c r="C100" s="43"/>
      <c r="D100" s="43"/>
      <c r="E100" s="43"/>
      <c r="F100" s="43"/>
      <c r="G100" s="43"/>
      <c r="H100" s="43"/>
      <c r="I100" s="43"/>
    </row>
  </sheetData>
  <mergeCells count="5">
    <mergeCell ref="H25:H26"/>
    <mergeCell ref="B64:C64"/>
    <mergeCell ref="M70:N70"/>
    <mergeCell ref="B94:H94"/>
    <mergeCell ref="H42:H43"/>
  </mergeCells>
  <phoneticPr fontId="37" type="noConversion"/>
  <conditionalFormatting sqref="C57">
    <cfRule type="expression" dxfId="13" priority="39">
      <formula>IF($C$57="SELL",TRUE,FALSE)</formula>
    </cfRule>
    <cfRule type="expression" dxfId="12" priority="40">
      <formula>IF($C$57="HOLD",TRUE,FALSE)</formula>
    </cfRule>
    <cfRule type="expression" dxfId="11" priority="41">
      <formula>IF($C$57="BUY",TRUE,FALSE)</formula>
    </cfRule>
  </conditionalFormatting>
  <conditionalFormatting sqref="S77:S90">
    <cfRule type="colorScale" priority="34">
      <colorScale>
        <cfvo type="min"/>
        <cfvo type="max"/>
        <color rgb="FFFCFCFF"/>
        <color rgb="FF63BE7B"/>
      </colorScale>
    </cfRule>
    <cfRule type="colorScale" priority="35">
      <colorScale>
        <cfvo type="min"/>
        <cfvo type="percentile" val="50"/>
        <cfvo type="max"/>
        <color rgb="FFF8696B"/>
        <color rgb="FFFFEB84"/>
        <color rgb="FF63BE7B"/>
      </colorScale>
    </cfRule>
  </conditionalFormatting>
  <conditionalFormatting sqref="R71:R90">
    <cfRule type="iconSet" priority="32">
      <iconSet iconSet="5Arrows">
        <cfvo type="percent" val="0"/>
        <cfvo type="percent" val="20"/>
        <cfvo type="percent" val="40"/>
        <cfvo type="percent" val="60"/>
        <cfvo type="percent" val="80"/>
      </iconSet>
    </cfRule>
  </conditionalFormatting>
  <conditionalFormatting sqref="N24:V32">
    <cfRule type="cellIs" dxfId="10" priority="24" operator="lessThan">
      <formula>$M$11</formula>
    </cfRule>
    <cfRule type="cellIs" dxfId="9" priority="25" operator="greaterThan">
      <formula>$M$9</formula>
    </cfRule>
  </conditionalFormatting>
  <conditionalFormatting sqref="J10:J20">
    <cfRule type="cellIs" dxfId="8" priority="14" operator="lessThan">
      <formula>$M$11</formula>
    </cfRule>
    <cfRule type="cellIs" dxfId="7" priority="15" operator="greaterThan">
      <formula>$M$9</formula>
    </cfRule>
  </conditionalFormatting>
  <conditionalFormatting sqref="J25:J35">
    <cfRule type="cellIs" dxfId="6" priority="12" operator="lessThan">
      <formula>$M$11</formula>
    </cfRule>
    <cfRule type="cellIs" dxfId="5" priority="13" operator="greaterThan">
      <formula>$M$9</formula>
    </cfRule>
  </conditionalFormatting>
  <conditionalFormatting sqref="J42:J52">
    <cfRule type="cellIs" dxfId="4" priority="10" operator="lessThan">
      <formula>$M$11</formula>
    </cfRule>
    <cfRule type="cellIs" dxfId="3" priority="11" operator="greaterThan">
      <formula>$M$9</formula>
    </cfRule>
  </conditionalFormatting>
  <conditionalFormatting sqref="B5">
    <cfRule type="containsText" dxfId="2" priority="1" operator="containsText" text="Buy">
      <formula>NOT(ISERROR(SEARCH("Buy",B5)))</formula>
    </cfRule>
    <cfRule type="containsText" dxfId="1" priority="2" operator="containsText" text="Sell">
      <formula>NOT(ISERROR(SEARCH("Sell",B5)))</formula>
    </cfRule>
    <cfRule type="expression" dxfId="0" priority="3">
      <formula>"sell"</formula>
    </cfRule>
  </conditionalFormatting>
  <hyperlinks>
    <hyperlink ref="B1" location="Menu!A1" display="MENU" xr:uid="{7A20F324-2768-4638-A642-F4C92A86F33A}"/>
  </hyperlink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100" r:id="rId4" name="Drop Down 52">
              <controlPr defaultSize="0" autoLine="0" autoPict="0">
                <anchor moveWithCells="1">
                  <from>
                    <xdr:col>1</xdr:col>
                    <xdr:colOff>38100</xdr:colOff>
                    <xdr:row>69</xdr:row>
                    <xdr:rowOff>63500</xdr:rowOff>
                  </from>
                  <to>
                    <xdr:col>1</xdr:col>
                    <xdr:colOff>2832100</xdr:colOff>
                    <xdr:row>69</xdr:row>
                    <xdr:rowOff>317500</xdr:rowOff>
                  </to>
                </anchor>
              </controlPr>
            </control>
          </mc:Choice>
        </mc:AlternateContent>
        <mc:AlternateContent xmlns:mc="http://schemas.openxmlformats.org/markup-compatibility/2006">
          <mc:Choice Requires="x14">
            <control shapeId="2104" r:id="rId5" name="Drop Down 56">
              <controlPr defaultSize="0" autoLine="0" autoPict="0">
                <anchor moveWithCells="1">
                  <from>
                    <xdr:col>11</xdr:col>
                    <xdr:colOff>101600</xdr:colOff>
                    <xdr:row>13</xdr:row>
                    <xdr:rowOff>76200</xdr:rowOff>
                  </from>
                  <to>
                    <xdr:col>12</xdr:col>
                    <xdr:colOff>1066800</xdr:colOff>
                    <xdr:row>14</xdr:row>
                    <xdr:rowOff>139700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7B73F9-A67C-4F37-8332-0D55CB499564}">
  <dimension ref="B1:AB104"/>
  <sheetViews>
    <sheetView zoomScale="70" zoomScaleNormal="46" workbookViewId="0">
      <selection activeCell="D10" sqref="D10"/>
    </sheetView>
  </sheetViews>
  <sheetFormatPr baseColWidth="10" defaultColWidth="8.6640625" defaultRowHeight="15" outlineLevelCol="1"/>
  <cols>
    <col min="1" max="1" width="8.6640625" style="58"/>
    <col min="2" max="2" width="18.5" style="58" bestFit="1" customWidth="1"/>
    <col min="3" max="3" width="40.5" style="58" bestFit="1" customWidth="1"/>
    <col min="4" max="4" width="9.33203125" style="58" customWidth="1"/>
    <col min="5" max="5" width="18.5" style="58" bestFit="1" customWidth="1"/>
    <col min="6" max="8" width="11.1640625" style="58" bestFit="1" customWidth="1"/>
    <col min="9" max="9" width="14" style="58" bestFit="1" customWidth="1"/>
    <col min="10" max="10" width="12.83203125" style="58" bestFit="1" customWidth="1"/>
    <col min="11" max="11" width="8.6640625" style="58" customWidth="1"/>
    <col min="12" max="19" width="8.6640625" style="58" customWidth="1" outlineLevel="1"/>
    <col min="20" max="20" width="12.83203125" style="58" bestFit="1" customWidth="1"/>
    <col min="21" max="21" width="20.83203125" style="58" customWidth="1"/>
    <col min="22" max="16384" width="8.6640625" style="58"/>
  </cols>
  <sheetData>
    <row r="1" spans="2:20" s="75" customFormat="1" ht="19">
      <c r="C1" s="76" t="s">
        <v>268</v>
      </c>
    </row>
    <row r="2" spans="2:20" s="75" customFormat="1" ht="15" customHeight="1">
      <c r="C2" s="77" t="s">
        <v>263</v>
      </c>
    </row>
    <row r="3" spans="2:20" s="75" customFormat="1" ht="15" customHeight="1">
      <c r="C3" s="77" t="s">
        <v>563</v>
      </c>
    </row>
    <row r="4" spans="2:20" s="75" customFormat="1"/>
    <row r="6" spans="2:20">
      <c r="C6" s="274"/>
      <c r="E6" s="58" t="s">
        <v>116</v>
      </c>
      <c r="G6" s="58" t="s">
        <v>117</v>
      </c>
      <c r="I6" s="58" t="s">
        <v>118</v>
      </c>
      <c r="K6" s="58" t="s">
        <v>246</v>
      </c>
    </row>
    <row r="7" spans="2:20">
      <c r="C7" s="274"/>
      <c r="E7" s="32">
        <f>'Control Panel'!C71</f>
        <v>6.6359053405539714E-2</v>
      </c>
      <c r="G7" s="32">
        <f>'Control Panel'!D71</f>
        <v>4.4999999999999998E-2</v>
      </c>
      <c r="I7" s="32">
        <f>'Control Panel'!E71</f>
        <v>1.7000000000000001E-2</v>
      </c>
      <c r="K7" s="32">
        <f>'Control Panel'!C14</f>
        <v>0.21</v>
      </c>
    </row>
    <row r="9" spans="2:20">
      <c r="I9" s="58" t="s">
        <v>122</v>
      </c>
      <c r="J9" s="58" t="s">
        <v>122</v>
      </c>
      <c r="K9" s="58" t="s">
        <v>122</v>
      </c>
      <c r="L9" s="58" t="s">
        <v>122</v>
      </c>
      <c r="M9" s="58" t="s">
        <v>122</v>
      </c>
      <c r="N9" s="78" t="s">
        <v>123</v>
      </c>
      <c r="O9" s="78" t="s">
        <v>123</v>
      </c>
      <c r="P9" s="78" t="s">
        <v>123</v>
      </c>
      <c r="Q9" s="78" t="s">
        <v>123</v>
      </c>
      <c r="R9" s="78" t="s">
        <v>123</v>
      </c>
      <c r="S9" s="78" t="s">
        <v>123</v>
      </c>
      <c r="T9" s="78" t="s">
        <v>123</v>
      </c>
    </row>
    <row r="10" spans="2:20">
      <c r="C10" s="58" t="s">
        <v>102</v>
      </c>
      <c r="E10" s="1">
        <v>2015</v>
      </c>
      <c r="F10" s="1">
        <v>2016</v>
      </c>
      <c r="G10" s="1">
        <v>2017</v>
      </c>
      <c r="H10" s="1">
        <v>2018</v>
      </c>
      <c r="I10" s="8">
        <v>2019</v>
      </c>
      <c r="J10" s="10">
        <v>2020</v>
      </c>
      <c r="K10" s="10">
        <v>2021</v>
      </c>
      <c r="L10" s="10">
        <v>2022</v>
      </c>
      <c r="M10" s="10">
        <v>2023</v>
      </c>
      <c r="N10" s="10">
        <v>2024</v>
      </c>
      <c r="O10" s="10">
        <v>2025</v>
      </c>
      <c r="P10" s="10">
        <v>2026</v>
      </c>
      <c r="Q10" s="10">
        <v>2027</v>
      </c>
      <c r="R10" s="10">
        <v>2028</v>
      </c>
      <c r="S10" s="10">
        <v>2029</v>
      </c>
      <c r="T10" s="10">
        <v>2030</v>
      </c>
    </row>
    <row r="11" spans="2:20">
      <c r="B11" s="58" t="s">
        <v>0</v>
      </c>
      <c r="C11" s="325" t="s">
        <v>1</v>
      </c>
      <c r="D11" s="325"/>
      <c r="E11" s="1">
        <v>-4</v>
      </c>
      <c r="F11" s="1">
        <f>E11+1</f>
        <v>-3</v>
      </c>
      <c r="G11" s="1">
        <f t="shared" ref="G11:J11" si="0">F11+1</f>
        <v>-2</v>
      </c>
      <c r="H11" s="1">
        <f t="shared" si="0"/>
        <v>-1</v>
      </c>
      <c r="I11" s="8">
        <f t="shared" si="0"/>
        <v>0</v>
      </c>
      <c r="J11" s="10">
        <f t="shared" si="0"/>
        <v>1</v>
      </c>
      <c r="K11" s="10">
        <f t="shared" ref="K11" si="1">J11+1</f>
        <v>2</v>
      </c>
      <c r="L11" s="10">
        <f t="shared" ref="L11" si="2">K11+1</f>
        <v>3</v>
      </c>
      <c r="M11" s="10">
        <f t="shared" ref="M11" si="3">L11+1</f>
        <v>4</v>
      </c>
      <c r="N11" s="10">
        <f t="shared" ref="N11" si="4">M11+1</f>
        <v>5</v>
      </c>
      <c r="O11" s="10">
        <f t="shared" ref="O11" si="5">N11+1</f>
        <v>6</v>
      </c>
      <c r="P11" s="10">
        <f t="shared" ref="P11" si="6">O11+1</f>
        <v>7</v>
      </c>
      <c r="Q11" s="10">
        <f t="shared" ref="Q11" si="7">P11+1</f>
        <v>8</v>
      </c>
      <c r="R11" s="10">
        <f t="shared" ref="R11" si="8">Q11+1</f>
        <v>9</v>
      </c>
      <c r="S11" s="10">
        <f t="shared" ref="S11" si="9">R11+1</f>
        <v>10</v>
      </c>
      <c r="T11" s="10">
        <f t="shared" ref="T11" si="10">S11+1</f>
        <v>11</v>
      </c>
    </row>
    <row r="12" spans="2:20">
      <c r="B12" s="58" t="s">
        <v>2</v>
      </c>
      <c r="C12" s="58" t="s">
        <v>3</v>
      </c>
      <c r="D12" s="326" t="s">
        <v>21</v>
      </c>
      <c r="E12" s="329">
        <f>'Financial Statement Information'!E9</f>
        <v>32464</v>
      </c>
      <c r="F12" s="329">
        <f>'Financial Statement Information'!F9</f>
        <v>34254</v>
      </c>
      <c r="G12" s="329">
        <f>'Financial Statement Information'!G9</f>
        <v>36363</v>
      </c>
      <c r="H12" s="329">
        <f>'Financial Statement Information'!H9</f>
        <v>39122</v>
      </c>
      <c r="I12" s="329">
        <f>H12*(1+I55)</f>
        <v>41782.296000000002</v>
      </c>
      <c r="J12" s="329">
        <f t="shared" ref="J12:S12" si="11">I12*(1+J55)</f>
        <v>44623.492128000005</v>
      </c>
      <c r="K12" s="329">
        <f t="shared" si="11"/>
        <v>47657.889592704007</v>
      </c>
      <c r="L12" s="329">
        <f t="shared" si="11"/>
        <v>50898.626085007883</v>
      </c>
      <c r="M12" s="329">
        <f t="shared" si="11"/>
        <v>54359.732658788424</v>
      </c>
      <c r="N12" s="329">
        <f t="shared" si="11"/>
        <v>57784.39581629209</v>
      </c>
      <c r="O12" s="329">
        <f t="shared" si="11"/>
        <v>61424.812752718492</v>
      </c>
      <c r="P12" s="329">
        <f t="shared" si="11"/>
        <v>65294.57595613975</v>
      </c>
      <c r="Q12" s="329">
        <f t="shared" si="11"/>
        <v>69408.134241376552</v>
      </c>
      <c r="R12" s="329">
        <f t="shared" si="11"/>
        <v>73780.846698583278</v>
      </c>
      <c r="S12" s="329">
        <f t="shared" si="11"/>
        <v>78429.040040594016</v>
      </c>
      <c r="T12" s="329">
        <f>S12*(1+T55)</f>
        <v>83370.069563151439</v>
      </c>
    </row>
    <row r="13" spans="2:20">
      <c r="B13" s="58" t="s">
        <v>2</v>
      </c>
      <c r="C13" s="58" t="s">
        <v>4</v>
      </c>
      <c r="D13" s="326" t="s">
        <v>21</v>
      </c>
      <c r="E13" s="329">
        <f>'Financial Statement Information'!E10</f>
        <v>17991</v>
      </c>
      <c r="F13" s="329">
        <f>'Financial Statement Information'!F10</f>
        <v>19377</v>
      </c>
      <c r="G13" s="329">
        <f>'Financial Statement Information'!G10</f>
        <v>20351</v>
      </c>
      <c r="H13" s="329">
        <f>'Financial Statement Information'!H10</f>
        <v>21696</v>
      </c>
      <c r="I13" s="329">
        <f>H13*(1+I56)</f>
        <v>23127.936000000002</v>
      </c>
      <c r="J13" s="329">
        <f t="shared" ref="J13:T13" si="12">I13*(1+J56)</f>
        <v>24654.379776000002</v>
      </c>
      <c r="K13" s="329">
        <f t="shared" si="12"/>
        <v>26281.568841216002</v>
      </c>
      <c r="L13" s="329">
        <f t="shared" si="12"/>
        <v>28016.152384736259</v>
      </c>
      <c r="M13" s="329">
        <f t="shared" si="12"/>
        <v>29865.218442128855</v>
      </c>
      <c r="N13" s="329">
        <f t="shared" si="12"/>
        <v>31627.266330214454</v>
      </c>
      <c r="O13" s="329">
        <f t="shared" si="12"/>
        <v>33493.275043697104</v>
      </c>
      <c r="P13" s="329">
        <f t="shared" si="12"/>
        <v>35469.378271275229</v>
      </c>
      <c r="Q13" s="329">
        <f t="shared" si="12"/>
        <v>37562.071589280466</v>
      </c>
      <c r="R13" s="329">
        <f t="shared" si="12"/>
        <v>39778.233813048013</v>
      </c>
      <c r="S13" s="329">
        <f t="shared" si="12"/>
        <v>42125.14960801784</v>
      </c>
      <c r="T13" s="329">
        <f t="shared" si="12"/>
        <v>44610.533434890887</v>
      </c>
    </row>
    <row r="14" spans="2:20">
      <c r="B14" s="58" t="s">
        <v>2</v>
      </c>
      <c r="C14" s="325" t="s">
        <v>5</v>
      </c>
      <c r="D14" s="327" t="s">
        <v>21</v>
      </c>
      <c r="E14" s="330">
        <f>'Financial Statement Information'!E11</f>
        <v>10469</v>
      </c>
      <c r="F14" s="330">
        <f>'Financial Statement Information'!F11</f>
        <v>10563</v>
      </c>
      <c r="G14" s="330">
        <f>'Financial Statement Information'!G11</f>
        <v>11512</v>
      </c>
      <c r="H14" s="330">
        <f>'Financial Statement Information'!H11</f>
        <v>12702</v>
      </c>
      <c r="I14" s="330">
        <f>H14*(1+I57)</f>
        <v>13540.332</v>
      </c>
      <c r="J14" s="330">
        <f t="shared" ref="J14:T14" si="13">I14*(1+J57)</f>
        <v>14433.993912000002</v>
      </c>
      <c r="K14" s="330">
        <f t="shared" si="13"/>
        <v>15386.637510192002</v>
      </c>
      <c r="L14" s="330">
        <f t="shared" si="13"/>
        <v>16402.155585864675</v>
      </c>
      <c r="M14" s="330">
        <f t="shared" si="13"/>
        <v>17484.697854531743</v>
      </c>
      <c r="N14" s="330">
        <f t="shared" si="13"/>
        <v>18516.295027949116</v>
      </c>
      <c r="O14" s="330">
        <f t="shared" si="13"/>
        <v>19608.756434598112</v>
      </c>
      <c r="P14" s="330">
        <f t="shared" si="13"/>
        <v>20765.6730642394</v>
      </c>
      <c r="Q14" s="330">
        <f t="shared" si="13"/>
        <v>21990.847775029524</v>
      </c>
      <c r="R14" s="330">
        <f t="shared" si="13"/>
        <v>23288.307793756267</v>
      </c>
      <c r="S14" s="330">
        <f t="shared" si="13"/>
        <v>24662.317953587884</v>
      </c>
      <c r="T14" s="330">
        <f t="shared" si="13"/>
        <v>26117.394712849567</v>
      </c>
    </row>
    <row r="15" spans="2:20">
      <c r="C15" s="58" t="s">
        <v>6</v>
      </c>
      <c r="D15" s="326" t="s">
        <v>21</v>
      </c>
      <c r="E15" s="329">
        <f>E12-E13-E14</f>
        <v>4004</v>
      </c>
      <c r="F15" s="329">
        <f t="shared" ref="F15:H15" si="14">F12-F13-F14</f>
        <v>4314</v>
      </c>
      <c r="G15" s="329">
        <f t="shared" si="14"/>
        <v>4500</v>
      </c>
      <c r="H15" s="329">
        <f t="shared" si="14"/>
        <v>4724</v>
      </c>
      <c r="I15" s="329">
        <f>I12-I13-I14</f>
        <v>5114.0280000000002</v>
      </c>
      <c r="J15" s="329">
        <f t="shared" ref="J15:T15" si="15">J12-J13-J14</f>
        <v>5535.118440000002</v>
      </c>
      <c r="K15" s="329">
        <f t="shared" si="15"/>
        <v>5989.683241296003</v>
      </c>
      <c r="L15" s="329">
        <f t="shared" si="15"/>
        <v>6480.3181144069495</v>
      </c>
      <c r="M15" s="329">
        <f t="shared" si="15"/>
        <v>7009.8163621278254</v>
      </c>
      <c r="N15" s="329">
        <f t="shared" si="15"/>
        <v>7640.8344581285201</v>
      </c>
      <c r="O15" s="329">
        <f t="shared" si="15"/>
        <v>8322.781274423276</v>
      </c>
      <c r="P15" s="329">
        <f t="shared" si="15"/>
        <v>9059.5246206251213</v>
      </c>
      <c r="Q15" s="329">
        <f t="shared" si="15"/>
        <v>9855.2148770665626</v>
      </c>
      <c r="R15" s="329">
        <f t="shared" si="15"/>
        <v>10714.305091778999</v>
      </c>
      <c r="S15" s="329">
        <f t="shared" si="15"/>
        <v>11641.572478988292</v>
      </c>
      <c r="T15" s="329">
        <f t="shared" si="15"/>
        <v>12642.141415410984</v>
      </c>
    </row>
    <row r="16" spans="2:20">
      <c r="B16" s="58" t="s">
        <v>7</v>
      </c>
      <c r="C16" s="325" t="s">
        <v>8</v>
      </c>
      <c r="D16" s="327" t="s">
        <v>21</v>
      </c>
      <c r="E16" s="330">
        <f>'Financial Statement Information'!E13</f>
        <v>649</v>
      </c>
      <c r="F16" s="330">
        <f>'Financial Statement Information'!F13</f>
        <v>706</v>
      </c>
      <c r="G16" s="330">
        <f>'Financial Statement Information'!G13</f>
        <v>747</v>
      </c>
      <c r="H16" s="330">
        <f>'Financial Statement Information'!H13</f>
        <v>705</v>
      </c>
      <c r="I16" s="330">
        <f>H16*(1+I59)</f>
        <v>751.53000000000009</v>
      </c>
      <c r="J16" s="330">
        <f>I16*(1+J59)</f>
        <v>801.13098000000014</v>
      </c>
      <c r="K16" s="330">
        <f t="shared" ref="K16:T16" si="16">J16*(1+K59)</f>
        <v>854.00562468000021</v>
      </c>
      <c r="L16" s="330">
        <f t="shared" si="16"/>
        <v>910.36999590888024</v>
      </c>
      <c r="M16" s="330">
        <f t="shared" si="16"/>
        <v>970.45441563886641</v>
      </c>
      <c r="N16" s="330">
        <f t="shared" si="16"/>
        <v>1027.7112261615596</v>
      </c>
      <c r="O16" s="330">
        <f t="shared" si="16"/>
        <v>1088.3461885050915</v>
      </c>
      <c r="P16" s="330">
        <f t="shared" si="16"/>
        <v>1152.5586136268919</v>
      </c>
      <c r="Q16" s="330">
        <f t="shared" si="16"/>
        <v>1220.5595718308784</v>
      </c>
      <c r="R16" s="330">
        <f t="shared" si="16"/>
        <v>1292.5725865689003</v>
      </c>
      <c r="S16" s="330">
        <f t="shared" si="16"/>
        <v>1368.8343691764653</v>
      </c>
      <c r="T16" s="330">
        <f t="shared" si="16"/>
        <v>1449.5955969578768</v>
      </c>
    </row>
    <row r="17" spans="2:28">
      <c r="C17" s="58" t="s">
        <v>9</v>
      </c>
      <c r="D17" s="326" t="s">
        <v>21</v>
      </c>
      <c r="E17" s="329">
        <f>E15-E16</f>
        <v>3355</v>
      </c>
      <c r="F17" s="329">
        <f t="shared" ref="F17:H17" si="17">F15-F16</f>
        <v>3608</v>
      </c>
      <c r="G17" s="329">
        <f t="shared" si="17"/>
        <v>3753</v>
      </c>
      <c r="H17" s="329">
        <f t="shared" si="17"/>
        <v>4019</v>
      </c>
      <c r="I17" s="329">
        <f>I15-I16</f>
        <v>4362.4980000000005</v>
      </c>
      <c r="J17" s="329">
        <f t="shared" ref="J17:T17" si="18">J15-J16</f>
        <v>4733.9874600000021</v>
      </c>
      <c r="K17" s="329">
        <f t="shared" si="18"/>
        <v>5135.6776166160025</v>
      </c>
      <c r="L17" s="329">
        <f t="shared" si="18"/>
        <v>5569.9481184980696</v>
      </c>
      <c r="M17" s="329">
        <f>M15-M16</f>
        <v>6039.3619464889589</v>
      </c>
      <c r="N17" s="329">
        <f t="shared" si="18"/>
        <v>6613.1232319669607</v>
      </c>
      <c r="O17" s="329">
        <f t="shared" si="18"/>
        <v>7234.435085918185</v>
      </c>
      <c r="P17" s="329">
        <f t="shared" si="18"/>
        <v>7906.9660069982292</v>
      </c>
      <c r="Q17" s="329">
        <f t="shared" si="18"/>
        <v>8634.6553052356849</v>
      </c>
      <c r="R17" s="329">
        <f t="shared" si="18"/>
        <v>9421.7325052100987</v>
      </c>
      <c r="S17" s="329">
        <f t="shared" si="18"/>
        <v>10272.738109811826</v>
      </c>
      <c r="T17" s="329">
        <f t="shared" si="18"/>
        <v>11192.545818453107</v>
      </c>
    </row>
    <row r="18" spans="2:28">
      <c r="B18" s="58" t="s">
        <v>2</v>
      </c>
      <c r="C18" s="325" t="s">
        <v>10</v>
      </c>
      <c r="D18" s="327" t="s">
        <v>21</v>
      </c>
      <c r="E18" s="330">
        <f>'Financial Statement Information'!E15</f>
        <v>863</v>
      </c>
      <c r="F18" s="330">
        <f>'Financial Statement Information'!F15</f>
        <v>646</v>
      </c>
      <c r="G18" s="330">
        <f>'Financial Statement Information'!G15</f>
        <v>2392</v>
      </c>
      <c r="H18" s="330">
        <f>'Financial Statement Information'!H15</f>
        <v>772</v>
      </c>
      <c r="I18" s="330">
        <f>$K$7*I17</f>
        <v>916.12458000000004</v>
      </c>
      <c r="J18" s="330">
        <f t="shared" ref="J18:T18" si="19">$K$7*J17</f>
        <v>994.13736660000041</v>
      </c>
      <c r="K18" s="330">
        <f t="shared" si="19"/>
        <v>1078.4922994893604</v>
      </c>
      <c r="L18" s="330">
        <f t="shared" si="19"/>
        <v>1169.6891048845946</v>
      </c>
      <c r="M18" s="330">
        <f t="shared" si="19"/>
        <v>1268.2660087626814</v>
      </c>
      <c r="N18" s="330">
        <f t="shared" si="19"/>
        <v>1388.7558787130617</v>
      </c>
      <c r="O18" s="330">
        <f t="shared" si="19"/>
        <v>1519.2313680428188</v>
      </c>
      <c r="P18" s="330">
        <f t="shared" si="19"/>
        <v>1660.462861469628</v>
      </c>
      <c r="Q18" s="330">
        <f t="shared" si="19"/>
        <v>1813.2776140994938</v>
      </c>
      <c r="R18" s="330">
        <f t="shared" si="19"/>
        <v>1978.5638260941207</v>
      </c>
      <c r="S18" s="330">
        <f t="shared" si="19"/>
        <v>2157.2750030604834</v>
      </c>
      <c r="T18" s="330">
        <f t="shared" si="19"/>
        <v>2350.4346218751525</v>
      </c>
    </row>
    <row r="19" spans="2:28" ht="15" customHeight="1">
      <c r="C19" s="58" t="s">
        <v>11</v>
      </c>
      <c r="D19" s="326" t="s">
        <v>21</v>
      </c>
      <c r="E19" s="329">
        <f>E17-E18</f>
        <v>2492</v>
      </c>
      <c r="F19" s="329">
        <f t="shared" ref="F19:H19" si="20">F17-F18</f>
        <v>2962</v>
      </c>
      <c r="G19" s="329">
        <f t="shared" si="20"/>
        <v>1361</v>
      </c>
      <c r="H19" s="329">
        <f t="shared" si="20"/>
        <v>3247</v>
      </c>
      <c r="I19" s="329">
        <f>I17-I18</f>
        <v>3446.3734200000004</v>
      </c>
      <c r="J19" s="329">
        <f t="shared" ref="J19:T19" si="21">J17-J18</f>
        <v>3739.8500934000017</v>
      </c>
      <c r="K19" s="329">
        <f t="shared" si="21"/>
        <v>4057.1853171266421</v>
      </c>
      <c r="L19" s="329">
        <f t="shared" si="21"/>
        <v>4400.259013613475</v>
      </c>
      <c r="M19" s="329">
        <f t="shared" si="21"/>
        <v>4771.095937726277</v>
      </c>
      <c r="N19" s="329">
        <f t="shared" si="21"/>
        <v>5224.3673532538987</v>
      </c>
      <c r="O19" s="329">
        <f t="shared" si="21"/>
        <v>5715.2037178753662</v>
      </c>
      <c r="P19" s="329">
        <f t="shared" si="21"/>
        <v>6246.5031455286007</v>
      </c>
      <c r="Q19" s="329">
        <f t="shared" si="21"/>
        <v>6821.3776911361911</v>
      </c>
      <c r="R19" s="329">
        <f t="shared" si="21"/>
        <v>7443.1686791159782</v>
      </c>
      <c r="S19" s="329">
        <f t="shared" si="21"/>
        <v>8115.4631067513419</v>
      </c>
      <c r="T19" s="329">
        <f t="shared" si="21"/>
        <v>8842.1111965779546</v>
      </c>
      <c r="V19" s="331"/>
      <c r="W19" s="331"/>
      <c r="X19" s="331"/>
      <c r="Y19" s="331"/>
      <c r="Z19" s="331"/>
      <c r="AA19" s="331"/>
      <c r="AB19" s="331"/>
    </row>
    <row r="20" spans="2:28">
      <c r="B20" s="58" t="s">
        <v>7</v>
      </c>
      <c r="C20" s="324" t="s">
        <v>8</v>
      </c>
      <c r="D20" s="328" t="s">
        <v>21</v>
      </c>
      <c r="E20" s="332">
        <f>'Financial Statement Information'!E17</f>
        <v>649</v>
      </c>
      <c r="F20" s="332">
        <f>'Financial Statement Information'!F17</f>
        <v>706</v>
      </c>
      <c r="G20" s="332">
        <f>'Financial Statement Information'!G17</f>
        <v>747</v>
      </c>
      <c r="H20" s="332">
        <f>'Financial Statement Information'!H17</f>
        <v>705</v>
      </c>
      <c r="I20" s="332">
        <f>I16</f>
        <v>751.53000000000009</v>
      </c>
      <c r="J20" s="332">
        <f t="shared" ref="J20:T20" si="22">J16</f>
        <v>801.13098000000014</v>
      </c>
      <c r="K20" s="332">
        <f t="shared" si="22"/>
        <v>854.00562468000021</v>
      </c>
      <c r="L20" s="332">
        <f t="shared" si="22"/>
        <v>910.36999590888024</v>
      </c>
      <c r="M20" s="332">
        <f t="shared" si="22"/>
        <v>970.45441563886641</v>
      </c>
      <c r="N20" s="332">
        <f t="shared" si="22"/>
        <v>1027.7112261615596</v>
      </c>
      <c r="O20" s="332">
        <f t="shared" si="22"/>
        <v>1088.3461885050915</v>
      </c>
      <c r="P20" s="332">
        <f t="shared" si="22"/>
        <v>1152.5586136268919</v>
      </c>
      <c r="Q20" s="332">
        <f t="shared" si="22"/>
        <v>1220.5595718308784</v>
      </c>
      <c r="R20" s="332">
        <f t="shared" si="22"/>
        <v>1292.5725865689003</v>
      </c>
      <c r="S20" s="332">
        <f t="shared" si="22"/>
        <v>1368.8343691764653</v>
      </c>
      <c r="T20" s="332">
        <f t="shared" si="22"/>
        <v>1449.5955969578768</v>
      </c>
      <c r="V20" s="331"/>
      <c r="W20" s="331"/>
      <c r="X20" s="331"/>
      <c r="Y20" s="331"/>
      <c r="Z20" s="331"/>
      <c r="AA20" s="331"/>
      <c r="AB20" s="331"/>
    </row>
    <row r="21" spans="2:28" ht="15.75" customHeight="1">
      <c r="B21" s="58" t="s">
        <v>7</v>
      </c>
      <c r="C21" s="58" t="s">
        <v>12</v>
      </c>
      <c r="D21" s="326" t="s">
        <v>21</v>
      </c>
      <c r="E21" s="329">
        <f>'Financial Statement Information'!E18</f>
        <v>1143</v>
      </c>
      <c r="F21" s="329">
        <f>'Financial Statement Information'!F18</f>
        <v>1105</v>
      </c>
      <c r="G21" s="329">
        <f>'Financial Statement Information'!G18</f>
        <v>1028</v>
      </c>
      <c r="H21" s="332">
        <f>'Financial Statement Information'!H18</f>
        <v>1119</v>
      </c>
      <c r="I21" s="332">
        <f>H21*(1+I64)</f>
        <v>1192.854</v>
      </c>
      <c r="J21" s="332">
        <f t="shared" ref="J21:T21" si="23">I21*(1+J64)</f>
        <v>1271.5823640000001</v>
      </c>
      <c r="K21" s="332">
        <f t="shared" si="23"/>
        <v>1355.5068000240001</v>
      </c>
      <c r="L21" s="332">
        <f t="shared" si="23"/>
        <v>1444.9702488255841</v>
      </c>
      <c r="M21" s="332">
        <f t="shared" si="23"/>
        <v>1540.3382852480727</v>
      </c>
      <c r="N21" s="332">
        <f t="shared" si="23"/>
        <v>1631.218244077709</v>
      </c>
      <c r="O21" s="332">
        <f t="shared" si="23"/>
        <v>1727.4601204782937</v>
      </c>
      <c r="P21" s="332">
        <f t="shared" si="23"/>
        <v>1829.3802675865129</v>
      </c>
      <c r="Q21" s="332">
        <f t="shared" si="23"/>
        <v>1937.313703374117</v>
      </c>
      <c r="R21" s="332">
        <f t="shared" si="23"/>
        <v>2051.6152118731898</v>
      </c>
      <c r="S21" s="332">
        <f t="shared" si="23"/>
        <v>2172.660509373708</v>
      </c>
      <c r="T21" s="332">
        <f t="shared" si="23"/>
        <v>2300.8474794267568</v>
      </c>
      <c r="V21" s="331"/>
      <c r="W21" s="331"/>
      <c r="X21" s="331"/>
      <c r="Y21" s="331"/>
      <c r="Z21" s="331"/>
      <c r="AA21" s="331"/>
      <c r="AB21" s="331"/>
    </row>
    <row r="22" spans="2:28">
      <c r="B22" s="58" t="s">
        <v>7</v>
      </c>
      <c r="C22" s="58" t="s">
        <v>13</v>
      </c>
      <c r="D22" s="326" t="s">
        <v>21</v>
      </c>
      <c r="E22" s="329">
        <f>'Financial Statement Information'!E19</f>
        <v>109</v>
      </c>
      <c r="F22" s="329">
        <f>'Financial Statement Information'!F19</f>
        <v>97</v>
      </c>
      <c r="G22" s="329">
        <f>'Financial Statement Information'!G19</f>
        <v>1304</v>
      </c>
      <c r="H22" s="329">
        <f>'Financial Statement Information'!H19</f>
        <v>855</v>
      </c>
      <c r="I22" s="329">
        <f>0</f>
        <v>0</v>
      </c>
      <c r="J22" s="329">
        <v>0</v>
      </c>
      <c r="K22" s="329">
        <v>0</v>
      </c>
      <c r="L22" s="329">
        <v>0</v>
      </c>
      <c r="M22" s="329">
        <v>0</v>
      </c>
      <c r="N22" s="329">
        <v>0</v>
      </c>
      <c r="O22" s="329">
        <v>0</v>
      </c>
      <c r="P22" s="329">
        <v>0</v>
      </c>
      <c r="Q22" s="329">
        <v>0</v>
      </c>
      <c r="R22" s="329">
        <v>0</v>
      </c>
      <c r="S22" s="329">
        <v>0</v>
      </c>
      <c r="T22" s="329">
        <v>0</v>
      </c>
      <c r="U22" s="58" t="s">
        <v>247</v>
      </c>
    </row>
    <row r="23" spans="2:28">
      <c r="B23" s="58" t="s">
        <v>14</v>
      </c>
      <c r="C23" s="325" t="s">
        <v>15</v>
      </c>
      <c r="D23" s="327" t="s">
        <v>21</v>
      </c>
      <c r="E23" s="330">
        <v>0</v>
      </c>
      <c r="F23" s="330">
        <f>F70</f>
        <v>920</v>
      </c>
      <c r="G23" s="330">
        <f t="shared" ref="G23:T23" si="24">G70</f>
        <v>-1493</v>
      </c>
      <c r="H23" s="330">
        <f t="shared" si="24"/>
        <v>-435</v>
      </c>
      <c r="I23" s="330">
        <f t="shared" si="24"/>
        <v>2563.9355590820924</v>
      </c>
      <c r="J23" s="330">
        <f t="shared" si="24"/>
        <v>560.71519104064646</v>
      </c>
      <c r="K23" s="330">
        <f t="shared" si="24"/>
        <v>371.107937504441</v>
      </c>
      <c r="L23" s="330">
        <f t="shared" si="24"/>
        <v>1209.7829646654754</v>
      </c>
      <c r="M23" s="330">
        <f t="shared" si="24"/>
        <v>799.46615477093474</v>
      </c>
      <c r="N23" s="330">
        <f t="shared" si="24"/>
        <v>824.76975101140852</v>
      </c>
      <c r="O23" s="330">
        <f t="shared" si="24"/>
        <v>1033.3495273854696</v>
      </c>
      <c r="P23" s="330">
        <f t="shared" si="24"/>
        <v>971.73053840032117</v>
      </c>
      <c r="Q23" s="330">
        <f t="shared" si="24"/>
        <v>1063.7601643365233</v>
      </c>
      <c r="R23" s="330">
        <f t="shared" si="24"/>
        <v>1156.6725020895246</v>
      </c>
      <c r="S23" s="330">
        <f t="shared" si="24"/>
        <v>1199.5866209469932</v>
      </c>
      <c r="T23" s="330">
        <f t="shared" si="24"/>
        <v>1286.6358887636488</v>
      </c>
    </row>
    <row r="24" spans="2:28">
      <c r="C24" s="325" t="s">
        <v>16</v>
      </c>
      <c r="D24" s="327" t="s">
        <v>21</v>
      </c>
      <c r="E24" s="330">
        <f>E19+E20-E21-E22-E23</f>
        <v>1889</v>
      </c>
      <c r="F24" s="330">
        <f t="shared" ref="F24:G24" si="25">F19+F20-F21-F22-F23</f>
        <v>1546</v>
      </c>
      <c r="G24" s="330">
        <f t="shared" si="25"/>
        <v>1269</v>
      </c>
      <c r="H24" s="330">
        <f>H19+H20-H21-H22-H23</f>
        <v>2413</v>
      </c>
      <c r="I24" s="330">
        <f>I19+I20-I21-I22-I23</f>
        <v>441.11386091790791</v>
      </c>
      <c r="J24" s="330">
        <f t="shared" ref="J24:T24" si="26">J19+J20-J21-J22-J23</f>
        <v>2708.6835183593557</v>
      </c>
      <c r="K24" s="330">
        <f t="shared" si="26"/>
        <v>3184.5762042782017</v>
      </c>
      <c r="L24" s="330">
        <f t="shared" si="26"/>
        <v>2655.8757960312951</v>
      </c>
      <c r="M24" s="330">
        <f t="shared" si="26"/>
        <v>3401.7459133461361</v>
      </c>
      <c r="N24" s="330">
        <f t="shared" si="26"/>
        <v>3796.0905843263408</v>
      </c>
      <c r="O24" s="330">
        <f t="shared" si="26"/>
        <v>4042.7402585166947</v>
      </c>
      <c r="P24" s="330">
        <f t="shared" si="26"/>
        <v>4597.950953168659</v>
      </c>
      <c r="Q24" s="330">
        <f t="shared" si="26"/>
        <v>5040.8633952564296</v>
      </c>
      <c r="R24" s="330">
        <f t="shared" si="26"/>
        <v>5527.4535517221648</v>
      </c>
      <c r="S24" s="330">
        <f t="shared" si="26"/>
        <v>6112.0503456071065</v>
      </c>
      <c r="T24" s="330">
        <f t="shared" si="26"/>
        <v>6704.2234253454262</v>
      </c>
    </row>
    <row r="25" spans="2:28">
      <c r="C25" s="58" t="s">
        <v>103</v>
      </c>
      <c r="D25" s="326" t="s">
        <v>21</v>
      </c>
      <c r="E25" s="329"/>
      <c r="F25" s="329"/>
      <c r="G25" s="329"/>
      <c r="H25" s="329"/>
      <c r="I25" s="329">
        <f>I24/(1+$E$7)^I11</f>
        <v>441.11386091790791</v>
      </c>
      <c r="J25" s="329">
        <f t="shared" ref="J25:S25" si="27">J24/(1+$E$7)^J11</f>
        <v>2540.1233381091147</v>
      </c>
      <c r="K25" s="329">
        <f t="shared" si="27"/>
        <v>2800.558988657951</v>
      </c>
      <c r="L25" s="329">
        <f t="shared" si="27"/>
        <v>2190.2686129837612</v>
      </c>
      <c r="M25" s="329">
        <f t="shared" si="27"/>
        <v>2630.8011913578307</v>
      </c>
      <c r="N25" s="329">
        <f t="shared" si="27"/>
        <v>2753.0827477078292</v>
      </c>
      <c r="O25" s="329">
        <f t="shared" si="27"/>
        <v>2749.508562527049</v>
      </c>
      <c r="P25" s="329">
        <f t="shared" si="27"/>
        <v>2932.5141140123401</v>
      </c>
      <c r="Q25" s="329">
        <f t="shared" si="27"/>
        <v>3014.9300796629977</v>
      </c>
      <c r="R25" s="329">
        <f t="shared" si="27"/>
        <v>3100.2303077864026</v>
      </c>
      <c r="S25" s="329">
        <f t="shared" si="27"/>
        <v>3214.7878497239049</v>
      </c>
      <c r="T25" s="329">
        <f>T24/(1+$E$7)^T11</f>
        <v>3306.8189220530935</v>
      </c>
    </row>
    <row r="26" spans="2:28">
      <c r="C26" s="58" t="s">
        <v>104</v>
      </c>
      <c r="D26" s="326" t="s">
        <v>21</v>
      </c>
      <c r="I26" s="329">
        <f>SUM(I25:T25)</f>
        <v>31674.738575500181</v>
      </c>
      <c r="J26" s="329"/>
      <c r="K26" s="329"/>
      <c r="L26" s="329"/>
      <c r="M26" s="329"/>
      <c r="N26" s="329"/>
      <c r="O26" s="329"/>
      <c r="P26" s="329"/>
      <c r="Q26" s="329"/>
      <c r="R26" s="329"/>
      <c r="S26" s="329"/>
      <c r="T26" s="329"/>
    </row>
    <row r="27" spans="2:28">
      <c r="C27" s="58" t="s">
        <v>105</v>
      </c>
      <c r="D27" s="326" t="s">
        <v>21</v>
      </c>
      <c r="I27" s="329"/>
      <c r="J27" s="329"/>
      <c r="K27" s="329"/>
      <c r="L27" s="329"/>
      <c r="M27" s="329"/>
      <c r="N27" s="329"/>
      <c r="O27" s="329"/>
      <c r="P27" s="329"/>
      <c r="Q27" s="329"/>
      <c r="R27" s="329"/>
      <c r="S27" s="329"/>
      <c r="T27" s="269">
        <f>T24*(1+I7)/(G7-I7)</f>
        <v>243506.97227058207</v>
      </c>
    </row>
    <row r="28" spans="2:28">
      <c r="C28" s="58" t="s">
        <v>106</v>
      </c>
      <c r="D28" s="326" t="s">
        <v>21</v>
      </c>
      <c r="I28" s="329">
        <f>T27/(1+E7)^T11</f>
        <v>120108.38727599986</v>
      </c>
      <c r="J28" s="329"/>
      <c r="K28" s="329"/>
      <c r="L28" s="329"/>
      <c r="M28" s="329"/>
      <c r="N28" s="329"/>
      <c r="O28" s="329"/>
      <c r="P28" s="329"/>
      <c r="Q28" s="329"/>
      <c r="R28" s="329"/>
      <c r="S28" s="329"/>
      <c r="T28" s="329"/>
    </row>
    <row r="29" spans="2:28">
      <c r="C29" s="58" t="s">
        <v>107</v>
      </c>
      <c r="D29" s="326" t="s">
        <v>21</v>
      </c>
      <c r="I29" s="329">
        <f>I26+I28</f>
        <v>151783.12585150005</v>
      </c>
      <c r="J29" s="329"/>
      <c r="K29" s="329"/>
      <c r="L29" s="329"/>
      <c r="M29" s="329"/>
      <c r="N29" s="329"/>
      <c r="O29" s="329"/>
      <c r="P29" s="329"/>
      <c r="Q29" s="329"/>
      <c r="R29" s="329"/>
      <c r="S29" s="329"/>
      <c r="T29" s="329"/>
    </row>
    <row r="30" spans="2:28">
      <c r="C30" s="58" t="s">
        <v>108</v>
      </c>
      <c r="D30" s="326" t="s">
        <v>21</v>
      </c>
      <c r="I30" s="329">
        <f>'Control Panel'!C24</f>
        <v>10211</v>
      </c>
    </row>
    <row r="31" spans="2:28">
      <c r="C31" s="58" t="s">
        <v>109</v>
      </c>
      <c r="D31" s="326" t="s">
        <v>21</v>
      </c>
      <c r="E31" s="58">
        <f>'Financial Statement Information'!E88</f>
        <v>0</v>
      </c>
      <c r="F31" s="58">
        <f>'Financial Statement Information'!F88</f>
        <v>0</v>
      </c>
      <c r="G31" s="58">
        <f>'Financial Statement Information'!G88</f>
        <v>0</v>
      </c>
      <c r="H31" s="58">
        <f>'Financial Statement Information'!H88</f>
        <v>0</v>
      </c>
      <c r="I31" s="58">
        <v>0</v>
      </c>
    </row>
    <row r="32" spans="2:28">
      <c r="C32" s="58" t="s">
        <v>110</v>
      </c>
      <c r="D32" s="326" t="s">
        <v>21</v>
      </c>
      <c r="E32" s="58">
        <v>0</v>
      </c>
      <c r="F32" s="58">
        <v>0</v>
      </c>
      <c r="G32" s="58">
        <v>0</v>
      </c>
      <c r="H32" s="58">
        <v>0</v>
      </c>
      <c r="I32" s="58">
        <v>0</v>
      </c>
    </row>
    <row r="33" spans="3:19">
      <c r="C33" s="58" t="s">
        <v>111</v>
      </c>
      <c r="D33" s="326" t="s">
        <v>21</v>
      </c>
      <c r="I33" s="329">
        <f>IF(I29-I30-I31-I32&lt;0,0,I29-I30-I31-I32)</f>
        <v>141572.12585150005</v>
      </c>
      <c r="J33" s="333"/>
    </row>
    <row r="34" spans="3:19">
      <c r="C34" s="58" t="s">
        <v>112</v>
      </c>
      <c r="D34" s="326" t="s">
        <v>409</v>
      </c>
      <c r="I34" s="329">
        <f>'Control Panel'!C49</f>
        <v>1598</v>
      </c>
      <c r="J34" s="326" t="s">
        <v>409</v>
      </c>
    </row>
    <row r="35" spans="3:19">
      <c r="C35" s="58" t="s">
        <v>113</v>
      </c>
      <c r="D35" s="326" t="s">
        <v>169</v>
      </c>
      <c r="I35" s="110">
        <f>I33/I34</f>
        <v>88.593320307572</v>
      </c>
      <c r="J35" s="326" t="s">
        <v>169</v>
      </c>
    </row>
    <row r="36" spans="3:19">
      <c r="C36" s="58" t="s">
        <v>114</v>
      </c>
      <c r="D36" s="326" t="s">
        <v>169</v>
      </c>
      <c r="I36" s="110">
        <f>'Control Panel'!C55</f>
        <v>93.61</v>
      </c>
      <c r="J36" s="326" t="s">
        <v>169</v>
      </c>
    </row>
    <row r="37" spans="3:19">
      <c r="C37" s="58" t="s">
        <v>115</v>
      </c>
      <c r="I37" s="345">
        <v>43788</v>
      </c>
    </row>
    <row r="40" spans="3:19">
      <c r="C40" s="316" t="s">
        <v>174</v>
      </c>
      <c r="D40" s="316"/>
      <c r="E40" s="234">
        <f>I29/I15</f>
        <v>29.679760425930411</v>
      </c>
    </row>
    <row r="41" spans="3:19">
      <c r="C41" s="316" t="s">
        <v>175</v>
      </c>
      <c r="D41" s="316"/>
      <c r="E41" s="111">
        <f>I29</f>
        <v>151783.12585150005</v>
      </c>
    </row>
    <row r="46" spans="3:19" ht="14.5" customHeight="1">
      <c r="L46" s="334"/>
      <c r="M46" s="334"/>
      <c r="N46" s="334"/>
      <c r="O46" s="334"/>
      <c r="P46" s="334"/>
      <c r="Q46" s="334"/>
      <c r="R46" s="334"/>
      <c r="S46" s="334"/>
    </row>
    <row r="47" spans="3:19" ht="14.5" customHeight="1">
      <c r="L47" s="334"/>
      <c r="M47" s="334"/>
      <c r="N47" s="334"/>
      <c r="O47" s="334"/>
      <c r="P47" s="334"/>
      <c r="Q47" s="334"/>
      <c r="R47" s="334"/>
      <c r="S47" s="334"/>
    </row>
    <row r="48" spans="3:19" ht="14.5" customHeight="1">
      <c r="G48" s="335"/>
      <c r="L48" s="334"/>
      <c r="M48" s="334"/>
      <c r="N48" s="334"/>
      <c r="O48" s="334"/>
      <c r="P48" s="334"/>
      <c r="Q48" s="334"/>
      <c r="R48" s="334"/>
      <c r="S48" s="334"/>
    </row>
    <row r="49" spans="3:20" ht="18.75" customHeight="1">
      <c r="C49" s="431" t="s">
        <v>119</v>
      </c>
      <c r="D49" s="431"/>
      <c r="F49" s="274"/>
      <c r="G49" s="314"/>
      <c r="H49" s="274"/>
      <c r="L49" s="334"/>
      <c r="M49" s="334"/>
      <c r="N49" s="334"/>
      <c r="O49" s="334"/>
      <c r="P49" s="334"/>
      <c r="Q49" s="334"/>
      <c r="R49" s="334"/>
      <c r="S49" s="334"/>
    </row>
    <row r="50" spans="3:20">
      <c r="F50" s="274"/>
      <c r="G50" s="274"/>
      <c r="H50" s="274"/>
    </row>
    <row r="52" spans="3:20">
      <c r="I52" s="58" t="s">
        <v>122</v>
      </c>
      <c r="J52" s="58" t="s">
        <v>122</v>
      </c>
      <c r="K52" s="58" t="s">
        <v>122</v>
      </c>
      <c r="L52" s="58" t="s">
        <v>122</v>
      </c>
      <c r="M52" s="58" t="s">
        <v>122</v>
      </c>
      <c r="N52" s="78" t="s">
        <v>123</v>
      </c>
      <c r="O52" s="78" t="s">
        <v>123</v>
      </c>
      <c r="P52" s="78" t="s">
        <v>123</v>
      </c>
      <c r="Q52" s="78" t="s">
        <v>123</v>
      </c>
      <c r="R52" s="78" t="s">
        <v>123</v>
      </c>
      <c r="S52" s="78" t="s">
        <v>123</v>
      </c>
      <c r="T52" s="78" t="s">
        <v>123</v>
      </c>
    </row>
    <row r="53" spans="3:20">
      <c r="C53" s="58" t="s">
        <v>102</v>
      </c>
      <c r="E53" s="1">
        <v>2015</v>
      </c>
      <c r="F53" s="1">
        <v>2016</v>
      </c>
      <c r="G53" s="1">
        <v>2017</v>
      </c>
      <c r="H53" s="1">
        <v>2018</v>
      </c>
      <c r="I53" s="9">
        <v>2019</v>
      </c>
      <c r="J53" s="10">
        <v>2020</v>
      </c>
      <c r="K53" s="10">
        <v>2021</v>
      </c>
      <c r="L53" s="10">
        <v>2022</v>
      </c>
      <c r="M53" s="10">
        <v>2023</v>
      </c>
      <c r="N53" s="10">
        <v>2024</v>
      </c>
      <c r="O53" s="10">
        <v>2025</v>
      </c>
      <c r="P53" s="10">
        <v>2026</v>
      </c>
      <c r="Q53" s="10">
        <v>2027</v>
      </c>
      <c r="R53" s="10">
        <v>2028</v>
      </c>
      <c r="S53" s="10">
        <v>2029</v>
      </c>
      <c r="T53" s="10">
        <v>2030</v>
      </c>
    </row>
    <row r="54" spans="3:20">
      <c r="C54" s="325" t="s">
        <v>1</v>
      </c>
      <c r="D54" s="325"/>
      <c r="E54" s="1">
        <v>-4</v>
      </c>
      <c r="F54" s="1">
        <f>E54+1</f>
        <v>-3</v>
      </c>
      <c r="G54" s="1">
        <f t="shared" ref="G54" si="28">F54+1</f>
        <v>-2</v>
      </c>
      <c r="H54" s="1">
        <f t="shared" ref="H54" si="29">G54+1</f>
        <v>-1</v>
      </c>
      <c r="I54" s="9">
        <f t="shared" ref="I54" si="30">H54+1</f>
        <v>0</v>
      </c>
      <c r="J54" s="10">
        <f t="shared" ref="J54" si="31">I54+1</f>
        <v>1</v>
      </c>
      <c r="K54" s="10">
        <f t="shared" ref="K54" si="32">J54+1</f>
        <v>2</v>
      </c>
      <c r="L54" s="10">
        <f t="shared" ref="L54" si="33">K54+1</f>
        <v>3</v>
      </c>
      <c r="M54" s="10">
        <f t="shared" ref="M54" si="34">L54+1</f>
        <v>4</v>
      </c>
      <c r="N54" s="10">
        <f t="shared" ref="N54" si="35">M54+1</f>
        <v>5</v>
      </c>
      <c r="O54" s="10">
        <f t="shared" ref="O54" si="36">N54+1</f>
        <v>6</v>
      </c>
      <c r="P54" s="10">
        <f t="shared" ref="P54" si="37">O54+1</f>
        <v>7</v>
      </c>
      <c r="Q54" s="10">
        <f t="shared" ref="Q54" si="38">P54+1</f>
        <v>8</v>
      </c>
      <c r="R54" s="10">
        <f t="shared" ref="R54" si="39">Q54+1</f>
        <v>9</v>
      </c>
      <c r="S54" s="10">
        <f t="shared" ref="S54" si="40">R54+1</f>
        <v>10</v>
      </c>
      <c r="T54" s="10">
        <f t="shared" ref="T54" si="41">S54+1</f>
        <v>11</v>
      </c>
    </row>
    <row r="55" spans="3:20">
      <c r="C55" s="58" t="s">
        <v>3</v>
      </c>
      <c r="D55" s="58" t="s">
        <v>277</v>
      </c>
      <c r="E55" s="336"/>
      <c r="F55" s="336">
        <f>(F12-E12)/E12</f>
        <v>5.5137999014292755E-2</v>
      </c>
      <c r="G55" s="336">
        <f>(G12-F12)/F12</f>
        <v>6.1569451742862144E-2</v>
      </c>
      <c r="H55" s="336">
        <f>(H12-G12)/G12</f>
        <v>7.5873827791986356E-2</v>
      </c>
      <c r="I55" s="14">
        <f>'Control Panel'!$F$71</f>
        <v>6.8000000000000005E-2</v>
      </c>
      <c r="J55" s="336">
        <f>I55</f>
        <v>6.8000000000000005E-2</v>
      </c>
      <c r="K55" s="336">
        <f>J55</f>
        <v>6.8000000000000005E-2</v>
      </c>
      <c r="L55" s="336">
        <f t="shared" ref="L55:M55" si="42">K55</f>
        <v>6.8000000000000005E-2</v>
      </c>
      <c r="M55" s="336">
        <f t="shared" si="42"/>
        <v>6.8000000000000005E-2</v>
      </c>
      <c r="N55" s="14">
        <f>'Control Panel'!$G$71</f>
        <v>6.3E-2</v>
      </c>
      <c r="O55" s="335">
        <f>'Control Panel'!$G$71</f>
        <v>6.3E-2</v>
      </c>
      <c r="P55" s="335">
        <f>'Control Panel'!$G$71</f>
        <v>6.3E-2</v>
      </c>
      <c r="Q55" s="335">
        <f>'Control Panel'!$G$71</f>
        <v>6.3E-2</v>
      </c>
      <c r="R55" s="335">
        <f>'Control Panel'!$G$71</f>
        <v>6.3E-2</v>
      </c>
      <c r="S55" s="335">
        <f>'Control Panel'!$G$71</f>
        <v>6.3E-2</v>
      </c>
      <c r="T55" s="335">
        <f>'Control Panel'!$G$71</f>
        <v>6.3E-2</v>
      </c>
    </row>
    <row r="56" spans="3:20">
      <c r="C56" s="58" t="s">
        <v>4</v>
      </c>
      <c r="D56" s="58" t="s">
        <v>277</v>
      </c>
      <c r="E56" s="336"/>
      <c r="F56" s="336">
        <f>(F13-E13)/E13</f>
        <v>7.7038519259629817E-2</v>
      </c>
      <c r="G56" s="336">
        <f t="shared" ref="G56:H56" si="43">(G13-F13)/F13</f>
        <v>5.0265779016359605E-2</v>
      </c>
      <c r="H56" s="336">
        <f t="shared" si="43"/>
        <v>6.6090118421699179E-2</v>
      </c>
      <c r="I56" s="14">
        <f>'Control Panel'!$H$71</f>
        <v>6.6000000000000003E-2</v>
      </c>
      <c r="J56" s="336">
        <f>I56</f>
        <v>6.6000000000000003E-2</v>
      </c>
      <c r="K56" s="336">
        <f t="shared" ref="K56:M56" si="44">J56</f>
        <v>6.6000000000000003E-2</v>
      </c>
      <c r="L56" s="336">
        <f t="shared" si="44"/>
        <v>6.6000000000000003E-2</v>
      </c>
      <c r="M56" s="336">
        <f t="shared" si="44"/>
        <v>6.6000000000000003E-2</v>
      </c>
      <c r="N56" s="14">
        <f>'Control Panel'!$I$71</f>
        <v>5.8999999999999997E-2</v>
      </c>
      <c r="O56" s="335">
        <f>'Control Panel'!$I$71</f>
        <v>5.8999999999999997E-2</v>
      </c>
      <c r="P56" s="335">
        <f>'Control Panel'!$I$71</f>
        <v>5.8999999999999997E-2</v>
      </c>
      <c r="Q56" s="335">
        <f>'Control Panel'!$I$71</f>
        <v>5.8999999999999997E-2</v>
      </c>
      <c r="R56" s="335">
        <f>'Control Panel'!$I$71</f>
        <v>5.8999999999999997E-2</v>
      </c>
      <c r="S56" s="335">
        <f>'Control Panel'!$I$71</f>
        <v>5.8999999999999997E-2</v>
      </c>
      <c r="T56" s="335">
        <f>'Control Panel'!$I$71</f>
        <v>5.8999999999999997E-2</v>
      </c>
    </row>
    <row r="57" spans="3:20">
      <c r="C57" s="325" t="s">
        <v>5</v>
      </c>
      <c r="D57" s="325" t="s">
        <v>277</v>
      </c>
      <c r="E57" s="337"/>
      <c r="F57" s="337">
        <f>(F14-E14)/E14</f>
        <v>8.9788900563568634E-3</v>
      </c>
      <c r="G57" s="337">
        <f t="shared" ref="G57" si="45">(G14-F14)/F14</f>
        <v>8.9841900975101766E-2</v>
      </c>
      <c r="H57" s="337">
        <f>H56</f>
        <v>6.6090118421699179E-2</v>
      </c>
      <c r="I57" s="337">
        <f>I56</f>
        <v>6.6000000000000003E-2</v>
      </c>
      <c r="J57" s="337">
        <f>J56</f>
        <v>6.6000000000000003E-2</v>
      </c>
      <c r="K57" s="337">
        <f t="shared" ref="K57:M57" si="46">J57</f>
        <v>6.6000000000000003E-2</v>
      </c>
      <c r="L57" s="337">
        <f t="shared" si="46"/>
        <v>6.6000000000000003E-2</v>
      </c>
      <c r="M57" s="337">
        <f t="shared" si="46"/>
        <v>6.6000000000000003E-2</v>
      </c>
      <c r="N57" s="337">
        <f t="shared" ref="N57:S57" si="47">N56</f>
        <v>5.8999999999999997E-2</v>
      </c>
      <c r="O57" s="337">
        <f t="shared" si="47"/>
        <v>5.8999999999999997E-2</v>
      </c>
      <c r="P57" s="337">
        <f t="shared" si="47"/>
        <v>5.8999999999999997E-2</v>
      </c>
      <c r="Q57" s="337">
        <f t="shared" si="47"/>
        <v>5.8999999999999997E-2</v>
      </c>
      <c r="R57" s="337">
        <f t="shared" si="47"/>
        <v>5.8999999999999997E-2</v>
      </c>
      <c r="S57" s="337">
        <f t="shared" si="47"/>
        <v>5.8999999999999997E-2</v>
      </c>
      <c r="T57" s="337">
        <f>T56</f>
        <v>5.8999999999999997E-2</v>
      </c>
    </row>
    <row r="58" spans="3:20">
      <c r="C58" s="58" t="s">
        <v>6</v>
      </c>
      <c r="D58" s="58" t="s">
        <v>277</v>
      </c>
      <c r="E58" s="336"/>
      <c r="F58" s="336">
        <f t="shared" ref="F58:H58" si="48">(F15-E15)/E15</f>
        <v>7.7422577422577424E-2</v>
      </c>
      <c r="G58" s="336">
        <f t="shared" si="48"/>
        <v>4.3115438108484005E-2</v>
      </c>
      <c r="H58" s="336">
        <f t="shared" si="48"/>
        <v>4.9777777777777775E-2</v>
      </c>
      <c r="I58" s="336">
        <f t="shared" ref="I58:T58" si="49">(I15-H15)/H15</f>
        <v>8.2563082133784979E-2</v>
      </c>
      <c r="J58" s="336">
        <f t="shared" si="49"/>
        <v>8.2340268766616403E-2</v>
      </c>
      <c r="K58" s="336">
        <f t="shared" si="49"/>
        <v>8.212377137425822E-2</v>
      </c>
      <c r="L58" s="336">
        <f t="shared" si="49"/>
        <v>8.1913325520831151E-2</v>
      </c>
      <c r="M58" s="336">
        <f t="shared" si="49"/>
        <v>8.170868132903894E-2</v>
      </c>
      <c r="N58" s="336">
        <f t="shared" si="49"/>
        <v>9.0019204983730769E-2</v>
      </c>
      <c r="O58" s="336">
        <f t="shared" si="49"/>
        <v>8.925030636794952E-2</v>
      </c>
      <c r="P58" s="336">
        <f t="shared" si="49"/>
        <v>8.8521291369981076E-2</v>
      </c>
      <c r="Q58" s="336">
        <f t="shared" si="49"/>
        <v>8.7829140022419566E-2</v>
      </c>
      <c r="R58" s="336">
        <f t="shared" si="49"/>
        <v>8.7171129744879519E-2</v>
      </c>
      <c r="S58" s="336">
        <f t="shared" si="49"/>
        <v>8.6544799617548476E-2</v>
      </c>
      <c r="T58" s="336">
        <f t="shared" si="49"/>
        <v>8.5947919684269916E-2</v>
      </c>
    </row>
    <row r="59" spans="3:20">
      <c r="C59" s="325" t="s">
        <v>8</v>
      </c>
      <c r="D59" s="325" t="s">
        <v>277</v>
      </c>
      <c r="E59" s="337"/>
      <c r="F59" s="337">
        <f t="shared" ref="F59:G59" si="50">(F16-E16)/E16</f>
        <v>8.7827426810477657E-2</v>
      </c>
      <c r="G59" s="337">
        <f t="shared" si="50"/>
        <v>5.8073654390934842E-2</v>
      </c>
      <c r="H59" s="337">
        <f>H56</f>
        <v>6.6090118421699179E-2</v>
      </c>
      <c r="I59" s="337">
        <f>I56</f>
        <v>6.6000000000000003E-2</v>
      </c>
      <c r="J59" s="337">
        <f t="shared" ref="J59:T59" si="51">J56</f>
        <v>6.6000000000000003E-2</v>
      </c>
      <c r="K59" s="337">
        <f t="shared" si="51"/>
        <v>6.6000000000000003E-2</v>
      </c>
      <c r="L59" s="337">
        <f t="shared" si="51"/>
        <v>6.6000000000000003E-2</v>
      </c>
      <c r="M59" s="337">
        <f t="shared" si="51"/>
        <v>6.6000000000000003E-2</v>
      </c>
      <c r="N59" s="337">
        <f t="shared" si="51"/>
        <v>5.8999999999999997E-2</v>
      </c>
      <c r="O59" s="337">
        <f t="shared" si="51"/>
        <v>5.8999999999999997E-2</v>
      </c>
      <c r="P59" s="337">
        <f>P56</f>
        <v>5.8999999999999997E-2</v>
      </c>
      <c r="Q59" s="337">
        <f t="shared" si="51"/>
        <v>5.8999999999999997E-2</v>
      </c>
      <c r="R59" s="337">
        <f t="shared" si="51"/>
        <v>5.8999999999999997E-2</v>
      </c>
      <c r="S59" s="337">
        <f t="shared" si="51"/>
        <v>5.8999999999999997E-2</v>
      </c>
      <c r="T59" s="337">
        <f t="shared" si="51"/>
        <v>5.8999999999999997E-2</v>
      </c>
    </row>
    <row r="60" spans="3:20">
      <c r="C60" s="58" t="s">
        <v>9</v>
      </c>
      <c r="D60" s="58" t="s">
        <v>277</v>
      </c>
      <c r="E60" s="336"/>
      <c r="F60" s="336">
        <f t="shared" ref="F60:H60" si="52">(F17-E17)/E17</f>
        <v>7.5409836065573776E-2</v>
      </c>
      <c r="G60" s="336">
        <f t="shared" si="52"/>
        <v>4.018847006651885E-2</v>
      </c>
      <c r="H60" s="336">
        <f t="shared" si="52"/>
        <v>7.0876632027711162E-2</v>
      </c>
      <c r="I60" s="336">
        <f>(I17-H17)/I17</f>
        <v>7.8738832659636854E-2</v>
      </c>
      <c r="J60" s="336">
        <f>(J17-I17)/J17</f>
        <v>7.8472844116913104E-2</v>
      </c>
      <c r="K60" s="336">
        <f t="shared" ref="K60:T60" si="53">(K17-J17)/K17</f>
        <v>7.8215609818725704E-2</v>
      </c>
      <c r="L60" s="336">
        <f t="shared" si="53"/>
        <v>7.7966705011099383E-2</v>
      </c>
      <c r="M60" s="336">
        <f t="shared" si="53"/>
        <v>7.772573198130435E-2</v>
      </c>
      <c r="N60" s="336">
        <f t="shared" si="53"/>
        <v>8.6761015234755615E-2</v>
      </c>
      <c r="O60" s="336">
        <f t="shared" si="53"/>
        <v>8.5882566720462628E-2</v>
      </c>
      <c r="P60" s="336">
        <f t="shared" si="53"/>
        <v>8.5055496695547489E-2</v>
      </c>
      <c r="Q60" s="336">
        <f t="shared" si="53"/>
        <v>8.4275431098704778E-2</v>
      </c>
      <c r="R60" s="336">
        <f t="shared" si="53"/>
        <v>8.353847867567564E-2</v>
      </c>
      <c r="S60" s="336">
        <f t="shared" si="53"/>
        <v>8.2841166153053591E-2</v>
      </c>
      <c r="T60" s="336">
        <f t="shared" si="53"/>
        <v>8.2180383583938338E-2</v>
      </c>
    </row>
    <row r="61" spans="3:20">
      <c r="C61" s="325" t="s">
        <v>10</v>
      </c>
      <c r="D61" s="325" t="s">
        <v>277</v>
      </c>
      <c r="E61" s="337"/>
      <c r="F61" s="337">
        <f t="shared" ref="F61:H61" si="54">(F18-E18)/E18</f>
        <v>-0.25144843568945541</v>
      </c>
      <c r="G61" s="337">
        <f t="shared" si="54"/>
        <v>2.7027863777089784</v>
      </c>
      <c r="H61" s="337">
        <f t="shared" si="54"/>
        <v>-0.67725752508361203</v>
      </c>
      <c r="I61" s="337">
        <f>(I18-H18)/H18</f>
        <v>0.18668987046632129</v>
      </c>
      <c r="J61" s="337">
        <f t="shared" ref="J61:T61" si="55">(J18-I18)/I18</f>
        <v>8.5155216117004925E-2</v>
      </c>
      <c r="K61" s="337">
        <f t="shared" si="55"/>
        <v>8.4852391352975842E-2</v>
      </c>
      <c r="L61" s="337">
        <f t="shared" si="55"/>
        <v>8.4559533191301967E-2</v>
      </c>
      <c r="M61" s="337">
        <f t="shared" si="55"/>
        <v>8.4276158054676184E-2</v>
      </c>
      <c r="N61" s="337">
        <f t="shared" si="55"/>
        <v>9.5003626303861999E-2</v>
      </c>
      <c r="O61" s="337">
        <f t="shared" si="55"/>
        <v>9.3951349787024199E-2</v>
      </c>
      <c r="P61" s="337">
        <f>(P18-O18)/O18</f>
        <v>9.2962465360857879E-2</v>
      </c>
      <c r="Q61" s="337">
        <f t="shared" si="55"/>
        <v>9.2031418573622195E-2</v>
      </c>
      <c r="R61" s="337">
        <f t="shared" si="55"/>
        <v>9.1153285470140774E-2</v>
      </c>
      <c r="S61" s="337">
        <f t="shared" si="55"/>
        <v>9.0323685599345116E-2</v>
      </c>
      <c r="T61" s="337">
        <f t="shared" si="55"/>
        <v>8.9538709038317954E-2</v>
      </c>
    </row>
    <row r="62" spans="3:20">
      <c r="C62" s="58" t="s">
        <v>11</v>
      </c>
      <c r="D62" s="58" t="s">
        <v>277</v>
      </c>
      <c r="E62" s="336"/>
      <c r="F62" s="336">
        <f t="shared" ref="F62:H62" si="56">(F19-E19)/E19</f>
        <v>0.18860353130016053</v>
      </c>
      <c r="G62" s="336">
        <f t="shared" si="56"/>
        <v>-0.54051316677920325</v>
      </c>
      <c r="H62" s="336">
        <f t="shared" si="56"/>
        <v>1.3857457751653197</v>
      </c>
      <c r="I62" s="336">
        <f>(I19-H19)/H19</f>
        <v>6.1402346781644704E-2</v>
      </c>
      <c r="J62" s="336">
        <f t="shared" ref="J62:T62" si="57">(J19-I19)/I19</f>
        <v>8.5155216117004912E-2</v>
      </c>
      <c r="K62" s="336">
        <f t="shared" si="57"/>
        <v>8.4852391352975884E-2</v>
      </c>
      <c r="L62" s="336">
        <f t="shared" si="57"/>
        <v>8.4559533191301869E-2</v>
      </c>
      <c r="M62" s="336">
        <f t="shared" si="57"/>
        <v>8.4276158054676031E-2</v>
      </c>
      <c r="N62" s="336">
        <f t="shared" si="57"/>
        <v>9.5003626303862082E-2</v>
      </c>
      <c r="O62" s="336">
        <f t="shared" si="57"/>
        <v>9.3951349787024324E-2</v>
      </c>
      <c r="P62" s="336">
        <f>(P19-O19)/O19</f>
        <v>9.296246536085781E-2</v>
      </c>
      <c r="Q62" s="336">
        <f t="shared" si="57"/>
        <v>9.2031418573622195E-2</v>
      </c>
      <c r="R62" s="336">
        <f t="shared" si="57"/>
        <v>9.1153285470140802E-2</v>
      </c>
      <c r="S62" s="336">
        <f t="shared" si="57"/>
        <v>9.0323685599345019E-2</v>
      </c>
      <c r="T62" s="336">
        <f t="shared" si="57"/>
        <v>8.953870903831801E-2</v>
      </c>
    </row>
    <row r="63" spans="3:20">
      <c r="C63" s="324" t="s">
        <v>8</v>
      </c>
      <c r="D63" s="324" t="s">
        <v>277</v>
      </c>
      <c r="E63" s="338"/>
      <c r="F63" s="336">
        <f t="shared" ref="F63:H63" si="58">(F20-E20)/E20</f>
        <v>8.7827426810477657E-2</v>
      </c>
      <c r="G63" s="336">
        <f t="shared" si="58"/>
        <v>5.8073654390934842E-2</v>
      </c>
      <c r="H63" s="336">
        <f t="shared" si="58"/>
        <v>-5.6224899598393573E-2</v>
      </c>
      <c r="I63" s="336">
        <f>I59</f>
        <v>6.6000000000000003E-2</v>
      </c>
      <c r="J63" s="336">
        <f t="shared" ref="J63:T63" si="59">J59</f>
        <v>6.6000000000000003E-2</v>
      </c>
      <c r="K63" s="336">
        <f t="shared" si="59"/>
        <v>6.6000000000000003E-2</v>
      </c>
      <c r="L63" s="336">
        <f t="shared" si="59"/>
        <v>6.6000000000000003E-2</v>
      </c>
      <c r="M63" s="336">
        <f t="shared" si="59"/>
        <v>6.6000000000000003E-2</v>
      </c>
      <c r="N63" s="336">
        <f t="shared" si="59"/>
        <v>5.8999999999999997E-2</v>
      </c>
      <c r="O63" s="336">
        <f t="shared" si="59"/>
        <v>5.8999999999999997E-2</v>
      </c>
      <c r="P63" s="336">
        <f>P59</f>
        <v>5.8999999999999997E-2</v>
      </c>
      <c r="Q63" s="336">
        <f t="shared" si="59"/>
        <v>5.8999999999999997E-2</v>
      </c>
      <c r="R63" s="336">
        <f t="shared" si="59"/>
        <v>5.8999999999999997E-2</v>
      </c>
      <c r="S63" s="336">
        <f t="shared" si="59"/>
        <v>5.8999999999999997E-2</v>
      </c>
      <c r="T63" s="336">
        <f t="shared" si="59"/>
        <v>5.8999999999999997E-2</v>
      </c>
    </row>
    <row r="64" spans="3:20">
      <c r="C64" s="58" t="s">
        <v>12</v>
      </c>
      <c r="D64" s="58" t="s">
        <v>277</v>
      </c>
      <c r="E64" s="336"/>
      <c r="F64" s="336">
        <f t="shared" ref="F64" si="60">(F21-E21)/E21</f>
        <v>-3.3245844269466314E-2</v>
      </c>
      <c r="G64" s="336">
        <f>(G21-F21)/F21</f>
        <v>-6.9683257918552038E-2</v>
      </c>
      <c r="H64" s="336">
        <f>(H21-G21)/G21</f>
        <v>8.8521400778210121E-2</v>
      </c>
      <c r="I64" s="336">
        <f>I56</f>
        <v>6.6000000000000003E-2</v>
      </c>
      <c r="J64" s="336">
        <f t="shared" ref="J64:T64" si="61">J56</f>
        <v>6.6000000000000003E-2</v>
      </c>
      <c r="K64" s="336">
        <f t="shared" si="61"/>
        <v>6.6000000000000003E-2</v>
      </c>
      <c r="L64" s="336">
        <f t="shared" si="61"/>
        <v>6.6000000000000003E-2</v>
      </c>
      <c r="M64" s="336">
        <f t="shared" si="61"/>
        <v>6.6000000000000003E-2</v>
      </c>
      <c r="N64" s="336">
        <f t="shared" si="61"/>
        <v>5.8999999999999997E-2</v>
      </c>
      <c r="O64" s="336">
        <f t="shared" si="61"/>
        <v>5.8999999999999997E-2</v>
      </c>
      <c r="P64" s="336">
        <f t="shared" si="61"/>
        <v>5.8999999999999997E-2</v>
      </c>
      <c r="Q64" s="336">
        <f t="shared" si="61"/>
        <v>5.8999999999999997E-2</v>
      </c>
      <c r="R64" s="336">
        <f t="shared" si="61"/>
        <v>5.8999999999999997E-2</v>
      </c>
      <c r="S64" s="336">
        <f t="shared" si="61"/>
        <v>5.8999999999999997E-2</v>
      </c>
      <c r="T64" s="336">
        <f t="shared" si="61"/>
        <v>5.8999999999999997E-2</v>
      </c>
    </row>
    <row r="65" spans="3:26">
      <c r="C65" s="58" t="s">
        <v>13</v>
      </c>
      <c r="D65" s="58" t="s">
        <v>277</v>
      </c>
      <c r="E65" s="336"/>
      <c r="F65" s="336">
        <f>IFERROR((F22-E22)/E22,0)</f>
        <v>-0.11009174311926606</v>
      </c>
      <c r="G65" s="336">
        <f>IFERROR((G22-F22)/F22,0)</f>
        <v>12.443298969072165</v>
      </c>
      <c r="H65" s="336">
        <f>IFERROR((H22-G22)/G22,0)</f>
        <v>-0.34432515337423314</v>
      </c>
      <c r="I65" s="336"/>
      <c r="J65" s="336"/>
      <c r="K65" s="336"/>
      <c r="L65" s="336"/>
      <c r="M65" s="336"/>
      <c r="N65" s="336"/>
      <c r="O65" s="336"/>
      <c r="P65" s="336"/>
      <c r="Q65" s="336"/>
      <c r="R65" s="336"/>
      <c r="S65" s="336"/>
      <c r="T65" s="336"/>
    </row>
    <row r="66" spans="3:26">
      <c r="C66" s="325" t="s">
        <v>15</v>
      </c>
      <c r="D66" s="325" t="s">
        <v>277</v>
      </c>
      <c r="E66" s="337"/>
      <c r="F66" s="337" t="e">
        <f>(F23-E23)/E23</f>
        <v>#DIV/0!</v>
      </c>
      <c r="G66" s="337">
        <f t="shared" ref="G66:I67" si="62">(G23-F23)/F23</f>
        <v>-2.6228260869565219</v>
      </c>
      <c r="H66" s="337">
        <f>(H23-G23)/G23</f>
        <v>-0.70864032150033485</v>
      </c>
      <c r="I66" s="337">
        <f t="shared" ref="I66:T67" si="63">(I23-H23)/H23</f>
        <v>-6.8941047335220516</v>
      </c>
      <c r="J66" s="337">
        <f t="shared" si="63"/>
        <v>-0.781306831579891</v>
      </c>
      <c r="K66" s="337">
        <f t="shared" si="63"/>
        <v>-0.3381525176521582</v>
      </c>
      <c r="L66" s="337">
        <f t="shared" si="63"/>
        <v>2.2599220938274813</v>
      </c>
      <c r="M66" s="337">
        <f t="shared" si="63"/>
        <v>-0.33916563704300462</v>
      </c>
      <c r="N66" s="337">
        <f t="shared" si="63"/>
        <v>3.1650615963503589E-2</v>
      </c>
      <c r="O66" s="337">
        <f t="shared" si="63"/>
        <v>0.25289455162277885</v>
      </c>
      <c r="P66" s="337">
        <f t="shared" si="63"/>
        <v>-5.9630345156351704E-2</v>
      </c>
      <c r="Q66" s="337">
        <f t="shared" si="63"/>
        <v>9.4706940143820972E-2</v>
      </c>
      <c r="R66" s="337">
        <f t="shared" si="63"/>
        <v>8.7343313716726351E-2</v>
      </c>
      <c r="S66" s="337">
        <f t="shared" si="63"/>
        <v>3.7101356503197201E-2</v>
      </c>
      <c r="T66" s="337">
        <f t="shared" si="63"/>
        <v>7.2566054252869272E-2</v>
      </c>
    </row>
    <row r="67" spans="3:26">
      <c r="C67" s="325" t="s">
        <v>16</v>
      </c>
      <c r="D67" s="325" t="s">
        <v>277</v>
      </c>
      <c r="E67" s="339"/>
      <c r="F67" s="337">
        <f>(F24-E24)/E24</f>
        <v>-0.18157755426151403</v>
      </c>
      <c r="G67" s="337">
        <f>(G24-F24)/F24</f>
        <v>-0.17917205692108668</v>
      </c>
      <c r="H67" s="337">
        <f t="shared" si="62"/>
        <v>0.90149724192277381</v>
      </c>
      <c r="I67" s="337">
        <f t="shared" si="62"/>
        <v>-0.81719276381354833</v>
      </c>
      <c r="J67" s="337">
        <f t="shared" si="63"/>
        <v>5.1405540798987648</v>
      </c>
      <c r="K67" s="337">
        <f t="shared" si="63"/>
        <v>0.17569150574190859</v>
      </c>
      <c r="L67" s="337">
        <f t="shared" si="63"/>
        <v>-0.16601907893949702</v>
      </c>
      <c r="M67" s="337">
        <f t="shared" si="63"/>
        <v>0.28083772532940099</v>
      </c>
      <c r="N67" s="337">
        <f t="shared" si="63"/>
        <v>0.11592419922753917</v>
      </c>
      <c r="O67" s="337">
        <f t="shared" si="63"/>
        <v>6.4974654506071178E-2</v>
      </c>
      <c r="P67" s="337">
        <f t="shared" si="63"/>
        <v>0.13733523777153925</v>
      </c>
      <c r="Q67" s="337">
        <f t="shared" si="63"/>
        <v>9.6328222418844922E-2</v>
      </c>
      <c r="R67" s="337">
        <f t="shared" si="63"/>
        <v>9.6529129697033228E-2</v>
      </c>
      <c r="S67" s="337">
        <f t="shared" si="63"/>
        <v>0.10576240730287122</v>
      </c>
      <c r="T67" s="337">
        <f t="shared" si="63"/>
        <v>9.6886158695327226E-2</v>
      </c>
    </row>
    <row r="70" spans="3:26">
      <c r="C70" s="325" t="s">
        <v>15</v>
      </c>
      <c r="D70" s="325"/>
      <c r="E70" s="325"/>
      <c r="F70" s="340">
        <f>F71-E71</f>
        <v>920</v>
      </c>
      <c r="G70" s="340">
        <f t="shared" ref="G70:T70" si="64">G71-F71</f>
        <v>-1493</v>
      </c>
      <c r="H70" s="340">
        <f t="shared" si="64"/>
        <v>-435</v>
      </c>
      <c r="I70" s="340">
        <f t="shared" si="64"/>
        <v>2563.9355590820924</v>
      </c>
      <c r="J70" s="340">
        <f t="shared" si="64"/>
        <v>560.71519104064646</v>
      </c>
      <c r="K70" s="340">
        <f t="shared" si="64"/>
        <v>371.107937504441</v>
      </c>
      <c r="L70" s="340">
        <f t="shared" si="64"/>
        <v>1209.7829646654754</v>
      </c>
      <c r="M70" s="340">
        <f t="shared" si="64"/>
        <v>799.46615477093474</v>
      </c>
      <c r="N70" s="340">
        <f t="shared" si="64"/>
        <v>824.76975101140852</v>
      </c>
      <c r="O70" s="340">
        <f t="shared" si="64"/>
        <v>1033.3495273854696</v>
      </c>
      <c r="P70" s="340">
        <f t="shared" si="64"/>
        <v>971.73053840032117</v>
      </c>
      <c r="Q70" s="340">
        <f t="shared" si="64"/>
        <v>1063.7601643365233</v>
      </c>
      <c r="R70" s="340">
        <f t="shared" si="64"/>
        <v>1156.6725020895246</v>
      </c>
      <c r="S70" s="340">
        <f t="shared" si="64"/>
        <v>1199.5866209469932</v>
      </c>
      <c r="T70" s="340">
        <f t="shared" si="64"/>
        <v>1286.6358887636488</v>
      </c>
    </row>
    <row r="71" spans="3:26" ht="18.75" customHeight="1">
      <c r="C71" s="58" t="s">
        <v>120</v>
      </c>
      <c r="E71" s="58">
        <f>'Financial Statement Information'!E117</f>
        <v>9667</v>
      </c>
      <c r="F71" s="58">
        <f>'Financial Statement Information'!F117</f>
        <v>10587</v>
      </c>
      <c r="G71" s="58">
        <f>'Financial Statement Information'!G117</f>
        <v>9094</v>
      </c>
      <c r="H71" s="58">
        <f>'Financial Statement Information'!H117</f>
        <v>8659</v>
      </c>
      <c r="I71" s="343">
        <f t="shared" ref="I71:T71" si="65">I72*I12</f>
        <v>11222.935559082092</v>
      </c>
      <c r="J71" s="343">
        <f t="shared" si="65"/>
        <v>11783.650750122739</v>
      </c>
      <c r="K71" s="343">
        <f t="shared" si="65"/>
        <v>12154.75868762718</v>
      </c>
      <c r="L71" s="343">
        <f t="shared" si="65"/>
        <v>13364.541652292655</v>
      </c>
      <c r="M71" s="343">
        <f t="shared" si="65"/>
        <v>14164.00780706359</v>
      </c>
      <c r="N71" s="343">
        <f t="shared" si="65"/>
        <v>14988.777558074999</v>
      </c>
      <c r="O71" s="343">
        <f t="shared" si="65"/>
        <v>16022.127085460468</v>
      </c>
      <c r="P71" s="343">
        <f t="shared" si="65"/>
        <v>16993.857623860789</v>
      </c>
      <c r="Q71" s="343">
        <f t="shared" si="65"/>
        <v>18057.617788197313</v>
      </c>
      <c r="R71" s="343">
        <f t="shared" si="65"/>
        <v>19214.290290286837</v>
      </c>
      <c r="S71" s="343">
        <f t="shared" si="65"/>
        <v>20413.87691123383</v>
      </c>
      <c r="T71" s="343">
        <f t="shared" si="65"/>
        <v>21700.512799997479</v>
      </c>
      <c r="V71" s="344"/>
      <c r="W71" s="344"/>
      <c r="X71" s="344"/>
      <c r="Y71" s="344"/>
      <c r="Z71" s="344"/>
    </row>
    <row r="72" spans="3:26" ht="14.5" customHeight="1">
      <c r="C72" s="58" t="s">
        <v>121</v>
      </c>
      <c r="E72" s="341"/>
      <c r="F72" s="342">
        <f>E71/F12</f>
        <v>0.28221521574122732</v>
      </c>
      <c r="G72" s="342">
        <f>F71/G12</f>
        <v>0.29114759508291393</v>
      </c>
      <c r="H72" s="342">
        <f>G71/H12</f>
        <v>0.23245232861305659</v>
      </c>
      <c r="I72" s="342">
        <f>AVERAGE(F72:H72)</f>
        <v>0.26860504647906597</v>
      </c>
      <c r="J72" s="342">
        <f t="shared" ref="J72:T72" si="66">AVERAGE(G72:I72)</f>
        <v>0.26406832339167879</v>
      </c>
      <c r="K72" s="342">
        <f t="shared" si="66"/>
        <v>0.25504189949460043</v>
      </c>
      <c r="L72" s="342">
        <f t="shared" si="66"/>
        <v>0.26257175645511505</v>
      </c>
      <c r="M72" s="342">
        <f t="shared" si="66"/>
        <v>0.26056065978046478</v>
      </c>
      <c r="N72" s="342">
        <f t="shared" si="66"/>
        <v>0.25939143857672681</v>
      </c>
      <c r="O72" s="342">
        <f t="shared" si="66"/>
        <v>0.26084128493743552</v>
      </c>
      <c r="P72" s="342">
        <f t="shared" si="66"/>
        <v>0.26026446109820905</v>
      </c>
      <c r="Q72" s="342">
        <f t="shared" si="66"/>
        <v>0.26016572820412381</v>
      </c>
      <c r="R72" s="342">
        <f t="shared" si="66"/>
        <v>0.26042382474658948</v>
      </c>
      <c r="S72" s="342">
        <f t="shared" si="66"/>
        <v>0.26028467134964078</v>
      </c>
      <c r="T72" s="342">
        <f t="shared" si="66"/>
        <v>0.26029140810011803</v>
      </c>
      <c r="U72" s="344"/>
      <c r="V72" s="344"/>
      <c r="W72" s="344"/>
      <c r="X72" s="344"/>
      <c r="Y72" s="344"/>
      <c r="Z72" s="344"/>
    </row>
    <row r="76" spans="3:26" ht="14.5" customHeight="1">
      <c r="L76" s="334"/>
      <c r="M76" s="334"/>
      <c r="N76" s="334"/>
      <c r="O76" s="334"/>
      <c r="P76" s="334"/>
      <c r="Q76" s="334"/>
      <c r="R76" s="334"/>
      <c r="S76" s="334"/>
    </row>
    <row r="77" spans="3:26" ht="14.5" customHeight="1">
      <c r="L77" s="334"/>
      <c r="M77" s="334"/>
      <c r="N77" s="334"/>
      <c r="O77" s="334"/>
      <c r="P77" s="334"/>
      <c r="Q77" s="334"/>
      <c r="R77" s="334"/>
      <c r="S77" s="334"/>
    </row>
    <row r="78" spans="3:26" ht="14.5" customHeight="1">
      <c r="L78" s="334"/>
      <c r="M78" s="334"/>
      <c r="N78" s="334"/>
      <c r="O78" s="334"/>
      <c r="P78" s="334"/>
      <c r="Q78" s="334"/>
      <c r="R78" s="334"/>
      <c r="S78" s="334"/>
    </row>
    <row r="79" spans="3:26" ht="18.75" customHeight="1">
      <c r="C79" s="431" t="s">
        <v>272</v>
      </c>
      <c r="D79" s="431"/>
      <c r="L79" s="334"/>
      <c r="M79" s="334"/>
      <c r="N79" s="334"/>
      <c r="O79" s="334"/>
      <c r="P79" s="334"/>
      <c r="Q79" s="334"/>
      <c r="R79" s="334"/>
      <c r="S79" s="334"/>
    </row>
    <row r="82" spans="2:22">
      <c r="I82" s="58" t="s">
        <v>122</v>
      </c>
      <c r="J82" s="58" t="s">
        <v>122</v>
      </c>
      <c r="K82" s="58" t="s">
        <v>122</v>
      </c>
      <c r="L82" s="58" t="s">
        <v>122</v>
      </c>
      <c r="M82" s="58" t="s">
        <v>122</v>
      </c>
      <c r="N82" s="78" t="s">
        <v>123</v>
      </c>
      <c r="O82" s="78" t="s">
        <v>123</v>
      </c>
      <c r="P82" s="78" t="s">
        <v>123</v>
      </c>
      <c r="Q82" s="78" t="s">
        <v>123</v>
      </c>
      <c r="R82" s="78" t="s">
        <v>123</v>
      </c>
      <c r="S82" s="78" t="s">
        <v>123</v>
      </c>
      <c r="T82" s="78" t="s">
        <v>123</v>
      </c>
    </row>
    <row r="83" spans="2:22">
      <c r="C83" s="58" t="s">
        <v>102</v>
      </c>
      <c r="E83" s="1">
        <v>2015</v>
      </c>
      <c r="F83" s="1">
        <v>2016</v>
      </c>
      <c r="G83" s="1">
        <v>2017</v>
      </c>
      <c r="H83" s="1">
        <v>2018</v>
      </c>
      <c r="I83" s="9">
        <v>2019</v>
      </c>
      <c r="J83" s="10">
        <v>2020</v>
      </c>
      <c r="K83" s="10">
        <v>2021</v>
      </c>
      <c r="L83" s="10">
        <v>2022</v>
      </c>
      <c r="M83" s="10">
        <v>2023</v>
      </c>
      <c r="N83" s="10">
        <v>2024</v>
      </c>
      <c r="O83" s="10">
        <v>2025</v>
      </c>
      <c r="P83" s="10">
        <v>2026</v>
      </c>
      <c r="Q83" s="10">
        <v>2027</v>
      </c>
      <c r="R83" s="10">
        <v>2028</v>
      </c>
      <c r="S83" s="10">
        <v>2029</v>
      </c>
      <c r="T83" s="10">
        <v>2030</v>
      </c>
    </row>
    <row r="84" spans="2:22">
      <c r="C84" s="325" t="s">
        <v>1</v>
      </c>
      <c r="D84" s="324"/>
      <c r="E84" s="1">
        <v>-4</v>
      </c>
      <c r="F84" s="1">
        <f>E84+1</f>
        <v>-3</v>
      </c>
      <c r="G84" s="1">
        <f t="shared" ref="G84" si="67">F84+1</f>
        <v>-2</v>
      </c>
      <c r="H84" s="1">
        <f t="shared" ref="H84" si="68">G84+1</f>
        <v>-1</v>
      </c>
      <c r="I84" s="9">
        <f t="shared" ref="I84" si="69">H84+1</f>
        <v>0</v>
      </c>
      <c r="J84" s="10">
        <f t="shared" ref="J84" si="70">I84+1</f>
        <v>1</v>
      </c>
      <c r="K84" s="10">
        <f t="shared" ref="K84" si="71">J84+1</f>
        <v>2</v>
      </c>
      <c r="L84" s="10">
        <f t="shared" ref="L84" si="72">K84+1</f>
        <v>3</v>
      </c>
      <c r="M84" s="10">
        <f t="shared" ref="M84" si="73">L84+1</f>
        <v>4</v>
      </c>
      <c r="N84" s="10">
        <f t="shared" ref="N84" si="74">M84+1</f>
        <v>5</v>
      </c>
      <c r="O84" s="10">
        <f t="shared" ref="O84" si="75">N84+1</f>
        <v>6</v>
      </c>
      <c r="P84" s="10">
        <f t="shared" ref="P84" si="76">O84+1</f>
        <v>7</v>
      </c>
      <c r="Q84" s="10">
        <f t="shared" ref="Q84" si="77">P84+1</f>
        <v>8</v>
      </c>
      <c r="R84" s="10">
        <f t="shared" ref="R84" si="78">Q84+1</f>
        <v>9</v>
      </c>
      <c r="S84" s="10">
        <f t="shared" ref="S84" si="79">R84+1</f>
        <v>10</v>
      </c>
      <c r="T84" s="10">
        <f t="shared" ref="T84" si="80">S84+1</f>
        <v>11</v>
      </c>
    </row>
    <row r="85" spans="2:22">
      <c r="B85" s="58">
        <v>1</v>
      </c>
      <c r="C85" s="58" t="str">
        <f>C13&amp;"/Sales"</f>
        <v>COGS/Sales</v>
      </c>
      <c r="E85" s="336">
        <f>E13/E$12</f>
        <v>0.55418309512074915</v>
      </c>
      <c r="F85" s="336">
        <f>F13/F$12</f>
        <v>0.56568575932737786</v>
      </c>
      <c r="G85" s="336">
        <f t="shared" ref="G85:T85" si="81">G13/G$12</f>
        <v>0.55966229409014656</v>
      </c>
      <c r="H85" s="336">
        <f t="shared" si="81"/>
        <v>0.55457287459741322</v>
      </c>
      <c r="I85" s="336">
        <f t="shared" si="81"/>
        <v>0.55353434861502104</v>
      </c>
      <c r="J85" s="336">
        <f t="shared" si="81"/>
        <v>0.55249776743783929</v>
      </c>
      <c r="K85" s="336">
        <f t="shared" si="81"/>
        <v>0.55146312742391079</v>
      </c>
      <c r="L85" s="336">
        <f t="shared" si="81"/>
        <v>0.55043042493809824</v>
      </c>
      <c r="M85" s="336">
        <f t="shared" si="81"/>
        <v>0.54939965635207177</v>
      </c>
      <c r="N85" s="336">
        <f t="shared" si="81"/>
        <v>0.54733230110709696</v>
      </c>
      <c r="O85" s="336">
        <f t="shared" si="81"/>
        <v>0.54527272518571557</v>
      </c>
      <c r="P85" s="336">
        <f t="shared" si="81"/>
        <v>0.54322089931483797</v>
      </c>
      <c r="Q85" s="336">
        <f t="shared" si="81"/>
        <v>0.5411767943315271</v>
      </c>
      <c r="R85" s="336">
        <f t="shared" si="81"/>
        <v>0.53914038118258445</v>
      </c>
      <c r="S85" s="336">
        <f t="shared" si="81"/>
        <v>0.53711163092413627</v>
      </c>
      <c r="T85" s="336">
        <f t="shared" si="81"/>
        <v>0.53509051472122315</v>
      </c>
      <c r="V85" s="336" t="str">
        <f>C85</f>
        <v>COGS/Sales</v>
      </c>
    </row>
    <row r="86" spans="2:22">
      <c r="B86" s="58">
        <v>2</v>
      </c>
      <c r="C86" s="325" t="str">
        <f t="shared" ref="C86:C96" si="82">C14&amp;"/Sales"</f>
        <v>SG&amp;A/Sales</v>
      </c>
      <c r="D86" s="325"/>
      <c r="E86" s="337">
        <f t="shared" ref="E86:E96" si="83">E14/E$12</f>
        <v>0.32248028585510102</v>
      </c>
      <c r="F86" s="337">
        <f t="shared" ref="F86:T86" si="84">F14/F$12</f>
        <v>0.30837274478892979</v>
      </c>
      <c r="G86" s="337">
        <f t="shared" si="84"/>
        <v>0.31658554024695434</v>
      </c>
      <c r="H86" s="337">
        <f t="shared" si="84"/>
        <v>0.32467665252287714</v>
      </c>
      <c r="I86" s="337">
        <f t="shared" si="84"/>
        <v>0.32406864381028749</v>
      </c>
      <c r="J86" s="337">
        <f t="shared" si="84"/>
        <v>0.3234617736907926</v>
      </c>
      <c r="K86" s="337">
        <f t="shared" si="84"/>
        <v>0.32285604003219559</v>
      </c>
      <c r="L86" s="337">
        <f t="shared" si="84"/>
        <v>0.32225144070629258</v>
      </c>
      <c r="M86" s="337">
        <f t="shared" si="84"/>
        <v>0.32164797358886504</v>
      </c>
      <c r="N86" s="337">
        <f t="shared" si="84"/>
        <v>0.32043763314262286</v>
      </c>
      <c r="O86" s="337">
        <f t="shared" si="84"/>
        <v>0.31923184712891589</v>
      </c>
      <c r="P86" s="337">
        <f t="shared" si="84"/>
        <v>0.31803059840971021</v>
      </c>
      <c r="Q86" s="337">
        <f t="shared" si="84"/>
        <v>0.31683386991146106</v>
      </c>
      <c r="R86" s="337">
        <f t="shared" si="84"/>
        <v>0.31564164462487043</v>
      </c>
      <c r="S86" s="337">
        <f t="shared" si="84"/>
        <v>0.31445390560464515</v>
      </c>
      <c r="T86" s="337">
        <f t="shared" si="84"/>
        <v>0.31327063596925603</v>
      </c>
      <c r="V86" s="336" t="str">
        <f t="shared" ref="V86:V96" si="85">C86</f>
        <v>SG&amp;A/Sales</v>
      </c>
    </row>
    <row r="87" spans="2:22">
      <c r="B87" s="58">
        <v>3</v>
      </c>
      <c r="C87" s="58" t="str">
        <f t="shared" si="82"/>
        <v>EBITDA/Sales</v>
      </c>
      <c r="E87" s="336">
        <f t="shared" si="83"/>
        <v>0.12333661902414983</v>
      </c>
      <c r="F87" s="336">
        <f t="shared" ref="F87:T87" si="86">F15/F$12</f>
        <v>0.12594149588369241</v>
      </c>
      <c r="G87" s="336">
        <f t="shared" si="86"/>
        <v>0.12375216566289909</v>
      </c>
      <c r="H87" s="336">
        <f t="shared" si="86"/>
        <v>0.12075047287970962</v>
      </c>
      <c r="I87" s="336">
        <f t="shared" si="86"/>
        <v>0.12239700757469145</v>
      </c>
      <c r="J87" s="336">
        <f t="shared" si="86"/>
        <v>0.12404045887136808</v>
      </c>
      <c r="K87" s="336">
        <f t="shared" si="86"/>
        <v>0.12568083254389362</v>
      </c>
      <c r="L87" s="336">
        <f t="shared" si="86"/>
        <v>0.12731813435560921</v>
      </c>
      <c r="M87" s="336">
        <f t="shared" si="86"/>
        <v>0.12895237005906315</v>
      </c>
      <c r="N87" s="336">
        <f t="shared" si="86"/>
        <v>0.13223006575028021</v>
      </c>
      <c r="O87" s="336">
        <f t="shared" si="86"/>
        <v>0.13549542768536862</v>
      </c>
      <c r="P87" s="336">
        <f t="shared" si="86"/>
        <v>0.13874850227545188</v>
      </c>
      <c r="Q87" s="336">
        <f t="shared" si="86"/>
        <v>0.14198933575701181</v>
      </c>
      <c r="R87" s="336">
        <f t="shared" si="86"/>
        <v>0.14521797419254517</v>
      </c>
      <c r="S87" s="336">
        <f t="shared" si="86"/>
        <v>0.14843446347121858</v>
      </c>
      <c r="T87" s="336">
        <f t="shared" si="86"/>
        <v>0.15163884930952076</v>
      </c>
      <c r="V87" s="336" t="str">
        <f t="shared" si="85"/>
        <v>EBITDA/Sales</v>
      </c>
    </row>
    <row r="88" spans="2:22">
      <c r="B88" s="58">
        <v>4</v>
      </c>
      <c r="C88" s="325" t="str">
        <f t="shared" si="82"/>
        <v>Depreciation, Depletion &amp; Amortization/Sales</v>
      </c>
      <c r="D88" s="325"/>
      <c r="E88" s="337">
        <f t="shared" si="83"/>
        <v>1.9991375061606701E-2</v>
      </c>
      <c r="F88" s="337">
        <f t="shared" ref="F88:T88" si="87">F16/F$12</f>
        <v>2.0610731593390552E-2</v>
      </c>
      <c r="G88" s="337">
        <f t="shared" si="87"/>
        <v>2.0542859500041252E-2</v>
      </c>
      <c r="H88" s="337">
        <f t="shared" si="87"/>
        <v>1.8020551096569706E-2</v>
      </c>
      <c r="I88" s="337">
        <f t="shared" si="87"/>
        <v>1.7986804746201599E-2</v>
      </c>
      <c r="J88" s="337">
        <f t="shared" si="87"/>
        <v>1.7953121591246166E-2</v>
      </c>
      <c r="K88" s="337">
        <f t="shared" si="87"/>
        <v>1.7919501513359935E-2</v>
      </c>
      <c r="L88" s="337">
        <f t="shared" si="87"/>
        <v>1.7885944394421059E-2</v>
      </c>
      <c r="M88" s="337">
        <f t="shared" si="87"/>
        <v>1.7852450116528886E-2</v>
      </c>
      <c r="N88" s="337">
        <f t="shared" si="87"/>
        <v>1.778527250555418E-2</v>
      </c>
      <c r="O88" s="337">
        <f t="shared" si="87"/>
        <v>1.7718347679569025E-2</v>
      </c>
      <c r="P88" s="337">
        <f t="shared" si="87"/>
        <v>1.7651674687359922E-2</v>
      </c>
      <c r="Q88" s="337">
        <f t="shared" si="87"/>
        <v>1.7585252581292718E-2</v>
      </c>
      <c r="R88" s="337">
        <f t="shared" si="87"/>
        <v>1.7519080417299143E-2</v>
      </c>
      <c r="S88" s="337">
        <f t="shared" si="87"/>
        <v>1.7453157254863398E-2</v>
      </c>
      <c r="T88" s="337">
        <f t="shared" si="87"/>
        <v>1.7387482157008784E-2</v>
      </c>
      <c r="V88" s="336" t="str">
        <f t="shared" si="85"/>
        <v>Depreciation, Depletion &amp; Amortization/Sales</v>
      </c>
    </row>
    <row r="89" spans="2:22">
      <c r="B89" s="58">
        <v>5</v>
      </c>
      <c r="C89" s="58" t="str">
        <f t="shared" si="82"/>
        <v>EBIT/Sales</v>
      </c>
      <c r="E89" s="336">
        <f t="shared" si="83"/>
        <v>0.10334524396254312</v>
      </c>
      <c r="F89" s="336">
        <f t="shared" ref="F89:T89" si="88">F17/F$12</f>
        <v>0.10533076429030186</v>
      </c>
      <c r="G89" s="336">
        <f t="shared" si="88"/>
        <v>0.10320930616285785</v>
      </c>
      <c r="H89" s="336">
        <f t="shared" si="88"/>
        <v>0.10272992178313992</v>
      </c>
      <c r="I89" s="336">
        <f t="shared" si="88"/>
        <v>0.10441020282848985</v>
      </c>
      <c r="J89" s="336">
        <f t="shared" si="88"/>
        <v>0.10608733728012192</v>
      </c>
      <c r="K89" s="336">
        <f t="shared" si="88"/>
        <v>0.10776133103053369</v>
      </c>
      <c r="L89" s="336">
        <f t="shared" si="88"/>
        <v>0.10943218996118816</v>
      </c>
      <c r="M89" s="336">
        <f t="shared" si="88"/>
        <v>0.11109991994253426</v>
      </c>
      <c r="N89" s="336">
        <f t="shared" si="88"/>
        <v>0.11444479324472605</v>
      </c>
      <c r="O89" s="336">
        <f t="shared" si="88"/>
        <v>0.11777708000579959</v>
      </c>
      <c r="P89" s="336">
        <f t="shared" si="88"/>
        <v>0.12109682758809195</v>
      </c>
      <c r="Q89" s="336">
        <f t="shared" si="88"/>
        <v>0.12440408317571909</v>
      </c>
      <c r="R89" s="336">
        <f t="shared" si="88"/>
        <v>0.12769889377524604</v>
      </c>
      <c r="S89" s="336">
        <f t="shared" si="88"/>
        <v>0.13098130621635518</v>
      </c>
      <c r="T89" s="336">
        <f t="shared" si="88"/>
        <v>0.13425136715251196</v>
      </c>
      <c r="V89" s="336" t="str">
        <f t="shared" si="85"/>
        <v>EBIT/Sales</v>
      </c>
    </row>
    <row r="90" spans="2:22">
      <c r="B90" s="58">
        <v>6</v>
      </c>
      <c r="C90" s="325" t="str">
        <f t="shared" si="82"/>
        <v>Taxes/Sales</v>
      </c>
      <c r="D90" s="325"/>
      <c r="E90" s="337">
        <f t="shared" si="83"/>
        <v>2.6583292262198126E-2</v>
      </c>
      <c r="F90" s="337">
        <f t="shared" ref="F90:T90" si="89">F18/F$12</f>
        <v>1.8859111344660479E-2</v>
      </c>
      <c r="G90" s="337">
        <f t="shared" si="89"/>
        <v>6.5781151170145477E-2</v>
      </c>
      <c r="H90" s="337">
        <f t="shared" si="89"/>
        <v>1.9733142477378458E-2</v>
      </c>
      <c r="I90" s="337">
        <f t="shared" si="89"/>
        <v>2.1926142593982869E-2</v>
      </c>
      <c r="J90" s="337">
        <f t="shared" si="89"/>
        <v>2.2278340828825603E-2</v>
      </c>
      <c r="K90" s="337">
        <f t="shared" si="89"/>
        <v>2.2629879516412071E-2</v>
      </c>
      <c r="L90" s="337">
        <f t="shared" si="89"/>
        <v>2.2980759891849514E-2</v>
      </c>
      <c r="M90" s="337">
        <f t="shared" si="89"/>
        <v>2.3330983187932194E-2</v>
      </c>
      <c r="N90" s="337">
        <f t="shared" si="89"/>
        <v>2.4033406581392469E-2</v>
      </c>
      <c r="O90" s="337">
        <f t="shared" si="89"/>
        <v>2.4733186801217912E-2</v>
      </c>
      <c r="P90" s="337">
        <f t="shared" si="89"/>
        <v>2.5430333793499307E-2</v>
      </c>
      <c r="Q90" s="337">
        <f t="shared" si="89"/>
        <v>2.6124857466901009E-2</v>
      </c>
      <c r="R90" s="337">
        <f t="shared" si="89"/>
        <v>2.6816767692801668E-2</v>
      </c>
      <c r="S90" s="337">
        <f t="shared" si="89"/>
        <v>2.7506074305434586E-2</v>
      </c>
      <c r="T90" s="337">
        <f t="shared" si="89"/>
        <v>2.8192787102027515E-2</v>
      </c>
      <c r="V90" s="336" t="str">
        <f t="shared" si="85"/>
        <v>Taxes/Sales</v>
      </c>
    </row>
    <row r="91" spans="2:22">
      <c r="B91" s="58">
        <v>7</v>
      </c>
      <c r="C91" s="58" t="str">
        <f t="shared" si="82"/>
        <v>Net Operating P/L After Tax/Sales</v>
      </c>
      <c r="E91" s="336">
        <f t="shared" si="83"/>
        <v>7.6761951700344999E-2</v>
      </c>
      <c r="F91" s="336">
        <f t="shared" ref="F91:T91" si="90">F19/F$12</f>
        <v>8.6471652945641381E-2</v>
      </c>
      <c r="G91" s="336">
        <f t="shared" si="90"/>
        <v>3.7428154992712376E-2</v>
      </c>
      <c r="H91" s="336">
        <f t="shared" si="90"/>
        <v>8.2996779305761464E-2</v>
      </c>
      <c r="I91" s="336">
        <f t="shared" si="90"/>
        <v>8.2484060234506981E-2</v>
      </c>
      <c r="J91" s="336">
        <f t="shared" si="90"/>
        <v>8.3808996451296316E-2</v>
      </c>
      <c r="K91" s="336">
        <f t="shared" si="90"/>
        <v>8.5131451514121617E-2</v>
      </c>
      <c r="L91" s="336">
        <f t="shared" si="90"/>
        <v>8.6451430069338642E-2</v>
      </c>
      <c r="M91" s="336">
        <f t="shared" si="90"/>
        <v>8.7768936754602053E-2</v>
      </c>
      <c r="N91" s="336">
        <f t="shared" si="90"/>
        <v>9.0411386663333565E-2</v>
      </c>
      <c r="O91" s="336">
        <f t="shared" si="90"/>
        <v>9.3043893204581687E-2</v>
      </c>
      <c r="P91" s="336">
        <f t="shared" si="90"/>
        <v>9.5666493794592633E-2</v>
      </c>
      <c r="Q91" s="336">
        <f t="shared" si="90"/>
        <v>9.8279225708818085E-2</v>
      </c>
      <c r="R91" s="336">
        <f t="shared" si="90"/>
        <v>0.10088212608244437</v>
      </c>
      <c r="S91" s="336">
        <f t="shared" si="90"/>
        <v>0.10347523191092058</v>
      </c>
      <c r="T91" s="336">
        <f t="shared" si="90"/>
        <v>0.10605858005048446</v>
      </c>
      <c r="V91" s="336" t="str">
        <f t="shared" si="85"/>
        <v>Net Operating P/L After Tax/Sales</v>
      </c>
    </row>
    <row r="92" spans="2:22">
      <c r="B92" s="58">
        <v>8</v>
      </c>
      <c r="C92" s="58" t="str">
        <f>C20&amp;"/Sales"</f>
        <v>Depreciation, Depletion &amp; Amortization/Sales</v>
      </c>
      <c r="E92" s="338">
        <f t="shared" si="83"/>
        <v>1.9991375061606701E-2</v>
      </c>
      <c r="F92" s="336">
        <f t="shared" ref="F92:T92" si="91">F20/F$12</f>
        <v>2.0610731593390552E-2</v>
      </c>
      <c r="G92" s="336">
        <f t="shared" si="91"/>
        <v>2.0542859500041252E-2</v>
      </c>
      <c r="H92" s="336">
        <f t="shared" si="91"/>
        <v>1.8020551096569706E-2</v>
      </c>
      <c r="I92" s="336">
        <f t="shared" si="91"/>
        <v>1.7986804746201599E-2</v>
      </c>
      <c r="J92" s="336">
        <f t="shared" si="91"/>
        <v>1.7953121591246166E-2</v>
      </c>
      <c r="K92" s="336">
        <f t="shared" si="91"/>
        <v>1.7919501513359935E-2</v>
      </c>
      <c r="L92" s="336">
        <f t="shared" si="91"/>
        <v>1.7885944394421059E-2</v>
      </c>
      <c r="M92" s="336">
        <f t="shared" si="91"/>
        <v>1.7852450116528886E-2</v>
      </c>
      <c r="N92" s="336">
        <f t="shared" si="91"/>
        <v>1.778527250555418E-2</v>
      </c>
      <c r="O92" s="336">
        <f t="shared" si="91"/>
        <v>1.7718347679569025E-2</v>
      </c>
      <c r="P92" s="336">
        <f t="shared" si="91"/>
        <v>1.7651674687359922E-2</v>
      </c>
      <c r="Q92" s="336">
        <f t="shared" si="91"/>
        <v>1.7585252581292718E-2</v>
      </c>
      <c r="R92" s="336">
        <f t="shared" si="91"/>
        <v>1.7519080417299143E-2</v>
      </c>
      <c r="S92" s="336">
        <f t="shared" si="91"/>
        <v>1.7453157254863398E-2</v>
      </c>
      <c r="T92" s="336">
        <f t="shared" si="91"/>
        <v>1.7387482157008784E-2</v>
      </c>
      <c r="V92" s="336" t="str">
        <f t="shared" si="85"/>
        <v>Depreciation, Depletion &amp; Amortization/Sales</v>
      </c>
    </row>
    <row r="93" spans="2:22">
      <c r="B93" s="58">
        <v>9</v>
      </c>
      <c r="C93" s="58" t="str">
        <f t="shared" si="82"/>
        <v>Capital Expenditures/Sales</v>
      </c>
      <c r="E93" s="336">
        <f t="shared" si="83"/>
        <v>3.5208230655495318E-2</v>
      </c>
      <c r="F93" s="336">
        <f t="shared" ref="F93:T93" si="92">F21/F$12</f>
        <v>3.2259006247445557E-2</v>
      </c>
      <c r="G93" s="336">
        <f t="shared" si="92"/>
        <v>2.827049473365784E-2</v>
      </c>
      <c r="H93" s="336">
        <f t="shared" si="92"/>
        <v>2.860283216604468E-2</v>
      </c>
      <c r="I93" s="336">
        <f t="shared" si="92"/>
        <v>2.8549268809928492E-2</v>
      </c>
      <c r="J93" s="336">
        <f t="shared" si="92"/>
        <v>2.8495805759722631E-2</v>
      </c>
      <c r="K93" s="336">
        <f t="shared" si="92"/>
        <v>2.8442442827588319E-2</v>
      </c>
      <c r="L93" s="336">
        <f t="shared" si="92"/>
        <v>2.8389179826038526E-2</v>
      </c>
      <c r="M93" s="336">
        <f t="shared" si="92"/>
        <v>2.8336016567937328E-2</v>
      </c>
      <c r="N93" s="336">
        <f t="shared" si="92"/>
        <v>2.8229389976900877E-2</v>
      </c>
      <c r="O93" s="336">
        <f t="shared" si="92"/>
        <v>2.8123164614805296E-2</v>
      </c>
      <c r="P93" s="336">
        <f t="shared" si="92"/>
        <v>2.8017338971852126E-2</v>
      </c>
      <c r="Q93" s="336">
        <f t="shared" si="92"/>
        <v>2.7911911543924174E-2</v>
      </c>
      <c r="R93" s="336">
        <f t="shared" si="92"/>
        <v>2.7806880832564156E-2</v>
      </c>
      <c r="S93" s="336">
        <f t="shared" si="92"/>
        <v>2.7702245344953382E-2</v>
      </c>
      <c r="T93" s="336">
        <f t="shared" si="92"/>
        <v>2.759800359389053E-2</v>
      </c>
      <c r="V93" s="336" t="str">
        <f t="shared" si="85"/>
        <v>Capital Expenditures/Sales</v>
      </c>
    </row>
    <row r="94" spans="2:22">
      <c r="B94" s="58">
        <v>10</v>
      </c>
      <c r="C94" s="58" t="str">
        <f t="shared" si="82"/>
        <v>Investments/Sales</v>
      </c>
      <c r="E94" s="336">
        <f t="shared" si="83"/>
        <v>3.357565303104978E-3</v>
      </c>
      <c r="F94" s="336">
        <f t="shared" ref="F94:T94" si="93">F22/F$12</f>
        <v>2.8317860687802885E-3</v>
      </c>
      <c r="G94" s="336">
        <f t="shared" si="93"/>
        <v>3.5860627560982315E-2</v>
      </c>
      <c r="H94" s="336">
        <f t="shared" si="93"/>
        <v>2.1854710904350493E-2</v>
      </c>
      <c r="I94" s="336">
        <f t="shared" si="93"/>
        <v>0</v>
      </c>
      <c r="J94" s="336">
        <f t="shared" si="93"/>
        <v>0</v>
      </c>
      <c r="K94" s="336">
        <f t="shared" si="93"/>
        <v>0</v>
      </c>
      <c r="L94" s="336">
        <f t="shared" si="93"/>
        <v>0</v>
      </c>
      <c r="M94" s="336">
        <f t="shared" si="93"/>
        <v>0</v>
      </c>
      <c r="N94" s="336">
        <f t="shared" si="93"/>
        <v>0</v>
      </c>
      <c r="O94" s="336">
        <f t="shared" si="93"/>
        <v>0</v>
      </c>
      <c r="P94" s="336">
        <f t="shared" si="93"/>
        <v>0</v>
      </c>
      <c r="Q94" s="336">
        <f t="shared" si="93"/>
        <v>0</v>
      </c>
      <c r="R94" s="336">
        <f t="shared" si="93"/>
        <v>0</v>
      </c>
      <c r="S94" s="336">
        <f t="shared" si="93"/>
        <v>0</v>
      </c>
      <c r="T94" s="336">
        <f t="shared" si="93"/>
        <v>0</v>
      </c>
      <c r="V94" s="336" t="str">
        <f t="shared" si="85"/>
        <v>Investments/Sales</v>
      </c>
    </row>
    <row r="95" spans="2:22">
      <c r="B95" s="58">
        <v>11</v>
      </c>
      <c r="C95" s="325" t="str">
        <f t="shared" si="82"/>
        <v>Change in NWC/Sales</v>
      </c>
      <c r="D95" s="325"/>
      <c r="E95" s="337">
        <f t="shared" si="83"/>
        <v>0</v>
      </c>
      <c r="F95" s="337">
        <f t="shared" ref="F95:T95" si="94">F23/F$12</f>
        <v>2.685817714719449E-2</v>
      </c>
      <c r="G95" s="337">
        <f t="shared" si="94"/>
        <v>-4.1058218518824081E-2</v>
      </c>
      <c r="H95" s="337">
        <f t="shared" si="94"/>
        <v>-1.1119063442564286E-2</v>
      </c>
      <c r="I95" s="337">
        <f t="shared" si="94"/>
        <v>6.1364161487968305E-2</v>
      </c>
      <c r="J95" s="337">
        <f t="shared" si="94"/>
        <v>1.2565470883190094E-2</v>
      </c>
      <c r="K95" s="337">
        <f t="shared" si="94"/>
        <v>7.7869150454629929E-3</v>
      </c>
      <c r="L95" s="337">
        <f t="shared" si="94"/>
        <v>2.376847977477756E-2</v>
      </c>
      <c r="M95" s="337">
        <f t="shared" si="94"/>
        <v>1.4706955234476926E-2</v>
      </c>
      <c r="N95" s="337">
        <f t="shared" si="94"/>
        <v>1.4273226177418434E-2</v>
      </c>
      <c r="O95" s="337">
        <f t="shared" si="94"/>
        <v>1.682299841182237E-2</v>
      </c>
      <c r="P95" s="337">
        <f t="shared" si="94"/>
        <v>1.4882255136369376E-2</v>
      </c>
      <c r="Q95" s="337">
        <f t="shared" si="94"/>
        <v>1.5326159908536767E-2</v>
      </c>
      <c r="R95" s="337">
        <f t="shared" si="94"/>
        <v>1.5677137818909507E-2</v>
      </c>
      <c r="S95" s="337">
        <f t="shared" si="94"/>
        <v>1.5295184287938501E-2</v>
      </c>
      <c r="T95" s="337">
        <f t="shared" si="94"/>
        <v>1.54328273384616E-2</v>
      </c>
      <c r="V95" s="336" t="str">
        <f t="shared" si="85"/>
        <v>Change in NWC/Sales</v>
      </c>
    </row>
    <row r="96" spans="2:22">
      <c r="B96" s="58">
        <v>12</v>
      </c>
      <c r="C96" s="325" t="str">
        <f t="shared" si="82"/>
        <v>Free Cash Flows/Sales</v>
      </c>
      <c r="D96" s="325"/>
      <c r="E96" s="339">
        <f t="shared" si="83"/>
        <v>5.8187530803351407E-2</v>
      </c>
      <c r="F96" s="337">
        <f t="shared" ref="F96:T96" si="95">F24/F$12</f>
        <v>4.513341507561161E-2</v>
      </c>
      <c r="G96" s="337">
        <f t="shared" si="95"/>
        <v>3.4898110716937547E-2</v>
      </c>
      <c r="H96" s="337">
        <f t="shared" si="95"/>
        <v>6.1678850774500284E-2</v>
      </c>
      <c r="I96" s="337">
        <f t="shared" si="95"/>
        <v>1.055743468281178E-2</v>
      </c>
      <c r="J96" s="339">
        <f t="shared" si="95"/>
        <v>6.0700841399629765E-2</v>
      </c>
      <c r="K96" s="339">
        <f t="shared" si="95"/>
        <v>6.6821595154430244E-2</v>
      </c>
      <c r="L96" s="339">
        <f t="shared" si="95"/>
        <v>5.2179714862943608E-2</v>
      </c>
      <c r="M96" s="339">
        <f t="shared" si="95"/>
        <v>6.2578415068716683E-2</v>
      </c>
      <c r="N96" s="339">
        <f t="shared" si="95"/>
        <v>6.5694043014568437E-2</v>
      </c>
      <c r="O96" s="339">
        <f t="shared" si="95"/>
        <v>6.5816077857523039E-2</v>
      </c>
      <c r="P96" s="339">
        <f t="shared" si="95"/>
        <v>7.0418574373731058E-2</v>
      </c>
      <c r="Q96" s="339">
        <f t="shared" si="95"/>
        <v>7.2626406837649857E-2</v>
      </c>
      <c r="R96" s="339">
        <f t="shared" si="95"/>
        <v>7.4917187848269867E-2</v>
      </c>
      <c r="S96" s="339">
        <f t="shared" si="95"/>
        <v>7.79309595328921E-2</v>
      </c>
      <c r="T96" s="339">
        <f t="shared" si="95"/>
        <v>8.0415231275141122E-2</v>
      </c>
      <c r="V96" s="336" t="str">
        <f t="shared" si="85"/>
        <v>Free Cash Flows/Sales</v>
      </c>
    </row>
    <row r="101" spans="2:20">
      <c r="E101" s="1">
        <v>2015</v>
      </c>
      <c r="F101" s="1">
        <v>2016</v>
      </c>
      <c r="G101" s="1">
        <v>2017</v>
      </c>
      <c r="H101" s="1">
        <v>2018</v>
      </c>
      <c r="I101" s="9">
        <v>2019</v>
      </c>
      <c r="J101" s="10">
        <v>2020</v>
      </c>
      <c r="K101" s="10">
        <v>2021</v>
      </c>
      <c r="L101" s="10">
        <v>2022</v>
      </c>
      <c r="M101" s="10">
        <v>2023</v>
      </c>
      <c r="N101" s="10">
        <v>2024</v>
      </c>
      <c r="O101" s="10">
        <v>2025</v>
      </c>
      <c r="P101" s="10">
        <v>2026</v>
      </c>
      <c r="Q101" s="10">
        <v>2027</v>
      </c>
      <c r="R101" s="10">
        <v>2028</v>
      </c>
      <c r="S101" s="10">
        <v>2029</v>
      </c>
      <c r="T101" s="10">
        <v>2030</v>
      </c>
    </row>
    <row r="102" spans="2:20" ht="25.5" customHeight="1">
      <c r="B102" s="58">
        <v>12</v>
      </c>
      <c r="C102" s="216" t="str">
        <f>INDEX(C$85:C$96,$B102)</f>
        <v>Free Cash Flows/Sales</v>
      </c>
      <c r="D102" s="215"/>
      <c r="E102" s="215">
        <f t="shared" ref="E102:T104" si="96">INDEX(E$85:E$96,$B102)</f>
        <v>5.8187530803351407E-2</v>
      </c>
      <c r="F102" s="215">
        <f t="shared" si="96"/>
        <v>4.513341507561161E-2</v>
      </c>
      <c r="G102" s="215">
        <f t="shared" si="96"/>
        <v>3.4898110716937547E-2</v>
      </c>
      <c r="H102" s="215">
        <f t="shared" si="96"/>
        <v>6.1678850774500284E-2</v>
      </c>
      <c r="I102" s="215">
        <f t="shared" si="96"/>
        <v>1.055743468281178E-2</v>
      </c>
      <c r="J102" s="215">
        <f t="shared" si="96"/>
        <v>6.0700841399629765E-2</v>
      </c>
      <c r="K102" s="215">
        <f t="shared" si="96"/>
        <v>6.6821595154430244E-2</v>
      </c>
      <c r="L102" s="215">
        <f t="shared" si="96"/>
        <v>5.2179714862943608E-2</v>
      </c>
      <c r="M102" s="215">
        <f t="shared" si="96"/>
        <v>6.2578415068716683E-2</v>
      </c>
      <c r="N102" s="215">
        <f t="shared" si="96"/>
        <v>6.5694043014568437E-2</v>
      </c>
      <c r="O102" s="215">
        <f t="shared" si="96"/>
        <v>6.5816077857523039E-2</v>
      </c>
      <c r="P102" s="215">
        <f t="shared" si="96"/>
        <v>7.0418574373731058E-2</v>
      </c>
      <c r="Q102" s="215">
        <f t="shared" si="96"/>
        <v>7.2626406837649857E-2</v>
      </c>
      <c r="R102" s="215">
        <f t="shared" si="96"/>
        <v>7.4917187848269867E-2</v>
      </c>
      <c r="S102" s="215">
        <f t="shared" si="96"/>
        <v>7.79309595328921E-2</v>
      </c>
      <c r="T102" s="215">
        <f t="shared" si="96"/>
        <v>8.0415231275141122E-2</v>
      </c>
    </row>
    <row r="103" spans="2:20" ht="25.5" customHeight="1">
      <c r="B103" s="58">
        <v>7</v>
      </c>
      <c r="C103" s="218" t="str">
        <f t="shared" ref="C103:C104" si="97">INDEX(C$85:C$96,$B103)</f>
        <v>Net Operating P/L After Tax/Sales</v>
      </c>
      <c r="D103" s="217"/>
      <c r="E103" s="217">
        <f>INDEX(E$85:E$96,$B103)</f>
        <v>7.6761951700344999E-2</v>
      </c>
      <c r="F103" s="217">
        <f t="shared" si="96"/>
        <v>8.6471652945641381E-2</v>
      </c>
      <c r="G103" s="217">
        <f t="shared" si="96"/>
        <v>3.7428154992712376E-2</v>
      </c>
      <c r="H103" s="217">
        <f t="shared" si="96"/>
        <v>8.2996779305761464E-2</v>
      </c>
      <c r="I103" s="217">
        <f t="shared" si="96"/>
        <v>8.2484060234506981E-2</v>
      </c>
      <c r="J103" s="217">
        <f t="shared" si="96"/>
        <v>8.3808996451296316E-2</v>
      </c>
      <c r="K103" s="217">
        <f t="shared" si="96"/>
        <v>8.5131451514121617E-2</v>
      </c>
      <c r="L103" s="217">
        <f t="shared" si="96"/>
        <v>8.6451430069338642E-2</v>
      </c>
      <c r="M103" s="217">
        <f t="shared" si="96"/>
        <v>8.7768936754602053E-2</v>
      </c>
      <c r="N103" s="217">
        <f t="shared" si="96"/>
        <v>9.0411386663333565E-2</v>
      </c>
      <c r="O103" s="217">
        <f t="shared" si="96"/>
        <v>9.3043893204581687E-2</v>
      </c>
      <c r="P103" s="217">
        <f t="shared" si="96"/>
        <v>9.5666493794592633E-2</v>
      </c>
      <c r="Q103" s="217">
        <f t="shared" si="96"/>
        <v>9.8279225708818085E-2</v>
      </c>
      <c r="R103" s="217">
        <f t="shared" si="96"/>
        <v>0.10088212608244437</v>
      </c>
      <c r="S103" s="217">
        <f t="shared" si="96"/>
        <v>0.10347523191092058</v>
      </c>
      <c r="T103" s="217">
        <f t="shared" si="96"/>
        <v>0.10605858005048446</v>
      </c>
    </row>
    <row r="104" spans="2:20" ht="25.5" customHeight="1">
      <c r="B104" s="58">
        <v>11</v>
      </c>
      <c r="C104" s="214" t="str">
        <f t="shared" si="97"/>
        <v>Change in NWC/Sales</v>
      </c>
      <c r="D104" s="213"/>
      <c r="E104" s="213">
        <f t="shared" si="96"/>
        <v>0</v>
      </c>
      <c r="F104" s="213">
        <f t="shared" si="96"/>
        <v>2.685817714719449E-2</v>
      </c>
      <c r="G104" s="213">
        <f t="shared" si="96"/>
        <v>-4.1058218518824081E-2</v>
      </c>
      <c r="H104" s="213">
        <f t="shared" si="96"/>
        <v>-1.1119063442564286E-2</v>
      </c>
      <c r="I104" s="213">
        <f t="shared" si="96"/>
        <v>6.1364161487968305E-2</v>
      </c>
      <c r="J104" s="213">
        <f t="shared" si="96"/>
        <v>1.2565470883190094E-2</v>
      </c>
      <c r="K104" s="213">
        <f t="shared" si="96"/>
        <v>7.7869150454629929E-3</v>
      </c>
      <c r="L104" s="213">
        <f t="shared" si="96"/>
        <v>2.376847977477756E-2</v>
      </c>
      <c r="M104" s="213">
        <f t="shared" si="96"/>
        <v>1.4706955234476926E-2</v>
      </c>
      <c r="N104" s="213">
        <f t="shared" si="96"/>
        <v>1.4273226177418434E-2</v>
      </c>
      <c r="O104" s="213">
        <f t="shared" si="96"/>
        <v>1.682299841182237E-2</v>
      </c>
      <c r="P104" s="213">
        <f t="shared" si="96"/>
        <v>1.4882255136369376E-2</v>
      </c>
      <c r="Q104" s="213">
        <f t="shared" si="96"/>
        <v>1.5326159908536767E-2</v>
      </c>
      <c r="R104" s="213">
        <f t="shared" si="96"/>
        <v>1.5677137818909507E-2</v>
      </c>
      <c r="S104" s="213">
        <f t="shared" si="96"/>
        <v>1.5295184287938501E-2</v>
      </c>
      <c r="T104" s="213">
        <f t="shared" si="96"/>
        <v>1.54328273384616E-2</v>
      </c>
    </row>
  </sheetData>
  <hyperlinks>
    <hyperlink ref="C1" location="Menu!A1" display="MENU" xr:uid="{B54FC84D-41FB-4BE7-8A74-DE98AF64618A}"/>
  </hyperlinks>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6146" r:id="rId4" name="Drop Down 2">
              <controlPr defaultSize="0" autoLine="0" autoPict="0">
                <anchor moveWithCells="1">
                  <from>
                    <xdr:col>2</xdr:col>
                    <xdr:colOff>38100</xdr:colOff>
                    <xdr:row>98</xdr:row>
                    <xdr:rowOff>38100</xdr:rowOff>
                  </from>
                  <to>
                    <xdr:col>3</xdr:col>
                    <xdr:colOff>127000</xdr:colOff>
                    <xdr:row>99</xdr:row>
                    <xdr:rowOff>177800</xdr:rowOff>
                  </to>
                </anchor>
              </controlPr>
            </control>
          </mc:Choice>
        </mc:AlternateContent>
        <mc:AlternateContent xmlns:mc="http://schemas.openxmlformats.org/markup-compatibility/2006">
          <mc:Choice Requires="x14">
            <control shapeId="6147" r:id="rId5" name="Drop Down 3">
              <controlPr defaultSize="0" autoLine="0" autoPict="0">
                <anchor moveWithCells="1">
                  <from>
                    <xdr:col>2</xdr:col>
                    <xdr:colOff>38100</xdr:colOff>
                    <xdr:row>101</xdr:row>
                    <xdr:rowOff>25400</xdr:rowOff>
                  </from>
                  <to>
                    <xdr:col>2</xdr:col>
                    <xdr:colOff>2641600</xdr:colOff>
                    <xdr:row>101</xdr:row>
                    <xdr:rowOff>304800</xdr:rowOff>
                  </to>
                </anchor>
              </controlPr>
            </control>
          </mc:Choice>
        </mc:AlternateContent>
        <mc:AlternateContent xmlns:mc="http://schemas.openxmlformats.org/markup-compatibility/2006">
          <mc:Choice Requires="x14">
            <control shapeId="6148" r:id="rId6" name="Drop Down 4">
              <controlPr defaultSize="0" autoLine="0" autoPict="0">
                <anchor moveWithCells="1">
                  <from>
                    <xdr:col>2</xdr:col>
                    <xdr:colOff>38100</xdr:colOff>
                    <xdr:row>102</xdr:row>
                    <xdr:rowOff>25400</xdr:rowOff>
                  </from>
                  <to>
                    <xdr:col>2</xdr:col>
                    <xdr:colOff>2641600</xdr:colOff>
                    <xdr:row>102</xdr:row>
                    <xdr:rowOff>304800</xdr:rowOff>
                  </to>
                </anchor>
              </controlPr>
            </control>
          </mc:Choice>
        </mc:AlternateContent>
        <mc:AlternateContent xmlns:mc="http://schemas.openxmlformats.org/markup-compatibility/2006">
          <mc:Choice Requires="x14">
            <control shapeId="6149" r:id="rId7" name="Drop Down 5">
              <controlPr defaultSize="0" autoLine="0" autoPict="0">
                <anchor moveWithCells="1">
                  <from>
                    <xdr:col>2</xdr:col>
                    <xdr:colOff>38100</xdr:colOff>
                    <xdr:row>103</xdr:row>
                    <xdr:rowOff>25400</xdr:rowOff>
                  </from>
                  <to>
                    <xdr:col>2</xdr:col>
                    <xdr:colOff>2641600</xdr:colOff>
                    <xdr:row>103</xdr:row>
                    <xdr:rowOff>304800</xdr:rowOff>
                  </to>
                </anchor>
              </controlPr>
            </control>
          </mc:Choice>
        </mc:AlternateContent>
        <mc:AlternateContent xmlns:mc="http://schemas.openxmlformats.org/markup-compatibility/2006">
          <mc:Choice Requires="x14">
            <control shapeId="6151" r:id="rId8" name="Drop Down 7">
              <controlPr defaultSize="0" autoLine="0" autoPict="0">
                <anchor moveWithCells="1">
                  <from>
                    <xdr:col>2</xdr:col>
                    <xdr:colOff>88900</xdr:colOff>
                    <xdr:row>5</xdr:row>
                    <xdr:rowOff>76200</xdr:rowOff>
                  </from>
                  <to>
                    <xdr:col>2</xdr:col>
                    <xdr:colOff>2654300</xdr:colOff>
                    <xdr:row>6</xdr:row>
                    <xdr:rowOff>139700</xdr:rowOff>
                  </to>
                </anchor>
              </controlPr>
            </control>
          </mc:Choice>
        </mc:AlternateContent>
        <mc:AlternateContent xmlns:mc="http://schemas.openxmlformats.org/markup-compatibility/2006">
          <mc:Choice Requires="x14">
            <control shapeId="6152" r:id="rId9" name="Drop Down 8">
              <controlPr defaultSize="0" autoLine="0" autoPict="0">
                <anchor moveWithCells="1">
                  <from>
                    <xdr:col>5</xdr:col>
                    <xdr:colOff>101600</xdr:colOff>
                    <xdr:row>48</xdr:row>
                    <xdr:rowOff>76200</xdr:rowOff>
                  </from>
                  <to>
                    <xdr:col>7</xdr:col>
                    <xdr:colOff>685800</xdr:colOff>
                    <xdr:row>49</xdr:row>
                    <xdr:rowOff>114300</xdr:rowOff>
                  </to>
                </anchor>
              </controlPr>
            </control>
          </mc:Choice>
        </mc:AlternateContent>
      </controls>
    </mc:Choice>
  </mc:AlternateContent>
  <extLst>
    <ext xmlns:x14="http://schemas.microsoft.com/office/spreadsheetml/2009/9/main" uri="{05C60535-1F16-4fd2-B633-F4F36F0B64E0}">
      <x14:sparklineGroups xmlns:xm="http://schemas.microsoft.com/office/excel/2006/main">
        <x14:sparklineGroup type="column" displayEmptyCellsAs="gap" xr2:uid="{D18B8444-9E6A-423B-BE86-30F405E4DC1E}">
          <x14:colorSeries rgb="FF376092"/>
          <x14:colorNegative rgb="FFD00000"/>
          <x14:colorAxis rgb="FF000000"/>
          <x14:colorMarkers rgb="FFD00000"/>
          <x14:colorFirst rgb="FFD00000"/>
          <x14:colorLast rgb="FFD00000"/>
          <x14:colorHigh rgb="FFD00000"/>
          <x14:colorLow rgb="FFD00000"/>
          <x14:sparklines>
            <x14:sparkline>
              <xm:f>'DCF Model'!E66:T66</xm:f>
              <xm:sqref>U66</xm:sqref>
            </x14:sparkline>
            <x14:sparkline>
              <xm:f>'DCF Model'!E67:T67</xm:f>
              <xm:sqref>U67</xm:sqref>
            </x14:sparkline>
          </x14:sparklines>
        </x14:sparklineGroup>
        <x14:sparklineGroup type="column" displayEmptyCellsAs="gap" xr2:uid="{4175F80E-E5E4-45E0-B21A-A040DF34EE4B}">
          <x14:colorSeries rgb="FF376092"/>
          <x14:colorNegative rgb="FFD00000"/>
          <x14:colorAxis rgb="FF000000"/>
          <x14:colorMarkers rgb="FFD00000"/>
          <x14:colorFirst rgb="FFD00000"/>
          <x14:colorLast rgb="FFD00000"/>
          <x14:colorHigh rgb="FFD00000"/>
          <x14:colorLow rgb="FFD00000"/>
          <x14:sparklines>
            <x14:sparkline>
              <xm:f>'DCF Model'!E55:T55</xm:f>
              <xm:sqref>U55</xm:sqref>
            </x14:sparkline>
            <x14:sparkline>
              <xm:f>'DCF Model'!E56:T56</xm:f>
              <xm:sqref>U56</xm:sqref>
            </x14:sparkline>
            <x14:sparkline>
              <xm:f>'DCF Model'!E57:T57</xm:f>
              <xm:sqref>U57</xm:sqref>
            </x14:sparkline>
            <x14:sparkline>
              <xm:f>'DCF Model'!E58:T58</xm:f>
              <xm:sqref>U58</xm:sqref>
            </x14:sparkline>
            <x14:sparkline>
              <xm:f>'DCF Model'!E59:T59</xm:f>
              <xm:sqref>U59</xm:sqref>
            </x14:sparkline>
            <x14:sparkline>
              <xm:f>'DCF Model'!E60:T60</xm:f>
              <xm:sqref>U60</xm:sqref>
            </x14:sparkline>
            <x14:sparkline>
              <xm:f>'DCF Model'!E61:T61</xm:f>
              <xm:sqref>U61</xm:sqref>
            </x14:sparkline>
            <x14:sparkline>
              <xm:f>'DCF Model'!E62:T62</xm:f>
              <xm:sqref>U62</xm:sqref>
            </x14:sparkline>
            <x14:sparkline>
              <xm:f>'DCF Model'!E63:T63</xm:f>
              <xm:sqref>U63</xm:sqref>
            </x14:sparkline>
            <x14:sparkline>
              <xm:f>'DCF Model'!E64:T64</xm:f>
              <xm:sqref>U64</xm:sqref>
            </x14:sparkline>
          </x14:sparklines>
        </x14:sparklineGroup>
        <x14:sparklineGroup type="column" displayEmptyCellsAs="gap" xr2:uid="{1303BC79-441C-47A6-A3DF-192A7BFE393C}">
          <x14:colorSeries rgb="FF376092"/>
          <x14:colorNegative rgb="FFD00000"/>
          <x14:colorAxis rgb="FF000000"/>
          <x14:colorMarkers rgb="FFD00000"/>
          <x14:colorFirst rgb="FFD00000"/>
          <x14:colorLast rgb="FFD00000"/>
          <x14:colorHigh rgb="FFD00000"/>
          <x14:colorLow rgb="FFD00000"/>
          <x14:sparklines>
            <x14:sparkline>
              <xm:f>'DCF Model'!E23:T23</xm:f>
              <xm:sqref>U23</xm:sqref>
            </x14:sparkline>
            <x14:sparkline>
              <xm:f>'DCF Model'!E24:T24</xm:f>
              <xm:sqref>U24</xm:sqref>
            </x14:sparkline>
            <x14:sparkline>
              <xm:f>'DCF Model'!E25:T25</xm:f>
              <xm:sqref>U25</xm:sqref>
            </x14:sparkline>
          </x14:sparklines>
        </x14:sparklineGroup>
        <x14:sparklineGroup type="column" displayEmptyCellsAs="gap" xr2:uid="{938B5B87-7CD9-4CE1-8492-D28D362927BB}">
          <x14:colorSeries rgb="FF376092"/>
          <x14:colorNegative rgb="FFD00000"/>
          <x14:colorAxis rgb="FF000000"/>
          <x14:colorMarkers rgb="FFD00000"/>
          <x14:colorFirst rgb="FFD00000"/>
          <x14:colorLast rgb="FFD00000"/>
          <x14:colorHigh rgb="FFD00000"/>
          <x14:colorLow rgb="FFD00000"/>
          <x14:sparklines>
            <x14:sparkline>
              <xm:f>'DCF Model'!E13:T13</xm:f>
              <xm:sqref>U13</xm:sqref>
            </x14:sparkline>
            <x14:sparkline>
              <xm:f>'DCF Model'!E14:T14</xm:f>
              <xm:sqref>U14</xm:sqref>
            </x14:sparkline>
            <x14:sparkline>
              <xm:f>'DCF Model'!E15:T15</xm:f>
              <xm:sqref>U15</xm:sqref>
            </x14:sparkline>
            <x14:sparkline>
              <xm:f>'DCF Model'!E16:T16</xm:f>
              <xm:sqref>U16</xm:sqref>
            </x14:sparkline>
            <x14:sparkline>
              <xm:f>'DCF Model'!E17:T17</xm:f>
              <xm:sqref>U17</xm:sqref>
            </x14:sparkline>
            <x14:sparkline>
              <xm:f>'DCF Model'!E18:T18</xm:f>
              <xm:sqref>U18</xm:sqref>
            </x14:sparkline>
            <x14:sparkline>
              <xm:f>'DCF Model'!E19:T19</xm:f>
              <xm:sqref>U19</xm:sqref>
            </x14:sparkline>
            <x14:sparkline>
              <xm:f>'DCF Model'!E20:T20</xm:f>
              <xm:sqref>U20</xm:sqref>
            </x14:sparkline>
            <x14:sparkline>
              <xm:f>'DCF Model'!E21:T21</xm:f>
              <xm:sqref>U21</xm:sqref>
            </x14:sparkline>
          </x14:sparklines>
        </x14:sparklineGroup>
        <x14:sparklineGroup type="column" displayEmptyCellsAs="gap" xr2:uid="{036F0735-ADA1-4CC7-92BD-5E5A3F84D9F5}">
          <x14:colorSeries rgb="FF376092"/>
          <x14:colorNegative rgb="FFD00000"/>
          <x14:colorAxis rgb="FF000000"/>
          <x14:colorMarkers rgb="FFD00000"/>
          <x14:colorFirst rgb="FFD00000"/>
          <x14:colorLast rgb="FFD00000"/>
          <x14:colorHigh rgb="FFD00000"/>
          <x14:colorLow rgb="FFD00000"/>
          <x14:sparklines>
            <x14:sparkline>
              <xm:f>'DCF Model'!E12:T12</xm:f>
              <xm:sqref>U12</xm:sqref>
            </x14:sparkline>
          </x14:sparklines>
        </x14:sparklineGroup>
        <x14:sparklineGroup displayEmptyCellsAs="gap" xr2:uid="{CBE5C3FD-96D2-41AF-A4E1-0D8F87EFD45A}">
          <x14:colorSeries rgb="FF376092"/>
          <x14:colorNegative rgb="FFD00000"/>
          <x14:colorAxis rgb="FF000000"/>
          <x14:colorMarkers rgb="FFD00000"/>
          <x14:colorFirst rgb="FFD00000"/>
          <x14:colorLast rgb="FFD00000"/>
          <x14:colorHigh rgb="FFD00000"/>
          <x14:colorLow rgb="FFD00000"/>
          <x14:sparklines>
            <x14:sparkline>
              <xm:f>'DCF Model'!E85:T85</xm:f>
              <xm:sqref>U85</xm:sqref>
            </x14:sparkline>
          </x14:sparklines>
        </x14:sparklineGroup>
        <x14:sparklineGroup displayEmptyCellsAs="gap" xr2:uid="{6A1B6FD4-51F6-41BE-B075-E97E3EFD92A3}">
          <x14:colorSeries rgb="FF376092"/>
          <x14:colorNegative rgb="FFD00000"/>
          <x14:colorAxis rgb="FF000000"/>
          <x14:colorMarkers rgb="FFD00000"/>
          <x14:colorFirst rgb="FFD00000"/>
          <x14:colorLast rgb="FFD00000"/>
          <x14:colorHigh rgb="FFD00000"/>
          <x14:colorLow rgb="FFD00000"/>
          <x14:sparklines>
            <x14:sparkline>
              <xm:f>'DCF Model'!E86:T86</xm:f>
              <xm:sqref>U86</xm:sqref>
            </x14:sparkline>
            <x14:sparkline>
              <xm:f>'DCF Model'!E87:T87</xm:f>
              <xm:sqref>U87</xm:sqref>
            </x14:sparkline>
            <x14:sparkline>
              <xm:f>'DCF Model'!E88:T88</xm:f>
              <xm:sqref>U88</xm:sqref>
            </x14:sparkline>
            <x14:sparkline>
              <xm:f>'DCF Model'!E89:T89</xm:f>
              <xm:sqref>U89</xm:sqref>
            </x14:sparkline>
            <x14:sparkline>
              <xm:f>'DCF Model'!E90:T90</xm:f>
              <xm:sqref>U90</xm:sqref>
            </x14:sparkline>
            <x14:sparkline>
              <xm:f>'DCF Model'!E91:T91</xm:f>
              <xm:sqref>U91</xm:sqref>
            </x14:sparkline>
            <x14:sparkline>
              <xm:f>'DCF Model'!E92:T92</xm:f>
              <xm:sqref>U92</xm:sqref>
            </x14:sparkline>
            <x14:sparkline>
              <xm:f>'DCF Model'!E93:T93</xm:f>
              <xm:sqref>U93</xm:sqref>
            </x14:sparkline>
            <x14:sparkline>
              <xm:f>'DCF Model'!E94:T94</xm:f>
              <xm:sqref>U94</xm:sqref>
            </x14:sparkline>
            <x14:sparkline>
              <xm:f>'DCF Model'!E95:T95</xm:f>
              <xm:sqref>U95</xm:sqref>
            </x14:sparkline>
            <x14:sparkline>
              <xm:f>'DCF Model'!E96:T96</xm:f>
              <xm:sqref>U96</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B798-1DD7-4390-9B80-30228016E3B7}">
  <dimension ref="B1:M162"/>
  <sheetViews>
    <sheetView showGridLines="0" tabSelected="1" workbookViewId="0">
      <selection activeCell="E147" sqref="E147:H147"/>
    </sheetView>
  </sheetViews>
  <sheetFormatPr baseColWidth="10" defaultColWidth="8.6640625" defaultRowHeight="15"/>
  <cols>
    <col min="1" max="1" width="8.6640625" style="58"/>
    <col min="2" max="2" width="28" style="58" bestFit="1" customWidth="1"/>
    <col min="3" max="3" width="45" style="58" bestFit="1" customWidth="1"/>
    <col min="4" max="4" width="9.33203125" style="58" bestFit="1" customWidth="1"/>
    <col min="5" max="5" width="10.83203125" style="58" customWidth="1"/>
    <col min="6" max="6" width="10.1640625" style="58" customWidth="1"/>
    <col min="7" max="8" width="10.1640625" style="58" bestFit="1" customWidth="1"/>
    <col min="9" max="12" width="8.6640625" style="58"/>
    <col min="13" max="13" width="34.33203125" style="58" bestFit="1" customWidth="1"/>
    <col min="14" max="16384" width="8.6640625" style="58"/>
  </cols>
  <sheetData>
    <row r="1" spans="2:13" s="75" customFormat="1" ht="19">
      <c r="C1" s="76" t="s">
        <v>268</v>
      </c>
    </row>
    <row r="2" spans="2:13" s="75" customFormat="1">
      <c r="C2" s="77" t="s">
        <v>264</v>
      </c>
    </row>
    <row r="3" spans="2:13" s="75" customFormat="1">
      <c r="C3" s="77" t="s">
        <v>564</v>
      </c>
    </row>
    <row r="4" spans="2:13" s="75" customFormat="1"/>
    <row r="7" spans="2:13" ht="24">
      <c r="B7" s="316"/>
      <c r="E7" s="1">
        <v>2015</v>
      </c>
      <c r="F7" s="1">
        <v>2016</v>
      </c>
      <c r="G7" s="1">
        <v>2017</v>
      </c>
      <c r="H7" s="1">
        <v>2018</v>
      </c>
      <c r="I7" s="3">
        <v>2019</v>
      </c>
      <c r="M7" s="115" t="s">
        <v>276</v>
      </c>
    </row>
    <row r="8" spans="2:13">
      <c r="B8" s="58" t="s">
        <v>0</v>
      </c>
      <c r="C8" s="325" t="s">
        <v>1</v>
      </c>
      <c r="D8" s="325"/>
      <c r="E8" s="1">
        <v>-4</v>
      </c>
      <c r="F8" s="1">
        <f>E8+1</f>
        <v>-3</v>
      </c>
      <c r="G8" s="1">
        <f t="shared" ref="G8:I8" si="0">F8+1</f>
        <v>-2</v>
      </c>
      <c r="H8" s="1">
        <f t="shared" si="0"/>
        <v>-1</v>
      </c>
      <c r="I8" s="3">
        <f t="shared" si="0"/>
        <v>0</v>
      </c>
      <c r="M8" s="112" t="s">
        <v>2</v>
      </c>
    </row>
    <row r="9" spans="2:13">
      <c r="B9" s="58" t="s">
        <v>2</v>
      </c>
      <c r="C9" s="58" t="s">
        <v>3</v>
      </c>
      <c r="E9" s="329">
        <f>E34</f>
        <v>32464</v>
      </c>
      <c r="F9" s="329">
        <f t="shared" ref="F9:H9" si="1">F34</f>
        <v>34254</v>
      </c>
      <c r="G9" s="329">
        <f t="shared" si="1"/>
        <v>36363</v>
      </c>
      <c r="H9" s="329">
        <f t="shared" si="1"/>
        <v>39122</v>
      </c>
      <c r="M9" s="113" t="s">
        <v>14</v>
      </c>
    </row>
    <row r="10" spans="2:13">
      <c r="B10" s="58" t="s">
        <v>2</v>
      </c>
      <c r="C10" s="58" t="s">
        <v>4</v>
      </c>
      <c r="E10" s="329">
        <f>E35</f>
        <v>17991</v>
      </c>
      <c r="F10" s="329">
        <f t="shared" ref="F10:H10" si="2">F35</f>
        <v>19377</v>
      </c>
      <c r="G10" s="329">
        <f t="shared" si="2"/>
        <v>20351</v>
      </c>
      <c r="H10" s="329">
        <f t="shared" si="2"/>
        <v>21696</v>
      </c>
      <c r="M10" s="113" t="s">
        <v>267</v>
      </c>
    </row>
    <row r="11" spans="2:13">
      <c r="B11" s="58" t="s">
        <v>2</v>
      </c>
      <c r="C11" s="325" t="s">
        <v>5</v>
      </c>
      <c r="D11" s="325"/>
      <c r="E11" s="330">
        <f>E37</f>
        <v>10469</v>
      </c>
      <c r="F11" s="330">
        <f t="shared" ref="F11:H11" si="3">F37</f>
        <v>10563</v>
      </c>
      <c r="G11" s="330">
        <f t="shared" si="3"/>
        <v>11512</v>
      </c>
      <c r="H11" s="330">
        <f t="shared" si="3"/>
        <v>12702</v>
      </c>
      <c r="M11" s="114" t="s">
        <v>101</v>
      </c>
    </row>
    <row r="12" spans="2:13">
      <c r="C12" s="58" t="s">
        <v>6</v>
      </c>
      <c r="E12" s="329"/>
      <c r="F12" s="329"/>
      <c r="G12" s="329"/>
      <c r="H12" s="329"/>
    </row>
    <row r="13" spans="2:13">
      <c r="B13" s="58" t="s">
        <v>7</v>
      </c>
      <c r="C13" s="325" t="s">
        <v>8</v>
      </c>
      <c r="D13" s="325"/>
      <c r="E13" s="330">
        <f>E136</f>
        <v>649</v>
      </c>
      <c r="F13" s="330">
        <f t="shared" ref="F13:H13" si="4">F136</f>
        <v>706</v>
      </c>
      <c r="G13" s="330">
        <f t="shared" si="4"/>
        <v>747</v>
      </c>
      <c r="H13" s="330">
        <f t="shared" si="4"/>
        <v>705</v>
      </c>
    </row>
    <row r="14" spans="2:13">
      <c r="C14" s="58" t="s">
        <v>9</v>
      </c>
      <c r="E14" s="329"/>
      <c r="F14" s="329"/>
      <c r="G14" s="329"/>
      <c r="H14" s="329"/>
    </row>
    <row r="15" spans="2:13">
      <c r="B15" s="58" t="s">
        <v>2</v>
      </c>
      <c r="C15" s="325" t="s">
        <v>10</v>
      </c>
      <c r="D15" s="325"/>
      <c r="E15" s="330">
        <f>E42</f>
        <v>863</v>
      </c>
      <c r="F15" s="330">
        <f t="shared" ref="F15:H15" si="5">F42</f>
        <v>646</v>
      </c>
      <c r="G15" s="330">
        <f t="shared" si="5"/>
        <v>2392</v>
      </c>
      <c r="H15" s="330">
        <f t="shared" si="5"/>
        <v>772</v>
      </c>
    </row>
    <row r="16" spans="2:13">
      <c r="C16" s="58" t="s">
        <v>11</v>
      </c>
      <c r="E16" s="329"/>
      <c r="F16" s="329"/>
      <c r="G16" s="329"/>
      <c r="H16" s="329"/>
    </row>
    <row r="17" spans="2:8">
      <c r="B17" s="58" t="s">
        <v>7</v>
      </c>
      <c r="C17" s="324" t="s">
        <v>8</v>
      </c>
      <c r="D17" s="324"/>
      <c r="E17" s="332">
        <f>E136</f>
        <v>649</v>
      </c>
      <c r="F17" s="332">
        <f t="shared" ref="F17:H17" si="6">F136</f>
        <v>706</v>
      </c>
      <c r="G17" s="332">
        <f t="shared" si="6"/>
        <v>747</v>
      </c>
      <c r="H17" s="332">
        <f t="shared" si="6"/>
        <v>705</v>
      </c>
    </row>
    <row r="18" spans="2:8">
      <c r="B18" s="58" t="s">
        <v>7</v>
      </c>
      <c r="C18" s="58" t="s">
        <v>12</v>
      </c>
      <c r="E18" s="329">
        <f>E143</f>
        <v>1143</v>
      </c>
      <c r="F18" s="329">
        <f t="shared" ref="F18:H18" si="7">F143</f>
        <v>1105</v>
      </c>
      <c r="G18" s="329">
        <f t="shared" si="7"/>
        <v>1028</v>
      </c>
      <c r="H18" s="329">
        <f t="shared" si="7"/>
        <v>1119</v>
      </c>
    </row>
    <row r="19" spans="2:8">
      <c r="B19" s="58" t="s">
        <v>7</v>
      </c>
      <c r="C19" s="58" t="s">
        <v>13</v>
      </c>
      <c r="E19" s="329">
        <f>E147</f>
        <v>109</v>
      </c>
      <c r="F19" s="329">
        <f t="shared" ref="F19:H19" si="8">F147</f>
        <v>97</v>
      </c>
      <c r="G19" s="329">
        <f t="shared" si="8"/>
        <v>1304</v>
      </c>
      <c r="H19" s="329">
        <f t="shared" si="8"/>
        <v>855</v>
      </c>
    </row>
    <row r="20" spans="2:8">
      <c r="B20" s="58" t="s">
        <v>14</v>
      </c>
      <c r="C20" s="325" t="s">
        <v>15</v>
      </c>
      <c r="D20" s="325"/>
      <c r="E20" s="330"/>
      <c r="F20" s="330">
        <f>E118</f>
        <v>25</v>
      </c>
      <c r="G20" s="330">
        <f>F118</f>
        <v>920</v>
      </c>
      <c r="H20" s="330">
        <f>G118</f>
        <v>-1493</v>
      </c>
    </row>
    <row r="21" spans="2:8">
      <c r="C21" s="325" t="s">
        <v>16</v>
      </c>
      <c r="D21" s="325"/>
      <c r="E21" s="330"/>
      <c r="F21" s="330"/>
      <c r="G21" s="330"/>
      <c r="H21" s="330"/>
    </row>
    <row r="26" spans="2:8" s="2" customFormat="1"/>
    <row r="28" spans="2:8" ht="19">
      <c r="C28" s="431" t="s">
        <v>2</v>
      </c>
    </row>
    <row r="30" spans="2:8">
      <c r="B30" s="58" t="s">
        <v>17</v>
      </c>
      <c r="C30" s="58" t="s">
        <v>18</v>
      </c>
    </row>
    <row r="31" spans="2:8">
      <c r="C31" s="58" t="s">
        <v>19</v>
      </c>
    </row>
    <row r="32" spans="2:8">
      <c r="E32" s="4">
        <f t="shared" ref="E32:H33" si="9">E7</f>
        <v>2015</v>
      </c>
      <c r="F32" s="7">
        <f t="shared" si="9"/>
        <v>2016</v>
      </c>
      <c r="G32" s="7">
        <f t="shared" si="9"/>
        <v>2017</v>
      </c>
      <c r="H32" s="7">
        <f t="shared" si="9"/>
        <v>2018</v>
      </c>
    </row>
    <row r="33" spans="3:8">
      <c r="C33" s="58" t="s">
        <v>1</v>
      </c>
      <c r="D33" s="318" t="s">
        <v>20</v>
      </c>
      <c r="E33" s="7">
        <f t="shared" si="9"/>
        <v>-4</v>
      </c>
      <c r="F33" s="7">
        <f t="shared" si="9"/>
        <v>-3</v>
      </c>
      <c r="G33" s="7">
        <f t="shared" si="9"/>
        <v>-2</v>
      </c>
      <c r="H33" s="7">
        <f t="shared" si="9"/>
        <v>-1</v>
      </c>
    </row>
    <row r="34" spans="3:8">
      <c r="C34" s="429" t="s">
        <v>3</v>
      </c>
      <c r="D34" s="428" t="s">
        <v>21</v>
      </c>
      <c r="E34" s="183">
        <v>32464</v>
      </c>
      <c r="F34" s="183">
        <v>34254</v>
      </c>
      <c r="G34" s="183">
        <v>36363</v>
      </c>
      <c r="H34" s="183">
        <v>39122</v>
      </c>
    </row>
    <row r="35" spans="3:8">
      <c r="C35" s="429" t="s">
        <v>4</v>
      </c>
      <c r="D35" s="428" t="s">
        <v>21</v>
      </c>
      <c r="E35" s="183">
        <v>17991</v>
      </c>
      <c r="F35" s="183">
        <v>19377</v>
      </c>
      <c r="G35" s="183">
        <v>20351</v>
      </c>
      <c r="H35" s="183">
        <v>21696</v>
      </c>
    </row>
    <row r="36" spans="3:8">
      <c r="C36" s="58" t="s">
        <v>22</v>
      </c>
      <c r="D36" s="428" t="s">
        <v>21</v>
      </c>
      <c r="E36" s="430">
        <v>14473</v>
      </c>
      <c r="F36" s="430">
        <v>14877</v>
      </c>
      <c r="G36" s="430">
        <v>16012</v>
      </c>
      <c r="H36" s="430">
        <v>17426</v>
      </c>
    </row>
    <row r="37" spans="3:8">
      <c r="C37" s="429" t="s">
        <v>23</v>
      </c>
      <c r="D37" s="428" t="s">
        <v>21</v>
      </c>
      <c r="E37" s="183">
        <v>10469</v>
      </c>
      <c r="F37" s="183">
        <v>10563</v>
      </c>
      <c r="G37" s="183">
        <v>11512</v>
      </c>
      <c r="H37" s="183">
        <v>12702</v>
      </c>
    </row>
    <row r="38" spans="3:8">
      <c r="C38" s="58" t="s">
        <v>24</v>
      </c>
      <c r="D38" s="428" t="s">
        <v>21</v>
      </c>
      <c r="E38" s="430">
        <v>4004</v>
      </c>
      <c r="F38" s="430">
        <v>4314</v>
      </c>
      <c r="G38" s="430">
        <v>4500</v>
      </c>
      <c r="H38" s="430">
        <v>4724</v>
      </c>
    </row>
    <row r="39" spans="3:8">
      <c r="C39" s="58" t="s">
        <v>25</v>
      </c>
      <c r="D39" s="428" t="s">
        <v>21</v>
      </c>
      <c r="E39" s="430">
        <v>720</v>
      </c>
      <c r="F39" s="430">
        <v>700</v>
      </c>
      <c r="G39" s="430">
        <v>3</v>
      </c>
      <c r="H39" s="430">
        <v>28</v>
      </c>
    </row>
    <row r="40" spans="3:8">
      <c r="C40" s="58" t="s">
        <v>26</v>
      </c>
      <c r="D40" s="428" t="s">
        <v>21</v>
      </c>
      <c r="E40" s="430">
        <v>33</v>
      </c>
      <c r="F40" s="430">
        <v>82</v>
      </c>
      <c r="G40" s="430">
        <v>117</v>
      </c>
      <c r="H40" s="430">
        <v>124</v>
      </c>
    </row>
    <row r="41" spans="3:8">
      <c r="C41" s="58" t="s">
        <v>27</v>
      </c>
      <c r="D41" s="428" t="s">
        <v>21</v>
      </c>
      <c r="E41" s="430">
        <v>68</v>
      </c>
      <c r="F41" s="430">
        <v>46</v>
      </c>
      <c r="G41" s="430">
        <v>61</v>
      </c>
      <c r="H41" s="430">
        <v>-173</v>
      </c>
    </row>
    <row r="42" spans="3:8">
      <c r="C42" s="429" t="s">
        <v>28</v>
      </c>
      <c r="D42" s="428" t="s">
        <v>21</v>
      </c>
      <c r="E42" s="183">
        <v>863</v>
      </c>
      <c r="F42" s="183">
        <v>646</v>
      </c>
      <c r="G42" s="183">
        <v>2392</v>
      </c>
      <c r="H42" s="183">
        <v>772</v>
      </c>
    </row>
    <row r="43" spans="3:8">
      <c r="C43" s="58" t="s">
        <v>29</v>
      </c>
      <c r="D43" s="428" t="s">
        <v>21</v>
      </c>
      <c r="E43" s="430">
        <v>3760</v>
      </c>
      <c r="F43" s="430">
        <v>4240</v>
      </c>
      <c r="G43" s="430">
        <v>1933</v>
      </c>
      <c r="H43" s="430">
        <v>4029</v>
      </c>
    </row>
    <row r="44" spans="3:8">
      <c r="C44" s="58" t="s">
        <v>30</v>
      </c>
      <c r="D44" s="428" t="s">
        <v>21</v>
      </c>
      <c r="E44" s="430">
        <v>3760</v>
      </c>
      <c r="F44" s="430">
        <v>4240</v>
      </c>
      <c r="G44" s="430">
        <v>1933</v>
      </c>
      <c r="H44" s="430">
        <v>4029</v>
      </c>
    </row>
    <row r="45" spans="3:8">
      <c r="C45" s="58" t="s">
        <v>31</v>
      </c>
      <c r="D45" s="428" t="s">
        <v>21</v>
      </c>
      <c r="E45" s="430">
        <v>0</v>
      </c>
      <c r="F45" s="430">
        <v>0</v>
      </c>
      <c r="G45" s="430">
        <v>0</v>
      </c>
      <c r="H45" s="430">
        <v>0</v>
      </c>
    </row>
    <row r="46" spans="3:8">
      <c r="C46" s="58" t="s">
        <v>32</v>
      </c>
      <c r="D46" s="428" t="s">
        <v>21</v>
      </c>
      <c r="E46" s="430">
        <v>3760</v>
      </c>
      <c r="F46" s="430">
        <v>4240</v>
      </c>
      <c r="G46" s="430">
        <v>1933</v>
      </c>
      <c r="H46" s="430">
        <v>4029</v>
      </c>
    </row>
    <row r="47" spans="3:8">
      <c r="C47" s="58" t="s">
        <v>33</v>
      </c>
      <c r="D47" s="318"/>
      <c r="E47" s="402"/>
      <c r="F47" s="402"/>
      <c r="G47" s="402"/>
      <c r="H47" s="402"/>
    </row>
    <row r="48" spans="3:8">
      <c r="C48" s="58" t="s">
        <v>34</v>
      </c>
      <c r="D48" s="428" t="s">
        <v>35</v>
      </c>
      <c r="E48" s="402">
        <v>2.185136</v>
      </c>
      <c r="F48" s="402">
        <v>2.5249410000000001</v>
      </c>
      <c r="G48" s="402">
        <v>1.1908259999999999</v>
      </c>
      <c r="H48" s="402">
        <v>2.414669</v>
      </c>
    </row>
    <row r="49" spans="3:9">
      <c r="C49" s="58" t="s">
        <v>36</v>
      </c>
      <c r="D49" s="428" t="s">
        <v>35</v>
      </c>
      <c r="E49" s="402">
        <v>2.16</v>
      </c>
      <c r="F49" s="402">
        <v>2.5099999999999998</v>
      </c>
      <c r="G49" s="402">
        <v>1.17</v>
      </c>
      <c r="H49" s="402">
        <v>2.4895</v>
      </c>
    </row>
    <row r="50" spans="3:9">
      <c r="C50" s="58" t="s">
        <v>37</v>
      </c>
      <c r="D50" s="318"/>
      <c r="E50" s="402">
        <v>80.754000000000005</v>
      </c>
      <c r="F50" s="402">
        <v>80.837999999999994</v>
      </c>
      <c r="G50" s="402">
        <v>74.114999999999995</v>
      </c>
      <c r="H50" s="402">
        <v>81.909000000000006</v>
      </c>
    </row>
    <row r="51" spans="3:9">
      <c r="C51" s="58" t="s">
        <v>38</v>
      </c>
      <c r="D51" s="428" t="s">
        <v>35</v>
      </c>
      <c r="E51" s="402">
        <v>0.62</v>
      </c>
      <c r="F51" s="402">
        <v>0.7</v>
      </c>
      <c r="G51" s="402">
        <v>0.78</v>
      </c>
      <c r="H51" s="402">
        <v>0.86</v>
      </c>
    </row>
    <row r="52" spans="3:9">
      <c r="D52" s="318"/>
      <c r="E52" s="402"/>
      <c r="F52" s="402"/>
      <c r="G52" s="402"/>
      <c r="H52" s="402"/>
    </row>
    <row r="53" spans="3:9">
      <c r="C53" s="58" t="s">
        <v>6</v>
      </c>
      <c r="D53" s="428" t="s">
        <v>21</v>
      </c>
      <c r="E53" s="430">
        <v>4653</v>
      </c>
      <c r="F53" s="430">
        <v>5020</v>
      </c>
      <c r="G53" s="430">
        <v>5247</v>
      </c>
      <c r="H53" s="430">
        <v>5429</v>
      </c>
    </row>
    <row r="56" spans="3:9" ht="19">
      <c r="C56" s="431" t="s">
        <v>14</v>
      </c>
    </row>
    <row r="58" spans="3:9">
      <c r="C58" s="58" t="s">
        <v>39</v>
      </c>
    </row>
    <row r="59" spans="3:9">
      <c r="C59" s="58" t="s">
        <v>40</v>
      </c>
    </row>
    <row r="60" spans="3:9">
      <c r="E60" s="5">
        <f t="shared" ref="E60:H61" si="10">E7</f>
        <v>2015</v>
      </c>
      <c r="F60" s="7">
        <f t="shared" si="10"/>
        <v>2016</v>
      </c>
      <c r="G60" s="7">
        <f t="shared" si="10"/>
        <v>2017</v>
      </c>
      <c r="H60" s="7">
        <f t="shared" si="10"/>
        <v>2018</v>
      </c>
    </row>
    <row r="61" spans="3:9">
      <c r="E61" s="7">
        <f t="shared" si="10"/>
        <v>-4</v>
      </c>
      <c r="F61" s="7">
        <f t="shared" si="10"/>
        <v>-3</v>
      </c>
      <c r="G61" s="7">
        <f t="shared" si="10"/>
        <v>-2</v>
      </c>
      <c r="H61" s="7">
        <f t="shared" si="10"/>
        <v>-1</v>
      </c>
    </row>
    <row r="62" spans="3:9">
      <c r="C62" s="58" t="s">
        <v>41</v>
      </c>
      <c r="D62" s="318" t="s">
        <v>20</v>
      </c>
    </row>
    <row r="63" spans="3:9">
      <c r="C63" s="58" t="s">
        <v>42</v>
      </c>
      <c r="D63" s="428" t="s">
        <v>21</v>
      </c>
      <c r="E63" s="58">
        <v>3138</v>
      </c>
      <c r="F63" s="58">
        <v>3808</v>
      </c>
      <c r="G63" s="58">
        <v>4249</v>
      </c>
      <c r="H63" s="58">
        <v>4466</v>
      </c>
      <c r="I63" s="58" t="s">
        <v>176</v>
      </c>
    </row>
    <row r="64" spans="3:9">
      <c r="C64" s="429" t="s">
        <v>43</v>
      </c>
      <c r="D64" s="428" t="s">
        <v>21</v>
      </c>
      <c r="E64" s="429">
        <v>5457</v>
      </c>
      <c r="F64" s="429">
        <v>6179</v>
      </c>
      <c r="G64" s="429">
        <v>5245</v>
      </c>
      <c r="H64" s="58">
        <v>4663</v>
      </c>
    </row>
    <row r="65" spans="3:8">
      <c r="C65" s="429" t="s">
        <v>44</v>
      </c>
      <c r="D65" s="428" t="s">
        <v>21</v>
      </c>
      <c r="E65" s="429">
        <v>3391</v>
      </c>
      <c r="F65" s="429">
        <v>3677</v>
      </c>
      <c r="G65" s="429">
        <v>3498</v>
      </c>
      <c r="H65" s="58">
        <v>4272</v>
      </c>
    </row>
    <row r="66" spans="3:8">
      <c r="C66" s="429" t="s">
        <v>45</v>
      </c>
      <c r="D66" s="428" t="s">
        <v>21</v>
      </c>
      <c r="E66" s="429">
        <v>4838</v>
      </c>
      <c r="F66" s="429">
        <v>5055</v>
      </c>
      <c r="G66" s="429">
        <v>5261</v>
      </c>
      <c r="H66" s="58">
        <v>5622</v>
      </c>
    </row>
    <row r="67" spans="3:8">
      <c r="C67" s="429" t="s">
        <v>46</v>
      </c>
      <c r="D67" s="428" t="s">
        <v>21</v>
      </c>
      <c r="E67" s="429">
        <v>1339</v>
      </c>
      <c r="F67" s="429">
        <v>1150</v>
      </c>
      <c r="G67" s="429">
        <v>1130</v>
      </c>
      <c r="H67" s="58">
        <v>1968</v>
      </c>
    </row>
    <row r="68" spans="3:8">
      <c r="C68" s="58" t="s">
        <v>47</v>
      </c>
      <c r="D68" s="428" t="s">
        <v>21</v>
      </c>
      <c r="E68" s="58">
        <v>15025</v>
      </c>
      <c r="F68" s="58">
        <v>16061</v>
      </c>
      <c r="G68" s="58">
        <v>15134</v>
      </c>
      <c r="H68" s="58">
        <v>16525</v>
      </c>
    </row>
    <row r="69" spans="3:8">
      <c r="C69" s="58" t="s">
        <v>48</v>
      </c>
      <c r="D69" s="428" t="s">
        <v>21</v>
      </c>
      <c r="E69" s="58">
        <v>3520</v>
      </c>
      <c r="F69" s="58">
        <v>3989</v>
      </c>
      <c r="G69" s="58">
        <v>4454</v>
      </c>
      <c r="H69" s="58">
        <v>4744</v>
      </c>
    </row>
    <row r="70" spans="3:8">
      <c r="C70" s="58" t="s">
        <v>49</v>
      </c>
      <c r="D70" s="428" t="s">
        <v>21</v>
      </c>
      <c r="E70" s="58">
        <v>10</v>
      </c>
      <c r="F70" s="58">
        <v>10</v>
      </c>
      <c r="G70" s="58">
        <v>11</v>
      </c>
      <c r="H70" s="58">
        <v>11</v>
      </c>
    </row>
    <row r="71" spans="3:8">
      <c r="C71" s="58" t="s">
        <v>50</v>
      </c>
      <c r="D71" s="428" t="s">
        <v>21</v>
      </c>
      <c r="E71" s="58">
        <v>412</v>
      </c>
      <c r="F71" s="58">
        <v>422</v>
      </c>
      <c r="G71" s="58">
        <v>439</v>
      </c>
      <c r="H71" s="58">
        <v>437</v>
      </c>
    </row>
    <row r="72" spans="3:8">
      <c r="C72" s="58" t="s">
        <v>51</v>
      </c>
      <c r="D72" s="428" t="s">
        <v>21</v>
      </c>
      <c r="E72" s="58">
        <v>1076</v>
      </c>
      <c r="F72" s="58" t="s">
        <v>52</v>
      </c>
      <c r="G72" s="58" t="s">
        <v>52</v>
      </c>
      <c r="H72" s="58" t="s">
        <v>52</v>
      </c>
    </row>
    <row r="73" spans="3:8">
      <c r="C73" s="58" t="s">
        <v>53</v>
      </c>
      <c r="D73" s="428" t="s">
        <v>21</v>
      </c>
      <c r="E73" s="58">
        <v>1717</v>
      </c>
      <c r="F73" s="58">
        <v>2777</v>
      </c>
      <c r="G73" s="58">
        <v>2498</v>
      </c>
      <c r="H73" s="58">
        <v>2000</v>
      </c>
    </row>
    <row r="74" spans="3:8">
      <c r="C74" s="58" t="s">
        <v>54</v>
      </c>
      <c r="D74" s="428" t="s">
        <v>21</v>
      </c>
      <c r="E74" s="58">
        <v>21760</v>
      </c>
      <c r="F74" s="58">
        <v>23259</v>
      </c>
      <c r="G74" s="58">
        <v>22536</v>
      </c>
      <c r="H74" s="58">
        <v>23717</v>
      </c>
    </row>
    <row r="75" spans="3:8">
      <c r="C75" s="58" t="s">
        <v>55</v>
      </c>
      <c r="D75" s="428"/>
    </row>
    <row r="76" spans="3:8">
      <c r="C76" s="429" t="s">
        <v>56</v>
      </c>
      <c r="D76" s="428" t="s">
        <v>21</v>
      </c>
      <c r="E76" s="429">
        <v>45</v>
      </c>
      <c r="F76" s="429">
        <v>331</v>
      </c>
      <c r="G76" s="429">
        <v>342</v>
      </c>
      <c r="H76" s="58">
        <v>15</v>
      </c>
    </row>
    <row r="77" spans="3:8">
      <c r="C77" s="429" t="s">
        <v>57</v>
      </c>
      <c r="D77" s="428" t="s">
        <v>21</v>
      </c>
      <c r="E77" s="429">
        <v>2191</v>
      </c>
      <c r="F77" s="429">
        <v>2048</v>
      </c>
      <c r="G77" s="429">
        <v>2279</v>
      </c>
      <c r="H77" s="58">
        <v>2612</v>
      </c>
    </row>
    <row r="78" spans="3:8">
      <c r="C78" s="429" t="s">
        <v>58</v>
      </c>
      <c r="D78" s="428" t="s">
        <v>21</v>
      </c>
      <c r="E78" s="429">
        <v>85</v>
      </c>
      <c r="F78" s="429">
        <v>84</v>
      </c>
      <c r="G78" s="429">
        <v>150</v>
      </c>
      <c r="H78" s="58">
        <v>229</v>
      </c>
    </row>
    <row r="79" spans="3:8">
      <c r="C79" s="429" t="s">
        <v>59</v>
      </c>
      <c r="D79" s="428" t="s">
        <v>21</v>
      </c>
      <c r="E79" s="429">
        <v>3037</v>
      </c>
      <c r="F79" s="429">
        <v>3011</v>
      </c>
      <c r="G79" s="429">
        <v>3269</v>
      </c>
      <c r="H79" s="58">
        <v>5010</v>
      </c>
    </row>
    <row r="80" spans="3:8">
      <c r="C80" s="58" t="s">
        <v>60</v>
      </c>
      <c r="E80" s="58">
        <v>5358</v>
      </c>
      <c r="F80" s="58">
        <v>5474</v>
      </c>
      <c r="G80" s="58">
        <v>6040</v>
      </c>
      <c r="H80" s="58">
        <v>7866</v>
      </c>
    </row>
    <row r="82" spans="3:8">
      <c r="C82" s="58" t="s">
        <v>61</v>
      </c>
      <c r="D82" s="428" t="s">
        <v>21</v>
      </c>
      <c r="E82" s="58">
        <v>2010</v>
      </c>
      <c r="F82" s="58">
        <v>3471</v>
      </c>
      <c r="G82" s="58">
        <v>3468</v>
      </c>
      <c r="H82" s="58">
        <v>3464</v>
      </c>
    </row>
    <row r="83" spans="3:8">
      <c r="C83" s="58" t="s">
        <v>62</v>
      </c>
      <c r="D83" s="428" t="s">
        <v>21</v>
      </c>
      <c r="E83" s="58">
        <v>93</v>
      </c>
      <c r="F83" s="58">
        <v>107</v>
      </c>
      <c r="G83" s="58">
        <v>70</v>
      </c>
      <c r="H83" s="58">
        <v>73</v>
      </c>
    </row>
    <row r="84" spans="3:8">
      <c r="C84" s="58" t="s">
        <v>63</v>
      </c>
      <c r="D84" s="428" t="s">
        <v>21</v>
      </c>
      <c r="E84" s="58">
        <v>364</v>
      </c>
      <c r="F84" s="58" t="s">
        <v>52</v>
      </c>
      <c r="G84" s="58" t="s">
        <v>52</v>
      </c>
      <c r="H84" s="58" t="s">
        <v>52</v>
      </c>
    </row>
    <row r="85" spans="3:8">
      <c r="C85" s="58" t="s">
        <v>64</v>
      </c>
      <c r="D85" s="428" t="s">
        <v>21</v>
      </c>
      <c r="E85" s="58">
        <v>1677</v>
      </c>
      <c r="F85" s="58">
        <v>1800</v>
      </c>
      <c r="G85" s="58">
        <v>3146</v>
      </c>
      <c r="H85" s="58">
        <v>3274</v>
      </c>
    </row>
    <row r="86" spans="3:8">
      <c r="C86" s="58" t="s">
        <v>65</v>
      </c>
      <c r="D86" s="428" t="s">
        <v>21</v>
      </c>
      <c r="E86" s="58">
        <v>9502</v>
      </c>
      <c r="F86" s="58">
        <v>10852</v>
      </c>
      <c r="G86" s="58">
        <v>12724</v>
      </c>
      <c r="H86" s="58">
        <v>14677</v>
      </c>
    </row>
    <row r="88" spans="3:8">
      <c r="C88" s="58" t="s">
        <v>66</v>
      </c>
      <c r="E88" s="58">
        <v>0</v>
      </c>
      <c r="F88" s="58">
        <v>0</v>
      </c>
      <c r="G88" s="58">
        <v>0</v>
      </c>
      <c r="H88" s="58">
        <v>0</v>
      </c>
    </row>
    <row r="89" spans="3:8">
      <c r="C89" s="58" t="s">
        <v>67</v>
      </c>
      <c r="D89" s="428" t="s">
        <v>21</v>
      </c>
      <c r="E89" s="58">
        <v>12258</v>
      </c>
      <c r="F89" s="58">
        <v>12407</v>
      </c>
      <c r="G89" s="58">
        <v>9812</v>
      </c>
      <c r="H89" s="58">
        <v>9040</v>
      </c>
    </row>
    <row r="90" spans="3:8">
      <c r="C90" s="58" t="s">
        <v>68</v>
      </c>
      <c r="D90" s="428" t="s">
        <v>21</v>
      </c>
      <c r="E90" s="58">
        <v>12258</v>
      </c>
      <c r="F90" s="58">
        <v>12407</v>
      </c>
      <c r="G90" s="58">
        <v>9812</v>
      </c>
      <c r="H90" s="58">
        <v>9040</v>
      </c>
    </row>
    <row r="91" spans="3:8">
      <c r="C91" s="58" t="s">
        <v>69</v>
      </c>
      <c r="D91" s="428" t="s">
        <v>21</v>
      </c>
      <c r="E91" s="58">
        <v>12258</v>
      </c>
      <c r="F91" s="58">
        <v>12407</v>
      </c>
      <c r="G91" s="58">
        <v>9812</v>
      </c>
      <c r="H91" s="58">
        <v>9040</v>
      </c>
    </row>
    <row r="92" spans="3:8">
      <c r="C92" s="58" t="s">
        <v>70</v>
      </c>
      <c r="D92" s="428" t="s">
        <v>21</v>
      </c>
      <c r="E92" s="58">
        <v>21760</v>
      </c>
      <c r="F92" s="58">
        <v>23259</v>
      </c>
      <c r="G92" s="58">
        <v>22536</v>
      </c>
      <c r="H92" s="58">
        <v>23717</v>
      </c>
    </row>
    <row r="93" spans="3:8">
      <c r="C93" s="58" t="s">
        <v>33</v>
      </c>
      <c r="D93" s="428"/>
    </row>
    <row r="94" spans="3:8">
      <c r="C94" s="58" t="s">
        <v>71</v>
      </c>
      <c r="D94" s="428" t="s">
        <v>35</v>
      </c>
      <c r="E94" s="58">
        <v>7.28775</v>
      </c>
      <c r="F94" s="58">
        <v>7.5514299999999999</v>
      </c>
      <c r="G94" s="58">
        <v>6.1286699999999996</v>
      </c>
      <c r="H94" s="58">
        <v>5.7653100000000004</v>
      </c>
    </row>
    <row r="95" spans="3:8">
      <c r="C95" s="58" t="s">
        <v>72</v>
      </c>
      <c r="D95" s="428" t="s">
        <v>35</v>
      </c>
      <c r="E95" s="58">
        <v>7.0428059999999997</v>
      </c>
      <c r="F95" s="58">
        <v>7.2945830000000003</v>
      </c>
      <c r="G95" s="58">
        <v>5.8544660000000004</v>
      </c>
      <c r="H95" s="58">
        <v>5.4866070000000002</v>
      </c>
    </row>
    <row r="96" spans="3:8">
      <c r="D96" s="428"/>
    </row>
    <row r="98" spans="2:8" ht="16">
      <c r="C98" s="432" t="s">
        <v>78</v>
      </c>
    </row>
    <row r="100" spans="2:8">
      <c r="D100" s="7">
        <v>2014</v>
      </c>
      <c r="E100" s="7">
        <f>E7</f>
        <v>2015</v>
      </c>
      <c r="F100" s="7">
        <f t="shared" ref="F100:H100" si="11">F7</f>
        <v>2016</v>
      </c>
      <c r="G100" s="7">
        <f t="shared" si="11"/>
        <v>2017</v>
      </c>
      <c r="H100" s="7">
        <f t="shared" si="11"/>
        <v>2018</v>
      </c>
    </row>
    <row r="101" spans="2:8">
      <c r="D101" s="7">
        <v>-5</v>
      </c>
      <c r="E101" s="7">
        <f>E8</f>
        <v>-4</v>
      </c>
      <c r="F101" s="7">
        <f>F8</f>
        <v>-3</v>
      </c>
      <c r="G101" s="7">
        <f>G8</f>
        <v>-2</v>
      </c>
      <c r="H101" s="7">
        <f>H8</f>
        <v>-1</v>
      </c>
    </row>
    <row r="103" spans="2:8">
      <c r="B103" s="377" t="s">
        <v>20</v>
      </c>
      <c r="C103" s="316" t="s">
        <v>75</v>
      </c>
    </row>
    <row r="104" spans="2:8">
      <c r="B104" s="427" t="s">
        <v>21</v>
      </c>
      <c r="C104" s="58" t="s">
        <v>43</v>
      </c>
      <c r="D104" s="58">
        <v>5924</v>
      </c>
      <c r="E104" s="58">
        <f t="shared" ref="E104:H107" si="12">E64</f>
        <v>5457</v>
      </c>
      <c r="F104" s="58">
        <f t="shared" si="12"/>
        <v>6179</v>
      </c>
      <c r="G104" s="58">
        <f t="shared" si="12"/>
        <v>5245</v>
      </c>
      <c r="H104" s="58">
        <f t="shared" si="12"/>
        <v>4663</v>
      </c>
    </row>
    <row r="105" spans="2:8">
      <c r="B105" s="427" t="s">
        <v>21</v>
      </c>
      <c r="C105" s="58" t="s">
        <v>44</v>
      </c>
      <c r="D105" s="58">
        <v>3508</v>
      </c>
      <c r="E105" s="58">
        <f t="shared" si="12"/>
        <v>3391</v>
      </c>
      <c r="F105" s="58">
        <f t="shared" si="12"/>
        <v>3677</v>
      </c>
      <c r="G105" s="58">
        <f t="shared" si="12"/>
        <v>3498</v>
      </c>
      <c r="H105" s="58">
        <f t="shared" si="12"/>
        <v>4272</v>
      </c>
    </row>
    <row r="106" spans="2:8">
      <c r="B106" s="427" t="s">
        <v>21</v>
      </c>
      <c r="C106" s="58" t="s">
        <v>45</v>
      </c>
      <c r="D106" s="58">
        <v>4337</v>
      </c>
      <c r="E106" s="58">
        <f t="shared" si="12"/>
        <v>4838</v>
      </c>
      <c r="F106" s="58">
        <f t="shared" si="12"/>
        <v>5055</v>
      </c>
      <c r="G106" s="58">
        <f t="shared" si="12"/>
        <v>5261</v>
      </c>
      <c r="H106" s="58">
        <f t="shared" si="12"/>
        <v>5622</v>
      </c>
    </row>
    <row r="107" spans="2:8">
      <c r="B107" s="427" t="s">
        <v>21</v>
      </c>
      <c r="C107" s="58" t="s">
        <v>46</v>
      </c>
      <c r="D107" s="58">
        <v>2207</v>
      </c>
      <c r="E107" s="58">
        <f t="shared" si="12"/>
        <v>1339</v>
      </c>
      <c r="F107" s="58">
        <f t="shared" si="12"/>
        <v>1150</v>
      </c>
      <c r="G107" s="58">
        <f t="shared" si="12"/>
        <v>1130</v>
      </c>
      <c r="H107" s="58">
        <f t="shared" si="12"/>
        <v>1968</v>
      </c>
    </row>
    <row r="108" spans="2:8">
      <c r="B108" s="427" t="s">
        <v>21</v>
      </c>
      <c r="C108" s="433" t="s">
        <v>76</v>
      </c>
      <c r="D108" s="58">
        <f>SUM(D104:D107)</f>
        <v>15976</v>
      </c>
      <c r="E108" s="58">
        <f t="shared" ref="E108:G108" si="13">SUM(E104:E107)</f>
        <v>15025</v>
      </c>
      <c r="F108" s="58">
        <f t="shared" si="13"/>
        <v>16061</v>
      </c>
      <c r="G108" s="58">
        <f t="shared" si="13"/>
        <v>15134</v>
      </c>
      <c r="H108" s="58">
        <f t="shared" ref="H108" si="14">SUM(H104:H107)</f>
        <v>16525</v>
      </c>
    </row>
    <row r="109" spans="2:8">
      <c r="B109" s="377"/>
    </row>
    <row r="110" spans="2:8">
      <c r="B110" s="377"/>
      <c r="C110" s="316" t="s">
        <v>73</v>
      </c>
    </row>
    <row r="111" spans="2:8">
      <c r="B111" s="427" t="s">
        <v>21</v>
      </c>
      <c r="C111" s="58" t="s">
        <v>74</v>
      </c>
      <c r="D111" s="58">
        <v>181</v>
      </c>
      <c r="E111" s="58">
        <f t="shared" ref="E111:H114" si="15">E76</f>
        <v>45</v>
      </c>
      <c r="F111" s="58">
        <f t="shared" si="15"/>
        <v>331</v>
      </c>
      <c r="G111" s="58">
        <f t="shared" si="15"/>
        <v>342</v>
      </c>
      <c r="H111" s="58">
        <f t="shared" si="15"/>
        <v>15</v>
      </c>
    </row>
    <row r="112" spans="2:8">
      <c r="B112" s="427" t="s">
        <v>21</v>
      </c>
      <c r="C112" s="58" t="s">
        <v>57</v>
      </c>
      <c r="D112" s="58">
        <v>2131</v>
      </c>
      <c r="E112" s="58">
        <f t="shared" si="15"/>
        <v>2191</v>
      </c>
      <c r="F112" s="58">
        <f t="shared" si="15"/>
        <v>2048</v>
      </c>
      <c r="G112" s="58">
        <f t="shared" si="15"/>
        <v>2279</v>
      </c>
      <c r="H112" s="58">
        <f t="shared" si="15"/>
        <v>2612</v>
      </c>
    </row>
    <row r="113" spans="2:9">
      <c r="B113" s="427" t="s">
        <v>21</v>
      </c>
      <c r="C113" s="58" t="s">
        <v>58</v>
      </c>
      <c r="D113" s="58">
        <v>71</v>
      </c>
      <c r="E113" s="58">
        <f t="shared" si="15"/>
        <v>85</v>
      </c>
      <c r="F113" s="58">
        <f t="shared" si="15"/>
        <v>84</v>
      </c>
      <c r="G113" s="58">
        <f t="shared" si="15"/>
        <v>150</v>
      </c>
      <c r="H113" s="58">
        <f t="shared" si="15"/>
        <v>229</v>
      </c>
    </row>
    <row r="114" spans="2:9">
      <c r="B114" s="427" t="s">
        <v>21</v>
      </c>
      <c r="C114" s="58" t="s">
        <v>59</v>
      </c>
      <c r="D114" s="58">
        <v>3951</v>
      </c>
      <c r="E114" s="58">
        <f t="shared" si="15"/>
        <v>3037</v>
      </c>
      <c r="F114" s="58">
        <f t="shared" si="15"/>
        <v>3011</v>
      </c>
      <c r="G114" s="58">
        <f t="shared" si="15"/>
        <v>3269</v>
      </c>
      <c r="H114" s="58">
        <f t="shared" si="15"/>
        <v>5010</v>
      </c>
    </row>
    <row r="115" spans="2:9">
      <c r="B115" s="427" t="s">
        <v>21</v>
      </c>
      <c r="C115" s="434" t="s">
        <v>60</v>
      </c>
      <c r="D115" s="58">
        <f>SUM(D111:D114)</f>
        <v>6334</v>
      </c>
      <c r="E115" s="58">
        <f t="shared" ref="E115:G115" si="16">SUM(E111:E114)</f>
        <v>5358</v>
      </c>
      <c r="F115" s="58">
        <f t="shared" si="16"/>
        <v>5474</v>
      </c>
      <c r="G115" s="58">
        <f t="shared" si="16"/>
        <v>6040</v>
      </c>
      <c r="H115" s="58">
        <f t="shared" ref="H115" si="17">SUM(H111:H114)</f>
        <v>7866</v>
      </c>
    </row>
    <row r="116" spans="2:9">
      <c r="B116" s="377"/>
    </row>
    <row r="117" spans="2:9">
      <c r="B117" s="427" t="s">
        <v>21</v>
      </c>
      <c r="C117" s="58" t="s">
        <v>77</v>
      </c>
      <c r="D117" s="58">
        <f>D108-D115</f>
        <v>9642</v>
      </c>
      <c r="E117" s="58">
        <f t="shared" ref="E117:G117" si="18">E108-E115</f>
        <v>9667</v>
      </c>
      <c r="F117" s="58">
        <f t="shared" si="18"/>
        <v>10587</v>
      </c>
      <c r="G117" s="58">
        <f t="shared" si="18"/>
        <v>9094</v>
      </c>
      <c r="H117" s="58">
        <f t="shared" ref="H117" si="19">H108-H115</f>
        <v>8659</v>
      </c>
      <c r="I117" s="375"/>
    </row>
    <row r="118" spans="2:9">
      <c r="B118" s="427" t="s">
        <v>21</v>
      </c>
      <c r="C118" s="58" t="s">
        <v>15</v>
      </c>
      <c r="E118" s="58">
        <f>E117-D117</f>
        <v>25</v>
      </c>
      <c r="F118" s="58">
        <f>F117-E117</f>
        <v>920</v>
      </c>
      <c r="G118" s="58">
        <f>G117-F117</f>
        <v>-1493</v>
      </c>
      <c r="H118" s="58">
        <f t="shared" ref="H118" si="20">H117-G117</f>
        <v>-435</v>
      </c>
      <c r="I118" s="375"/>
    </row>
    <row r="130" spans="3:10" ht="19">
      <c r="C130" s="431" t="s">
        <v>101</v>
      </c>
    </row>
    <row r="132" spans="3:10">
      <c r="E132" s="7">
        <f>E7</f>
        <v>2015</v>
      </c>
      <c r="F132" s="7">
        <f t="shared" ref="F132:H132" si="21">F7</f>
        <v>2016</v>
      </c>
      <c r="G132" s="7">
        <f t="shared" si="21"/>
        <v>2017</v>
      </c>
      <c r="H132" s="7">
        <f t="shared" si="21"/>
        <v>2018</v>
      </c>
    </row>
    <row r="133" spans="3:10">
      <c r="E133" s="7">
        <f>E8</f>
        <v>-4</v>
      </c>
      <c r="F133" s="7">
        <f>F8</f>
        <v>-3</v>
      </c>
      <c r="G133" s="7">
        <f>G8</f>
        <v>-2</v>
      </c>
      <c r="H133" s="7">
        <f>H8</f>
        <v>-1</v>
      </c>
    </row>
    <row r="134" spans="3:10">
      <c r="C134" s="58" t="s">
        <v>79</v>
      </c>
    </row>
    <row r="135" spans="3:10">
      <c r="C135" s="58" t="s">
        <v>80</v>
      </c>
      <c r="E135" s="58">
        <v>3760</v>
      </c>
      <c r="F135" s="435">
        <v>4240</v>
      </c>
      <c r="G135" s="435">
        <v>1933</v>
      </c>
      <c r="H135" s="435">
        <v>4029</v>
      </c>
    </row>
    <row r="136" spans="3:10">
      <c r="C136" s="429" t="s">
        <v>8</v>
      </c>
      <c r="E136" s="429">
        <v>649</v>
      </c>
      <c r="F136" s="438">
        <v>706</v>
      </c>
      <c r="G136" s="438">
        <v>747</v>
      </c>
      <c r="H136" s="438">
        <v>705</v>
      </c>
    </row>
    <row r="137" spans="3:10">
      <c r="C137" s="58" t="s">
        <v>81</v>
      </c>
      <c r="E137" s="58">
        <v>-80</v>
      </c>
      <c r="F137" s="436">
        <v>-273</v>
      </c>
      <c r="G137" s="436">
        <v>647</v>
      </c>
      <c r="H137" s="436">
        <v>34</v>
      </c>
    </row>
    <row r="138" spans="3:10">
      <c r="C138" s="58" t="s">
        <v>82</v>
      </c>
      <c r="E138" s="58">
        <v>347</v>
      </c>
      <c r="F138" s="436">
        <v>108</v>
      </c>
      <c r="G138" s="436">
        <v>146</v>
      </c>
      <c r="H138" s="436">
        <v>573</v>
      </c>
    </row>
    <row r="139" spans="3:10">
      <c r="C139" s="58" t="s">
        <v>83</v>
      </c>
      <c r="E139" s="58">
        <v>4676</v>
      </c>
      <c r="F139" s="435">
        <v>4781</v>
      </c>
      <c r="G139" s="435">
        <v>3473</v>
      </c>
      <c r="H139" s="435">
        <v>5341</v>
      </c>
    </row>
    <row r="140" spans="3:10">
      <c r="C140" s="58" t="s">
        <v>84</v>
      </c>
      <c r="E140" s="58">
        <v>-1580</v>
      </c>
      <c r="F140" s="435">
        <v>-1141</v>
      </c>
      <c r="G140" s="435">
        <v>1482</v>
      </c>
      <c r="H140" s="436">
        <v>562</v>
      </c>
    </row>
    <row r="141" spans="3:10">
      <c r="C141" s="58" t="s">
        <v>85</v>
      </c>
      <c r="E141" s="58">
        <v>3096</v>
      </c>
      <c r="F141" s="435">
        <v>3640</v>
      </c>
      <c r="G141" s="435">
        <v>4955</v>
      </c>
      <c r="H141" s="435">
        <v>5903</v>
      </c>
    </row>
    <row r="142" spans="3:10">
      <c r="C142" s="58" t="s">
        <v>86</v>
      </c>
      <c r="F142" s="436"/>
      <c r="G142" s="436"/>
      <c r="H142" s="436"/>
    </row>
    <row r="143" spans="3:10">
      <c r="C143" s="429" t="s">
        <v>12</v>
      </c>
      <c r="E143" s="429">
        <v>1143</v>
      </c>
      <c r="F143" s="439">
        <v>1105</v>
      </c>
      <c r="G143" s="439">
        <v>1028</v>
      </c>
      <c r="H143" s="439">
        <v>1119</v>
      </c>
      <c r="J143" s="58" t="s">
        <v>100</v>
      </c>
    </row>
    <row r="144" spans="3:10">
      <c r="C144" s="58" t="s">
        <v>87</v>
      </c>
      <c r="E144" s="58">
        <v>10</v>
      </c>
      <c r="F144" s="436">
        <v>13</v>
      </c>
      <c r="G144" s="436">
        <v>3</v>
      </c>
      <c r="H144" s="436">
        <v>5</v>
      </c>
    </row>
    <row r="145" spans="2:8">
      <c r="C145" s="58" t="s">
        <v>88</v>
      </c>
      <c r="E145" s="58">
        <v>93</v>
      </c>
      <c r="F145" s="436">
        <v>118</v>
      </c>
      <c r="G145" s="437">
        <v>1326</v>
      </c>
      <c r="H145" s="436">
        <v>850</v>
      </c>
    </row>
    <row r="146" spans="2:8">
      <c r="C146" s="58" t="s">
        <v>82</v>
      </c>
      <c r="E146" s="58">
        <v>6</v>
      </c>
      <c r="F146" s="436">
        <v>-34</v>
      </c>
      <c r="G146" s="436">
        <v>-25</v>
      </c>
      <c r="H146" s="436">
        <v>0</v>
      </c>
    </row>
    <row r="147" spans="2:8">
      <c r="B147" s="58" t="s">
        <v>39</v>
      </c>
      <c r="C147" s="429" t="s">
        <v>13</v>
      </c>
      <c r="E147" s="439">
        <v>109</v>
      </c>
      <c r="F147" s="439">
        <v>97</v>
      </c>
      <c r="G147" s="439">
        <v>1304</v>
      </c>
      <c r="H147" s="439">
        <v>855</v>
      </c>
    </row>
    <row r="148" spans="2:8">
      <c r="B148" s="58" t="s">
        <v>40</v>
      </c>
      <c r="C148" s="58" t="s">
        <v>89</v>
      </c>
      <c r="E148" s="58">
        <v>-1034</v>
      </c>
      <c r="F148" s="437">
        <v>1008</v>
      </c>
      <c r="G148" s="436">
        <v>-276</v>
      </c>
      <c r="H148" s="436">
        <v>264</v>
      </c>
    </row>
    <row r="149" spans="2:8">
      <c r="C149" s="58" t="s">
        <v>90</v>
      </c>
      <c r="F149" s="436"/>
      <c r="G149" s="436"/>
      <c r="H149" s="436"/>
    </row>
    <row r="150" spans="2:8">
      <c r="C150" s="58" t="s">
        <v>91</v>
      </c>
      <c r="E150" s="58">
        <v>-1022</v>
      </c>
      <c r="F150" s="435">
        <v>-1133</v>
      </c>
      <c r="G150" s="435">
        <v>-1243</v>
      </c>
      <c r="H150" s="435">
        <v>-1332</v>
      </c>
    </row>
    <row r="151" spans="2:8">
      <c r="C151" s="58" t="s">
        <v>92</v>
      </c>
      <c r="E151" s="58">
        <v>-2731</v>
      </c>
      <c r="F151" s="435">
        <v>-2734</v>
      </c>
      <c r="G151" s="435">
        <v>-3521</v>
      </c>
      <c r="H151" s="435">
        <v>-3586</v>
      </c>
    </row>
    <row r="152" spans="2:8">
      <c r="C152" s="58" t="s">
        <v>93</v>
      </c>
      <c r="E152" s="58">
        <v>801</v>
      </c>
      <c r="F152" s="435">
        <v>1748</v>
      </c>
      <c r="G152" s="436">
        <v>-16</v>
      </c>
      <c r="H152" s="436">
        <v>-358</v>
      </c>
    </row>
    <row r="153" spans="2:8">
      <c r="C153" s="58" t="s">
        <v>82</v>
      </c>
      <c r="E153" s="58">
        <v>281</v>
      </c>
      <c r="F153" s="436">
        <v>177</v>
      </c>
      <c r="G153" s="436">
        <v>-55</v>
      </c>
      <c r="H153" s="436">
        <v>-17</v>
      </c>
    </row>
    <row r="154" spans="2:8">
      <c r="C154" s="58" t="s">
        <v>94</v>
      </c>
      <c r="E154" s="58">
        <v>-2671</v>
      </c>
      <c r="F154" s="435">
        <v>-1942</v>
      </c>
      <c r="G154" s="435">
        <v>-4835</v>
      </c>
      <c r="H154" s="435">
        <v>-5293</v>
      </c>
    </row>
    <row r="155" spans="2:8">
      <c r="F155" s="436"/>
      <c r="G155" s="436"/>
      <c r="H155" s="436"/>
    </row>
    <row r="156" spans="2:8">
      <c r="C156" s="58" t="s">
        <v>95</v>
      </c>
      <c r="E156" s="58">
        <v>-105</v>
      </c>
      <c r="F156" s="436">
        <v>-20</v>
      </c>
      <c r="G156" s="436">
        <v>45</v>
      </c>
      <c r="H156" s="436">
        <v>-129</v>
      </c>
    </row>
    <row r="157" spans="2:8">
      <c r="F157" s="436"/>
      <c r="G157" s="436"/>
      <c r="H157" s="436"/>
    </row>
    <row r="158" spans="2:8">
      <c r="C158" s="58" t="s">
        <v>96</v>
      </c>
      <c r="E158" s="58">
        <v>-714</v>
      </c>
      <c r="F158" s="436">
        <v>670</v>
      </c>
      <c r="G158" s="436">
        <v>441</v>
      </c>
      <c r="H158" s="436">
        <v>217</v>
      </c>
    </row>
    <row r="159" spans="2:8">
      <c r="F159" s="436"/>
      <c r="G159" s="436"/>
      <c r="H159" s="436"/>
    </row>
    <row r="160" spans="2:8">
      <c r="C160" s="58" t="s">
        <v>97</v>
      </c>
      <c r="E160" s="58">
        <v>1953</v>
      </c>
      <c r="F160" s="435">
        <v>2535</v>
      </c>
      <c r="G160" s="435">
        <v>3927</v>
      </c>
      <c r="H160" s="435">
        <v>4784</v>
      </c>
    </row>
    <row r="161" spans="3:8">
      <c r="C161" s="58" t="s">
        <v>98</v>
      </c>
      <c r="E161" s="409">
        <v>1.120803</v>
      </c>
      <c r="F161" s="436">
        <v>1</v>
      </c>
      <c r="G161" s="436">
        <v>2</v>
      </c>
      <c r="H161" s="436">
        <v>3</v>
      </c>
    </row>
    <row r="162" spans="3:8">
      <c r="C162" s="58" t="s">
        <v>99</v>
      </c>
      <c r="E162" s="409">
        <v>2.029706</v>
      </c>
      <c r="F162" s="436">
        <v>2.83</v>
      </c>
      <c r="G162" s="436">
        <v>3.3</v>
      </c>
      <c r="H162" s="436">
        <v>3.83</v>
      </c>
    </row>
  </sheetData>
  <hyperlinks>
    <hyperlink ref="M8" location="'Financial Statement Information'!C28" display="Income Statement" xr:uid="{64A0FA28-09B2-44DA-9CE1-C4D3B2E417A3}"/>
    <hyperlink ref="M9" location="'Financial Statement Information'!C56" display="Balance Sheet" xr:uid="{03D9278B-7542-4F89-BAA1-8B9B91163431}"/>
    <hyperlink ref="M10" location="'Financial Statement Information'!C98" display="Net Working Cash Flows Calculations" xr:uid="{44051140-D77C-443E-81E5-1784FBF41557}"/>
    <hyperlink ref="M11" location="'Financial Statement Information'!C130" display="Statement of Cash Flows" xr:uid="{A2A9F1A7-1775-4883-A8E9-B99E04340DA5}"/>
    <hyperlink ref="C28" location="Menu!A1" display="MENU" xr:uid="{D4CA8503-E508-4571-9140-75DC2EF55645}"/>
    <hyperlink ref="C1" location="Menu!A1" display="MENU" xr:uid="{6671C79D-EC39-4D04-8FA1-66253DE836B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884E5-1FD1-4855-9C5B-0F598C9FF59C}">
  <sheetPr codeName="Sheet5"/>
  <dimension ref="A1:X273"/>
  <sheetViews>
    <sheetView showGridLines="0" workbookViewId="0">
      <selection activeCell="I19" sqref="I19:I1048576"/>
    </sheetView>
  </sheetViews>
  <sheetFormatPr baseColWidth="10" defaultColWidth="9.1640625" defaultRowHeight="13"/>
  <cols>
    <col min="1" max="1" width="9.5" style="412" bestFit="1" customWidth="1"/>
    <col min="2" max="4" width="9.1640625" style="412"/>
    <col min="5" max="5" width="3.33203125" style="412" customWidth="1"/>
    <col min="6" max="7" width="10.6640625" style="412" bestFit="1" customWidth="1"/>
    <col min="8" max="8" width="15.1640625" style="412" customWidth="1"/>
    <col min="9" max="9" width="10" style="412" bestFit="1" customWidth="1"/>
    <col min="10" max="16384" width="9.1640625" style="412"/>
  </cols>
  <sheetData>
    <row r="1" spans="1:24" s="75" customFormat="1" ht="19">
      <c r="D1" s="76" t="s">
        <v>268</v>
      </c>
    </row>
    <row r="2" spans="1:24" s="75" customFormat="1" ht="15">
      <c r="D2" s="77" t="s">
        <v>271</v>
      </c>
    </row>
    <row r="3" spans="1:24" s="75" customFormat="1" ht="15">
      <c r="D3" s="77" t="s">
        <v>269</v>
      </c>
      <c r="E3" s="75" t="s">
        <v>550</v>
      </c>
    </row>
    <row r="4" spans="1:24" s="75" customFormat="1" ht="15"/>
    <row r="5" spans="1:24" s="58" customFormat="1" ht="15"/>
    <row r="6" spans="1:24" s="417" customFormat="1">
      <c r="A6" s="417" t="s">
        <v>115</v>
      </c>
      <c r="B6" s="417" t="s">
        <v>202</v>
      </c>
      <c r="C6" s="417" t="s">
        <v>201</v>
      </c>
      <c r="D6" s="417" t="s">
        <v>200</v>
      </c>
      <c r="F6" s="417" t="str">
        <f ca="1">_xlfn.FORMULATEXT(F8)</f>
        <v>=C8-D8</v>
      </c>
      <c r="G6" s="417" t="str">
        <f ca="1">_xlfn.FORMULATEXT(G8)</f>
        <v>=B8-D8</v>
      </c>
      <c r="H6" s="412" t="s">
        <v>199</v>
      </c>
      <c r="I6" s="412"/>
      <c r="X6" s="417" t="str">
        <f ca="1">_xlfn.FORMULATEXT(X8)</f>
        <v>=$K$42*F8</v>
      </c>
    </row>
    <row r="7" spans="1:24" s="417" customFormat="1">
      <c r="C7" s="417" t="s">
        <v>198</v>
      </c>
      <c r="D7" s="417" t="s">
        <v>197</v>
      </c>
      <c r="F7" s="417" t="s">
        <v>196</v>
      </c>
      <c r="G7" s="417" t="s">
        <v>195</v>
      </c>
      <c r="H7" s="412"/>
      <c r="I7" s="412"/>
      <c r="X7" s="417" t="s">
        <v>194</v>
      </c>
    </row>
    <row r="8" spans="1:24" ht="16">
      <c r="A8" s="415">
        <v>43770</v>
      </c>
      <c r="B8" s="416">
        <v>-4.1318033233342932E-3</v>
      </c>
      <c r="C8" s="416">
        <v>1.7203754259645931E-2</v>
      </c>
      <c r="D8" s="416">
        <v>1.8433333333333333E-3</v>
      </c>
      <c r="F8" s="418">
        <f t="shared" ref="F8:F39" si="0">C8-D8</f>
        <v>1.5360420926312597E-2</v>
      </c>
      <c r="G8" s="418">
        <f t="shared" ref="G8:G39" si="1">B8-D8</f>
        <v>-5.9751366566676263E-3</v>
      </c>
      <c r="H8" s="419" t="s">
        <v>193</v>
      </c>
      <c r="I8" s="320">
        <f>SLOPE(G8:G173,F8:F173)</f>
        <v>0.60488988803456922</v>
      </c>
      <c r="X8" s="412">
        <f t="shared" ref="X8:X39" si="2">$K$42*F8</f>
        <v>9.2913632942810808E-3</v>
      </c>
    </row>
    <row r="9" spans="1:24" ht="16">
      <c r="A9" s="420">
        <v>43739</v>
      </c>
      <c r="B9" s="416">
        <v>-4.6528908571739969E-2</v>
      </c>
      <c r="C9" s="416">
        <v>2.5653620675389455E-2</v>
      </c>
      <c r="D9" s="416">
        <v>1.8133333333333335E-3</v>
      </c>
      <c r="F9" s="418">
        <f t="shared" si="0"/>
        <v>2.3840287342056121E-2</v>
      </c>
      <c r="G9" s="418">
        <f t="shared" si="1"/>
        <v>-4.8342241905073302E-2</v>
      </c>
      <c r="H9" s="419" t="s">
        <v>192</v>
      </c>
      <c r="I9" s="320">
        <f>SLOPE(G8:G139,F8:F139)</f>
        <v>0.61382921157868564</v>
      </c>
      <c r="J9" s="413"/>
      <c r="X9" s="412">
        <f t="shared" si="2"/>
        <v>1.4420748741048286E-2</v>
      </c>
    </row>
    <row r="10" spans="1:24" ht="16">
      <c r="A10" s="415">
        <v>43709</v>
      </c>
      <c r="B10" s="416">
        <v>0.11435066440134256</v>
      </c>
      <c r="C10" s="416">
        <v>1.9085674486174486E-2</v>
      </c>
      <c r="D10" s="416">
        <v>1.7675E-3</v>
      </c>
      <c r="F10" s="418">
        <f t="shared" si="0"/>
        <v>1.7318174486174488E-2</v>
      </c>
      <c r="G10" s="418">
        <f t="shared" si="1"/>
        <v>0.11258316440134256</v>
      </c>
      <c r="H10" s="419" t="s">
        <v>184</v>
      </c>
      <c r="I10" s="320">
        <f>SLOPE(G8:G44,F8:F44)</f>
        <v>0.77461285972727545</v>
      </c>
      <c r="X10" s="412">
        <f t="shared" si="2"/>
        <v>1.0475588625905219E-2</v>
      </c>
    </row>
    <row r="11" spans="1:24" ht="16">
      <c r="A11" s="415">
        <v>43678</v>
      </c>
      <c r="B11" s="416">
        <v>-1.7784544383437351E-2</v>
      </c>
      <c r="C11" s="416">
        <v>-5.0660176018126779E-2</v>
      </c>
      <c r="D11" s="416">
        <v>1.6416666666666665E-3</v>
      </c>
      <c r="F11" s="418">
        <f t="shared" si="0"/>
        <v>-5.2301842684793445E-2</v>
      </c>
      <c r="G11" s="418">
        <f t="shared" si="1"/>
        <v>-1.9426211050104017E-2</v>
      </c>
      <c r="H11" s="419" t="s">
        <v>191</v>
      </c>
      <c r="I11" s="320">
        <f>SLOPE(G8:G32,F8:F32)</f>
        <v>0.99214680513590514</v>
      </c>
      <c r="X11" s="412">
        <f t="shared" si="2"/>
        <v>-3.1636855765606361E-2</v>
      </c>
    </row>
    <row r="12" spans="1:24" ht="16">
      <c r="A12" s="415">
        <v>43647</v>
      </c>
      <c r="B12" s="416">
        <v>4.3420287246158207E-2</v>
      </c>
      <c r="C12" s="416">
        <v>5.1322566352871579E-3</v>
      </c>
      <c r="D12" s="416">
        <v>2.1058333333333333E-3</v>
      </c>
      <c r="F12" s="418">
        <f t="shared" si="0"/>
        <v>3.0264233019538247E-3</v>
      </c>
      <c r="G12" s="418">
        <f t="shared" si="1"/>
        <v>4.1314453912824872E-2</v>
      </c>
      <c r="H12" s="419" t="s">
        <v>183</v>
      </c>
      <c r="I12" s="320">
        <f>SLOPE(G8:G20,F8:F20)</f>
        <v>1.0625282757987691</v>
      </c>
      <c r="X12" s="412">
        <f t="shared" si="2"/>
        <v>1.8306528522640602E-3</v>
      </c>
    </row>
    <row r="13" spans="1:24">
      <c r="A13" s="415">
        <v>43617</v>
      </c>
      <c r="B13" s="416">
        <v>7.1810861346511157E-2</v>
      </c>
      <c r="C13" s="416">
        <v>6.8973487836651914E-2</v>
      </c>
      <c r="D13" s="416">
        <v>2.1066666666666668E-3</v>
      </c>
      <c r="F13" s="418">
        <f t="shared" si="0"/>
        <v>6.6866821169985241E-2</v>
      </c>
      <c r="G13" s="418">
        <f t="shared" si="1"/>
        <v>6.9704194679844483E-2</v>
      </c>
      <c r="X13" s="412">
        <f t="shared" si="2"/>
        <v>4.0447063970739938E-2</v>
      </c>
    </row>
    <row r="14" spans="1:24" ht="16">
      <c r="A14" s="415">
        <v>43586</v>
      </c>
      <c r="B14" s="416">
        <v>-0.12171238390079764</v>
      </c>
      <c r="C14" s="416">
        <v>-7.9009039712767404E-2</v>
      </c>
      <c r="D14" s="416">
        <v>2.1525000000000003E-3</v>
      </c>
      <c r="F14" s="418">
        <f>C14-D14</f>
        <v>-8.1161539712767405E-2</v>
      </c>
      <c r="G14" s="418">
        <f t="shared" si="1"/>
        <v>-0.12386488390079764</v>
      </c>
      <c r="H14" s="419" t="s">
        <v>190</v>
      </c>
      <c r="I14" s="320">
        <f>SLOPE(G8:G116,F8:F116)</f>
        <v>0.44957062057371067</v>
      </c>
      <c r="R14" s="413" t="s">
        <v>189</v>
      </c>
      <c r="X14" s="412">
        <f t="shared" si="2"/>
        <v>-4.9093794669569119E-2</v>
      </c>
    </row>
    <row r="15" spans="1:24" ht="16">
      <c r="A15" s="415">
        <v>43556</v>
      </c>
      <c r="B15" s="416">
        <v>4.5671197522100027E-2</v>
      </c>
      <c r="C15" s="416">
        <v>3.3427702946131843E-2</v>
      </c>
      <c r="D15" s="416">
        <v>2.4499999999999999E-3</v>
      </c>
      <c r="F15" s="418">
        <f t="shared" si="0"/>
        <v>3.0977702946131842E-2</v>
      </c>
      <c r="G15" s="418">
        <f t="shared" si="1"/>
        <v>4.3221197522100026E-2</v>
      </c>
      <c r="H15" s="419" t="s">
        <v>188</v>
      </c>
      <c r="I15" s="320">
        <f>SLOPE(G8:G104,F8:F104)</f>
        <v>0.4509481446189797</v>
      </c>
      <c r="R15" s="413" t="s">
        <v>187</v>
      </c>
      <c r="X15" s="412">
        <f t="shared" si="2"/>
        <v>1.8738099266653836E-2</v>
      </c>
    </row>
    <row r="16" spans="1:24" ht="16">
      <c r="A16" s="415">
        <v>43525</v>
      </c>
      <c r="B16" s="416">
        <v>-1.7730078066098387E-2</v>
      </c>
      <c r="C16" s="416">
        <v>-2.2728607715590154E-2</v>
      </c>
      <c r="D16" s="416">
        <v>2.3516666666666668E-3</v>
      </c>
      <c r="F16" s="418">
        <f t="shared" si="0"/>
        <v>-2.5080274382256823E-2</v>
      </c>
      <c r="G16" s="418">
        <f t="shared" si="1"/>
        <v>-2.0081744732765056E-2</v>
      </c>
      <c r="H16" s="419" t="s">
        <v>186</v>
      </c>
      <c r="I16" s="320">
        <f>SLOPE(G8:G68,F8:F68)</f>
        <v>0.55648792761657528</v>
      </c>
      <c r="R16" s="413" t="s">
        <v>185</v>
      </c>
      <c r="X16" s="412">
        <f t="shared" si="2"/>
        <v>-1.5170804362959605E-2</v>
      </c>
    </row>
    <row r="17" spans="1:24" ht="16">
      <c r="A17" s="415">
        <v>43497</v>
      </c>
      <c r="B17" s="416">
        <v>4.702004706688756E-2</v>
      </c>
      <c r="C17" s="416">
        <v>5.0772967391384372E-2</v>
      </c>
      <c r="D17" s="416">
        <v>2.5691666666666671E-3</v>
      </c>
      <c r="F17" s="418">
        <f t="shared" si="0"/>
        <v>4.8203800724717707E-2</v>
      </c>
      <c r="G17" s="418">
        <f t="shared" si="1"/>
        <v>4.4450880400220896E-2</v>
      </c>
      <c r="H17" s="419" t="s">
        <v>184</v>
      </c>
      <c r="I17" s="320">
        <f>SLOPE(G8:G44,F8:F44)</f>
        <v>0.77461285972727545</v>
      </c>
      <c r="X17" s="412">
        <f t="shared" si="2"/>
        <v>2.9157991623215182E-2</v>
      </c>
    </row>
    <row r="18" spans="1:24" ht="16">
      <c r="A18" s="415">
        <v>43466</v>
      </c>
      <c r="B18" s="416">
        <v>0.10439708352691435</v>
      </c>
      <c r="C18" s="416">
        <v>1.48976990094003E-2</v>
      </c>
      <c r="D18" s="416">
        <v>2.5041666666666667E-3</v>
      </c>
      <c r="F18" s="418">
        <f t="shared" si="0"/>
        <v>1.2393532342733634E-2</v>
      </c>
      <c r="G18" s="418">
        <f t="shared" si="1"/>
        <v>0.10189291686024768</v>
      </c>
      <c r="H18" s="417" t="s">
        <v>183</v>
      </c>
      <c r="I18" s="320">
        <f>SLOPE(G8:G20,F8:F20)</f>
        <v>1.0625282757987691</v>
      </c>
      <c r="X18" s="412">
        <f t="shared" si="2"/>
        <v>7.4967223911489604E-3</v>
      </c>
    </row>
    <row r="19" spans="1:24">
      <c r="A19" s="415">
        <v>43435</v>
      </c>
      <c r="B19" s="416">
        <v>-1.0116374188479327E-2</v>
      </c>
      <c r="C19" s="416">
        <v>-3.64319299740824E-2</v>
      </c>
      <c r="D19" s="416">
        <v>2.5166666666666666E-3</v>
      </c>
      <c r="F19" s="418">
        <f t="shared" si="0"/>
        <v>-3.8948596640749067E-2</v>
      </c>
      <c r="G19" s="418">
        <f t="shared" si="1"/>
        <v>-1.2633040855145994E-2</v>
      </c>
      <c r="X19" s="412">
        <f t="shared" si="2"/>
        <v>-2.3559612261126302E-2</v>
      </c>
    </row>
    <row r="20" spans="1:24" ht="16">
      <c r="A20" s="415">
        <v>43405</v>
      </c>
      <c r="B20" s="416">
        <v>1.0660805585716027E-3</v>
      </c>
      <c r="C20" s="416">
        <v>1.446330612358504E-2</v>
      </c>
      <c r="D20" s="416">
        <v>2.7591666666666667E-3</v>
      </c>
      <c r="F20" s="418">
        <f t="shared" si="0"/>
        <v>1.1704139456918373E-2</v>
      </c>
      <c r="G20" s="418">
        <f t="shared" si="1"/>
        <v>-1.693086108095064E-3</v>
      </c>
      <c r="I20" s="426"/>
      <c r="X20" s="412">
        <f t="shared" si="2"/>
        <v>7.0797156056363391E-3</v>
      </c>
    </row>
    <row r="21" spans="1:24" ht="16">
      <c r="A21" s="415">
        <v>43374</v>
      </c>
      <c r="B21" s="416">
        <v>-0.11425878351360119</v>
      </c>
      <c r="C21" s="416">
        <v>-0.10913780032267528</v>
      </c>
      <c r="D21" s="416">
        <v>2.8350000000000003E-3</v>
      </c>
      <c r="F21" s="418">
        <f t="shared" si="0"/>
        <v>-0.11197280032267529</v>
      </c>
      <c r="G21" s="418">
        <f t="shared" si="1"/>
        <v>-0.1170937835136012</v>
      </c>
      <c r="I21" s="426"/>
      <c r="X21" s="412">
        <f t="shared" si="2"/>
        <v>-6.7731214650100235E-2</v>
      </c>
    </row>
    <row r="22" spans="1:24" ht="16">
      <c r="A22" s="415">
        <v>43344</v>
      </c>
      <c r="B22" s="416">
        <v>3.3195476816920699E-2</v>
      </c>
      <c r="C22" s="416">
        <v>-2.5379896021829662E-2</v>
      </c>
      <c r="D22" s="416">
        <v>2.6641666666666667E-3</v>
      </c>
      <c r="F22" s="418">
        <f t="shared" si="0"/>
        <v>-2.8044062688496327E-2</v>
      </c>
      <c r="G22" s="418">
        <f t="shared" si="1"/>
        <v>3.0531310150254034E-2</v>
      </c>
      <c r="I22" s="426"/>
      <c r="X22" s="412">
        <f t="shared" si="2"/>
        <v>-1.6963569939678985E-2</v>
      </c>
    </row>
    <row r="23" spans="1:24" ht="16">
      <c r="A23" s="415">
        <v>43313</v>
      </c>
      <c r="B23" s="416">
        <v>6.8781690497737413E-2</v>
      </c>
      <c r="C23" s="416">
        <v>4.1866141338615659E-2</v>
      </c>
      <c r="D23" s="416">
        <v>2.5083333333333333E-3</v>
      </c>
      <c r="F23" s="418">
        <f t="shared" si="0"/>
        <v>3.9357808005282324E-2</v>
      </c>
      <c r="G23" s="418">
        <f t="shared" si="1"/>
        <v>6.6273357164404079E-2</v>
      </c>
      <c r="I23" s="426"/>
      <c r="X23" s="412">
        <f t="shared" si="2"/>
        <v>2.3807140077601298E-2</v>
      </c>
    </row>
    <row r="24" spans="1:24" ht="16">
      <c r="A24" s="415">
        <v>43282</v>
      </c>
      <c r="B24" s="416">
        <v>-3.2067858071835542E-2</v>
      </c>
      <c r="C24" s="416">
        <v>1.6877007012092049E-2</v>
      </c>
      <c r="D24" s="416">
        <v>2.5691666666666671E-3</v>
      </c>
      <c r="F24" s="418">
        <f t="shared" si="0"/>
        <v>1.4307840345425381E-2</v>
      </c>
      <c r="G24" s="418">
        <f t="shared" si="1"/>
        <v>-3.4637024738502206E-2</v>
      </c>
      <c r="I24" s="426"/>
      <c r="X24" s="412">
        <f t="shared" si="2"/>
        <v>8.654667944560851E-3</v>
      </c>
    </row>
    <row r="25" spans="1:24" ht="16">
      <c r="A25" s="415">
        <v>43252</v>
      </c>
      <c r="B25" s="416">
        <v>0.10974945267028247</v>
      </c>
      <c r="C25" s="416">
        <v>5.7908320142889824E-3</v>
      </c>
      <c r="D25" s="416">
        <v>2.4858333333333334E-3</v>
      </c>
      <c r="F25" s="418">
        <f t="shared" si="0"/>
        <v>3.304998680955649E-3</v>
      </c>
      <c r="G25" s="418">
        <f t="shared" si="1"/>
        <v>0.10726361933694913</v>
      </c>
      <c r="I25" s="426"/>
      <c r="X25" s="412">
        <f t="shared" si="2"/>
        <v>1.9991602820776614E-3</v>
      </c>
    </row>
    <row r="26" spans="1:24" ht="16">
      <c r="A26" s="415">
        <v>43221</v>
      </c>
      <c r="B26" s="416">
        <v>4.9860911448875278E-2</v>
      </c>
      <c r="C26" s="416">
        <v>5.9492294927321554E-2</v>
      </c>
      <c r="D26" s="416">
        <v>2.4883333333333333E-3</v>
      </c>
      <c r="F26" s="418">
        <f t="shared" si="0"/>
        <v>5.7003961593988219E-2</v>
      </c>
      <c r="G26" s="418">
        <f t="shared" si="1"/>
        <v>4.7372578115541943E-2</v>
      </c>
      <c r="I26" s="426"/>
      <c r="X26" s="412">
        <f t="shared" si="2"/>
        <v>3.448111994611442E-2</v>
      </c>
    </row>
    <row r="27" spans="1:24" ht="16">
      <c r="A27" s="415">
        <v>43191</v>
      </c>
      <c r="B27" s="416">
        <v>3.2463369703448652E-2</v>
      </c>
      <c r="C27" s="416">
        <v>8.140255232620186E-3</v>
      </c>
      <c r="D27" s="416">
        <v>2.5808333333333334E-3</v>
      </c>
      <c r="F27" s="418">
        <f t="shared" si="0"/>
        <v>5.5594218992868526E-3</v>
      </c>
      <c r="G27" s="418">
        <f t="shared" si="1"/>
        <v>2.9882536370115318E-2</v>
      </c>
      <c r="I27" s="426"/>
      <c r="X27" s="412">
        <f t="shared" si="2"/>
        <v>3.3628380901965563E-3</v>
      </c>
    </row>
    <row r="28" spans="1:24" ht="16">
      <c r="A28" s="415">
        <v>43160</v>
      </c>
      <c r="B28" s="416">
        <v>-8.8019564289644192E-3</v>
      </c>
      <c r="C28" s="416">
        <v>1.1226885880602611E-2</v>
      </c>
      <c r="D28" s="416">
        <v>2.4766666666666665E-3</v>
      </c>
      <c r="F28" s="418">
        <f t="shared" si="0"/>
        <v>8.7502192139359437E-3</v>
      </c>
      <c r="G28" s="418">
        <f t="shared" si="1"/>
        <v>-1.1278623095631086E-2</v>
      </c>
      <c r="I28" s="426"/>
      <c r="X28" s="412">
        <f t="shared" si="2"/>
        <v>5.292919120595649E-3</v>
      </c>
    </row>
    <row r="29" spans="1:24" ht="16">
      <c r="A29" s="415">
        <v>43132</v>
      </c>
      <c r="B29" s="416">
        <v>-1.744353944873267E-2</v>
      </c>
      <c r="C29" s="416">
        <v>-3.9702110372222044E-2</v>
      </c>
      <c r="D29" s="416">
        <v>2.6058333333333333E-3</v>
      </c>
      <c r="F29" s="418">
        <f t="shared" si="0"/>
        <v>-4.2307943705555379E-2</v>
      </c>
      <c r="G29" s="418">
        <f t="shared" si="1"/>
        <v>-2.0049372782066005E-2</v>
      </c>
      <c r="I29" s="426"/>
      <c r="J29" s="422"/>
      <c r="X29" s="412">
        <f t="shared" si="2"/>
        <v>-2.559164733102625E-2</v>
      </c>
    </row>
    <row r="30" spans="1:24" ht="16">
      <c r="A30" s="415">
        <v>43101</v>
      </c>
      <c r="B30" s="416">
        <v>9.4269678603267959E-2</v>
      </c>
      <c r="C30" s="416">
        <v>2.5704794982092105E-2</v>
      </c>
      <c r="D30" s="416">
        <v>2.4516666666666667E-3</v>
      </c>
      <c r="F30" s="418">
        <f t="shared" si="0"/>
        <v>2.3253128315425437E-2</v>
      </c>
      <c r="G30" s="418">
        <f t="shared" si="1"/>
        <v>9.1818011936601288E-2</v>
      </c>
      <c r="I30" s="426"/>
      <c r="X30" s="412">
        <f t="shared" si="2"/>
        <v>1.4065582183171164E-2</v>
      </c>
    </row>
    <row r="31" spans="1:24" ht="16">
      <c r="A31" s="415">
        <v>43070</v>
      </c>
      <c r="B31" s="416">
        <v>3.5253391543454971E-2</v>
      </c>
      <c r="C31" s="416">
        <v>3.2706072337020942E-2</v>
      </c>
      <c r="D31" s="416">
        <v>2.2824999999999998E-3</v>
      </c>
      <c r="F31" s="418">
        <f t="shared" si="0"/>
        <v>3.0423572337020942E-2</v>
      </c>
      <c r="G31" s="418">
        <f t="shared" si="1"/>
        <v>3.2970891543454971E-2</v>
      </c>
      <c r="I31" s="426"/>
      <c r="X31" s="412">
        <f t="shared" si="2"/>
        <v>1.8402911264552214E-2</v>
      </c>
    </row>
    <row r="32" spans="1:24" ht="16">
      <c r="A32" s="415">
        <v>43040</v>
      </c>
      <c r="B32" s="416">
        <v>9.8744973726707652E-2</v>
      </c>
      <c r="C32" s="416">
        <v>-1.0415781181036254E-2</v>
      </c>
      <c r="D32" s="416">
        <v>2.3599999999999997E-3</v>
      </c>
      <c r="F32" s="418">
        <f t="shared" si="0"/>
        <v>-1.2775781181036254E-2</v>
      </c>
      <c r="G32" s="418">
        <f t="shared" si="1"/>
        <v>9.6384973726707651E-2</v>
      </c>
      <c r="I32" s="426"/>
      <c r="X32" s="412">
        <f t="shared" si="2"/>
        <v>-7.727940848151176E-3</v>
      </c>
    </row>
    <row r="33" spans="1:24" ht="16">
      <c r="A33" s="415">
        <v>43009</v>
      </c>
      <c r="B33" s="416">
        <v>6.0559448427305318E-2</v>
      </c>
      <c r="C33" s="416">
        <v>7.8277263575492473E-3</v>
      </c>
      <c r="D33" s="416">
        <v>2.3958333333333336E-3</v>
      </c>
      <c r="F33" s="418">
        <f t="shared" si="0"/>
        <v>5.4318930242159141E-3</v>
      </c>
      <c r="G33" s="418">
        <f t="shared" si="1"/>
        <v>5.8163615093971985E-2</v>
      </c>
      <c r="I33" s="426"/>
      <c r="X33" s="412">
        <f t="shared" si="2"/>
        <v>3.2856971632337219E-3</v>
      </c>
    </row>
    <row r="34" spans="1:24" ht="16">
      <c r="A34" s="415">
        <v>42979</v>
      </c>
      <c r="B34" s="416">
        <v>-1.480456249156259E-2</v>
      </c>
      <c r="C34" s="416">
        <v>6.0898863026537686E-2</v>
      </c>
      <c r="D34" s="416">
        <v>2.3808333333333333E-3</v>
      </c>
      <c r="F34" s="418">
        <f t="shared" si="0"/>
        <v>5.8518029693204354E-2</v>
      </c>
      <c r="G34" s="418">
        <f t="shared" si="1"/>
        <v>-1.7185395824895922E-2</v>
      </c>
      <c r="I34" s="426"/>
      <c r="X34" s="412">
        <f t="shared" si="2"/>
        <v>3.5396964429125981E-2</v>
      </c>
    </row>
    <row r="35" spans="1:24" ht="16">
      <c r="A35" s="415">
        <v>42948</v>
      </c>
      <c r="B35" s="416">
        <v>-0.10567310155822385</v>
      </c>
      <c r="C35" s="416">
        <v>-1.3935463035889772E-2</v>
      </c>
      <c r="D35" s="416">
        <v>2.2708333333333335E-3</v>
      </c>
      <c r="F35" s="418">
        <f t="shared" si="0"/>
        <v>-1.6206296369223105E-2</v>
      </c>
      <c r="G35" s="418">
        <f t="shared" si="1"/>
        <v>-0.10794393489155718</v>
      </c>
      <c r="I35" s="426"/>
      <c r="X35" s="412">
        <f t="shared" si="2"/>
        <v>-9.8030247962344105E-3</v>
      </c>
    </row>
    <row r="36" spans="1:24" ht="16">
      <c r="A36" s="415">
        <v>42917</v>
      </c>
      <c r="B36" s="416">
        <v>4.258746384154799E-3</v>
      </c>
      <c r="C36" s="416">
        <v>6.9099240501702131E-3</v>
      </c>
      <c r="D36" s="416">
        <v>2.415E-3</v>
      </c>
      <c r="F36" s="418">
        <f t="shared" si="0"/>
        <v>4.4949240501702126E-3</v>
      </c>
      <c r="G36" s="418">
        <f t="shared" si="1"/>
        <v>1.843746384154799E-3</v>
      </c>
      <c r="I36" s="426"/>
      <c r="X36" s="412">
        <f t="shared" si="2"/>
        <v>2.7189341054313521E-3</v>
      </c>
    </row>
    <row r="37" spans="1:24" ht="16">
      <c r="A37" s="415">
        <v>42887</v>
      </c>
      <c r="B37" s="416">
        <v>0.11341751875844985</v>
      </c>
      <c r="C37" s="416">
        <v>3.295117192627095E-2</v>
      </c>
      <c r="D37" s="416">
        <v>2.3666666666666667E-3</v>
      </c>
      <c r="F37" s="418">
        <f t="shared" si="0"/>
        <v>3.0584505259604284E-2</v>
      </c>
      <c r="G37" s="418">
        <f t="shared" si="1"/>
        <v>0.11105085209178318</v>
      </c>
      <c r="I37" s="426"/>
      <c r="X37" s="412">
        <f t="shared" si="2"/>
        <v>1.8500257962074728E-2</v>
      </c>
    </row>
    <row r="38" spans="1:24" ht="16">
      <c r="A38" s="415">
        <v>42856</v>
      </c>
      <c r="B38" s="416">
        <v>-4.3674383733098843E-2</v>
      </c>
      <c r="C38" s="416">
        <v>-2.1579151999547075E-2</v>
      </c>
      <c r="D38" s="416">
        <v>2.3808333333333333E-3</v>
      </c>
      <c r="F38" s="418">
        <f t="shared" si="0"/>
        <v>-2.3959985332880407E-2</v>
      </c>
      <c r="G38" s="418">
        <f t="shared" si="1"/>
        <v>-4.6055217066432175E-2</v>
      </c>
      <c r="I38" s="426"/>
      <c r="X38" s="412">
        <f t="shared" si="2"/>
        <v>-1.449315284531595E-2</v>
      </c>
    </row>
    <row r="39" spans="1:24" ht="16">
      <c r="A39" s="415">
        <v>42826</v>
      </c>
      <c r="B39" s="416">
        <v>-2.6440126403265429E-3</v>
      </c>
      <c r="C39" s="416">
        <v>1.046958665676101E-2</v>
      </c>
      <c r="D39" s="416">
        <v>2.4599999999999999E-3</v>
      </c>
      <c r="F39" s="418">
        <f t="shared" si="0"/>
        <v>8.0095866567610093E-3</v>
      </c>
      <c r="G39" s="418">
        <f t="shared" si="1"/>
        <v>-5.1040126403265433E-3</v>
      </c>
      <c r="I39" s="426"/>
      <c r="J39" s="417" t="s">
        <v>182</v>
      </c>
      <c r="X39" s="412">
        <f t="shared" si="2"/>
        <v>4.8449179760113462E-3</v>
      </c>
    </row>
    <row r="40" spans="1:24" ht="16">
      <c r="A40" s="415">
        <v>42795</v>
      </c>
      <c r="B40" s="416">
        <v>-2.5017375524202357E-2</v>
      </c>
      <c r="C40" s="416">
        <v>-5.4807884328300638E-4</v>
      </c>
      <c r="D40" s="416">
        <v>2.5149999999999999E-3</v>
      </c>
      <c r="F40" s="418">
        <f t="shared" ref="F40:F71" si="3">C40-D40</f>
        <v>-3.0630788432830063E-3</v>
      </c>
      <c r="G40" s="418">
        <f t="shared" ref="G40:G71" si="4">B40-D40</f>
        <v>-2.7532375524202356E-2</v>
      </c>
      <c r="I40" s="426"/>
      <c r="K40" s="423" t="s">
        <v>181</v>
      </c>
      <c r="L40" s="423" t="s">
        <v>180</v>
      </c>
      <c r="X40" s="412">
        <f t="shared" ref="X40:X71" si="5">$K$42*F40</f>
        <v>-1.8528254185545155E-3</v>
      </c>
    </row>
    <row r="41" spans="1:24" ht="16">
      <c r="A41" s="415">
        <v>42767</v>
      </c>
      <c r="B41" s="416">
        <v>8.0529303431491783E-2</v>
      </c>
      <c r="C41" s="416">
        <v>1.8255062332594107E-2</v>
      </c>
      <c r="D41" s="416">
        <v>2.473333333333333E-3</v>
      </c>
      <c r="F41" s="418">
        <f t="shared" si="3"/>
        <v>1.5781728999260773E-2</v>
      </c>
      <c r="G41" s="418">
        <f t="shared" si="4"/>
        <v>7.8055970098158456E-2</v>
      </c>
      <c r="I41" s="426"/>
      <c r="J41" s="412" t="s">
        <v>179</v>
      </c>
      <c r="K41" s="424">
        <f>N41</f>
        <v>1.1433333929115375E-2</v>
      </c>
      <c r="L41" s="424">
        <v>2.6835909119117827</v>
      </c>
      <c r="N41" s="412">
        <f>INTERCEPT(G8:G264,F8:F264)</f>
        <v>1.1433333929115375E-2</v>
      </c>
      <c r="O41" s="412" t="str">
        <f ca="1">_xlfn.FORMULATEXT(N41)</f>
        <v>=INTERCEPT(G8:G264,F8:F264)</v>
      </c>
      <c r="X41" s="412">
        <f t="shared" si="5"/>
        <v>9.5462082873547637E-3</v>
      </c>
    </row>
    <row r="42" spans="1:24" ht="17" thickBot="1">
      <c r="A42" s="415">
        <v>42736</v>
      </c>
      <c r="B42" s="416">
        <v>4.4478643314852961E-2</v>
      </c>
      <c r="C42" s="416">
        <v>3.4557787262246009E-3</v>
      </c>
      <c r="D42" s="416">
        <v>2.5425000000000001E-3</v>
      </c>
      <c r="F42" s="418">
        <f t="shared" si="3"/>
        <v>9.1327872622460086E-4</v>
      </c>
      <c r="G42" s="418">
        <f t="shared" si="4"/>
        <v>4.1936143314852958E-2</v>
      </c>
      <c r="I42" s="426"/>
      <c r="J42" s="412" t="s">
        <v>178</v>
      </c>
      <c r="K42" s="425">
        <f>N42</f>
        <v>0.60488988803456922</v>
      </c>
      <c r="L42" s="424">
        <v>7.484967970794953</v>
      </c>
      <c r="N42" s="412">
        <f>SLOPE(G8:G264,F8:F264)</f>
        <v>0.60488988803456922</v>
      </c>
      <c r="O42" s="412" t="str">
        <f ca="1">_xlfn.FORMULATEXT(N42)</f>
        <v>=SLOPE(G8:G264,F8:F264)</v>
      </c>
      <c r="X42" s="412">
        <f t="shared" si="5"/>
        <v>5.5243306645035278E-4</v>
      </c>
    </row>
    <row r="43" spans="1:24" ht="16">
      <c r="A43" s="415">
        <v>42705</v>
      </c>
      <c r="B43" s="416">
        <v>1.517880603780708E-2</v>
      </c>
      <c r="C43" s="416">
        <v>2.6309451347249047E-2</v>
      </c>
      <c r="D43" s="416">
        <v>2.5525000000000001E-3</v>
      </c>
      <c r="F43" s="418">
        <f t="shared" si="3"/>
        <v>2.3756951347249047E-2</v>
      </c>
      <c r="G43" s="418">
        <f t="shared" si="4"/>
        <v>1.2626306037807081E-2</v>
      </c>
      <c r="I43" s="426"/>
      <c r="X43" s="412">
        <f t="shared" si="5"/>
        <v>1.4370339640480184E-2</v>
      </c>
    </row>
    <row r="44" spans="1:24" ht="16">
      <c r="A44" s="415">
        <v>42675</v>
      </c>
      <c r="B44" s="416">
        <v>-2.1919863275519091E-3</v>
      </c>
      <c r="C44" s="416">
        <v>0.10991358778510496</v>
      </c>
      <c r="D44" s="416">
        <v>2.5141666666666667E-3</v>
      </c>
      <c r="F44" s="418">
        <f t="shared" si="3"/>
        <v>0.1073994211184383</v>
      </c>
      <c r="G44" s="418">
        <f t="shared" si="4"/>
        <v>-4.7061529942185754E-3</v>
      </c>
      <c r="I44" s="426"/>
      <c r="X44" s="412">
        <f t="shared" si="5"/>
        <v>6.4964823815309686E-2</v>
      </c>
    </row>
    <row r="45" spans="1:24" ht="16">
      <c r="A45" s="415">
        <v>42644</v>
      </c>
      <c r="B45" s="416">
        <v>-4.4260713843641275E-2</v>
      </c>
      <c r="C45" s="416">
        <v>-4.8144455594242075E-2</v>
      </c>
      <c r="D45" s="416">
        <v>2.1575000000000001E-3</v>
      </c>
      <c r="F45" s="418">
        <f t="shared" si="3"/>
        <v>-5.0301955594242075E-2</v>
      </c>
      <c r="G45" s="418">
        <f t="shared" si="4"/>
        <v>-4.6418213843641275E-2</v>
      </c>
      <c r="I45" s="426"/>
      <c r="X45" s="412">
        <f t="shared" si="5"/>
        <v>-3.0427144287320962E-2</v>
      </c>
    </row>
    <row r="46" spans="1:24" ht="16">
      <c r="A46" s="415">
        <v>42614</v>
      </c>
      <c r="B46" s="416">
        <v>-8.6571761831363503E-2</v>
      </c>
      <c r="C46" s="416">
        <v>9.4684208354427479E-3</v>
      </c>
      <c r="D46" s="416">
        <v>1.9466666666666666E-3</v>
      </c>
      <c r="F46" s="418">
        <f t="shared" si="3"/>
        <v>7.5217541687760811E-3</v>
      </c>
      <c r="G46" s="418">
        <f t="shared" si="4"/>
        <v>-8.8518428498030169E-2</v>
      </c>
      <c r="I46" s="426"/>
      <c r="X46" s="412">
        <f t="shared" si="5"/>
        <v>4.5498330369745177E-3</v>
      </c>
    </row>
    <row r="47" spans="1:24" ht="16">
      <c r="A47" s="415">
        <v>42583</v>
      </c>
      <c r="B47" s="416">
        <v>3.8558575440012399E-2</v>
      </c>
      <c r="C47" s="416">
        <v>1.6369734549087855E-2</v>
      </c>
      <c r="D47" s="416">
        <v>1.8591666666666667E-3</v>
      </c>
      <c r="F47" s="418">
        <f t="shared" si="3"/>
        <v>1.4510567882421188E-2</v>
      </c>
      <c r="G47" s="418">
        <f t="shared" si="4"/>
        <v>3.6699408773345731E-2</v>
      </c>
      <c r="I47" s="426"/>
      <c r="X47" s="412">
        <f t="shared" si="5"/>
        <v>8.7772957817157694E-3</v>
      </c>
    </row>
    <row r="48" spans="1:24" ht="16">
      <c r="A48" s="415">
        <v>42552</v>
      </c>
      <c r="B48" s="416">
        <v>8.3718939026085071E-3</v>
      </c>
      <c r="C48" s="416">
        <v>5.9049147859085327E-2</v>
      </c>
      <c r="D48" s="416">
        <v>1.8183333333333333E-3</v>
      </c>
      <c r="F48" s="418">
        <f t="shared" si="3"/>
        <v>5.7230814525751995E-2</v>
      </c>
      <c r="G48" s="418">
        <f t="shared" si="4"/>
        <v>6.5535605692751738E-3</v>
      </c>
      <c r="I48" s="426"/>
      <c r="X48" s="412">
        <f t="shared" si="5"/>
        <v>3.4618340990609321E-2</v>
      </c>
    </row>
    <row r="49" spans="1:24" ht="16">
      <c r="A49" s="415">
        <v>42522</v>
      </c>
      <c r="B49" s="416">
        <v>-3.6228655151837597E-4</v>
      </c>
      <c r="C49" s="416">
        <v>-2.4852959439148892E-3</v>
      </c>
      <c r="D49" s="416">
        <v>1.9224999999999999E-3</v>
      </c>
      <c r="F49" s="418">
        <f t="shared" si="3"/>
        <v>-4.4077959439148889E-3</v>
      </c>
      <c r="G49" s="418">
        <f t="shared" si="4"/>
        <v>-2.2847865515183757E-3</v>
      </c>
      <c r="I49" s="426"/>
      <c r="X49" s="412">
        <f t="shared" si="5"/>
        <v>-2.6662311949939054E-3</v>
      </c>
    </row>
    <row r="50" spans="1:24" ht="16">
      <c r="A50" s="415">
        <v>42491</v>
      </c>
      <c r="B50" s="416">
        <v>-6.3114778080314737E-2</v>
      </c>
      <c r="C50" s="416">
        <v>2.1169972594136555E-2</v>
      </c>
      <c r="D50" s="416">
        <v>2.1908333333333333E-3</v>
      </c>
      <c r="F50" s="418">
        <f t="shared" si="3"/>
        <v>1.8979139260803222E-2</v>
      </c>
      <c r="G50" s="418">
        <f t="shared" si="4"/>
        <v>-6.5305611413648074E-2</v>
      </c>
      <c r="I50" s="426"/>
      <c r="X50" s="412">
        <f t="shared" si="5"/>
        <v>1.1480289422459758E-2</v>
      </c>
    </row>
    <row r="51" spans="1:24" ht="16">
      <c r="A51" s="415">
        <v>42461</v>
      </c>
      <c r="B51" s="416">
        <v>-3.8686230077336736E-2</v>
      </c>
      <c r="C51" s="416">
        <v>1.5098288701515639E-2</v>
      </c>
      <c r="D51" s="416">
        <v>2.2216666666666665E-3</v>
      </c>
      <c r="F51" s="418">
        <f t="shared" si="3"/>
        <v>1.2876622034848972E-2</v>
      </c>
      <c r="G51" s="418">
        <f t="shared" si="4"/>
        <v>-4.09078967440034E-2</v>
      </c>
      <c r="I51" s="426"/>
      <c r="X51" s="412">
        <f t="shared" si="5"/>
        <v>7.7889384609232618E-3</v>
      </c>
    </row>
    <row r="52" spans="1:24" ht="16">
      <c r="A52" s="415">
        <v>42430</v>
      </c>
      <c r="B52" s="416">
        <v>-1.948494393148259E-3</v>
      </c>
      <c r="C52" s="416">
        <v>7.7502662868687455E-2</v>
      </c>
      <c r="D52" s="416">
        <v>2.1833333333333336E-3</v>
      </c>
      <c r="F52" s="418">
        <f t="shared" si="3"/>
        <v>7.5319329535354126E-2</v>
      </c>
      <c r="G52" s="418">
        <f t="shared" si="4"/>
        <v>-4.131827726481593E-3</v>
      </c>
      <c r="I52" s="426"/>
      <c r="X52" s="412">
        <f t="shared" si="5"/>
        <v>4.5559900809479179E-2</v>
      </c>
    </row>
    <row r="53" spans="1:24" ht="16">
      <c r="A53" s="415">
        <v>42401</v>
      </c>
      <c r="B53" s="416">
        <v>-6.7729674325477385E-3</v>
      </c>
      <c r="C53" s="416">
        <v>-1.4294085194352935E-3</v>
      </c>
      <c r="D53" s="416">
        <v>2.1791666666666669E-3</v>
      </c>
      <c r="F53" s="418">
        <f t="shared" si="3"/>
        <v>-3.6085751861019604E-3</v>
      </c>
      <c r="G53" s="418">
        <f t="shared" si="4"/>
        <v>-8.9521340992144045E-3</v>
      </c>
      <c r="I53" s="426"/>
      <c r="X53" s="412">
        <f t="shared" si="5"/>
        <v>-2.1827906402855394E-3</v>
      </c>
    </row>
    <row r="54" spans="1:24" ht="16">
      <c r="A54" s="415">
        <v>42370</v>
      </c>
      <c r="B54" s="416">
        <v>-5.4350759085399769E-3</v>
      </c>
      <c r="C54" s="416">
        <v>-8.8485688466941936E-2</v>
      </c>
      <c r="D54" s="416">
        <v>2.2983333333333332E-3</v>
      </c>
      <c r="F54" s="418">
        <f t="shared" si="3"/>
        <v>-9.0784021800275269E-2</v>
      </c>
      <c r="G54" s="418">
        <f t="shared" si="4"/>
        <v>-7.7334092418733097E-3</v>
      </c>
      <c r="I54" s="426"/>
      <c r="X54" s="412">
        <f t="shared" si="5"/>
        <v>-5.4914336782096396E-2</v>
      </c>
    </row>
    <row r="55" spans="1:24" ht="16">
      <c r="A55" s="415">
        <v>42339</v>
      </c>
      <c r="B55" s="416">
        <v>-5.5034475254722492E-2</v>
      </c>
      <c r="C55" s="416">
        <v>-5.1931768184036997E-2</v>
      </c>
      <c r="D55" s="416">
        <v>2.5125E-3</v>
      </c>
      <c r="F55" s="418">
        <f t="shared" si="3"/>
        <v>-5.4444268184036998E-2</v>
      </c>
      <c r="G55" s="418">
        <f t="shared" si="4"/>
        <v>-5.7546975254722493E-2</v>
      </c>
      <c r="I55" s="426"/>
      <c r="X55" s="412">
        <f t="shared" si="5"/>
        <v>-3.29327872859662E-2</v>
      </c>
    </row>
    <row r="56" spans="1:24" ht="16">
      <c r="A56" s="415">
        <v>42309</v>
      </c>
      <c r="B56" s="416">
        <v>9.5396782873982122E-3</v>
      </c>
      <c r="C56" s="416">
        <v>3.1199972860757486E-2</v>
      </c>
      <c r="D56" s="416">
        <v>2.4916666666666668E-3</v>
      </c>
      <c r="F56" s="418">
        <f t="shared" si="3"/>
        <v>2.8708306194090819E-2</v>
      </c>
      <c r="G56" s="418">
        <f t="shared" si="4"/>
        <v>7.0480116207315459E-3</v>
      </c>
      <c r="I56" s="426"/>
      <c r="X56" s="412">
        <f t="shared" si="5"/>
        <v>1.7365364119405726E-2</v>
      </c>
    </row>
    <row r="57" spans="1:24" ht="16">
      <c r="A57" s="415">
        <v>42278</v>
      </c>
      <c r="B57" s="416">
        <v>6.8246396266410381E-2</v>
      </c>
      <c r="C57" s="416">
        <v>5.5574273663685503E-2</v>
      </c>
      <c r="D57" s="416">
        <v>2.4441666666666665E-3</v>
      </c>
      <c r="F57" s="418">
        <f t="shared" si="3"/>
        <v>5.3130106997018839E-2</v>
      </c>
      <c r="G57" s="418">
        <f t="shared" si="4"/>
        <v>6.5802229599743717E-2</v>
      </c>
      <c r="I57" s="426"/>
      <c r="X57" s="412">
        <f t="shared" si="5"/>
        <v>3.2137864472691409E-2</v>
      </c>
    </row>
    <row r="58" spans="1:24" ht="16">
      <c r="A58" s="415">
        <v>42248</v>
      </c>
      <c r="B58" s="416">
        <v>0.10040259734424239</v>
      </c>
      <c r="C58" s="416">
        <v>-5.0679212112019756E-2</v>
      </c>
      <c r="D58" s="416">
        <v>2.3999999999999998E-3</v>
      </c>
      <c r="F58" s="418">
        <f t="shared" si="3"/>
        <v>-5.3079212112019755E-2</v>
      </c>
      <c r="G58" s="418">
        <f t="shared" si="4"/>
        <v>9.8002597344242395E-2</v>
      </c>
      <c r="I58" s="426"/>
      <c r="X58" s="412">
        <f t="shared" si="5"/>
        <v>-3.2107078671402778E-2</v>
      </c>
    </row>
    <row r="59" spans="1:24" ht="16">
      <c r="A59" s="415">
        <v>42217</v>
      </c>
      <c r="B59" s="416">
        <v>-3.0116303181540016E-2</v>
      </c>
      <c r="C59" s="416">
        <v>-6.3963331567458925E-2</v>
      </c>
      <c r="D59" s="416">
        <v>2.4424999999999998E-3</v>
      </c>
      <c r="F59" s="418">
        <f t="shared" si="3"/>
        <v>-6.6405831567458926E-2</v>
      </c>
      <c r="G59" s="418">
        <f t="shared" si="4"/>
        <v>-3.2558803181540016E-2</v>
      </c>
      <c r="I59" s="426"/>
      <c r="X59" s="412">
        <f t="shared" si="5"/>
        <v>-4.016821602168269E-2</v>
      </c>
    </row>
    <row r="60" spans="1:24" ht="16">
      <c r="A60" s="415">
        <v>42186</v>
      </c>
      <c r="B60" s="416">
        <v>6.6654566314603869E-2</v>
      </c>
      <c r="C60" s="416">
        <v>-1.21774373752499E-2</v>
      </c>
      <c r="D60" s="416">
        <v>2.4391666666666667E-3</v>
      </c>
      <c r="F60" s="418">
        <f t="shared" si="3"/>
        <v>-1.4616604041916566E-2</v>
      </c>
      <c r="G60" s="418">
        <f t="shared" si="4"/>
        <v>6.4215399647937196E-2</v>
      </c>
      <c r="I60" s="426"/>
      <c r="X60" s="412">
        <f t="shared" si="5"/>
        <v>-8.8414359823605435E-3</v>
      </c>
    </row>
    <row r="61" spans="1:24" ht="16">
      <c r="A61" s="415">
        <v>42156</v>
      </c>
      <c r="B61" s="416">
        <v>6.5357276233503514E-2</v>
      </c>
      <c r="C61" s="416">
        <v>5.9524614950130506E-3</v>
      </c>
      <c r="D61" s="416">
        <v>2.5866666666666668E-3</v>
      </c>
      <c r="F61" s="418">
        <f t="shared" si="3"/>
        <v>3.3657948283463838E-3</v>
      </c>
      <c r="G61" s="418">
        <f t="shared" si="4"/>
        <v>6.2770609566836846E-2</v>
      </c>
      <c r="I61" s="426"/>
      <c r="X61" s="412">
        <f t="shared" si="5"/>
        <v>2.035935256865776E-3</v>
      </c>
    </row>
    <row r="62" spans="1:24" ht="16">
      <c r="A62" s="415">
        <v>42125</v>
      </c>
      <c r="B62" s="416">
        <v>2.8632322154941825E-2</v>
      </c>
      <c r="C62" s="416">
        <v>2.1637058257574893E-2</v>
      </c>
      <c r="D62" s="416">
        <v>2.3725E-3</v>
      </c>
      <c r="F62" s="418">
        <f t="shared" si="3"/>
        <v>1.9264558257574893E-2</v>
      </c>
      <c r="G62" s="418">
        <f t="shared" si="4"/>
        <v>2.6259822154941825E-2</v>
      </c>
      <c r="I62" s="426"/>
      <c r="X62" s="412">
        <f t="shared" si="5"/>
        <v>1.1652936487459914E-2</v>
      </c>
    </row>
    <row r="63" spans="1:24" ht="16">
      <c r="A63" s="415">
        <v>42095</v>
      </c>
      <c r="B63" s="416">
        <v>-1.4851089830308806E-2</v>
      </c>
      <c r="C63" s="416">
        <v>-2.6054275309046693E-2</v>
      </c>
      <c r="D63" s="416">
        <v>2.294166666666667E-3</v>
      </c>
      <c r="F63" s="418">
        <f t="shared" si="3"/>
        <v>-2.8348441975713359E-2</v>
      </c>
      <c r="G63" s="418">
        <f t="shared" si="4"/>
        <v>-1.7145256496975472E-2</v>
      </c>
      <c r="I63" s="426"/>
      <c r="X63" s="412">
        <f t="shared" si="5"/>
        <v>-1.7147685892643736E-2</v>
      </c>
    </row>
    <row r="64" spans="1:24" ht="16">
      <c r="A64" s="415">
        <v>42064</v>
      </c>
      <c r="B64" s="416">
        <v>3.6048057724613392E-2</v>
      </c>
      <c r="C64" s="416">
        <v>1.5729282436451664E-2</v>
      </c>
      <c r="D64" s="416">
        <v>2.1199999999999999E-3</v>
      </c>
      <c r="F64" s="418">
        <f t="shared" si="3"/>
        <v>1.3609282436451663E-2</v>
      </c>
      <c r="G64" s="418">
        <f t="shared" si="4"/>
        <v>3.3928057724613395E-2</v>
      </c>
      <c r="I64" s="426"/>
      <c r="X64" s="412">
        <f t="shared" si="5"/>
        <v>8.2321173292160769E-3</v>
      </c>
    </row>
    <row r="65" spans="1:24" ht="16">
      <c r="A65" s="415">
        <v>42036</v>
      </c>
      <c r="B65" s="416">
        <v>5.2791370189031239E-2</v>
      </c>
      <c r="C65" s="416">
        <v>5.8332385832222888E-2</v>
      </c>
      <c r="D65" s="416">
        <v>2.166666666666667E-3</v>
      </c>
      <c r="F65" s="418">
        <f t="shared" si="3"/>
        <v>5.6165719165556224E-2</v>
      </c>
      <c r="G65" s="418">
        <f t="shared" si="4"/>
        <v>5.0624703522364575E-2</v>
      </c>
      <c r="I65" s="426"/>
      <c r="X65" s="412">
        <f t="shared" si="5"/>
        <v>3.3974075577434364E-2</v>
      </c>
    </row>
    <row r="66" spans="1:24" ht="16">
      <c r="A66" s="415">
        <v>42005</v>
      </c>
      <c r="B66" s="416">
        <v>-3.7803042396824305E-2</v>
      </c>
      <c r="C66" s="416">
        <v>-3.2630478624465442E-2</v>
      </c>
      <c r="D66" s="416">
        <v>1.8758333333333333E-3</v>
      </c>
      <c r="F66" s="418">
        <f t="shared" si="3"/>
        <v>-3.4506311957798776E-2</v>
      </c>
      <c r="G66" s="418">
        <f t="shared" si="4"/>
        <v>-3.9678875730157638E-2</v>
      </c>
      <c r="I66" s="426"/>
      <c r="X66" s="412">
        <f t="shared" si="5"/>
        <v>-2.0872519176638817E-2</v>
      </c>
    </row>
    <row r="67" spans="1:24" ht="16">
      <c r="A67" s="415">
        <v>41974</v>
      </c>
      <c r="B67" s="416">
        <v>-3.1624500736818884E-2</v>
      </c>
      <c r="C67" s="416">
        <v>2.6823360753191805E-2</v>
      </c>
      <c r="D67" s="416">
        <v>2.2908333333333335E-3</v>
      </c>
      <c r="F67" s="418">
        <f t="shared" si="3"/>
        <v>2.4532527419858473E-2</v>
      </c>
      <c r="G67" s="418">
        <f t="shared" si="4"/>
        <v>-3.3915334070152216E-2</v>
      </c>
      <c r="I67" s="426"/>
      <c r="X67" s="412">
        <f t="shared" si="5"/>
        <v>1.4839477764203191E-2</v>
      </c>
    </row>
    <row r="68" spans="1:24" ht="16">
      <c r="A68" s="415">
        <v>41944</v>
      </c>
      <c r="B68" s="416">
        <v>6.7979185922268481E-2</v>
      </c>
      <c r="C68" s="416">
        <v>-2.3862600030133407E-4</v>
      </c>
      <c r="D68" s="416">
        <v>2.4250000000000001E-3</v>
      </c>
      <c r="F68" s="418">
        <f t="shared" si="3"/>
        <v>-2.6636260003013341E-3</v>
      </c>
      <c r="G68" s="418">
        <f t="shared" si="4"/>
        <v>6.5554185922268485E-2</v>
      </c>
      <c r="I68" s="426"/>
      <c r="X68" s="412">
        <f t="shared" si="5"/>
        <v>-1.6112004330882414E-3</v>
      </c>
    </row>
    <row r="69" spans="1:24" ht="16">
      <c r="A69" s="415">
        <v>41913</v>
      </c>
      <c r="B69" s="416">
        <v>4.2264516365502658E-2</v>
      </c>
      <c r="C69" s="416">
        <v>6.5200378040065843E-2</v>
      </c>
      <c r="D69" s="416">
        <v>2.5500000000000002E-3</v>
      </c>
      <c r="F69" s="418">
        <f t="shared" si="3"/>
        <v>6.2650378040065846E-2</v>
      </c>
      <c r="G69" s="418">
        <f t="shared" si="4"/>
        <v>3.9714516365502661E-2</v>
      </c>
      <c r="I69" s="426"/>
      <c r="X69" s="412">
        <f t="shared" si="5"/>
        <v>3.7896580157978865E-2</v>
      </c>
    </row>
    <row r="70" spans="1:24" ht="16">
      <c r="A70" s="415">
        <v>41883</v>
      </c>
      <c r="B70" s="416">
        <v>0.13901102086919392</v>
      </c>
      <c r="C70" s="416">
        <v>-6.1880975420567474E-2</v>
      </c>
      <c r="D70" s="416">
        <v>2.676666666666667E-3</v>
      </c>
      <c r="F70" s="418">
        <f t="shared" si="3"/>
        <v>-6.4557642087234135E-2</v>
      </c>
      <c r="G70" s="418">
        <f t="shared" si="4"/>
        <v>0.13633435420252726</v>
      </c>
      <c r="I70" s="426"/>
      <c r="X70" s="412">
        <f t="shared" si="5"/>
        <v>-3.9050264893922847E-2</v>
      </c>
    </row>
    <row r="71" spans="1:24" ht="16">
      <c r="A71" s="415">
        <v>41852</v>
      </c>
      <c r="B71" s="416">
        <v>1.841082916363912E-2</v>
      </c>
      <c r="C71" s="416">
        <v>4.846128600615085E-2</v>
      </c>
      <c r="D71" s="416">
        <v>2.5666666666666667E-3</v>
      </c>
      <c r="F71" s="418">
        <f t="shared" si="3"/>
        <v>4.5894619339484181E-2</v>
      </c>
      <c r="G71" s="418">
        <f t="shared" si="4"/>
        <v>1.5844162496972451E-2</v>
      </c>
      <c r="I71" s="426"/>
      <c r="X71" s="412">
        <f t="shared" si="5"/>
        <v>2.7761191153649761E-2</v>
      </c>
    </row>
    <row r="72" spans="1:24" ht="16">
      <c r="A72" s="415">
        <v>41821</v>
      </c>
      <c r="B72" s="416">
        <v>-5.4156508535955217E-3</v>
      </c>
      <c r="C72" s="416">
        <v>-6.1100135279393508E-2</v>
      </c>
      <c r="D72" s="416">
        <v>2.7591666666666667E-3</v>
      </c>
      <c r="F72" s="418">
        <f t="shared" ref="F72:F103" si="6">C72-D72</f>
        <v>-6.3859301946060182E-2</v>
      </c>
      <c r="G72" s="418">
        <f t="shared" ref="G72:G103" si="7">B72-D72</f>
        <v>-8.1748175202621884E-3</v>
      </c>
      <c r="I72" s="426"/>
      <c r="X72" s="412">
        <f t="shared" ref="X72:X103" si="8">$K$42*F72</f>
        <v>-3.8627846004118095E-2</v>
      </c>
    </row>
    <row r="73" spans="1:24" ht="16">
      <c r="A73" s="415">
        <v>41791</v>
      </c>
      <c r="B73" s="416">
        <v>1.1504193103122562E-2</v>
      </c>
      <c r="C73" s="416">
        <v>5.1529273688849742E-2</v>
      </c>
      <c r="D73" s="416">
        <v>2.7816666666666667E-3</v>
      </c>
      <c r="F73" s="418">
        <f t="shared" si="6"/>
        <v>4.8747607022183073E-2</v>
      </c>
      <c r="G73" s="418">
        <f t="shared" si="7"/>
        <v>8.7225264364558953E-3</v>
      </c>
      <c r="I73" s="426"/>
      <c r="X73" s="412">
        <f t="shared" si="8"/>
        <v>2.9486934553601501E-2</v>
      </c>
    </row>
    <row r="74" spans="1:24" ht="16">
      <c r="A74" s="415">
        <v>41760</v>
      </c>
      <c r="B74" s="416">
        <v>5.4283554696640923E-2</v>
      </c>
      <c r="C74" s="416">
        <v>6.7799150752521076E-3</v>
      </c>
      <c r="D74" s="416">
        <v>2.761666666666667E-3</v>
      </c>
      <c r="F74" s="418">
        <f t="shared" si="6"/>
        <v>4.0182484085854401E-3</v>
      </c>
      <c r="G74" s="418">
        <f t="shared" si="7"/>
        <v>5.1521888029974254E-2</v>
      </c>
      <c r="I74" s="426"/>
      <c r="X74" s="412">
        <f t="shared" si="8"/>
        <v>2.430597829964333E-3</v>
      </c>
    </row>
    <row r="75" spans="1:24" ht="16">
      <c r="A75" s="415">
        <v>41730</v>
      </c>
      <c r="B75" s="416">
        <v>-1.2320610023341061E-2</v>
      </c>
      <c r="C75" s="416">
        <v>-3.9367841219953403E-2</v>
      </c>
      <c r="D75" s="416">
        <v>2.8816666666666665E-3</v>
      </c>
      <c r="F75" s="418">
        <f t="shared" si="6"/>
        <v>-4.2249507886620068E-2</v>
      </c>
      <c r="G75" s="418">
        <f t="shared" si="7"/>
        <v>-1.5202276690007727E-2</v>
      </c>
      <c r="I75" s="426"/>
      <c r="X75" s="412">
        <f t="shared" si="8"/>
        <v>-2.5556300095053261E-2</v>
      </c>
    </row>
    <row r="76" spans="1:24" ht="16">
      <c r="A76" s="415">
        <v>41699</v>
      </c>
      <c r="B76" s="416">
        <v>-5.3809115493700932E-2</v>
      </c>
      <c r="C76" s="416">
        <v>-8.4444094867519581E-3</v>
      </c>
      <c r="D76" s="416">
        <v>2.9675000000000001E-3</v>
      </c>
      <c r="F76" s="418">
        <f t="shared" si="6"/>
        <v>-1.1411909486751958E-2</v>
      </c>
      <c r="G76" s="418">
        <f t="shared" si="7"/>
        <v>-5.677661549370093E-2</v>
      </c>
      <c r="I76" s="426"/>
      <c r="X76" s="412">
        <f t="shared" si="8"/>
        <v>-6.9029486517020299E-3</v>
      </c>
    </row>
    <row r="77" spans="1:24" ht="16">
      <c r="A77" s="415">
        <v>41671</v>
      </c>
      <c r="B77" s="416">
        <v>7.481118788577712E-2</v>
      </c>
      <c r="C77" s="416">
        <v>4.6114551295829198E-2</v>
      </c>
      <c r="D77" s="416">
        <v>2.9933333333333335E-3</v>
      </c>
      <c r="F77" s="418">
        <f t="shared" si="6"/>
        <v>4.3121217962495864E-2</v>
      </c>
      <c r="G77" s="418">
        <f t="shared" si="7"/>
        <v>7.1817854552443786E-2</v>
      </c>
      <c r="I77" s="426"/>
      <c r="X77" s="412">
        <f t="shared" si="8"/>
        <v>2.6083588705248378E-2</v>
      </c>
    </row>
    <row r="78" spans="1:24" ht="16">
      <c r="A78" s="415">
        <v>41640</v>
      </c>
      <c r="B78" s="416">
        <v>-7.0724144188321736E-2</v>
      </c>
      <c r="C78" s="416">
        <v>-2.8153045252573228E-2</v>
      </c>
      <c r="D78" s="416">
        <v>3.0183333333333334E-3</v>
      </c>
      <c r="F78" s="418">
        <f t="shared" si="6"/>
        <v>-3.1171378585906562E-2</v>
      </c>
      <c r="G78" s="418">
        <f t="shared" si="7"/>
        <v>-7.3742477521655067E-2</v>
      </c>
      <c r="I78" s="426"/>
      <c r="X78" s="412">
        <f t="shared" si="8"/>
        <v>-1.885525170271219E-2</v>
      </c>
    </row>
    <row r="79" spans="1:24" ht="16">
      <c r="A79" s="415">
        <v>41609</v>
      </c>
      <c r="B79" s="416">
        <v>-6.3179057495345026E-3</v>
      </c>
      <c r="C79" s="416">
        <v>1.8155727784532338E-2</v>
      </c>
      <c r="D79" s="416">
        <v>3.3033333333333335E-3</v>
      </c>
      <c r="F79" s="418">
        <f t="shared" si="6"/>
        <v>1.4852394451199005E-2</v>
      </c>
      <c r="G79" s="418">
        <f t="shared" si="7"/>
        <v>-9.621239082867836E-3</v>
      </c>
      <c r="I79" s="426"/>
      <c r="X79" s="412">
        <f t="shared" si="8"/>
        <v>8.9840632166310226E-3</v>
      </c>
    </row>
    <row r="80" spans="1:24" ht="16">
      <c r="A80" s="415">
        <v>41579</v>
      </c>
      <c r="B80" s="416">
        <v>4.4614714348406359E-2</v>
      </c>
      <c r="C80" s="416">
        <v>3.88492388016346E-2</v>
      </c>
      <c r="D80" s="416">
        <v>3.1733333333333331E-3</v>
      </c>
      <c r="F80" s="418">
        <f t="shared" si="6"/>
        <v>3.5675905468301267E-2</v>
      </c>
      <c r="G80" s="418">
        <f t="shared" si="7"/>
        <v>4.1441381015073026E-2</v>
      </c>
      <c r="I80" s="426"/>
      <c r="X80" s="412">
        <f t="shared" si="8"/>
        <v>2.1579994464252628E-2</v>
      </c>
    </row>
    <row r="81" spans="1:24" ht="16">
      <c r="A81" s="415">
        <v>41548</v>
      </c>
      <c r="B81" s="416">
        <v>4.2951656012043982E-2</v>
      </c>
      <c r="C81" s="416">
        <v>2.4548546776005375E-2</v>
      </c>
      <c r="D81" s="416">
        <v>3.0258333333333331E-3</v>
      </c>
      <c r="F81" s="418">
        <f t="shared" si="6"/>
        <v>2.1522713442672044E-2</v>
      </c>
      <c r="G81" s="418">
        <f t="shared" si="7"/>
        <v>3.992582267871065E-2</v>
      </c>
      <c r="I81" s="426"/>
      <c r="X81" s="412">
        <f t="shared" si="8"/>
        <v>1.3018871724538011E-2</v>
      </c>
    </row>
    <row r="82" spans="1:24" ht="16">
      <c r="A82" s="415">
        <v>41518</v>
      </c>
      <c r="B82" s="416">
        <v>0.16016402143050734</v>
      </c>
      <c r="C82" s="416">
        <v>6.2211903755974074E-2</v>
      </c>
      <c r="D82" s="416">
        <v>3.0716666666666666E-3</v>
      </c>
      <c r="F82" s="418">
        <f t="shared" si="6"/>
        <v>5.9140237089307407E-2</v>
      </c>
      <c r="G82" s="418">
        <f t="shared" si="7"/>
        <v>0.15709235476384067</v>
      </c>
      <c r="I82" s="426"/>
      <c r="X82" s="412">
        <f t="shared" si="8"/>
        <v>3.5773331391289034E-2</v>
      </c>
    </row>
    <row r="83" spans="1:24" ht="16">
      <c r="A83" s="415">
        <v>41487</v>
      </c>
      <c r="B83" s="416">
        <v>-1.5892715906388188E-3</v>
      </c>
      <c r="C83" s="416">
        <v>-3.2872190336641682E-2</v>
      </c>
      <c r="D83" s="416">
        <v>3.0633333333333333E-3</v>
      </c>
      <c r="F83" s="418">
        <f t="shared" si="6"/>
        <v>-3.5935523669975017E-2</v>
      </c>
      <c r="G83" s="418">
        <f t="shared" si="7"/>
        <v>-4.6526049239721517E-3</v>
      </c>
      <c r="I83" s="426"/>
      <c r="X83" s="412">
        <f t="shared" si="8"/>
        <v>-2.17370348891948E-2</v>
      </c>
    </row>
    <row r="84" spans="1:24" ht="16">
      <c r="A84" s="415">
        <v>41456</v>
      </c>
      <c r="B84" s="416">
        <v>-1.1934770074120582E-2</v>
      </c>
      <c r="C84" s="416">
        <v>6.9341604316029093E-2</v>
      </c>
      <c r="D84" s="416">
        <v>3.0383333333333334E-3</v>
      </c>
      <c r="F84" s="418">
        <f t="shared" si="6"/>
        <v>6.6303270982695756E-2</v>
      </c>
      <c r="G84" s="418">
        <f t="shared" si="7"/>
        <v>-1.4973103407453916E-2</v>
      </c>
      <c r="I84" s="426"/>
      <c r="X84" s="412">
        <f t="shared" si="8"/>
        <v>4.0106178161048535E-2</v>
      </c>
    </row>
    <row r="85" spans="1:24" ht="16">
      <c r="A85" s="415">
        <v>41426</v>
      </c>
      <c r="B85" s="416">
        <v>3.6218121424164806E-2</v>
      </c>
      <c r="C85" s="416">
        <v>-6.7774666842868037E-3</v>
      </c>
      <c r="D85" s="416">
        <v>2.9150000000000005E-3</v>
      </c>
      <c r="F85" s="418">
        <f t="shared" si="6"/>
        <v>-9.6924666842868046E-3</v>
      </c>
      <c r="G85" s="418">
        <f t="shared" si="7"/>
        <v>3.3303121424164805E-2</v>
      </c>
      <c r="I85" s="426"/>
      <c r="X85" s="412">
        <f t="shared" si="8"/>
        <v>-5.8628750874370377E-3</v>
      </c>
    </row>
    <row r="86" spans="1:24" ht="16">
      <c r="A86" s="415">
        <v>41395</v>
      </c>
      <c r="B86" s="416">
        <v>-3.050303603885296E-2</v>
      </c>
      <c r="C86" s="416">
        <v>3.8724591168027178E-2</v>
      </c>
      <c r="D86" s="416">
        <v>2.7566666666666664E-3</v>
      </c>
      <c r="F86" s="418">
        <f t="shared" si="6"/>
        <v>3.5967924501360514E-2</v>
      </c>
      <c r="G86" s="418">
        <f t="shared" si="7"/>
        <v>-3.3259702705519624E-2</v>
      </c>
      <c r="I86" s="426"/>
      <c r="X86" s="412">
        <f t="shared" si="8"/>
        <v>2.17566338244638E-2</v>
      </c>
    </row>
    <row r="87" spans="1:24" ht="16">
      <c r="A87" s="415">
        <v>41365</v>
      </c>
      <c r="B87" s="416">
        <v>7.7783444994417028E-2</v>
      </c>
      <c r="C87" s="416">
        <v>-4.2877399734433386E-3</v>
      </c>
      <c r="D87" s="416">
        <v>2.4033333333333333E-3</v>
      </c>
      <c r="F87" s="418">
        <f t="shared" si="6"/>
        <v>-6.6910733067766723E-3</v>
      </c>
      <c r="G87" s="418">
        <f t="shared" si="7"/>
        <v>7.5380111661083701E-2</v>
      </c>
      <c r="I87" s="426"/>
      <c r="X87" s="412">
        <f t="shared" si="8"/>
        <v>-4.0473625833672361E-3</v>
      </c>
    </row>
    <row r="88" spans="1:24" ht="16">
      <c r="A88" s="415">
        <v>41334</v>
      </c>
      <c r="B88" s="416">
        <v>8.7751131538203575E-2</v>
      </c>
      <c r="C88" s="416">
        <v>4.4374437406697886E-2</v>
      </c>
      <c r="D88" s="416">
        <v>2.5866666666666668E-3</v>
      </c>
      <c r="F88" s="418">
        <f t="shared" si="6"/>
        <v>4.1787770740031219E-2</v>
      </c>
      <c r="G88" s="418">
        <f t="shared" si="7"/>
        <v>8.5164464871536907E-2</v>
      </c>
      <c r="I88" s="426"/>
      <c r="X88" s="412">
        <f t="shared" si="8"/>
        <v>2.5276999964151732E-2</v>
      </c>
    </row>
    <row r="89" spans="1:24" ht="16">
      <c r="A89" s="415">
        <v>41306</v>
      </c>
      <c r="B89" s="416">
        <v>7.5856763357591284E-3</v>
      </c>
      <c r="C89" s="416">
        <v>9.9989554590209639E-3</v>
      </c>
      <c r="D89" s="416">
        <v>2.5783333333333331E-3</v>
      </c>
      <c r="F89" s="418">
        <f t="shared" si="6"/>
        <v>7.4206221256876304E-3</v>
      </c>
      <c r="G89" s="418">
        <f t="shared" si="7"/>
        <v>5.0073430024257948E-3</v>
      </c>
      <c r="I89" s="426"/>
      <c r="X89" s="412">
        <f t="shared" si="8"/>
        <v>4.4886592867540379E-3</v>
      </c>
    </row>
    <row r="90" spans="1:24" ht="16">
      <c r="A90" s="415">
        <v>41275</v>
      </c>
      <c r="B90" s="416">
        <v>5.2003990228572938E-2</v>
      </c>
      <c r="C90" s="416">
        <v>6.2094604686254717E-2</v>
      </c>
      <c r="D90" s="416">
        <v>2.6416666666666667E-3</v>
      </c>
      <c r="F90" s="418">
        <f t="shared" si="6"/>
        <v>5.945293801958805E-2</v>
      </c>
      <c r="G90" s="418">
        <f t="shared" si="7"/>
        <v>4.9362323561906271E-2</v>
      </c>
      <c r="I90" s="426"/>
      <c r="X90" s="412">
        <f t="shared" si="8"/>
        <v>3.5962481021994799E-2</v>
      </c>
    </row>
    <row r="91" spans="1:24" ht="16">
      <c r="A91" s="415">
        <v>41244</v>
      </c>
      <c r="B91" s="416">
        <v>5.8678547530610858E-2</v>
      </c>
      <c r="C91" s="416">
        <v>3.3373069845413328E-2</v>
      </c>
      <c r="D91" s="416">
        <v>2.4599999999999999E-3</v>
      </c>
      <c r="F91" s="418">
        <f t="shared" si="6"/>
        <v>3.0913069845413328E-2</v>
      </c>
      <c r="G91" s="418">
        <f t="shared" si="7"/>
        <v>5.6218547530610861E-2</v>
      </c>
      <c r="I91" s="426"/>
      <c r="X91" s="412">
        <f t="shared" si="8"/>
        <v>1.8699003357596885E-2</v>
      </c>
    </row>
    <row r="92" spans="1:24" ht="16">
      <c r="A92" s="415">
        <v>41214</v>
      </c>
      <c r="B92" s="416">
        <v>6.6754169151233E-2</v>
      </c>
      <c r="C92" s="416">
        <v>3.8962821417631854E-3</v>
      </c>
      <c r="D92" s="416">
        <v>2.3283333333333333E-3</v>
      </c>
      <c r="F92" s="418">
        <f t="shared" si="6"/>
        <v>1.5679488084298521E-3</v>
      </c>
      <c r="G92" s="418">
        <f t="shared" si="7"/>
        <v>6.4425835817899665E-2</v>
      </c>
      <c r="I92" s="426"/>
      <c r="X92" s="412">
        <f t="shared" si="8"/>
        <v>9.4843637917506947E-4</v>
      </c>
    </row>
    <row r="93" spans="1:24" ht="16">
      <c r="A93" s="415">
        <v>41183</v>
      </c>
      <c r="B93" s="416">
        <v>-3.7193179280610722E-2</v>
      </c>
      <c r="C93" s="416">
        <v>-2.2353611238589477E-2</v>
      </c>
      <c r="D93" s="416">
        <v>2.3758333333333335E-3</v>
      </c>
      <c r="F93" s="418">
        <f t="shared" si="6"/>
        <v>-2.4729444571922811E-2</v>
      </c>
      <c r="G93" s="418">
        <f t="shared" si="7"/>
        <v>-3.9569012613944056E-2</v>
      </c>
      <c r="I93" s="426"/>
      <c r="X93" s="412">
        <f t="shared" si="8"/>
        <v>-1.4958590958267475E-2</v>
      </c>
    </row>
    <row r="94" spans="1:24" ht="16">
      <c r="A94" s="415">
        <v>41153</v>
      </c>
      <c r="B94" s="416">
        <v>-2.1595119498863169E-2</v>
      </c>
      <c r="C94" s="416">
        <v>3.1228046345654903E-2</v>
      </c>
      <c r="D94" s="416">
        <v>2.3616666666666669E-3</v>
      </c>
      <c r="F94" s="418">
        <f t="shared" si="6"/>
        <v>2.8866379678988235E-2</v>
      </c>
      <c r="G94" s="418">
        <f t="shared" si="7"/>
        <v>-2.3956786165529837E-2</v>
      </c>
      <c r="I94" s="426"/>
      <c r="X94" s="412">
        <f t="shared" si="8"/>
        <v>1.7460981171986557E-2</v>
      </c>
    </row>
    <row r="95" spans="1:24" ht="16">
      <c r="A95" s="415">
        <v>41122</v>
      </c>
      <c r="B95" s="416">
        <v>4.295641569152342E-2</v>
      </c>
      <c r="C95" s="416">
        <v>3.1959266190664248E-2</v>
      </c>
      <c r="D95" s="416">
        <v>2.2366666666666668E-3</v>
      </c>
      <c r="F95" s="418">
        <f t="shared" si="6"/>
        <v>2.972259952399758E-2</v>
      </c>
      <c r="G95" s="418">
        <f t="shared" si="7"/>
        <v>4.0719749024856755E-2</v>
      </c>
      <c r="I95" s="426"/>
      <c r="X95" s="412">
        <f t="shared" si="8"/>
        <v>1.7978899898167238E-2</v>
      </c>
    </row>
    <row r="96" spans="1:24" ht="16">
      <c r="A96" s="415">
        <v>41091</v>
      </c>
      <c r="B96" s="416">
        <v>6.3454268051170493E-2</v>
      </c>
      <c r="C96" s="416">
        <v>-1.4464787467154072E-2</v>
      </c>
      <c r="D96" s="416">
        <v>2.1475000000000001E-3</v>
      </c>
      <c r="F96" s="418">
        <f t="shared" si="6"/>
        <v>-1.6612287467154072E-2</v>
      </c>
      <c r="G96" s="418">
        <f t="shared" si="7"/>
        <v>6.1306768051170496E-2</v>
      </c>
      <c r="I96" s="426"/>
      <c r="X96" s="412">
        <f t="shared" si="8"/>
        <v>-1.0048604706004905E-2</v>
      </c>
    </row>
    <row r="97" spans="1:24" ht="16">
      <c r="A97" s="415">
        <v>41061</v>
      </c>
      <c r="B97" s="416">
        <v>-0.1858761397823302</v>
      </c>
      <c r="C97" s="416">
        <v>4.8134707231441975E-2</v>
      </c>
      <c r="D97" s="416">
        <v>2.3024999999999999E-3</v>
      </c>
      <c r="F97" s="418">
        <f t="shared" si="6"/>
        <v>4.5832207231441977E-2</v>
      </c>
      <c r="G97" s="418">
        <f t="shared" si="7"/>
        <v>-0.18817863978233021</v>
      </c>
      <c r="I97" s="426"/>
      <c r="X97" s="412">
        <f t="shared" si="8"/>
        <v>2.7723438700604112E-2</v>
      </c>
    </row>
    <row r="98" spans="1:24" ht="16">
      <c r="A98" s="415">
        <v>41030</v>
      </c>
      <c r="B98" s="416">
        <v>-3.2984418915557367E-2</v>
      </c>
      <c r="C98" s="416">
        <v>-6.7402798040086642E-2</v>
      </c>
      <c r="D98" s="416">
        <v>2.2266666666666667E-3</v>
      </c>
      <c r="F98" s="418">
        <f t="shared" si="6"/>
        <v>-6.9629464706753311E-2</v>
      </c>
      <c r="G98" s="418">
        <f t="shared" si="7"/>
        <v>-3.5211085582224036E-2</v>
      </c>
      <c r="I98" s="426"/>
      <c r="X98" s="412">
        <f t="shared" si="8"/>
        <v>-4.2118159110374996E-2</v>
      </c>
    </row>
    <row r="99" spans="1:24" ht="16">
      <c r="A99" s="415">
        <v>41000</v>
      </c>
      <c r="B99" s="416">
        <v>3.5083123105192904E-2</v>
      </c>
      <c r="C99" s="416">
        <v>-1.6162812470135846E-2</v>
      </c>
      <c r="D99" s="416">
        <v>2.5908333333333334E-3</v>
      </c>
      <c r="F99" s="418">
        <f t="shared" si="6"/>
        <v>-1.8753645803469179E-2</v>
      </c>
      <c r="G99" s="418">
        <f t="shared" si="7"/>
        <v>3.249228977185957E-2</v>
      </c>
      <c r="I99" s="426"/>
      <c r="X99" s="412">
        <f t="shared" si="8"/>
        <v>-1.1343890710300441E-2</v>
      </c>
    </row>
    <row r="100" spans="1:24" ht="16">
      <c r="A100" s="415">
        <v>40969</v>
      </c>
      <c r="B100" s="416">
        <v>4.8182820505753288E-3</v>
      </c>
      <c r="C100" s="416">
        <v>2.387351216150746E-2</v>
      </c>
      <c r="D100" s="416">
        <v>2.7875E-3</v>
      </c>
      <c r="F100" s="418">
        <f t="shared" si="6"/>
        <v>2.1086012161507461E-2</v>
      </c>
      <c r="G100" s="418">
        <f t="shared" si="7"/>
        <v>2.0307820505753287E-3</v>
      </c>
      <c r="I100" s="426"/>
      <c r="X100" s="412">
        <f t="shared" si="8"/>
        <v>1.2754715535469814E-2</v>
      </c>
    </row>
    <row r="101" spans="1:24" ht="16">
      <c r="A101" s="415">
        <v>40940</v>
      </c>
      <c r="B101" s="416">
        <v>3.7792193643174654E-2</v>
      </c>
      <c r="C101" s="416">
        <v>2.2855118236187577E-2</v>
      </c>
      <c r="D101" s="416">
        <v>2.5716666666666665E-3</v>
      </c>
      <c r="F101" s="418">
        <f t="shared" si="6"/>
        <v>2.0283451569520911E-2</v>
      </c>
      <c r="G101" s="418">
        <f t="shared" si="7"/>
        <v>3.5220526976507988E-2</v>
      </c>
      <c r="I101" s="426"/>
      <c r="X101" s="412">
        <f t="shared" si="8"/>
        <v>1.226925474884211E-2</v>
      </c>
    </row>
    <row r="102" spans="1:24" ht="16">
      <c r="A102" s="415">
        <v>40909</v>
      </c>
      <c r="B102" s="416">
        <v>8.3124165037680386E-2</v>
      </c>
      <c r="C102" s="416">
        <v>7.0048082371669596E-2</v>
      </c>
      <c r="D102" s="416">
        <v>2.4450000000000001E-3</v>
      </c>
      <c r="F102" s="418">
        <f t="shared" si="6"/>
        <v>6.7603082371669593E-2</v>
      </c>
      <c r="G102" s="418">
        <f t="shared" si="7"/>
        <v>8.0679165037680384E-2</v>
      </c>
      <c r="I102" s="426"/>
      <c r="X102" s="412">
        <f t="shared" si="8"/>
        <v>4.0892420926590983E-2</v>
      </c>
    </row>
    <row r="103" spans="1:24" ht="16">
      <c r="A103" s="415">
        <v>40878</v>
      </c>
      <c r="B103" s="416">
        <v>1.9757726894849004E-3</v>
      </c>
      <c r="C103" s="416">
        <v>4.7462776717295263E-3</v>
      </c>
      <c r="D103" s="416">
        <v>2.4074999999999999E-3</v>
      </c>
      <c r="F103" s="418">
        <f t="shared" si="6"/>
        <v>2.3387776717295264E-3</v>
      </c>
      <c r="G103" s="418">
        <f t="shared" si="7"/>
        <v>-4.3172731051509955E-4</v>
      </c>
      <c r="I103" s="426"/>
      <c r="X103" s="412">
        <f t="shared" si="8"/>
        <v>1.4147029639902237E-3</v>
      </c>
    </row>
    <row r="104" spans="1:24" ht="16">
      <c r="A104" s="415">
        <v>40848</v>
      </c>
      <c r="B104" s="416">
        <v>-1.7648311499872671E-3</v>
      </c>
      <c r="C104" s="416">
        <v>-4.9119032329686396E-3</v>
      </c>
      <c r="D104" s="416">
        <v>2.5516666666666665E-3</v>
      </c>
      <c r="F104" s="418">
        <f t="shared" ref="F104:F135" si="9">C104-D104</f>
        <v>-7.4635698996353061E-3</v>
      </c>
      <c r="G104" s="418">
        <f t="shared" ref="G104:G135" si="10">B104-D104</f>
        <v>-4.3164978166539336E-3</v>
      </c>
      <c r="I104" s="426"/>
      <c r="X104" s="412">
        <f t="shared" ref="X104:X135" si="11">$K$42*F104</f>
        <v>-4.5146379609285817E-3</v>
      </c>
    </row>
    <row r="105" spans="1:24" ht="16">
      <c r="A105" s="415">
        <v>40817</v>
      </c>
      <c r="B105" s="416">
        <v>0.13081445598984476</v>
      </c>
      <c r="C105" s="416">
        <v>0.15042851009309754</v>
      </c>
      <c r="D105" s="416">
        <v>2.665833333333333E-3</v>
      </c>
      <c r="F105" s="418">
        <f t="shared" si="9"/>
        <v>0.14776267675976421</v>
      </c>
      <c r="G105" s="418">
        <f t="shared" si="10"/>
        <v>0.12814862265651142</v>
      </c>
      <c r="I105" s="426"/>
      <c r="X105" s="412">
        <f t="shared" si="11"/>
        <v>8.9380149000902021E-2</v>
      </c>
    </row>
    <row r="106" spans="1:24" ht="16">
      <c r="A106" s="415">
        <v>40787</v>
      </c>
      <c r="B106" s="416">
        <v>-1.3156068804760612E-2</v>
      </c>
      <c r="C106" s="416">
        <v>-0.1137161365796181</v>
      </c>
      <c r="D106" s="416">
        <v>2.4341666666666665E-3</v>
      </c>
      <c r="F106" s="418">
        <f t="shared" si="9"/>
        <v>-0.11615030324628477</v>
      </c>
      <c r="G106" s="418">
        <f t="shared" si="10"/>
        <v>-1.5590235471427278E-2</v>
      </c>
      <c r="I106" s="426"/>
      <c r="X106" s="412">
        <f t="shared" si="11"/>
        <v>-7.0258143925826452E-2</v>
      </c>
    </row>
    <row r="107" spans="1:24" ht="16">
      <c r="A107" s="415">
        <v>40756</v>
      </c>
      <c r="B107" s="416">
        <v>-3.88243777587709E-2</v>
      </c>
      <c r="C107" s="416">
        <v>-8.8102114656962383E-2</v>
      </c>
      <c r="D107" s="416">
        <v>2.9933333333333335E-3</v>
      </c>
      <c r="F107" s="418">
        <f t="shared" si="9"/>
        <v>-9.1095447990295716E-2</v>
      </c>
      <c r="G107" s="418">
        <f t="shared" si="10"/>
        <v>-4.1817711092104234E-2</v>
      </c>
      <c r="I107" s="426"/>
      <c r="X107" s="412">
        <f t="shared" si="11"/>
        <v>-5.5102715335308902E-2</v>
      </c>
    </row>
    <row r="108" spans="1:24" ht="16">
      <c r="A108" s="415">
        <v>40725</v>
      </c>
      <c r="B108" s="416">
        <v>5.6844190443341436E-3</v>
      </c>
      <c r="C108" s="416">
        <v>-3.6740224861536941E-2</v>
      </c>
      <c r="D108" s="416">
        <v>3.443333333333333E-3</v>
      </c>
      <c r="F108" s="418">
        <f t="shared" si="9"/>
        <v>-4.0183558194870274E-2</v>
      </c>
      <c r="G108" s="418">
        <f t="shared" si="10"/>
        <v>2.2410857110008106E-3</v>
      </c>
      <c r="I108" s="426"/>
      <c r="X108" s="412">
        <f t="shared" si="11"/>
        <v>-2.4306628017325676E-2</v>
      </c>
    </row>
    <row r="109" spans="1:24" ht="16">
      <c r="A109" s="415">
        <v>40695</v>
      </c>
      <c r="B109" s="416">
        <v>6.5482811743771352E-2</v>
      </c>
      <c r="C109" s="416">
        <v>-2.4602139921284571E-2</v>
      </c>
      <c r="D109" s="416">
        <v>3.6516666666666663E-3</v>
      </c>
      <c r="F109" s="418">
        <f t="shared" si="9"/>
        <v>-2.8253806587951239E-2</v>
      </c>
      <c r="G109" s="418">
        <f t="shared" si="10"/>
        <v>6.1831145077104688E-2</v>
      </c>
      <c r="I109" s="426"/>
      <c r="X109" s="412">
        <f t="shared" si="11"/>
        <v>-1.7090441903536199E-2</v>
      </c>
    </row>
    <row r="110" spans="1:24" ht="16">
      <c r="A110" s="415">
        <v>40664</v>
      </c>
      <c r="B110" s="416">
        <v>2.5874023567070026E-2</v>
      </c>
      <c r="C110" s="416">
        <v>-1.9635024595188399E-2</v>
      </c>
      <c r="D110" s="416">
        <v>3.5133333333333336E-3</v>
      </c>
      <c r="F110" s="418">
        <f t="shared" si="9"/>
        <v>-2.3148357928521733E-2</v>
      </c>
      <c r="G110" s="418">
        <f t="shared" si="10"/>
        <v>2.2360690233736692E-2</v>
      </c>
      <c r="I110" s="426"/>
      <c r="X110" s="412">
        <f t="shared" si="11"/>
        <v>-1.4002207635567645E-2</v>
      </c>
    </row>
    <row r="111" spans="1:24" ht="16">
      <c r="A111" s="415">
        <v>40634</v>
      </c>
      <c r="B111" s="416">
        <v>9.1280743301783041E-2</v>
      </c>
      <c r="C111" s="416">
        <v>2.577202336466633E-2</v>
      </c>
      <c r="D111" s="416">
        <v>3.6716666666666664E-3</v>
      </c>
      <c r="F111" s="418">
        <f t="shared" si="9"/>
        <v>2.2100356697999663E-2</v>
      </c>
      <c r="G111" s="418">
        <f t="shared" si="10"/>
        <v>8.760907663511637E-2</v>
      </c>
      <c r="I111" s="426"/>
      <c r="X111" s="412">
        <f t="shared" si="11"/>
        <v>1.3368282288577059E-2</v>
      </c>
    </row>
    <row r="112" spans="1:24" ht="16">
      <c r="A112" s="415">
        <v>40603</v>
      </c>
      <c r="B112" s="416">
        <v>-0.14972498610162066</v>
      </c>
      <c r="C112" s="416">
        <v>2.4409467128649442E-2</v>
      </c>
      <c r="D112" s="416">
        <v>3.7566666666666668E-3</v>
      </c>
      <c r="F112" s="418">
        <f t="shared" si="9"/>
        <v>2.0652800461982777E-2</v>
      </c>
      <c r="G112" s="418">
        <f t="shared" si="10"/>
        <v>-0.15348165276828732</v>
      </c>
      <c r="I112" s="426"/>
      <c r="X112" s="412">
        <f t="shared" si="11"/>
        <v>1.2492670159049061E-2</v>
      </c>
    </row>
    <row r="113" spans="1:24" ht="16">
      <c r="A113" s="415">
        <v>40575</v>
      </c>
      <c r="B113" s="416">
        <v>7.9413234331959126E-2</v>
      </c>
      <c r="C113" s="416">
        <v>5.4016015360000003E-2</v>
      </c>
      <c r="D113" s="416">
        <v>3.741666666666667E-3</v>
      </c>
      <c r="F113" s="418">
        <f t="shared" si="9"/>
        <v>5.0274348693333339E-2</v>
      </c>
      <c r="G113" s="418">
        <f t="shared" si="10"/>
        <v>7.5671567665292455E-2</v>
      </c>
      <c r="I113" s="426"/>
      <c r="X113" s="412">
        <f t="shared" si="11"/>
        <v>3.0410445152121296E-2</v>
      </c>
    </row>
    <row r="114" spans="1:24" ht="16">
      <c r="A114" s="415">
        <v>40544</v>
      </c>
      <c r="B114" s="416">
        <v>-3.0990329618568846E-2</v>
      </c>
      <c r="C114" s="416">
        <v>-3.062622250363134E-3</v>
      </c>
      <c r="D114" s="416">
        <v>3.8091666666666669E-3</v>
      </c>
      <c r="F114" s="418">
        <f t="shared" si="9"/>
        <v>-6.8717889170298013E-3</v>
      </c>
      <c r="G114" s="418">
        <f t="shared" si="10"/>
        <v>-3.4799496285235515E-2</v>
      </c>
      <c r="I114" s="426"/>
      <c r="X114" s="412">
        <f t="shared" si="11"/>
        <v>-4.1566756286193505E-3</v>
      </c>
    </row>
    <row r="115" spans="1:24" ht="16">
      <c r="A115" s="415">
        <v>40513</v>
      </c>
      <c r="B115" s="416">
        <v>-8.2439149263520139E-3</v>
      </c>
      <c r="C115" s="416">
        <v>7.7908162502466904E-2</v>
      </c>
      <c r="D115" s="416">
        <v>3.6349999999999998E-3</v>
      </c>
      <c r="F115" s="418">
        <f t="shared" si="9"/>
        <v>7.4273162502466905E-2</v>
      </c>
      <c r="G115" s="418">
        <f t="shared" si="10"/>
        <v>-1.1878914926352013E-2</v>
      </c>
      <c r="I115" s="426"/>
      <c r="X115" s="412">
        <f t="shared" si="11"/>
        <v>4.4927084950090575E-2</v>
      </c>
    </row>
    <row r="116" spans="1:24" ht="16">
      <c r="A116" s="415">
        <v>40483</v>
      </c>
      <c r="B116" s="416">
        <v>5.758875328980273E-2</v>
      </c>
      <c r="C116" s="416">
        <v>3.3639062781456675E-2</v>
      </c>
      <c r="D116" s="416">
        <v>3.4183333333333336E-3</v>
      </c>
      <c r="F116" s="418">
        <f t="shared" si="9"/>
        <v>3.0220729448123342E-2</v>
      </c>
      <c r="G116" s="418">
        <f t="shared" si="10"/>
        <v>5.4170419956469394E-2</v>
      </c>
      <c r="I116" s="426"/>
      <c r="X116" s="412">
        <f t="shared" si="11"/>
        <v>1.8280213652198337E-2</v>
      </c>
    </row>
    <row r="117" spans="1:24" ht="16">
      <c r="A117" s="415">
        <v>40452</v>
      </c>
      <c r="B117" s="416">
        <v>2.0039990978432121E-2</v>
      </c>
      <c r="C117" s="416">
        <v>4.0243086337672374E-2</v>
      </c>
      <c r="D117" s="416">
        <v>3.3333333333333335E-3</v>
      </c>
      <c r="F117" s="418">
        <f t="shared" si="9"/>
        <v>3.690975300433904E-2</v>
      </c>
      <c r="G117" s="418">
        <f t="shared" si="10"/>
        <v>1.6706657645098787E-2</v>
      </c>
      <c r="I117" s="426"/>
      <c r="X117" s="412">
        <f t="shared" si="11"/>
        <v>2.2326336362178248E-2</v>
      </c>
    </row>
    <row r="118" spans="1:24" ht="16">
      <c r="A118" s="415">
        <v>40422</v>
      </c>
      <c r="B118" s="416">
        <v>0.14485674962669082</v>
      </c>
      <c r="C118" s="416">
        <v>0.12304424350743859</v>
      </c>
      <c r="D118" s="416">
        <v>3.0725000000000001E-3</v>
      </c>
      <c r="F118" s="418">
        <f t="shared" si="9"/>
        <v>0.11997174350743858</v>
      </c>
      <c r="G118" s="418">
        <f t="shared" si="10"/>
        <v>0.14178424962669081</v>
      </c>
      <c r="I118" s="426"/>
      <c r="X118" s="412">
        <f t="shared" si="11"/>
        <v>7.256969449752658E-2</v>
      </c>
    </row>
    <row r="119" spans="1:24" ht="16">
      <c r="A119" s="415">
        <v>40391</v>
      </c>
      <c r="B119" s="416">
        <v>-4.9429193835916485E-2</v>
      </c>
      <c r="C119" s="416">
        <v>-7.5020381131518765E-2</v>
      </c>
      <c r="D119" s="416">
        <v>2.9441666666666665E-3</v>
      </c>
      <c r="F119" s="418">
        <f t="shared" si="9"/>
        <v>-7.796454779818543E-2</v>
      </c>
      <c r="G119" s="418">
        <f t="shared" si="10"/>
        <v>-5.2373360502583149E-2</v>
      </c>
      <c r="I119" s="426"/>
      <c r="X119" s="412">
        <f t="shared" si="11"/>
        <v>-4.7159966588310204E-2</v>
      </c>
    </row>
    <row r="120" spans="1:24" ht="16">
      <c r="A120" s="415">
        <v>40360</v>
      </c>
      <c r="B120" s="416">
        <v>9.4202225945251072E-2</v>
      </c>
      <c r="C120" s="416">
        <v>6.792568488286399E-2</v>
      </c>
      <c r="D120" s="416">
        <v>3.3141666666666666E-3</v>
      </c>
      <c r="F120" s="418">
        <f t="shared" si="9"/>
        <v>6.4611518216197317E-2</v>
      </c>
      <c r="G120" s="418">
        <f t="shared" si="10"/>
        <v>9.0888059278584399E-2</v>
      </c>
      <c r="I120" s="426"/>
      <c r="X120" s="412">
        <f t="shared" si="11"/>
        <v>3.9082854019539127E-2</v>
      </c>
    </row>
    <row r="121" spans="1:24" ht="16">
      <c r="A121" s="415">
        <v>40330</v>
      </c>
      <c r="B121" s="416">
        <v>-6.6730915561722393E-2</v>
      </c>
      <c r="C121" s="416">
        <v>-7.8777521775158843E-2</v>
      </c>
      <c r="D121" s="416">
        <v>3.2575E-3</v>
      </c>
      <c r="F121" s="418">
        <f t="shared" si="9"/>
        <v>-8.203502177515884E-2</v>
      </c>
      <c r="G121" s="418">
        <f t="shared" si="10"/>
        <v>-6.9988415561722389E-2</v>
      </c>
      <c r="I121" s="426"/>
      <c r="X121" s="412">
        <f t="shared" si="11"/>
        <v>-4.9622155136489279E-2</v>
      </c>
    </row>
    <row r="122" spans="1:24" ht="16">
      <c r="A122" s="415">
        <v>40299</v>
      </c>
      <c r="B122" s="416">
        <v>-4.6502750983377417E-2</v>
      </c>
      <c r="C122" s="416">
        <v>-7.6737360928965326E-2</v>
      </c>
      <c r="D122" s="416">
        <v>3.5116666666666668E-3</v>
      </c>
      <c r="F122" s="418">
        <f t="shared" si="9"/>
        <v>-8.0249027595631989E-2</v>
      </c>
      <c r="G122" s="418">
        <f t="shared" si="10"/>
        <v>-5.0014417650044087E-2</v>
      </c>
      <c r="I122" s="426"/>
      <c r="X122" s="412">
        <f t="shared" si="11"/>
        <v>-4.8541825317204891E-2</v>
      </c>
    </row>
    <row r="123" spans="1:24" ht="16">
      <c r="A123" s="415">
        <v>40269</v>
      </c>
      <c r="B123" s="416">
        <v>3.6928431017090091E-2</v>
      </c>
      <c r="C123" s="416">
        <v>5.5935341507971748E-2</v>
      </c>
      <c r="D123" s="416">
        <v>3.7725000000000002E-3</v>
      </c>
      <c r="F123" s="418">
        <f t="shared" si="9"/>
        <v>5.2162841507971749E-2</v>
      </c>
      <c r="G123" s="418">
        <f t="shared" si="10"/>
        <v>3.3155931017090093E-2</v>
      </c>
      <c r="I123" s="426"/>
      <c r="X123" s="412">
        <f t="shared" si="11"/>
        <v>3.1552775359322015E-2</v>
      </c>
    </row>
    <row r="124" spans="1:24" ht="16">
      <c r="A124" s="415">
        <v>40238</v>
      </c>
      <c r="B124" s="416">
        <v>8.7278167502077508E-2</v>
      </c>
      <c r="C124" s="416">
        <v>7.9674203193566884E-2</v>
      </c>
      <c r="D124" s="416">
        <v>3.9291666666666667E-3</v>
      </c>
      <c r="F124" s="418">
        <f t="shared" si="9"/>
        <v>7.574503652690022E-2</v>
      </c>
      <c r="G124" s="418">
        <f t="shared" si="10"/>
        <v>8.3349000835410844E-2</v>
      </c>
      <c r="I124" s="426"/>
      <c r="X124" s="412">
        <f t="shared" si="11"/>
        <v>4.5817406663931033E-2</v>
      </c>
    </row>
    <row r="125" spans="1:24" ht="16">
      <c r="A125" s="415">
        <v>40210</v>
      </c>
      <c r="B125" s="416">
        <v>6.0392052762054727E-2</v>
      </c>
      <c r="C125" s="416">
        <v>4.4050264050736976E-2</v>
      </c>
      <c r="D125" s="416">
        <v>3.7741666666666666E-3</v>
      </c>
      <c r="F125" s="418">
        <f t="shared" si="9"/>
        <v>4.0276097384070307E-2</v>
      </c>
      <c r="G125" s="418">
        <f t="shared" si="10"/>
        <v>5.6617886095388058E-2</v>
      </c>
      <c r="I125" s="426"/>
      <c r="X125" s="412">
        <f t="shared" si="11"/>
        <v>2.4362604037119696E-2</v>
      </c>
    </row>
    <row r="126" spans="1:24" ht="16">
      <c r="A126" s="415">
        <v>40179</v>
      </c>
      <c r="B126" s="416">
        <v>-3.1111254075459671E-2</v>
      </c>
      <c r="C126" s="416">
        <v>-3.7336760165574301E-2</v>
      </c>
      <c r="D126" s="416">
        <v>3.7583333333333336E-3</v>
      </c>
      <c r="F126" s="418">
        <f t="shared" si="9"/>
        <v>-4.1095093498907637E-2</v>
      </c>
      <c r="G126" s="418">
        <f t="shared" si="10"/>
        <v>-3.4869587408793007E-2</v>
      </c>
      <c r="I126" s="426"/>
      <c r="X126" s="412">
        <f t="shared" si="11"/>
        <v>-2.4858006505324395E-2</v>
      </c>
    </row>
    <row r="127" spans="1:24" ht="16">
      <c r="A127" s="415">
        <v>40148</v>
      </c>
      <c r="B127" s="416">
        <v>1.8184467918444636E-2</v>
      </c>
      <c r="C127" s="416">
        <v>7.8760865532605306E-2</v>
      </c>
      <c r="D127" s="416">
        <v>3.8674999999999998E-3</v>
      </c>
      <c r="F127" s="418">
        <f t="shared" si="9"/>
        <v>7.489336553260531E-2</v>
      </c>
      <c r="G127" s="418">
        <f t="shared" si="10"/>
        <v>1.4316967918444636E-2</v>
      </c>
      <c r="I127" s="426"/>
      <c r="X127" s="412">
        <f t="shared" si="11"/>
        <v>4.5302239491549691E-2</v>
      </c>
    </row>
    <row r="128" spans="1:24" ht="16">
      <c r="A128" s="415">
        <v>40118</v>
      </c>
      <c r="B128" s="416">
        <v>4.3583363743445958E-2</v>
      </c>
      <c r="C128" s="416">
        <v>3.0136573373258146E-2</v>
      </c>
      <c r="D128" s="416">
        <v>3.4949999999999998E-3</v>
      </c>
      <c r="F128" s="418">
        <f t="shared" si="9"/>
        <v>2.6641573373258148E-2</v>
      </c>
      <c r="G128" s="418">
        <f t="shared" si="10"/>
        <v>4.0088363743445959E-2</v>
      </c>
      <c r="I128" s="426"/>
      <c r="X128" s="412">
        <f t="shared" si="11"/>
        <v>1.6115218334814881E-2</v>
      </c>
    </row>
    <row r="129" spans="1:24" ht="16">
      <c r="A129" s="415">
        <v>40087</v>
      </c>
      <c r="B129" s="416">
        <v>-3.4420866352990909E-2</v>
      </c>
      <c r="C129" s="416">
        <v>-6.8693332574126797E-2</v>
      </c>
      <c r="D129" s="416">
        <v>3.5299999999999997E-3</v>
      </c>
      <c r="F129" s="418">
        <f t="shared" si="9"/>
        <v>-7.2223332574126803E-2</v>
      </c>
      <c r="G129" s="418">
        <f t="shared" si="10"/>
        <v>-3.7950866352990907E-2</v>
      </c>
      <c r="I129" s="426"/>
      <c r="X129" s="412">
        <f t="shared" si="11"/>
        <v>-4.3687163554247017E-2</v>
      </c>
    </row>
    <row r="130" spans="1:24" ht="16">
      <c r="A130" s="415">
        <v>40057</v>
      </c>
      <c r="B130" s="416">
        <v>0.16808092434875022</v>
      </c>
      <c r="C130" s="416">
        <v>5.630433619289521E-2</v>
      </c>
      <c r="D130" s="416">
        <v>3.3733333333333337E-3</v>
      </c>
      <c r="F130" s="418">
        <f t="shared" si="9"/>
        <v>5.2931002859561878E-2</v>
      </c>
      <c r="G130" s="418">
        <f t="shared" si="10"/>
        <v>0.16470759101541688</v>
      </c>
      <c r="I130" s="426"/>
      <c r="X130" s="412">
        <f t="shared" si="11"/>
        <v>3.2017428393277848E-2</v>
      </c>
    </row>
    <row r="131" spans="1:24" ht="16">
      <c r="A131" s="415">
        <v>40026</v>
      </c>
      <c r="B131" s="416">
        <v>-2.2069241991450661E-2</v>
      </c>
      <c r="C131" s="416">
        <v>2.759063856048205E-2</v>
      </c>
      <c r="D131" s="416">
        <v>3.4841666666666667E-3</v>
      </c>
      <c r="F131" s="418">
        <f t="shared" si="9"/>
        <v>2.4106471893815384E-2</v>
      </c>
      <c r="G131" s="418">
        <f t="shared" si="10"/>
        <v>-2.5553408658117328E-2</v>
      </c>
      <c r="I131" s="426"/>
      <c r="X131" s="412">
        <f t="shared" si="11"/>
        <v>1.4581761084758477E-2</v>
      </c>
    </row>
    <row r="132" spans="1:24" ht="16">
      <c r="A132" s="415">
        <v>39995</v>
      </c>
      <c r="B132" s="416">
        <v>9.8579877920512482E-2</v>
      </c>
      <c r="C132" s="416">
        <v>9.5282173399075631E-2</v>
      </c>
      <c r="D132" s="416">
        <v>3.5925000000000002E-3</v>
      </c>
      <c r="F132" s="418">
        <f t="shared" si="9"/>
        <v>9.1689673399075633E-2</v>
      </c>
      <c r="G132" s="418">
        <f t="shared" si="10"/>
        <v>9.4987377920512484E-2</v>
      </c>
      <c r="I132" s="426"/>
      <c r="X132" s="412">
        <f t="shared" si="11"/>
        <v>5.5462156276293077E-2</v>
      </c>
    </row>
    <row r="133" spans="1:24" ht="16">
      <c r="A133" s="415">
        <v>39965</v>
      </c>
      <c r="B133" s="416">
        <v>-9.2374694069024099E-2</v>
      </c>
      <c r="C133" s="416">
        <v>1.3357813656149631E-2</v>
      </c>
      <c r="D133" s="416">
        <v>3.5925000000000002E-3</v>
      </c>
      <c r="F133" s="418">
        <f t="shared" si="9"/>
        <v>9.7653136561496306E-3</v>
      </c>
      <c r="G133" s="418">
        <f t="shared" si="10"/>
        <v>-9.5967194069024098E-2</v>
      </c>
      <c r="I133" s="426"/>
      <c r="X133" s="412">
        <f t="shared" si="11"/>
        <v>5.9069394840907995E-3</v>
      </c>
    </row>
    <row r="134" spans="1:24" ht="16">
      <c r="A134" s="415">
        <v>39934</v>
      </c>
      <c r="B134" s="416">
        <v>8.7287728855852897E-2</v>
      </c>
      <c r="C134" s="416">
        <v>2.8755412785115286E-2</v>
      </c>
      <c r="D134" s="416">
        <v>3.6150000000000002E-3</v>
      </c>
      <c r="F134" s="418">
        <f t="shared" si="9"/>
        <v>2.5140412785115286E-2</v>
      </c>
      <c r="G134" s="418">
        <f t="shared" si="10"/>
        <v>8.367272885585289E-2</v>
      </c>
      <c r="I134" s="426"/>
      <c r="X134" s="412">
        <f t="shared" si="11"/>
        <v>1.5207181474731239E-2</v>
      </c>
    </row>
    <row r="135" spans="1:24" ht="16">
      <c r="A135" s="415">
        <v>39904</v>
      </c>
      <c r="B135" s="416">
        <v>0.12561547771670689</v>
      </c>
      <c r="C135" s="416">
        <v>0.15330573151981075</v>
      </c>
      <c r="D135" s="416">
        <v>3.3699999999999997E-3</v>
      </c>
      <c r="F135" s="418">
        <f t="shared" si="9"/>
        <v>0.14993573151981074</v>
      </c>
      <c r="G135" s="418">
        <f t="shared" si="10"/>
        <v>0.12224547771670689</v>
      </c>
      <c r="I135" s="426"/>
      <c r="X135" s="412">
        <f t="shared" si="11"/>
        <v>9.0694607851399545E-2</v>
      </c>
    </row>
    <row r="136" spans="1:24" ht="16">
      <c r="A136" s="415">
        <v>39873</v>
      </c>
      <c r="B136" s="416">
        <v>0.12906328657755961</v>
      </c>
      <c r="C136" s="416">
        <v>8.6705084452614045E-2</v>
      </c>
      <c r="D136" s="416">
        <v>2.9675000000000001E-3</v>
      </c>
      <c r="F136" s="418">
        <f t="shared" ref="F136:F167" si="12">C136-D136</f>
        <v>8.3737584452614047E-2</v>
      </c>
      <c r="G136" s="418">
        <f t="shared" ref="G136:G167" si="13">B136-D136</f>
        <v>0.1260957865775596</v>
      </c>
      <c r="I136" s="426"/>
      <c r="X136" s="412">
        <f t="shared" ref="X136:X149" si="14">$K$42*F136</f>
        <v>5.0652018083826994E-2</v>
      </c>
    </row>
    <row r="137" spans="1:24" ht="16">
      <c r="A137" s="415">
        <v>39845</v>
      </c>
      <c r="B137" s="416">
        <v>-8.2209917905435081E-2</v>
      </c>
      <c r="C137" s="416">
        <v>-0.12290039032962907</v>
      </c>
      <c r="D137" s="416">
        <v>3.1016666666666671E-3</v>
      </c>
      <c r="F137" s="418">
        <f t="shared" si="12"/>
        <v>-0.12600205699629574</v>
      </c>
      <c r="G137" s="418">
        <f t="shared" si="13"/>
        <v>-8.5311584572101751E-2</v>
      </c>
      <c r="I137" s="426"/>
      <c r="X137" s="412">
        <f t="shared" si="14"/>
        <v>-7.6217370148614738E-2</v>
      </c>
    </row>
    <row r="138" spans="1:24" ht="16">
      <c r="A138" s="415">
        <v>39814</v>
      </c>
      <c r="B138" s="416">
        <v>-0.10845955121277828</v>
      </c>
      <c r="C138" s="416">
        <v>-0.1119631828139791</v>
      </c>
      <c r="D138" s="416">
        <v>3.0025E-3</v>
      </c>
      <c r="F138" s="418">
        <f t="shared" si="12"/>
        <v>-0.11496568281397911</v>
      </c>
      <c r="G138" s="418">
        <f t="shared" si="13"/>
        <v>-0.11146205121277829</v>
      </c>
      <c r="I138" s="426"/>
      <c r="X138" s="412">
        <f t="shared" si="14"/>
        <v>-6.9541579005165624E-2</v>
      </c>
    </row>
    <row r="139" spans="1:24" ht="16">
      <c r="A139" s="415">
        <v>39783</v>
      </c>
      <c r="B139" s="416">
        <v>-4.2253646349649454E-2</v>
      </c>
      <c r="C139" s="416">
        <v>5.5607211746822927E-2</v>
      </c>
      <c r="D139" s="416">
        <v>2.2425000000000001E-3</v>
      </c>
      <c r="F139" s="418">
        <f t="shared" si="12"/>
        <v>5.3364711746822925E-2</v>
      </c>
      <c r="G139" s="418">
        <f t="shared" si="13"/>
        <v>-4.4496146349649456E-2</v>
      </c>
      <c r="I139" s="426"/>
      <c r="X139" s="412">
        <f t="shared" si="14"/>
        <v>3.2279774513532783E-2</v>
      </c>
    </row>
    <row r="140" spans="1:24" ht="16">
      <c r="A140" s="415">
        <v>39753</v>
      </c>
      <c r="B140" s="416">
        <v>-7.6002186183872111E-2</v>
      </c>
      <c r="C140" s="416">
        <v>-0.11977229238829101</v>
      </c>
      <c r="D140" s="416">
        <v>2.9058333333333332E-3</v>
      </c>
      <c r="F140" s="418">
        <f t="shared" si="12"/>
        <v>-0.12267812572162434</v>
      </c>
      <c r="G140" s="418">
        <f t="shared" si="13"/>
        <v>-7.8908019517205441E-2</v>
      </c>
      <c r="I140" s="426"/>
      <c r="X140" s="412">
        <f t="shared" si="14"/>
        <v>-7.420675773204416E-2</v>
      </c>
    </row>
    <row r="141" spans="1:24" ht="16">
      <c r="A141" s="415">
        <v>39722</v>
      </c>
      <c r="B141" s="416">
        <v>-0.13535271713178587</v>
      </c>
      <c r="C141" s="416">
        <v>-0.20904086854572701</v>
      </c>
      <c r="D141" s="416">
        <v>3.6408333333333332E-3</v>
      </c>
      <c r="F141" s="418">
        <f t="shared" si="12"/>
        <v>-0.21268170187906035</v>
      </c>
      <c r="G141" s="418">
        <f t="shared" si="13"/>
        <v>-0.13899355046511921</v>
      </c>
      <c r="I141" s="426"/>
      <c r="X141" s="412">
        <f t="shared" si="14"/>
        <v>-0.12864901083662644</v>
      </c>
    </row>
    <row r="142" spans="1:24" ht="16">
      <c r="A142" s="415">
        <v>39692</v>
      </c>
      <c r="B142" s="416">
        <v>0.10377816567718501</v>
      </c>
      <c r="C142" s="416">
        <v>-8.1027698444895213E-2</v>
      </c>
      <c r="D142" s="416">
        <v>3.5875E-3</v>
      </c>
      <c r="F142" s="418">
        <f t="shared" si="12"/>
        <v>-8.4615198444895207E-2</v>
      </c>
      <c r="G142" s="418">
        <f t="shared" si="13"/>
        <v>0.10019066567718501</v>
      </c>
      <c r="I142" s="426"/>
      <c r="X142" s="412">
        <f t="shared" si="14"/>
        <v>-5.1182877913355518E-2</v>
      </c>
    </row>
    <row r="143" spans="1:24" ht="16">
      <c r="A143" s="415">
        <v>39661</v>
      </c>
      <c r="B143" s="416">
        <v>3.2890407255661946E-2</v>
      </c>
      <c r="C143" s="416">
        <v>3.496050397580186E-2</v>
      </c>
      <c r="D143" s="416">
        <v>3.6766666666666666E-3</v>
      </c>
      <c r="F143" s="418">
        <f t="shared" si="12"/>
        <v>3.1283837309135192E-2</v>
      </c>
      <c r="G143" s="418">
        <f t="shared" si="13"/>
        <v>2.9213740588995278E-2</v>
      </c>
      <c r="I143" s="426"/>
      <c r="X143" s="412">
        <f t="shared" si="14"/>
        <v>1.8923276847214465E-2</v>
      </c>
    </row>
    <row r="144" spans="1:24" ht="16">
      <c r="A144" s="415">
        <v>39630</v>
      </c>
      <c r="B144" s="416">
        <v>-1.2257649189195141E-2</v>
      </c>
      <c r="C144" s="416">
        <v>3.6046817233512218E-2</v>
      </c>
      <c r="D144" s="416">
        <v>3.835833333333333E-3</v>
      </c>
      <c r="F144" s="418">
        <f t="shared" si="12"/>
        <v>3.2210983900178888E-2</v>
      </c>
      <c r="G144" s="418">
        <f t="shared" si="13"/>
        <v>-1.6093482522528475E-2</v>
      </c>
      <c r="I144" s="426"/>
      <c r="X144" s="412">
        <f t="shared" si="14"/>
        <v>1.948409844486252E-2</v>
      </c>
    </row>
    <row r="145" spans="1:24" ht="16">
      <c r="A145" s="415">
        <v>39600</v>
      </c>
      <c r="B145" s="416">
        <v>-0.1281264097671746</v>
      </c>
      <c r="C145" s="416">
        <v>-7.8339730753391512E-2</v>
      </c>
      <c r="D145" s="416">
        <v>3.7758333333333329E-3</v>
      </c>
      <c r="F145" s="418">
        <f t="shared" si="12"/>
        <v>-8.2115564086724852E-2</v>
      </c>
      <c r="G145" s="418">
        <f t="shared" si="13"/>
        <v>-0.13190224310050794</v>
      </c>
      <c r="I145" s="426"/>
      <c r="X145" s="412">
        <f t="shared" si="14"/>
        <v>-4.9670874366314489E-2</v>
      </c>
    </row>
    <row r="146" spans="1:24" ht="16">
      <c r="A146" s="415">
        <v>39569</v>
      </c>
      <c r="B146" s="416">
        <v>2.3503149487112518E-2</v>
      </c>
      <c r="C146" s="416">
        <v>4.4821185056477919E-2</v>
      </c>
      <c r="D146" s="416">
        <v>3.9224999999999998E-3</v>
      </c>
      <c r="F146" s="418">
        <f t="shared" si="12"/>
        <v>4.0898685056477917E-2</v>
      </c>
      <c r="G146" s="418">
        <f t="shared" si="13"/>
        <v>1.9580649487112519E-2</v>
      </c>
      <c r="I146" s="426"/>
      <c r="X146" s="412">
        <f t="shared" si="14"/>
        <v>2.4739201024574036E-2</v>
      </c>
    </row>
    <row r="147" spans="1:24" ht="16">
      <c r="A147" s="415">
        <v>39539</v>
      </c>
      <c r="B147" s="416">
        <v>-1.391749575198431E-2</v>
      </c>
      <c r="C147" s="416">
        <v>4.100472867877536E-2</v>
      </c>
      <c r="D147" s="416">
        <v>3.7474999999999995E-3</v>
      </c>
      <c r="F147" s="418">
        <f t="shared" si="12"/>
        <v>3.7257228678775359E-2</v>
      </c>
      <c r="G147" s="418">
        <f t="shared" si="13"/>
        <v>-1.7664995751984311E-2</v>
      </c>
      <c r="I147" s="426"/>
      <c r="X147" s="412">
        <f t="shared" si="14"/>
        <v>2.253652088398277E-2</v>
      </c>
    </row>
    <row r="148" spans="1:24" ht="16">
      <c r="A148" s="415">
        <v>39508</v>
      </c>
      <c r="B148" s="416">
        <v>0.12956783492181678</v>
      </c>
      <c r="C148" s="416">
        <v>2.6086129270166403E-3</v>
      </c>
      <c r="D148" s="416">
        <v>3.5883333333333336E-3</v>
      </c>
      <c r="F148" s="418">
        <f t="shared" si="12"/>
        <v>-9.797204063166933E-4</v>
      </c>
      <c r="G148" s="418">
        <f t="shared" si="13"/>
        <v>0.12597950158848345</v>
      </c>
      <c r="I148" s="426"/>
      <c r="X148" s="412">
        <f t="shared" si="14"/>
        <v>-5.9262296688208731E-4</v>
      </c>
    </row>
    <row r="149" spans="1:24" ht="16">
      <c r="A149" s="415">
        <v>39479</v>
      </c>
      <c r="B149" s="416">
        <v>-1.8424822404782493E-2</v>
      </c>
      <c r="C149" s="416">
        <v>-3.8020461876132838E-2</v>
      </c>
      <c r="D149" s="416">
        <v>3.6841666666666668E-3</v>
      </c>
      <c r="F149" s="418">
        <f t="shared" si="12"/>
        <v>-4.1704628542799507E-2</v>
      </c>
      <c r="G149" s="418">
        <f t="shared" si="13"/>
        <v>-2.2108989071449158E-2</v>
      </c>
      <c r="I149" s="426"/>
      <c r="X149" s="412">
        <f t="shared" si="14"/>
        <v>-2.5226708089777294E-2</v>
      </c>
    </row>
    <row r="150" spans="1:24" ht="16">
      <c r="A150" s="415">
        <v>39448</v>
      </c>
      <c r="B150" s="416">
        <v>-4.1956910153436722E-2</v>
      </c>
      <c r="C150" s="416">
        <v>-6.8835475116863942E-2</v>
      </c>
      <c r="D150" s="416">
        <v>3.6283333333333337E-3</v>
      </c>
      <c r="F150" s="418">
        <f t="shared" si="12"/>
        <v>-7.2463808450197273E-2</v>
      </c>
      <c r="G150" s="418">
        <f t="shared" si="13"/>
        <v>-4.5585243486770052E-2</v>
      </c>
      <c r="I150" s="426"/>
    </row>
    <row r="151" spans="1:24" ht="16">
      <c r="A151" s="415">
        <v>39417</v>
      </c>
      <c r="B151" s="416">
        <v>-2.1477968375543388E-2</v>
      </c>
      <c r="C151" s="416">
        <v>-2.2662919294504924E-3</v>
      </c>
      <c r="D151" s="416">
        <v>3.7158333333333331E-3</v>
      </c>
      <c r="F151" s="418">
        <f t="shared" si="12"/>
        <v>-5.9821252627838255E-3</v>
      </c>
      <c r="G151" s="418">
        <f t="shared" si="13"/>
        <v>-2.5193801708876723E-2</v>
      </c>
      <c r="I151" s="426"/>
    </row>
    <row r="152" spans="1:24" ht="16">
      <c r="A152" s="415">
        <v>39387</v>
      </c>
      <c r="B152" s="416">
        <v>-9.2058313713760942E-3</v>
      </c>
      <c r="C152" s="416">
        <v>-7.2763941142389266E-2</v>
      </c>
      <c r="D152" s="416">
        <v>3.6691666666666661E-3</v>
      </c>
      <c r="F152" s="418">
        <f t="shared" si="12"/>
        <v>-7.6433107809055933E-2</v>
      </c>
      <c r="G152" s="418">
        <f t="shared" si="13"/>
        <v>-1.287499803804276E-2</v>
      </c>
      <c r="I152" s="426"/>
    </row>
    <row r="153" spans="1:24" ht="16">
      <c r="A153" s="415">
        <v>39356</v>
      </c>
      <c r="B153" s="416">
        <v>0.13334002906279485</v>
      </c>
      <c r="C153" s="416">
        <v>2.8021612345571656E-2</v>
      </c>
      <c r="D153" s="416">
        <v>3.9591666666666673E-3</v>
      </c>
      <c r="F153" s="418">
        <f t="shared" si="12"/>
        <v>2.406244567890499E-2</v>
      </c>
      <c r="G153" s="418">
        <f t="shared" si="13"/>
        <v>0.12938086239612817</v>
      </c>
      <c r="I153" s="426"/>
    </row>
    <row r="154" spans="1:24" ht="16">
      <c r="A154" s="415">
        <v>39326</v>
      </c>
      <c r="B154" s="416">
        <v>4.1178368260039511E-2</v>
      </c>
      <c r="C154" s="416">
        <v>1.5879256411206022E-2</v>
      </c>
      <c r="D154" s="416">
        <v>4.0275000000000007E-3</v>
      </c>
      <c r="F154" s="418">
        <f t="shared" si="12"/>
        <v>1.1851756411206022E-2</v>
      </c>
      <c r="G154" s="418">
        <f t="shared" si="13"/>
        <v>3.7150868260039507E-2</v>
      </c>
      <c r="I154" s="426"/>
    </row>
    <row r="155" spans="1:24" ht="16">
      <c r="A155" s="415">
        <v>39295</v>
      </c>
      <c r="B155" s="416">
        <v>-1.948592543206229E-3</v>
      </c>
      <c r="C155" s="416">
        <v>2.156881681678624E-2</v>
      </c>
      <c r="D155" s="416">
        <v>4.0258333333333335E-3</v>
      </c>
      <c r="F155" s="418">
        <f t="shared" si="12"/>
        <v>1.7542983483452908E-2</v>
      </c>
      <c r="G155" s="418">
        <f t="shared" si="13"/>
        <v>-5.9744258765395625E-3</v>
      </c>
      <c r="I155" s="426"/>
    </row>
    <row r="156" spans="1:24" ht="16">
      <c r="A156" s="415">
        <v>39264</v>
      </c>
      <c r="B156" s="416">
        <v>-2.8339640772012231E-2</v>
      </c>
      <c r="C156" s="416">
        <v>-6.9065630528022615E-2</v>
      </c>
      <c r="D156" s="416">
        <v>4.1016666666666667E-3</v>
      </c>
      <c r="F156" s="418">
        <f t="shared" si="12"/>
        <v>-7.3167297194689285E-2</v>
      </c>
      <c r="G156" s="418">
        <f t="shared" si="13"/>
        <v>-3.2441307438678901E-2</v>
      </c>
      <c r="I156" s="426"/>
    </row>
    <row r="157" spans="1:24" ht="16">
      <c r="A157" s="415">
        <v>39234</v>
      </c>
      <c r="B157" s="416">
        <v>2.7136532834335148E-2</v>
      </c>
      <c r="C157" s="416">
        <v>-1.5911590348427818E-2</v>
      </c>
      <c r="D157" s="416">
        <v>4.2716666666666667E-3</v>
      </c>
      <c r="F157" s="418">
        <f t="shared" si="12"/>
        <v>-2.0183257015094484E-2</v>
      </c>
      <c r="G157" s="418">
        <f t="shared" si="13"/>
        <v>2.2864866167668481E-2</v>
      </c>
      <c r="I157" s="426"/>
    </row>
    <row r="158" spans="1:24" ht="16">
      <c r="A158" s="415">
        <v>39203</v>
      </c>
      <c r="B158" s="416">
        <v>5.3657704118593275E-2</v>
      </c>
      <c r="C158" s="416">
        <v>4.0033374319906612E-2</v>
      </c>
      <c r="D158" s="416">
        <v>4.1758333333333335E-3</v>
      </c>
      <c r="F158" s="418">
        <f t="shared" si="12"/>
        <v>3.5857540986573275E-2</v>
      </c>
      <c r="G158" s="418">
        <f t="shared" si="13"/>
        <v>4.9481870785259938E-2</v>
      </c>
      <c r="I158" s="426"/>
    </row>
    <row r="159" spans="1:24" ht="16">
      <c r="A159" s="415">
        <v>39173</v>
      </c>
      <c r="B159" s="416">
        <v>1.5536410840173875E-2</v>
      </c>
      <c r="C159" s="416">
        <v>1.7309618487577838E-2</v>
      </c>
      <c r="D159" s="416">
        <v>4.0141666666666668E-3</v>
      </c>
      <c r="F159" s="418">
        <f t="shared" si="12"/>
        <v>1.3295451820911172E-2</v>
      </c>
      <c r="G159" s="418">
        <f t="shared" si="13"/>
        <v>1.152224417350721E-2</v>
      </c>
      <c r="I159" s="426"/>
    </row>
    <row r="160" spans="1:24" ht="16">
      <c r="A160" s="415">
        <v>39142</v>
      </c>
      <c r="B160" s="416">
        <v>1.7134096434623158E-2</v>
      </c>
      <c r="C160" s="416">
        <v>9.3407716022806397E-3</v>
      </c>
      <c r="D160" s="416">
        <v>4.0399999999999993E-3</v>
      </c>
      <c r="F160" s="418">
        <f t="shared" si="12"/>
        <v>5.3007716022806404E-3</v>
      </c>
      <c r="G160" s="418">
        <f t="shared" si="13"/>
        <v>1.309409643462316E-2</v>
      </c>
      <c r="I160" s="426"/>
    </row>
    <row r="161" spans="1:9" ht="16">
      <c r="A161" s="415">
        <v>39114</v>
      </c>
      <c r="B161" s="416">
        <v>5.7281578220914176E-2</v>
      </c>
      <c r="C161" s="416">
        <v>-8.7963100213653833E-3</v>
      </c>
      <c r="D161" s="416">
        <v>3.8908333333333329E-3</v>
      </c>
      <c r="F161" s="418">
        <f t="shared" si="12"/>
        <v>-1.2687143354698716E-2</v>
      </c>
      <c r="G161" s="418">
        <f t="shared" si="13"/>
        <v>5.3390744887580846E-2</v>
      </c>
      <c r="I161" s="426"/>
    </row>
    <row r="162" spans="1:9" ht="16">
      <c r="A162" s="415">
        <v>39083</v>
      </c>
      <c r="B162" s="416">
        <v>-3.3774269310726801E-4</v>
      </c>
      <c r="C162" s="416">
        <v>1.6098385641845958E-2</v>
      </c>
      <c r="D162" s="416">
        <v>4.1050000000000001E-3</v>
      </c>
      <c r="F162" s="418">
        <f t="shared" si="12"/>
        <v>1.1993385641845957E-2</v>
      </c>
      <c r="G162" s="418">
        <f t="shared" si="13"/>
        <v>-4.4427426931072682E-3</v>
      </c>
      <c r="I162" s="426"/>
    </row>
    <row r="163" spans="1:9" ht="16">
      <c r="A163" s="415">
        <v>39052</v>
      </c>
      <c r="B163" s="416">
        <v>8.0873775269574288E-4</v>
      </c>
      <c r="C163" s="416">
        <v>1.9589604765108959E-3</v>
      </c>
      <c r="D163" s="416">
        <v>4.0149999999999995E-3</v>
      </c>
      <c r="F163" s="418">
        <f t="shared" si="12"/>
        <v>-2.0560395234891036E-3</v>
      </c>
      <c r="G163" s="418">
        <f t="shared" si="13"/>
        <v>-3.2062622473042566E-3</v>
      </c>
      <c r="I163" s="426"/>
    </row>
    <row r="164" spans="1:9" ht="16">
      <c r="A164" s="415">
        <v>39022</v>
      </c>
      <c r="B164" s="416">
        <v>7.6948051645431503E-2</v>
      </c>
      <c r="C164" s="416">
        <v>2.5142099161707065E-2</v>
      </c>
      <c r="D164" s="416">
        <v>3.8008333333333331E-3</v>
      </c>
      <c r="F164" s="418">
        <f t="shared" si="12"/>
        <v>2.1341265828373732E-2</v>
      </c>
      <c r="G164" s="418">
        <f t="shared" si="13"/>
        <v>7.3147218312098167E-2</v>
      </c>
      <c r="I164" s="426"/>
    </row>
    <row r="165" spans="1:9" ht="16">
      <c r="A165" s="415">
        <v>38991</v>
      </c>
      <c r="B165" s="416">
        <v>5.0630693934699211E-2</v>
      </c>
      <c r="C165" s="416">
        <v>5.6850285236899945E-2</v>
      </c>
      <c r="D165" s="416">
        <v>3.9325000000000002E-3</v>
      </c>
      <c r="F165" s="418">
        <f t="shared" si="12"/>
        <v>5.2917785236899946E-2</v>
      </c>
      <c r="G165" s="418">
        <f t="shared" si="13"/>
        <v>4.6698193934699213E-2</v>
      </c>
      <c r="I165" s="426"/>
    </row>
    <row r="166" spans="1:9" ht="16">
      <c r="A166" s="415">
        <v>38961</v>
      </c>
      <c r="B166" s="416">
        <v>8.4943231251344287E-2</v>
      </c>
      <c r="C166" s="416">
        <v>7.0226052993551669E-3</v>
      </c>
      <c r="D166" s="416">
        <v>3.9725000000000003E-3</v>
      </c>
      <c r="F166" s="418">
        <f t="shared" si="12"/>
        <v>3.0501052993551665E-3</v>
      </c>
      <c r="G166" s="418">
        <f t="shared" si="13"/>
        <v>8.0970731251344283E-2</v>
      </c>
      <c r="I166" s="426"/>
    </row>
    <row r="167" spans="1:9" ht="16">
      <c r="A167" s="415">
        <v>38930</v>
      </c>
      <c r="B167" s="416">
        <v>2.227823885976421E-2</v>
      </c>
      <c r="C167" s="416">
        <v>2.8505811146813498E-2</v>
      </c>
      <c r="D167" s="416">
        <v>4.065E-3</v>
      </c>
      <c r="F167" s="418">
        <f t="shared" si="12"/>
        <v>2.4440811146813499E-2</v>
      </c>
      <c r="G167" s="418">
        <f t="shared" si="13"/>
        <v>1.8213238859764211E-2</v>
      </c>
      <c r="I167" s="426"/>
    </row>
    <row r="168" spans="1:9" ht="16">
      <c r="A168" s="415">
        <v>38899</v>
      </c>
      <c r="B168" s="416">
        <v>-2.2815135608368786E-2</v>
      </c>
      <c r="C168" s="416">
        <v>-3.3270296225309526E-2</v>
      </c>
      <c r="D168" s="416">
        <v>4.2250000000000005E-3</v>
      </c>
      <c r="F168" s="418">
        <f t="shared" ref="F168:F173" si="15">C168-D168</f>
        <v>-3.7495296225309525E-2</v>
      </c>
      <c r="G168" s="418">
        <f t="shared" ref="G168:G173" si="16">B168-D168</f>
        <v>-2.7040135608368786E-2</v>
      </c>
      <c r="I168" s="426"/>
    </row>
    <row r="169" spans="1:9" ht="16">
      <c r="A169" s="415">
        <v>38869</v>
      </c>
      <c r="B169" s="416">
        <v>8.5918079465630015E-3</v>
      </c>
      <c r="C169" s="416">
        <v>5.0761750173204945E-3</v>
      </c>
      <c r="D169" s="416">
        <v>4.3216666666666664E-3</v>
      </c>
      <c r="F169" s="418">
        <f t="shared" si="15"/>
        <v>7.5450835065382811E-4</v>
      </c>
      <c r="G169" s="418">
        <f t="shared" si="16"/>
        <v>4.2701412798963351E-3</v>
      </c>
      <c r="I169" s="426"/>
    </row>
    <row r="170" spans="1:9" ht="16">
      <c r="A170" s="415">
        <v>38838</v>
      </c>
      <c r="B170" s="416">
        <v>-1.8694577578085014E-2</v>
      </c>
      <c r="C170" s="416">
        <v>-5.6936156712003916E-2</v>
      </c>
      <c r="D170" s="416">
        <v>4.3391666666666665E-3</v>
      </c>
      <c r="F170" s="418">
        <f t="shared" si="15"/>
        <v>-6.1275323378670581E-2</v>
      </c>
      <c r="G170" s="418">
        <f t="shared" si="16"/>
        <v>-2.3033744244751679E-2</v>
      </c>
      <c r="I170" s="426"/>
    </row>
    <row r="171" spans="1:9" ht="16">
      <c r="A171" s="415">
        <v>38808</v>
      </c>
      <c r="B171" s="416">
        <v>-3.6550621666431415E-2</v>
      </c>
      <c r="C171" s="416">
        <v>-7.8421855900445703E-4</v>
      </c>
      <c r="D171" s="416">
        <v>4.3074999999999997E-3</v>
      </c>
      <c r="F171" s="418">
        <f t="shared" si="15"/>
        <v>-5.0917185590044567E-3</v>
      </c>
      <c r="G171" s="418">
        <f t="shared" si="16"/>
        <v>-4.0858121666431414E-2</v>
      </c>
      <c r="I171" s="426"/>
    </row>
    <row r="172" spans="1:9" ht="16">
      <c r="A172" s="415">
        <v>38777</v>
      </c>
      <c r="B172" s="416">
        <v>-1.9359574030044624E-2</v>
      </c>
      <c r="C172" s="416">
        <v>4.7218875631934942E-2</v>
      </c>
      <c r="D172" s="416">
        <v>4.0775000000000004E-3</v>
      </c>
      <c r="F172" s="418">
        <f t="shared" si="15"/>
        <v>4.3141375631934945E-2</v>
      </c>
      <c r="G172" s="418">
        <f t="shared" si="16"/>
        <v>-2.3437074030044625E-2</v>
      </c>
      <c r="I172" s="426"/>
    </row>
    <row r="173" spans="1:9" ht="16">
      <c r="A173" s="415">
        <v>38749</v>
      </c>
      <c r="B173" s="416">
        <v>7.2019660478692904E-2</v>
      </c>
      <c r="C173" s="416">
        <v>-3.4915397682782068E-3</v>
      </c>
      <c r="D173" s="416">
        <v>3.7525000000000002E-3</v>
      </c>
      <c r="F173" s="418">
        <f t="shared" si="15"/>
        <v>-7.2440397682782074E-3</v>
      </c>
      <c r="G173" s="418">
        <f t="shared" si="16"/>
        <v>6.8267160478692898E-2</v>
      </c>
      <c r="I173" s="426"/>
    </row>
    <row r="174" spans="1:9" ht="16">
      <c r="A174" s="415">
        <v>38718</v>
      </c>
      <c r="B174" s="418"/>
      <c r="C174" s="418"/>
      <c r="D174" s="418"/>
      <c r="F174" s="418"/>
      <c r="G174" s="418"/>
      <c r="I174" s="426"/>
    </row>
    <row r="175" spans="1:9" ht="16">
      <c r="A175" s="421"/>
      <c r="B175" s="418"/>
      <c r="C175" s="418"/>
      <c r="D175" s="418"/>
      <c r="F175" s="418"/>
      <c r="G175" s="418"/>
      <c r="I175" s="426"/>
    </row>
    <row r="176" spans="1:9" ht="16">
      <c r="A176" s="421"/>
      <c r="B176" s="418"/>
      <c r="C176" s="418"/>
      <c r="D176" s="418"/>
      <c r="F176" s="418"/>
      <c r="G176" s="418"/>
      <c r="I176" s="426"/>
    </row>
    <row r="177" spans="1:9" ht="16">
      <c r="A177" s="421"/>
      <c r="B177" s="418"/>
      <c r="C177" s="418"/>
      <c r="D177" s="418"/>
      <c r="F177" s="418"/>
      <c r="G177" s="418"/>
      <c r="I177" s="426"/>
    </row>
    <row r="178" spans="1:9" ht="16">
      <c r="A178" s="421"/>
      <c r="B178" s="418"/>
      <c r="C178" s="418"/>
      <c r="D178" s="418"/>
      <c r="F178" s="418"/>
      <c r="G178" s="418"/>
      <c r="I178" s="426"/>
    </row>
    <row r="179" spans="1:9" ht="16">
      <c r="A179" s="421"/>
      <c r="B179" s="418"/>
      <c r="C179" s="418"/>
      <c r="D179" s="418"/>
      <c r="F179" s="418"/>
      <c r="G179" s="418"/>
      <c r="I179" s="426"/>
    </row>
    <row r="180" spans="1:9" ht="16">
      <c r="A180" s="421"/>
      <c r="B180" s="418"/>
      <c r="C180" s="418"/>
      <c r="D180" s="418"/>
      <c r="F180" s="418"/>
      <c r="G180" s="418"/>
      <c r="I180" s="426"/>
    </row>
    <row r="181" spans="1:9" ht="16">
      <c r="A181" s="421"/>
      <c r="B181" s="418"/>
      <c r="C181" s="418"/>
      <c r="D181" s="418"/>
      <c r="F181" s="418"/>
      <c r="G181" s="418"/>
      <c r="I181" s="426"/>
    </row>
    <row r="182" spans="1:9" ht="16">
      <c r="A182" s="421"/>
      <c r="B182" s="418"/>
      <c r="C182" s="418"/>
      <c r="D182" s="418"/>
      <c r="F182" s="418"/>
      <c r="G182" s="418"/>
      <c r="I182" s="426"/>
    </row>
    <row r="183" spans="1:9" ht="16">
      <c r="A183" s="421"/>
      <c r="B183" s="418"/>
      <c r="C183" s="418"/>
      <c r="D183" s="418"/>
      <c r="F183" s="418"/>
      <c r="G183" s="418"/>
      <c r="I183" s="426"/>
    </row>
    <row r="184" spans="1:9" ht="16">
      <c r="A184" s="421"/>
      <c r="B184" s="418"/>
      <c r="C184" s="418"/>
      <c r="D184" s="418"/>
      <c r="F184" s="418"/>
      <c r="G184" s="418"/>
      <c r="I184" s="426"/>
    </row>
    <row r="185" spans="1:9" ht="16">
      <c r="A185" s="421"/>
      <c r="B185" s="418"/>
      <c r="C185" s="418"/>
      <c r="D185" s="418"/>
      <c r="F185" s="418"/>
      <c r="G185" s="418"/>
      <c r="I185" s="426"/>
    </row>
    <row r="186" spans="1:9" ht="16">
      <c r="A186" s="421"/>
      <c r="B186" s="418"/>
      <c r="C186" s="418"/>
      <c r="D186" s="418"/>
      <c r="F186" s="418"/>
      <c r="G186" s="418"/>
      <c r="I186" s="426"/>
    </row>
    <row r="187" spans="1:9" ht="16">
      <c r="A187" s="421"/>
      <c r="B187" s="418"/>
      <c r="C187" s="418"/>
      <c r="D187" s="418"/>
      <c r="F187" s="418"/>
      <c r="G187" s="418"/>
      <c r="I187" s="426"/>
    </row>
    <row r="188" spans="1:9" ht="16">
      <c r="A188" s="421"/>
      <c r="B188" s="418"/>
      <c r="C188" s="418"/>
      <c r="D188" s="418"/>
      <c r="F188" s="418"/>
      <c r="G188" s="418"/>
      <c r="I188" s="426"/>
    </row>
    <row r="189" spans="1:9" ht="16">
      <c r="A189" s="421"/>
      <c r="B189" s="418"/>
      <c r="C189" s="418"/>
      <c r="D189" s="418"/>
      <c r="F189" s="418"/>
      <c r="G189" s="418"/>
      <c r="I189" s="426"/>
    </row>
    <row r="190" spans="1:9" ht="16">
      <c r="A190" s="421"/>
      <c r="B190" s="418"/>
      <c r="C190" s="418"/>
      <c r="D190" s="418"/>
      <c r="F190" s="418"/>
      <c r="G190" s="418"/>
      <c r="I190" s="426"/>
    </row>
    <row r="191" spans="1:9" ht="16">
      <c r="A191" s="421"/>
      <c r="B191" s="418"/>
      <c r="C191" s="418"/>
      <c r="D191" s="418"/>
      <c r="F191" s="418"/>
      <c r="G191" s="418"/>
      <c r="I191" s="426"/>
    </row>
    <row r="192" spans="1:9" ht="16">
      <c r="A192" s="421"/>
      <c r="B192" s="418"/>
      <c r="C192" s="418"/>
      <c r="D192" s="418"/>
      <c r="F192" s="418"/>
      <c r="G192" s="418"/>
      <c r="I192" s="426"/>
    </row>
    <row r="193" spans="1:9" ht="16">
      <c r="A193" s="421"/>
      <c r="B193" s="418"/>
      <c r="C193" s="418"/>
      <c r="D193" s="418"/>
      <c r="F193" s="418"/>
      <c r="G193" s="418"/>
      <c r="I193" s="426"/>
    </row>
    <row r="194" spans="1:9" ht="16">
      <c r="A194" s="421"/>
      <c r="B194" s="418"/>
      <c r="C194" s="418"/>
      <c r="D194" s="418"/>
      <c r="F194" s="418"/>
      <c r="G194" s="418"/>
      <c r="I194" s="426"/>
    </row>
    <row r="195" spans="1:9" ht="16">
      <c r="A195" s="421"/>
      <c r="B195" s="418"/>
      <c r="C195" s="418"/>
      <c r="D195" s="418"/>
      <c r="F195" s="418"/>
      <c r="G195" s="418"/>
      <c r="I195" s="426"/>
    </row>
    <row r="196" spans="1:9" ht="16">
      <c r="A196" s="421"/>
      <c r="B196" s="418"/>
      <c r="C196" s="418"/>
      <c r="D196" s="418"/>
      <c r="F196" s="418"/>
      <c r="G196" s="418"/>
      <c r="I196" s="426"/>
    </row>
    <row r="197" spans="1:9" ht="16">
      <c r="A197" s="421"/>
      <c r="B197" s="418"/>
      <c r="C197" s="418"/>
      <c r="D197" s="418"/>
      <c r="F197" s="418"/>
      <c r="G197" s="418"/>
      <c r="I197" s="426"/>
    </row>
    <row r="198" spans="1:9" ht="16">
      <c r="A198" s="421"/>
      <c r="B198" s="418"/>
      <c r="C198" s="418"/>
      <c r="D198" s="418"/>
      <c r="F198" s="418"/>
      <c r="G198" s="418"/>
      <c r="I198" s="426"/>
    </row>
    <row r="199" spans="1:9" ht="16">
      <c r="A199" s="421"/>
      <c r="B199" s="418"/>
      <c r="C199" s="418"/>
      <c r="D199" s="418"/>
      <c r="F199" s="418"/>
      <c r="G199" s="418"/>
      <c r="I199" s="426"/>
    </row>
    <row r="200" spans="1:9" ht="16">
      <c r="A200" s="421"/>
      <c r="B200" s="418"/>
      <c r="C200" s="418"/>
      <c r="D200" s="418"/>
      <c r="F200" s="418"/>
      <c r="G200" s="418"/>
      <c r="I200" s="426"/>
    </row>
    <row r="201" spans="1:9" ht="16">
      <c r="A201" s="421"/>
      <c r="B201" s="418"/>
      <c r="C201" s="418"/>
      <c r="D201" s="418"/>
      <c r="F201" s="418"/>
      <c r="G201" s="418"/>
      <c r="I201" s="426"/>
    </row>
    <row r="202" spans="1:9" ht="16">
      <c r="A202" s="421"/>
      <c r="B202" s="418"/>
      <c r="C202" s="418"/>
      <c r="D202" s="418"/>
      <c r="F202" s="418"/>
      <c r="G202" s="418"/>
      <c r="I202" s="426"/>
    </row>
    <row r="203" spans="1:9" ht="16">
      <c r="A203" s="421"/>
      <c r="B203" s="418"/>
      <c r="C203" s="418"/>
      <c r="D203" s="418"/>
      <c r="F203" s="418"/>
      <c r="G203" s="418"/>
      <c r="I203" s="426"/>
    </row>
    <row r="204" spans="1:9" ht="16">
      <c r="A204" s="421"/>
      <c r="B204" s="418"/>
      <c r="C204" s="418"/>
      <c r="D204" s="418"/>
      <c r="F204" s="418"/>
      <c r="G204" s="418"/>
      <c r="I204" s="426"/>
    </row>
    <row r="205" spans="1:9" ht="16">
      <c r="A205" s="421"/>
      <c r="B205" s="418"/>
      <c r="C205" s="418"/>
      <c r="D205" s="418"/>
      <c r="F205" s="418"/>
      <c r="G205" s="418"/>
      <c r="I205" s="426"/>
    </row>
    <row r="206" spans="1:9" ht="16">
      <c r="A206" s="421"/>
      <c r="B206" s="418"/>
      <c r="C206" s="418"/>
      <c r="D206" s="418"/>
      <c r="F206" s="418"/>
      <c r="G206" s="418"/>
      <c r="I206" s="426"/>
    </row>
    <row r="207" spans="1:9" ht="16">
      <c r="A207" s="421"/>
      <c r="B207" s="418"/>
      <c r="C207" s="418"/>
      <c r="D207" s="418"/>
      <c r="F207" s="418"/>
      <c r="G207" s="418"/>
      <c r="I207" s="426"/>
    </row>
    <row r="208" spans="1:9" ht="16">
      <c r="A208" s="421"/>
      <c r="B208" s="418"/>
      <c r="C208" s="418"/>
      <c r="D208" s="418"/>
      <c r="F208" s="418"/>
      <c r="G208" s="418"/>
      <c r="I208" s="426"/>
    </row>
    <row r="209" spans="1:9" ht="16">
      <c r="A209" s="421"/>
      <c r="B209" s="418"/>
      <c r="C209" s="418"/>
      <c r="D209" s="418"/>
      <c r="F209" s="418"/>
      <c r="G209" s="418"/>
      <c r="I209" s="426"/>
    </row>
    <row r="210" spans="1:9" ht="16">
      <c r="A210" s="421"/>
      <c r="B210" s="418"/>
      <c r="C210" s="418"/>
      <c r="D210" s="418"/>
      <c r="F210" s="418"/>
      <c r="G210" s="418"/>
      <c r="I210" s="426"/>
    </row>
    <row r="211" spans="1:9" ht="16">
      <c r="A211" s="421"/>
      <c r="B211" s="418"/>
      <c r="C211" s="418"/>
      <c r="D211" s="418"/>
      <c r="F211" s="418"/>
      <c r="G211" s="418"/>
      <c r="I211" s="426"/>
    </row>
    <row r="212" spans="1:9" ht="16">
      <c r="A212" s="421"/>
      <c r="B212" s="418"/>
      <c r="C212" s="418"/>
      <c r="D212" s="418"/>
      <c r="F212" s="418"/>
      <c r="G212" s="418"/>
      <c r="I212" s="426"/>
    </row>
    <row r="213" spans="1:9" ht="16">
      <c r="A213" s="421"/>
      <c r="B213" s="418"/>
      <c r="C213" s="418"/>
      <c r="D213" s="418"/>
      <c r="F213" s="418"/>
      <c r="G213" s="418"/>
      <c r="I213" s="426"/>
    </row>
    <row r="214" spans="1:9" ht="16">
      <c r="A214" s="421"/>
      <c r="B214" s="418"/>
      <c r="C214" s="418"/>
      <c r="D214" s="418"/>
      <c r="F214" s="418"/>
      <c r="G214" s="418"/>
      <c r="I214" s="426"/>
    </row>
    <row r="215" spans="1:9" ht="16">
      <c r="A215" s="421"/>
      <c r="B215" s="418"/>
      <c r="C215" s="418"/>
      <c r="D215" s="418"/>
      <c r="F215" s="418"/>
      <c r="G215" s="418"/>
      <c r="I215" s="426"/>
    </row>
    <row r="216" spans="1:9" ht="16">
      <c r="A216" s="421"/>
      <c r="B216" s="418"/>
      <c r="C216" s="418"/>
      <c r="D216" s="418"/>
      <c r="F216" s="418"/>
      <c r="G216" s="418"/>
      <c r="I216" s="426"/>
    </row>
    <row r="217" spans="1:9" ht="16">
      <c r="A217" s="421"/>
      <c r="B217" s="418"/>
      <c r="C217" s="418"/>
      <c r="D217" s="418"/>
      <c r="F217" s="418"/>
      <c r="G217" s="418"/>
      <c r="I217" s="426"/>
    </row>
    <row r="218" spans="1:9" ht="16">
      <c r="A218" s="421"/>
      <c r="B218" s="418"/>
      <c r="C218" s="418"/>
      <c r="D218" s="418"/>
      <c r="F218" s="418"/>
      <c r="G218" s="418"/>
      <c r="I218" s="426"/>
    </row>
    <row r="219" spans="1:9" ht="16">
      <c r="A219" s="421"/>
      <c r="B219" s="418"/>
      <c r="C219" s="418"/>
      <c r="D219" s="418"/>
      <c r="F219" s="418"/>
      <c r="G219" s="418"/>
      <c r="I219" s="426"/>
    </row>
    <row r="220" spans="1:9" ht="16">
      <c r="A220" s="421"/>
      <c r="B220" s="418"/>
      <c r="C220" s="418"/>
      <c r="D220" s="418"/>
      <c r="F220" s="418"/>
      <c r="G220" s="418"/>
      <c r="I220" s="426"/>
    </row>
    <row r="221" spans="1:9" ht="16">
      <c r="A221" s="421"/>
      <c r="B221" s="418"/>
      <c r="C221" s="418"/>
      <c r="D221" s="418"/>
      <c r="F221" s="418"/>
      <c r="G221" s="418"/>
      <c r="I221" s="426"/>
    </row>
    <row r="222" spans="1:9" ht="16">
      <c r="A222" s="421"/>
      <c r="B222" s="418"/>
      <c r="C222" s="418"/>
      <c r="D222" s="418"/>
      <c r="F222" s="418"/>
      <c r="G222" s="418"/>
      <c r="I222" s="426"/>
    </row>
    <row r="223" spans="1:9" ht="16">
      <c r="A223" s="421"/>
      <c r="B223" s="418"/>
      <c r="C223" s="418"/>
      <c r="D223" s="418"/>
      <c r="F223" s="418"/>
      <c r="G223" s="418"/>
      <c r="I223" s="426"/>
    </row>
    <row r="224" spans="1:9" ht="16">
      <c r="A224" s="421"/>
      <c r="B224" s="418"/>
      <c r="C224" s="418"/>
      <c r="D224" s="418"/>
      <c r="F224" s="418"/>
      <c r="G224" s="418"/>
      <c r="I224" s="426"/>
    </row>
    <row r="225" spans="1:9" ht="16">
      <c r="A225" s="421"/>
      <c r="B225" s="418"/>
      <c r="C225" s="418"/>
      <c r="D225" s="418"/>
      <c r="F225" s="418"/>
      <c r="G225" s="418"/>
      <c r="I225" s="426"/>
    </row>
    <row r="226" spans="1:9" ht="16">
      <c r="A226" s="421"/>
      <c r="B226" s="418"/>
      <c r="C226" s="418"/>
      <c r="D226" s="418"/>
      <c r="F226" s="418"/>
      <c r="G226" s="418"/>
      <c r="I226" s="426"/>
    </row>
    <row r="227" spans="1:9" ht="16">
      <c r="A227" s="421"/>
      <c r="B227" s="418"/>
      <c r="C227" s="418"/>
      <c r="D227" s="418"/>
      <c r="F227" s="418"/>
      <c r="G227" s="418"/>
      <c r="I227" s="426"/>
    </row>
    <row r="228" spans="1:9" ht="16">
      <c r="A228" s="421"/>
      <c r="B228" s="418"/>
      <c r="C228" s="418"/>
      <c r="D228" s="418"/>
      <c r="F228" s="418"/>
      <c r="G228" s="418"/>
      <c r="I228" s="426"/>
    </row>
    <row r="229" spans="1:9" ht="16">
      <c r="A229" s="421"/>
      <c r="B229" s="418"/>
      <c r="C229" s="418"/>
      <c r="D229" s="418"/>
      <c r="F229" s="418"/>
      <c r="G229" s="418"/>
      <c r="I229" s="426"/>
    </row>
    <row r="230" spans="1:9" ht="16">
      <c r="A230" s="421"/>
      <c r="B230" s="418"/>
      <c r="C230" s="418"/>
      <c r="D230" s="418"/>
      <c r="F230" s="418"/>
      <c r="G230" s="418"/>
      <c r="I230" s="426"/>
    </row>
    <row r="231" spans="1:9" ht="16">
      <c r="A231" s="421"/>
      <c r="B231" s="418"/>
      <c r="C231" s="418"/>
      <c r="D231" s="418"/>
      <c r="F231" s="418"/>
      <c r="G231" s="418"/>
      <c r="I231" s="426"/>
    </row>
    <row r="232" spans="1:9" ht="16">
      <c r="A232" s="421"/>
      <c r="B232" s="418"/>
      <c r="C232" s="418"/>
      <c r="D232" s="418"/>
      <c r="F232" s="418"/>
      <c r="G232" s="418"/>
      <c r="I232" s="426"/>
    </row>
    <row r="233" spans="1:9" ht="16">
      <c r="A233" s="421"/>
      <c r="B233" s="418"/>
      <c r="C233" s="418"/>
      <c r="D233" s="418"/>
      <c r="F233" s="418"/>
      <c r="G233" s="418"/>
      <c r="I233" s="426"/>
    </row>
    <row r="234" spans="1:9" ht="16">
      <c r="A234" s="421"/>
      <c r="B234" s="418"/>
      <c r="C234" s="418"/>
      <c r="D234" s="418"/>
      <c r="F234" s="418"/>
      <c r="G234" s="418"/>
      <c r="I234" s="426"/>
    </row>
    <row r="235" spans="1:9" ht="16">
      <c r="A235" s="421"/>
      <c r="B235" s="418"/>
      <c r="C235" s="418"/>
      <c r="D235" s="418"/>
      <c r="F235" s="418"/>
      <c r="G235" s="418"/>
      <c r="I235" s="426"/>
    </row>
    <row r="236" spans="1:9" ht="16">
      <c r="A236" s="421"/>
      <c r="B236" s="418"/>
      <c r="C236" s="418"/>
      <c r="D236" s="418"/>
      <c r="F236" s="418"/>
      <c r="G236" s="418"/>
      <c r="I236" s="426"/>
    </row>
    <row r="237" spans="1:9" ht="16">
      <c r="A237" s="421"/>
      <c r="B237" s="418"/>
      <c r="C237" s="418"/>
      <c r="D237" s="418"/>
      <c r="F237" s="418"/>
      <c r="G237" s="418"/>
      <c r="I237" s="426"/>
    </row>
    <row r="238" spans="1:9" ht="16">
      <c r="A238" s="421"/>
      <c r="B238" s="418"/>
      <c r="C238" s="418"/>
      <c r="D238" s="418"/>
      <c r="F238" s="418"/>
      <c r="G238" s="418"/>
      <c r="I238" s="426"/>
    </row>
    <row r="239" spans="1:9" ht="16">
      <c r="A239" s="421"/>
      <c r="B239" s="418"/>
      <c r="C239" s="418"/>
      <c r="D239" s="418"/>
      <c r="F239" s="418"/>
      <c r="G239" s="418"/>
      <c r="I239" s="426"/>
    </row>
    <row r="240" spans="1:9" ht="16">
      <c r="A240" s="421"/>
      <c r="B240" s="418"/>
      <c r="C240" s="418"/>
      <c r="D240" s="418"/>
      <c r="F240" s="418"/>
      <c r="G240" s="418"/>
      <c r="I240" s="426"/>
    </row>
    <row r="241" spans="1:9" ht="16">
      <c r="A241" s="421"/>
      <c r="B241" s="418"/>
      <c r="C241" s="418"/>
      <c r="D241" s="418"/>
      <c r="F241" s="418"/>
      <c r="G241" s="418"/>
      <c r="I241" s="426"/>
    </row>
    <row r="242" spans="1:9" ht="16">
      <c r="A242" s="421"/>
      <c r="B242" s="418"/>
      <c r="C242" s="418"/>
      <c r="D242" s="418"/>
      <c r="F242" s="418"/>
      <c r="G242" s="418"/>
      <c r="I242" s="426"/>
    </row>
    <row r="243" spans="1:9" ht="16">
      <c r="A243" s="421"/>
      <c r="B243" s="418"/>
      <c r="C243" s="418"/>
      <c r="D243" s="418"/>
      <c r="F243" s="418"/>
      <c r="G243" s="418"/>
      <c r="I243" s="426"/>
    </row>
    <row r="244" spans="1:9" ht="16">
      <c r="A244" s="421"/>
      <c r="B244" s="418"/>
      <c r="C244" s="418"/>
      <c r="D244" s="418"/>
      <c r="F244" s="418"/>
      <c r="G244" s="418"/>
      <c r="I244" s="426"/>
    </row>
    <row r="245" spans="1:9" ht="16">
      <c r="A245" s="421"/>
      <c r="B245" s="418"/>
      <c r="C245" s="418"/>
      <c r="D245" s="418"/>
      <c r="F245" s="418"/>
      <c r="G245" s="418"/>
      <c r="I245" s="426"/>
    </row>
    <row r="246" spans="1:9" ht="16">
      <c r="A246" s="421"/>
      <c r="B246" s="418"/>
      <c r="C246" s="418"/>
      <c r="D246" s="418"/>
      <c r="F246" s="418"/>
      <c r="G246" s="418"/>
      <c r="I246" s="426"/>
    </row>
    <row r="247" spans="1:9" ht="16">
      <c r="A247" s="421"/>
      <c r="B247" s="418"/>
      <c r="C247" s="418"/>
      <c r="D247" s="418"/>
      <c r="F247" s="418"/>
      <c r="G247" s="418"/>
      <c r="I247" s="426"/>
    </row>
    <row r="248" spans="1:9" ht="16">
      <c r="A248" s="421"/>
      <c r="B248" s="418"/>
      <c r="C248" s="418"/>
      <c r="D248" s="418"/>
      <c r="F248" s="418"/>
      <c r="G248" s="418"/>
      <c r="I248" s="426"/>
    </row>
    <row r="249" spans="1:9" ht="16">
      <c r="A249" s="421"/>
      <c r="B249" s="418"/>
      <c r="C249" s="418"/>
      <c r="D249" s="418"/>
      <c r="F249" s="418"/>
      <c r="G249" s="418"/>
      <c r="I249" s="426"/>
    </row>
    <row r="250" spans="1:9" ht="16">
      <c r="A250" s="421"/>
      <c r="B250" s="418"/>
      <c r="C250" s="418"/>
      <c r="D250" s="418"/>
      <c r="F250" s="418"/>
      <c r="G250" s="418"/>
      <c r="I250" s="426"/>
    </row>
    <row r="251" spans="1:9" ht="16">
      <c r="A251" s="421"/>
      <c r="B251" s="418"/>
      <c r="C251" s="418"/>
      <c r="D251" s="418"/>
      <c r="F251" s="418"/>
      <c r="G251" s="418"/>
      <c r="I251" s="426"/>
    </row>
    <row r="252" spans="1:9" ht="16">
      <c r="A252" s="421"/>
      <c r="B252" s="418"/>
      <c r="C252" s="418"/>
      <c r="D252" s="418"/>
      <c r="F252" s="418"/>
      <c r="G252" s="418"/>
      <c r="I252" s="426"/>
    </row>
    <row r="253" spans="1:9" ht="16">
      <c r="A253" s="421"/>
      <c r="B253" s="418"/>
      <c r="C253" s="418"/>
      <c r="D253" s="418"/>
      <c r="F253" s="418"/>
      <c r="G253" s="418"/>
      <c r="I253" s="426"/>
    </row>
    <row r="254" spans="1:9" ht="16">
      <c r="A254" s="421"/>
      <c r="B254" s="418"/>
      <c r="C254" s="418"/>
      <c r="D254" s="418"/>
      <c r="F254" s="418"/>
      <c r="G254" s="418"/>
      <c r="I254" s="426"/>
    </row>
    <row r="255" spans="1:9" ht="16">
      <c r="A255" s="421"/>
      <c r="B255" s="418"/>
      <c r="C255" s="418"/>
      <c r="D255" s="418"/>
      <c r="F255" s="418"/>
      <c r="G255" s="418"/>
      <c r="I255" s="426"/>
    </row>
    <row r="256" spans="1:9" ht="16">
      <c r="A256" s="421"/>
      <c r="B256" s="418"/>
      <c r="C256" s="418"/>
      <c r="D256" s="418"/>
      <c r="F256" s="418"/>
      <c r="G256" s="418"/>
      <c r="I256" s="426"/>
    </row>
    <row r="257" spans="1:9" ht="16">
      <c r="A257" s="421"/>
      <c r="B257" s="418"/>
      <c r="C257" s="418"/>
      <c r="D257" s="418"/>
      <c r="F257" s="418"/>
      <c r="G257" s="418"/>
      <c r="I257" s="426"/>
    </row>
    <row r="258" spans="1:9" ht="16">
      <c r="A258" s="421"/>
      <c r="B258" s="418"/>
      <c r="C258" s="418"/>
      <c r="D258" s="418"/>
      <c r="F258" s="418"/>
      <c r="G258" s="418"/>
      <c r="I258" s="426"/>
    </row>
    <row r="259" spans="1:9" ht="16">
      <c r="A259" s="421"/>
      <c r="B259" s="418"/>
      <c r="C259" s="418"/>
      <c r="D259" s="418"/>
      <c r="F259" s="418"/>
      <c r="G259" s="418"/>
      <c r="I259" s="426"/>
    </row>
    <row r="260" spans="1:9" ht="16">
      <c r="A260" s="421"/>
      <c r="B260" s="418"/>
      <c r="C260" s="418"/>
      <c r="D260" s="418"/>
      <c r="F260" s="418"/>
      <c r="G260" s="418"/>
      <c r="I260" s="426"/>
    </row>
    <row r="261" spans="1:9" ht="16">
      <c r="A261" s="421"/>
      <c r="B261" s="418"/>
      <c r="C261" s="418"/>
      <c r="D261" s="418"/>
      <c r="F261" s="418"/>
      <c r="G261" s="418"/>
      <c r="I261" s="426"/>
    </row>
    <row r="262" spans="1:9" ht="16">
      <c r="A262" s="421"/>
      <c r="B262" s="418"/>
      <c r="C262" s="418"/>
      <c r="D262" s="418"/>
      <c r="F262" s="418"/>
      <c r="G262" s="418"/>
      <c r="I262" s="426"/>
    </row>
    <row r="263" spans="1:9" ht="16">
      <c r="A263" s="421"/>
      <c r="B263" s="418"/>
      <c r="C263" s="418"/>
      <c r="D263" s="418"/>
      <c r="F263" s="418"/>
      <c r="G263" s="418"/>
      <c r="I263" s="426"/>
    </row>
    <row r="264" spans="1:9" ht="16">
      <c r="A264" s="421"/>
      <c r="B264" s="418"/>
      <c r="C264" s="418"/>
      <c r="D264" s="418"/>
      <c r="F264" s="418"/>
      <c r="G264" s="418"/>
      <c r="I264" s="426"/>
    </row>
    <row r="265" spans="1:9" ht="16">
      <c r="A265" s="421"/>
      <c r="I265" s="426"/>
    </row>
    <row r="266" spans="1:9" ht="16">
      <c r="I266" s="426"/>
    </row>
    <row r="267" spans="1:9" ht="16">
      <c r="I267" s="426"/>
    </row>
    <row r="268" spans="1:9" ht="16">
      <c r="I268" s="426"/>
    </row>
    <row r="269" spans="1:9" ht="16">
      <c r="I269" s="426"/>
    </row>
    <row r="270" spans="1:9" ht="16">
      <c r="I270" s="426"/>
    </row>
    <row r="271" spans="1:9" ht="16">
      <c r="I271" s="426"/>
    </row>
    <row r="272" spans="1:9" ht="16">
      <c r="I272" s="426"/>
    </row>
    <row r="273" spans="9:9" ht="16">
      <c r="I273" s="426"/>
    </row>
  </sheetData>
  <hyperlinks>
    <hyperlink ref="D1" location="Menu!A1" display="MENU" xr:uid="{14B1B8E1-D289-439A-9F71-BE24C1FB00CB}"/>
  </hyperlinks>
  <pageMargins left="0.75" right="0.75" top="1" bottom="1" header="0.5" footer="0.5"/>
  <pageSetup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BE768B-B421-45D4-ACD2-F103A8CB26C8}">
  <dimension ref="A1:H205"/>
  <sheetViews>
    <sheetView showGridLines="0" topLeftCell="A3" workbookViewId="0">
      <selection activeCell="C10" sqref="C10:XFD10"/>
    </sheetView>
  </sheetViews>
  <sheetFormatPr baseColWidth="10" defaultColWidth="9.1640625" defaultRowHeight="13"/>
  <cols>
    <col min="1" max="1" width="10" style="412" bestFit="1" customWidth="1"/>
    <col min="2" max="2" width="9.5" style="412" bestFit="1" customWidth="1"/>
    <col min="3" max="6" width="9.1640625" style="412"/>
    <col min="7" max="7" width="12.83203125" style="412" bestFit="1" customWidth="1"/>
    <col min="8" max="16384" width="9.1640625" style="412"/>
  </cols>
  <sheetData>
    <row r="1" spans="1:8" s="75" customFormat="1" ht="19">
      <c r="D1" s="76" t="s">
        <v>268</v>
      </c>
    </row>
    <row r="2" spans="1:8" s="75" customFormat="1" ht="15">
      <c r="D2" s="77" t="s">
        <v>270</v>
      </c>
    </row>
    <row r="3" spans="1:8" s="75" customFormat="1" ht="15">
      <c r="D3" s="77" t="s">
        <v>269</v>
      </c>
      <c r="E3" s="75" t="s">
        <v>554</v>
      </c>
    </row>
    <row r="4" spans="1:8" s="75" customFormat="1" ht="15"/>
    <row r="5" spans="1:8" s="58" customFormat="1" ht="15"/>
    <row r="6" spans="1:8">
      <c r="A6" s="412" t="s">
        <v>212</v>
      </c>
    </row>
    <row r="7" spans="1:8">
      <c r="A7" s="413" t="s">
        <v>211</v>
      </c>
    </row>
    <row r="8" spans="1:8">
      <c r="A8" s="412" t="s">
        <v>210</v>
      </c>
      <c r="B8" s="414">
        <v>43773</v>
      </c>
    </row>
    <row r="9" spans="1:8">
      <c r="A9" s="412" t="s">
        <v>17</v>
      </c>
      <c r="B9" s="412" t="s">
        <v>167</v>
      </c>
    </row>
    <row r="10" spans="1:8" ht="16">
      <c r="A10" s="412" t="s">
        <v>213</v>
      </c>
      <c r="B10" s="319">
        <f>(AVERAGE(G16:G135))*12</f>
        <v>3.173733333333334E-2</v>
      </c>
    </row>
    <row r="15" spans="1:8">
      <c r="A15" s="412" t="s">
        <v>115</v>
      </c>
      <c r="B15" s="412" t="s">
        <v>209</v>
      </c>
      <c r="C15" s="412" t="s">
        <v>208</v>
      </c>
      <c r="D15" s="412" t="s">
        <v>207</v>
      </c>
      <c r="E15" s="412" t="s">
        <v>206</v>
      </c>
      <c r="F15" s="412" t="s">
        <v>205</v>
      </c>
      <c r="G15" s="413" t="s">
        <v>204</v>
      </c>
    </row>
    <row r="16" spans="1:8">
      <c r="A16" s="415">
        <v>43770</v>
      </c>
      <c r="B16" s="412">
        <v>2.173</v>
      </c>
      <c r="C16" s="412">
        <v>2.23</v>
      </c>
      <c r="D16" s="412">
        <v>2.1669999999999998</v>
      </c>
      <c r="E16" s="412">
        <v>2.2120000000000002</v>
      </c>
      <c r="F16" s="412">
        <v>2.2120000000000002</v>
      </c>
      <c r="G16" s="416">
        <f t="shared" ref="G16:G47" si="0">(F16/100)/12</f>
        <v>1.8433333333333333E-3</v>
      </c>
      <c r="H16" s="413" t="str">
        <f ca="1">_xlfn.FORMULATEXT(G16)</f>
        <v>=(F16/100)/12</v>
      </c>
    </row>
    <row r="17" spans="1:7">
      <c r="A17" s="415">
        <v>43739</v>
      </c>
      <c r="B17" s="412">
        <v>2.1760000000000002</v>
      </c>
      <c r="C17" s="412">
        <v>2.35</v>
      </c>
      <c r="D17" s="412">
        <v>2.008</v>
      </c>
      <c r="E17" s="412">
        <v>2.1760000000000002</v>
      </c>
      <c r="F17" s="412">
        <v>2.1760000000000002</v>
      </c>
      <c r="G17" s="416">
        <f t="shared" si="0"/>
        <v>1.8133333333333335E-3</v>
      </c>
    </row>
    <row r="18" spans="1:7">
      <c r="A18" s="415">
        <v>43709</v>
      </c>
      <c r="B18" s="412">
        <v>1.9450000000000001</v>
      </c>
      <c r="C18" s="412">
        <v>2.3780000000000001</v>
      </c>
      <c r="D18" s="412">
        <v>1.909</v>
      </c>
      <c r="E18" s="412">
        <v>2.121</v>
      </c>
      <c r="F18" s="412">
        <v>2.121</v>
      </c>
      <c r="G18" s="416">
        <f t="shared" si="0"/>
        <v>1.7675E-3</v>
      </c>
    </row>
    <row r="19" spans="1:7">
      <c r="A19" s="415">
        <v>43678</v>
      </c>
      <c r="B19" s="412">
        <v>2.5289999999999999</v>
      </c>
      <c r="C19" s="412">
        <v>2.5289999999999999</v>
      </c>
      <c r="D19" s="412">
        <v>1.905</v>
      </c>
      <c r="E19" s="412">
        <v>1.97</v>
      </c>
      <c r="F19" s="412">
        <v>1.97</v>
      </c>
      <c r="G19" s="416">
        <f t="shared" si="0"/>
        <v>1.6416666666666665E-3</v>
      </c>
    </row>
    <row r="20" spans="1:7">
      <c r="A20" s="415">
        <v>43647</v>
      </c>
      <c r="B20" s="412">
        <v>2.544</v>
      </c>
      <c r="C20" s="412">
        <v>2.67</v>
      </c>
      <c r="D20" s="412">
        <v>2.4660000000000002</v>
      </c>
      <c r="E20" s="412">
        <v>2.5270000000000001</v>
      </c>
      <c r="F20" s="412">
        <v>2.5270000000000001</v>
      </c>
      <c r="G20" s="416">
        <f t="shared" si="0"/>
        <v>2.1058333333333333E-3</v>
      </c>
    </row>
    <row r="21" spans="1:7">
      <c r="A21" s="415">
        <v>43617</v>
      </c>
      <c r="B21" s="412">
        <v>2.5649999999999999</v>
      </c>
      <c r="C21" s="412">
        <v>2.6520000000000001</v>
      </c>
      <c r="D21" s="412">
        <v>2.5019999999999998</v>
      </c>
      <c r="E21" s="412">
        <v>2.528</v>
      </c>
      <c r="F21" s="412">
        <v>2.528</v>
      </c>
      <c r="G21" s="416">
        <f t="shared" si="0"/>
        <v>2.1066666666666668E-3</v>
      </c>
    </row>
    <row r="22" spans="1:7">
      <c r="A22" s="415">
        <v>43586</v>
      </c>
      <c r="B22" s="412">
        <v>2.9260000000000002</v>
      </c>
      <c r="C22" s="412">
        <v>2.9529999999999998</v>
      </c>
      <c r="D22" s="412">
        <v>2.5739999999999998</v>
      </c>
      <c r="E22" s="412">
        <v>2.5830000000000002</v>
      </c>
      <c r="F22" s="412">
        <v>2.5830000000000002</v>
      </c>
      <c r="G22" s="416">
        <f t="shared" si="0"/>
        <v>2.1525000000000003E-3</v>
      </c>
    </row>
    <row r="23" spans="1:7">
      <c r="A23" s="415">
        <v>43556</v>
      </c>
      <c r="B23" s="412">
        <v>2.847</v>
      </c>
      <c r="C23" s="412">
        <v>3.0110000000000001</v>
      </c>
      <c r="D23" s="412">
        <v>2.835</v>
      </c>
      <c r="E23" s="412">
        <v>2.94</v>
      </c>
      <c r="F23" s="412">
        <v>2.94</v>
      </c>
      <c r="G23" s="416">
        <f t="shared" si="0"/>
        <v>2.4499999999999999E-3</v>
      </c>
    </row>
    <row r="24" spans="1:7">
      <c r="A24" s="415">
        <v>43525</v>
      </c>
      <c r="B24" s="412">
        <v>3.1040000000000001</v>
      </c>
      <c r="C24" s="412">
        <v>3.129</v>
      </c>
      <c r="D24" s="412">
        <v>2.7989999999999999</v>
      </c>
      <c r="E24" s="412">
        <v>2.8220000000000001</v>
      </c>
      <c r="F24" s="412">
        <v>2.8220000000000001</v>
      </c>
      <c r="G24" s="416">
        <f t="shared" si="0"/>
        <v>2.3516666666666668E-3</v>
      </c>
    </row>
    <row r="25" spans="1:7">
      <c r="A25" s="415">
        <v>43497</v>
      </c>
      <c r="B25" s="412">
        <v>2.9940000000000002</v>
      </c>
      <c r="C25" s="412">
        <v>3.0979999999999999</v>
      </c>
      <c r="D25" s="412">
        <v>2.97</v>
      </c>
      <c r="E25" s="412">
        <v>3.0830000000000002</v>
      </c>
      <c r="F25" s="412">
        <v>3.0830000000000002</v>
      </c>
      <c r="G25" s="416">
        <f t="shared" si="0"/>
        <v>2.5691666666666671E-3</v>
      </c>
    </row>
    <row r="26" spans="1:7">
      <c r="A26" s="415">
        <v>43466</v>
      </c>
      <c r="B26" s="412">
        <v>2.9870000000000001</v>
      </c>
      <c r="C26" s="412">
        <v>3.109</v>
      </c>
      <c r="D26" s="412">
        <v>2.9</v>
      </c>
      <c r="E26" s="412">
        <v>3.0049999999999999</v>
      </c>
      <c r="F26" s="412">
        <v>3.0049999999999999</v>
      </c>
      <c r="G26" s="416">
        <f t="shared" si="0"/>
        <v>2.5041666666666667E-3</v>
      </c>
    </row>
    <row r="27" spans="1:7">
      <c r="A27" s="415">
        <v>43435</v>
      </c>
      <c r="B27" s="412">
        <v>3.331</v>
      </c>
      <c r="C27" s="412">
        <v>3.3340000000000001</v>
      </c>
      <c r="D27" s="412">
        <v>2.9569999999999999</v>
      </c>
      <c r="E27" s="412">
        <v>3.02</v>
      </c>
      <c r="F27" s="412">
        <v>3.02</v>
      </c>
      <c r="G27" s="416">
        <f t="shared" si="0"/>
        <v>2.5166666666666666E-3</v>
      </c>
    </row>
    <row r="28" spans="1:7">
      <c r="A28" s="415">
        <v>43405</v>
      </c>
      <c r="B28" s="412">
        <v>3.4169999999999998</v>
      </c>
      <c r="C28" s="412">
        <v>3.4550000000000001</v>
      </c>
      <c r="D28" s="412">
        <v>3.278</v>
      </c>
      <c r="E28" s="412">
        <v>3.3109999999999999</v>
      </c>
      <c r="F28" s="412">
        <v>3.3109999999999999</v>
      </c>
      <c r="G28" s="416">
        <f t="shared" si="0"/>
        <v>2.7591666666666667E-3</v>
      </c>
    </row>
    <row r="29" spans="1:7">
      <c r="A29" s="415">
        <v>43374</v>
      </c>
      <c r="B29" s="412">
        <v>3.2330000000000001</v>
      </c>
      <c r="C29" s="412">
        <v>3.4239999999999999</v>
      </c>
      <c r="D29" s="412">
        <v>3.1960000000000002</v>
      </c>
      <c r="E29" s="412">
        <v>3.4020000000000001</v>
      </c>
      <c r="F29" s="412">
        <v>3.4020000000000001</v>
      </c>
      <c r="G29" s="416">
        <f t="shared" si="0"/>
        <v>2.8350000000000003E-3</v>
      </c>
    </row>
    <row r="30" spans="1:7">
      <c r="A30" s="415">
        <v>43344</v>
      </c>
      <c r="B30" s="412">
        <v>3.0369999999999999</v>
      </c>
      <c r="C30" s="412">
        <v>3.2480000000000002</v>
      </c>
      <c r="D30" s="412">
        <v>3.0350000000000001</v>
      </c>
      <c r="E30" s="412">
        <v>3.1970000000000001</v>
      </c>
      <c r="F30" s="412">
        <v>3.1970000000000001</v>
      </c>
      <c r="G30" s="416">
        <f t="shared" si="0"/>
        <v>2.6641666666666667E-3</v>
      </c>
    </row>
    <row r="31" spans="1:7">
      <c r="A31" s="415">
        <v>43313</v>
      </c>
      <c r="B31" s="412">
        <v>3.1139999999999999</v>
      </c>
      <c r="C31" s="412">
        <v>3.1469999999999998</v>
      </c>
      <c r="D31" s="412">
        <v>2.9630000000000001</v>
      </c>
      <c r="E31" s="412">
        <v>3.01</v>
      </c>
      <c r="F31" s="412">
        <v>3.01</v>
      </c>
      <c r="G31" s="416">
        <f t="shared" si="0"/>
        <v>2.5083333333333333E-3</v>
      </c>
    </row>
    <row r="32" spans="1:7">
      <c r="A32" s="415">
        <v>43282</v>
      </c>
      <c r="B32" s="412">
        <v>2.9660000000000002</v>
      </c>
      <c r="C32" s="412">
        <v>3.1160000000000001</v>
      </c>
      <c r="D32" s="412">
        <v>2.9249999999999998</v>
      </c>
      <c r="E32" s="412">
        <v>3.0830000000000002</v>
      </c>
      <c r="F32" s="412">
        <v>3.0830000000000002</v>
      </c>
      <c r="G32" s="416">
        <f t="shared" si="0"/>
        <v>2.5691666666666671E-3</v>
      </c>
    </row>
    <row r="33" spans="1:7">
      <c r="A33" s="415">
        <v>43252</v>
      </c>
      <c r="B33" s="412">
        <v>3.056</v>
      </c>
      <c r="C33" s="412">
        <v>3.14</v>
      </c>
      <c r="D33" s="412">
        <v>2.9540000000000002</v>
      </c>
      <c r="E33" s="412">
        <v>2.9830000000000001</v>
      </c>
      <c r="F33" s="412">
        <v>2.9830000000000001</v>
      </c>
      <c r="G33" s="416">
        <f t="shared" si="0"/>
        <v>2.4858333333333334E-3</v>
      </c>
    </row>
    <row r="34" spans="1:7">
      <c r="A34" s="415">
        <v>43221</v>
      </c>
      <c r="B34" s="412">
        <v>3.13</v>
      </c>
      <c r="C34" s="412">
        <v>3.2469999999999999</v>
      </c>
      <c r="D34" s="412">
        <v>2.9540000000000002</v>
      </c>
      <c r="E34" s="412">
        <v>2.9860000000000002</v>
      </c>
      <c r="F34" s="412">
        <v>2.9860000000000002</v>
      </c>
      <c r="G34" s="416">
        <f t="shared" si="0"/>
        <v>2.4883333333333333E-3</v>
      </c>
    </row>
    <row r="35" spans="1:7">
      <c r="A35" s="415">
        <v>43191</v>
      </c>
      <c r="B35" s="412">
        <v>2.9910000000000001</v>
      </c>
      <c r="C35" s="412">
        <v>3.2189999999999999</v>
      </c>
      <c r="D35" s="412">
        <v>2.956</v>
      </c>
      <c r="E35" s="412">
        <v>3.097</v>
      </c>
      <c r="F35" s="412">
        <v>3.097</v>
      </c>
      <c r="G35" s="416">
        <f t="shared" si="0"/>
        <v>2.5808333333333334E-3</v>
      </c>
    </row>
    <row r="36" spans="1:7">
      <c r="A36" s="415">
        <v>43160</v>
      </c>
      <c r="B36" s="412">
        <v>3.1030000000000002</v>
      </c>
      <c r="C36" s="412">
        <v>3.1779999999999999</v>
      </c>
      <c r="D36" s="412">
        <v>2.968</v>
      </c>
      <c r="E36" s="412">
        <v>2.972</v>
      </c>
      <c r="F36" s="412">
        <v>2.972</v>
      </c>
      <c r="G36" s="416">
        <f t="shared" si="0"/>
        <v>2.4766666666666665E-3</v>
      </c>
    </row>
    <row r="37" spans="1:7">
      <c r="A37" s="415">
        <v>43132</v>
      </c>
      <c r="B37" s="412">
        <v>2.964</v>
      </c>
      <c r="C37" s="412">
        <v>3.2210000000000001</v>
      </c>
      <c r="D37" s="412">
        <v>2.9430000000000001</v>
      </c>
      <c r="E37" s="412">
        <v>3.1269999999999998</v>
      </c>
      <c r="F37" s="412">
        <v>3.1269999999999998</v>
      </c>
      <c r="G37" s="416">
        <f t="shared" si="0"/>
        <v>2.6058333333333333E-3</v>
      </c>
    </row>
    <row r="38" spans="1:7">
      <c r="A38" s="415">
        <v>43101</v>
      </c>
      <c r="B38" s="412">
        <v>2.774</v>
      </c>
      <c r="C38" s="412">
        <v>2.9940000000000002</v>
      </c>
      <c r="D38" s="412">
        <v>2.7639999999999998</v>
      </c>
      <c r="E38" s="412">
        <v>2.9420000000000002</v>
      </c>
      <c r="F38" s="412">
        <v>2.9420000000000002</v>
      </c>
      <c r="G38" s="416">
        <f t="shared" si="0"/>
        <v>2.4516666666666667E-3</v>
      </c>
    </row>
    <row r="39" spans="1:7">
      <c r="A39" s="415">
        <v>43070</v>
      </c>
      <c r="B39" s="412">
        <v>2.7909999999999999</v>
      </c>
      <c r="C39" s="412">
        <v>2.8769999999999998</v>
      </c>
      <c r="D39" s="412">
        <v>2.6869999999999998</v>
      </c>
      <c r="E39" s="412">
        <v>2.7389999999999999</v>
      </c>
      <c r="F39" s="412">
        <v>2.7389999999999999</v>
      </c>
      <c r="G39" s="416">
        <f t="shared" si="0"/>
        <v>2.2824999999999998E-3</v>
      </c>
    </row>
    <row r="40" spans="1:7">
      <c r="A40" s="415">
        <v>43040</v>
      </c>
      <c r="B40" s="412">
        <v>2.8969999999999998</v>
      </c>
      <c r="C40" s="412">
        <v>2.899</v>
      </c>
      <c r="D40" s="412">
        <v>2.7389999999999999</v>
      </c>
      <c r="E40" s="412">
        <v>2.8319999999999999</v>
      </c>
      <c r="F40" s="412">
        <v>2.8319999999999999</v>
      </c>
      <c r="G40" s="416">
        <f t="shared" si="0"/>
        <v>2.3599999999999997E-3</v>
      </c>
    </row>
    <row r="41" spans="1:7">
      <c r="A41" s="415">
        <v>43009</v>
      </c>
      <c r="B41" s="412">
        <v>2.8660000000000001</v>
      </c>
      <c r="C41" s="412">
        <v>2.98</v>
      </c>
      <c r="D41" s="412">
        <v>2.802</v>
      </c>
      <c r="E41" s="412">
        <v>2.875</v>
      </c>
      <c r="F41" s="412">
        <v>2.875</v>
      </c>
      <c r="G41" s="416">
        <f t="shared" si="0"/>
        <v>2.3958333333333336E-3</v>
      </c>
    </row>
    <row r="42" spans="1:7">
      <c r="A42" s="415">
        <v>42979</v>
      </c>
      <c r="B42" s="412">
        <v>2.7349999999999999</v>
      </c>
      <c r="C42" s="412">
        <v>2.9</v>
      </c>
      <c r="D42" s="412">
        <v>2.6509999999999998</v>
      </c>
      <c r="E42" s="412">
        <v>2.8570000000000002</v>
      </c>
      <c r="F42" s="412">
        <v>2.8570000000000002</v>
      </c>
      <c r="G42" s="416">
        <f t="shared" si="0"/>
        <v>2.3808333333333333E-3</v>
      </c>
    </row>
    <row r="43" spans="1:7">
      <c r="A43" s="415">
        <v>42948</v>
      </c>
      <c r="B43" s="412">
        <v>2.9089999999999998</v>
      </c>
      <c r="C43" s="412">
        <v>2.93</v>
      </c>
      <c r="D43" s="412">
        <v>2.694</v>
      </c>
      <c r="E43" s="412">
        <v>2.7250000000000001</v>
      </c>
      <c r="F43" s="412">
        <v>2.7250000000000001</v>
      </c>
      <c r="G43" s="416">
        <f t="shared" si="0"/>
        <v>2.2708333333333335E-3</v>
      </c>
    </row>
    <row r="44" spans="1:7">
      <c r="A44" s="415">
        <v>42917</v>
      </c>
      <c r="B44" s="412">
        <v>2.839</v>
      </c>
      <c r="C44" s="412">
        <v>2.944</v>
      </c>
      <c r="D44" s="412">
        <v>2.7970000000000002</v>
      </c>
      <c r="E44" s="412">
        <v>2.8980000000000001</v>
      </c>
      <c r="F44" s="412">
        <v>2.8980000000000001</v>
      </c>
      <c r="G44" s="416">
        <f t="shared" si="0"/>
        <v>2.415E-3</v>
      </c>
    </row>
    <row r="45" spans="1:7">
      <c r="A45" s="415">
        <v>42887</v>
      </c>
      <c r="B45" s="412">
        <v>2.879</v>
      </c>
      <c r="C45" s="412">
        <v>2.8929999999999998</v>
      </c>
      <c r="D45" s="412">
        <v>2.6819999999999999</v>
      </c>
      <c r="E45" s="412">
        <v>2.84</v>
      </c>
      <c r="F45" s="412">
        <v>2.84</v>
      </c>
      <c r="G45" s="416">
        <f t="shared" si="0"/>
        <v>2.3666666666666667E-3</v>
      </c>
    </row>
    <row r="46" spans="1:7">
      <c r="A46" s="415">
        <v>42856</v>
      </c>
      <c r="B46" s="412">
        <v>2.9620000000000002</v>
      </c>
      <c r="C46" s="412">
        <v>3.0590000000000002</v>
      </c>
      <c r="D46" s="412">
        <v>2.8570000000000002</v>
      </c>
      <c r="E46" s="412">
        <v>2.8570000000000002</v>
      </c>
      <c r="F46" s="412">
        <v>2.8570000000000002</v>
      </c>
      <c r="G46" s="416">
        <f t="shared" si="0"/>
        <v>2.3808333333333333E-3</v>
      </c>
    </row>
    <row r="47" spans="1:7">
      <c r="A47" s="415">
        <v>42826</v>
      </c>
      <c r="B47" s="412">
        <v>3.0150000000000001</v>
      </c>
      <c r="C47" s="412">
        <v>3.0259999999999998</v>
      </c>
      <c r="D47" s="412">
        <v>2.8410000000000002</v>
      </c>
      <c r="E47" s="412">
        <v>2.952</v>
      </c>
      <c r="F47" s="412">
        <v>2.952</v>
      </c>
      <c r="G47" s="416">
        <f t="shared" si="0"/>
        <v>2.4599999999999999E-3</v>
      </c>
    </row>
    <row r="48" spans="1:7">
      <c r="A48" s="415">
        <v>42795</v>
      </c>
      <c r="B48" s="412">
        <v>3.0270000000000001</v>
      </c>
      <c r="C48" s="412">
        <v>3.2010000000000001</v>
      </c>
      <c r="D48" s="412">
        <v>2.96</v>
      </c>
      <c r="E48" s="412">
        <v>3.0179999999999998</v>
      </c>
      <c r="F48" s="412">
        <v>3.0179999999999998</v>
      </c>
      <c r="G48" s="416">
        <f t="shared" ref="G48:G79" si="1">(F48/100)/12</f>
        <v>2.5149999999999999E-3</v>
      </c>
    </row>
    <row r="49" spans="1:7">
      <c r="A49" s="415">
        <v>42767</v>
      </c>
      <c r="B49" s="412">
        <v>3.081</v>
      </c>
      <c r="C49" s="412">
        <v>3.1269999999999998</v>
      </c>
      <c r="D49" s="412">
        <v>2.9470000000000001</v>
      </c>
      <c r="E49" s="412">
        <v>2.968</v>
      </c>
      <c r="F49" s="412">
        <v>2.968</v>
      </c>
      <c r="G49" s="416">
        <f t="shared" si="1"/>
        <v>2.473333333333333E-3</v>
      </c>
    </row>
    <row r="50" spans="1:7">
      <c r="A50" s="415">
        <v>42736</v>
      </c>
      <c r="B50" s="412">
        <v>3.1230000000000002</v>
      </c>
      <c r="C50" s="412">
        <v>3.129</v>
      </c>
      <c r="D50" s="412">
        <v>2.9020000000000001</v>
      </c>
      <c r="E50" s="412">
        <v>3.0510000000000002</v>
      </c>
      <c r="F50" s="412">
        <v>3.0510000000000002</v>
      </c>
      <c r="G50" s="416">
        <f t="shared" si="1"/>
        <v>2.5425000000000001E-3</v>
      </c>
    </row>
    <row r="51" spans="1:7">
      <c r="A51" s="415">
        <v>42705</v>
      </c>
      <c r="B51" s="412">
        <v>3.0760000000000001</v>
      </c>
      <c r="C51" s="412">
        <v>3.1970000000000001</v>
      </c>
      <c r="D51" s="412">
        <v>3.0249999999999999</v>
      </c>
      <c r="E51" s="412">
        <v>3.0630000000000002</v>
      </c>
      <c r="F51" s="412">
        <v>3.0630000000000002</v>
      </c>
      <c r="G51" s="416">
        <f t="shared" si="1"/>
        <v>2.5525000000000001E-3</v>
      </c>
    </row>
    <row r="52" spans="1:7">
      <c r="A52" s="415">
        <v>42675</v>
      </c>
      <c r="B52" s="412">
        <v>2.5979999999999999</v>
      </c>
      <c r="C52" s="412">
        <v>3.0910000000000002</v>
      </c>
      <c r="D52" s="412">
        <v>2.5379999999999998</v>
      </c>
      <c r="E52" s="412">
        <v>3.0169999999999999</v>
      </c>
      <c r="F52" s="412">
        <v>3.0169999999999999</v>
      </c>
      <c r="G52" s="416">
        <f t="shared" si="1"/>
        <v>2.5141666666666667E-3</v>
      </c>
    </row>
    <row r="53" spans="1:7">
      <c r="A53" s="415">
        <v>42644</v>
      </c>
      <c r="B53" s="412">
        <v>2.3149999999999999</v>
      </c>
      <c r="C53" s="412">
        <v>2.6379999999999999</v>
      </c>
      <c r="D53" s="412">
        <v>2.3050000000000002</v>
      </c>
      <c r="E53" s="412">
        <v>2.589</v>
      </c>
      <c r="F53" s="412">
        <v>2.589</v>
      </c>
      <c r="G53" s="416">
        <f t="shared" si="1"/>
        <v>2.1575000000000001E-3</v>
      </c>
    </row>
    <row r="54" spans="1:7">
      <c r="A54" s="415">
        <v>42614</v>
      </c>
      <c r="B54" s="412">
        <v>2.2509999999999999</v>
      </c>
      <c r="C54" s="412">
        <v>2.5</v>
      </c>
      <c r="D54" s="412">
        <v>2.206</v>
      </c>
      <c r="E54" s="412">
        <v>2.3359999999999999</v>
      </c>
      <c r="F54" s="412">
        <v>2.3359999999999999</v>
      </c>
      <c r="G54" s="416">
        <f t="shared" si="1"/>
        <v>1.9466666666666666E-3</v>
      </c>
    </row>
    <row r="55" spans="1:7">
      <c r="A55" s="415">
        <v>42583</v>
      </c>
      <c r="B55" s="412">
        <v>2.2290000000000001</v>
      </c>
      <c r="C55" s="412">
        <v>2.34</v>
      </c>
      <c r="D55" s="412">
        <v>2.2040000000000002</v>
      </c>
      <c r="E55" s="412">
        <v>2.2309999999999999</v>
      </c>
      <c r="F55" s="412">
        <v>2.2309999999999999</v>
      </c>
      <c r="G55" s="416">
        <f t="shared" si="1"/>
        <v>1.8591666666666667E-3</v>
      </c>
    </row>
    <row r="56" spans="1:7">
      <c r="A56" s="415">
        <v>42552</v>
      </c>
      <c r="B56" s="412">
        <v>2.2200000000000002</v>
      </c>
      <c r="C56" s="412">
        <v>2.359</v>
      </c>
      <c r="D56" s="412">
        <v>2.1019999999999999</v>
      </c>
      <c r="E56" s="412">
        <v>2.1819999999999999</v>
      </c>
      <c r="F56" s="412">
        <v>2.1819999999999999</v>
      </c>
      <c r="G56" s="416">
        <f t="shared" si="1"/>
        <v>1.8183333333333333E-3</v>
      </c>
    </row>
    <row r="57" spans="1:7">
      <c r="A57" s="415">
        <v>42522</v>
      </c>
      <c r="B57" s="412">
        <v>2.6309999999999998</v>
      </c>
      <c r="C57" s="412">
        <v>2.6320000000000001</v>
      </c>
      <c r="D57" s="412">
        <v>2.2469999999999999</v>
      </c>
      <c r="E57" s="412">
        <v>2.3069999999999999</v>
      </c>
      <c r="F57" s="412">
        <v>2.3069999999999999</v>
      </c>
      <c r="G57" s="416">
        <f t="shared" si="1"/>
        <v>1.9224999999999999E-3</v>
      </c>
    </row>
    <row r="58" spans="1:7">
      <c r="A58" s="415">
        <v>42491</v>
      </c>
      <c r="B58" s="412">
        <v>2.6629999999999998</v>
      </c>
      <c r="C58" s="412">
        <v>2.7189999999999999</v>
      </c>
      <c r="D58" s="412">
        <v>2.552</v>
      </c>
      <c r="E58" s="412">
        <v>2.629</v>
      </c>
      <c r="F58" s="412">
        <v>2.629</v>
      </c>
      <c r="G58" s="416">
        <f t="shared" si="1"/>
        <v>2.1908333333333333E-3</v>
      </c>
    </row>
    <row r="59" spans="1:7">
      <c r="A59" s="415">
        <v>42461</v>
      </c>
      <c r="B59" s="412">
        <v>2.617</v>
      </c>
      <c r="C59" s="412">
        <v>2.7639999999999998</v>
      </c>
      <c r="D59" s="412">
        <v>2.5110000000000001</v>
      </c>
      <c r="E59" s="412">
        <v>2.6659999999999999</v>
      </c>
      <c r="F59" s="412">
        <v>2.6659999999999999</v>
      </c>
      <c r="G59" s="416">
        <f t="shared" si="1"/>
        <v>2.2216666666666665E-3</v>
      </c>
    </row>
    <row r="60" spans="1:7">
      <c r="A60" s="415">
        <v>42430</v>
      </c>
      <c r="B60" s="412">
        <v>2.63</v>
      </c>
      <c r="C60" s="412">
        <v>2.7570000000000001</v>
      </c>
      <c r="D60" s="412">
        <v>2.5979999999999999</v>
      </c>
      <c r="E60" s="412">
        <v>2.62</v>
      </c>
      <c r="F60" s="412">
        <v>2.62</v>
      </c>
      <c r="G60" s="416">
        <f t="shared" si="1"/>
        <v>2.1833333333333336E-3</v>
      </c>
    </row>
    <row r="61" spans="1:7">
      <c r="A61" s="415">
        <v>42401</v>
      </c>
      <c r="B61" s="412">
        <v>2.7480000000000002</v>
      </c>
      <c r="C61" s="412">
        <v>2.7810000000000001</v>
      </c>
      <c r="D61" s="412">
        <v>2.4089999999999998</v>
      </c>
      <c r="E61" s="412">
        <v>2.6150000000000002</v>
      </c>
      <c r="F61" s="412">
        <v>2.6150000000000002</v>
      </c>
      <c r="G61" s="416">
        <f t="shared" si="1"/>
        <v>2.1791666666666669E-3</v>
      </c>
    </row>
    <row r="62" spans="1:7">
      <c r="A62" s="415">
        <v>42370</v>
      </c>
      <c r="B62" s="412">
        <v>2.9780000000000002</v>
      </c>
      <c r="C62" s="412">
        <v>3.0219999999999998</v>
      </c>
      <c r="D62" s="412">
        <v>2.7109999999999999</v>
      </c>
      <c r="E62" s="412">
        <v>2.758</v>
      </c>
      <c r="F62" s="412">
        <v>2.758</v>
      </c>
      <c r="G62" s="416">
        <f t="shared" si="1"/>
        <v>2.2983333333333332E-3</v>
      </c>
    </row>
    <row r="63" spans="1:7">
      <c r="A63" s="415">
        <v>42339</v>
      </c>
      <c r="B63" s="412">
        <v>2.9990000000000001</v>
      </c>
      <c r="C63" s="412">
        <v>3.113</v>
      </c>
      <c r="D63" s="412">
        <v>2.8719999999999999</v>
      </c>
      <c r="E63" s="412">
        <v>3.0150000000000001</v>
      </c>
      <c r="F63" s="412">
        <v>3.0150000000000001</v>
      </c>
      <c r="G63" s="416">
        <f t="shared" si="1"/>
        <v>2.5125E-3</v>
      </c>
    </row>
    <row r="64" spans="1:7">
      <c r="A64" s="415">
        <v>42309</v>
      </c>
      <c r="B64" s="412">
        <v>2.9470000000000001</v>
      </c>
      <c r="C64" s="412">
        <v>3.14</v>
      </c>
      <c r="D64" s="412">
        <v>2.9409999999999998</v>
      </c>
      <c r="E64" s="412">
        <v>2.99</v>
      </c>
      <c r="F64" s="412">
        <v>2.99</v>
      </c>
      <c r="G64" s="416">
        <f t="shared" si="1"/>
        <v>2.4916666666666668E-3</v>
      </c>
    </row>
    <row r="65" spans="1:7">
      <c r="A65" s="415">
        <v>42278</v>
      </c>
      <c r="B65" s="412">
        <v>2.8530000000000002</v>
      </c>
      <c r="C65" s="412">
        <v>2.97</v>
      </c>
      <c r="D65" s="412">
        <v>2.7490000000000001</v>
      </c>
      <c r="E65" s="412">
        <v>2.9329999999999998</v>
      </c>
      <c r="F65" s="412">
        <v>2.9329999999999998</v>
      </c>
      <c r="G65" s="416">
        <f t="shared" si="1"/>
        <v>2.4441666666666665E-3</v>
      </c>
    </row>
    <row r="66" spans="1:7">
      <c r="A66" s="415">
        <v>42248</v>
      </c>
      <c r="B66" s="412">
        <v>2.9089999999999998</v>
      </c>
      <c r="C66" s="412">
        <v>3.0920000000000001</v>
      </c>
      <c r="D66" s="412">
        <v>2.8410000000000002</v>
      </c>
      <c r="E66" s="412">
        <v>2.88</v>
      </c>
      <c r="F66" s="412">
        <v>2.88</v>
      </c>
      <c r="G66" s="416">
        <f t="shared" si="1"/>
        <v>2.3999999999999998E-3</v>
      </c>
    </row>
    <row r="67" spans="1:7">
      <c r="A67" s="415">
        <v>42217</v>
      </c>
      <c r="B67" s="412">
        <v>2.907</v>
      </c>
      <c r="C67" s="412">
        <v>2.9630000000000001</v>
      </c>
      <c r="D67" s="412">
        <v>2.625</v>
      </c>
      <c r="E67" s="412">
        <v>2.931</v>
      </c>
      <c r="F67" s="412">
        <v>2.931</v>
      </c>
      <c r="G67" s="416">
        <f t="shared" si="1"/>
        <v>2.4424999999999998E-3</v>
      </c>
    </row>
    <row r="68" spans="1:7">
      <c r="A68" s="415">
        <v>42186</v>
      </c>
      <c r="B68" s="412">
        <v>3.1920000000000002</v>
      </c>
      <c r="C68" s="412">
        <v>3.2450000000000001</v>
      </c>
      <c r="D68" s="412">
        <v>2.895</v>
      </c>
      <c r="E68" s="412">
        <v>2.927</v>
      </c>
      <c r="F68" s="412">
        <v>2.927</v>
      </c>
      <c r="G68" s="416">
        <f t="shared" si="1"/>
        <v>2.4391666666666667E-3</v>
      </c>
    </row>
    <row r="69" spans="1:7">
      <c r="A69" s="415">
        <v>42156</v>
      </c>
      <c r="B69" s="412">
        <v>2.8849999999999998</v>
      </c>
      <c r="C69" s="412">
        <v>3.2549999999999999</v>
      </c>
      <c r="D69" s="412">
        <v>2.8639999999999999</v>
      </c>
      <c r="E69" s="412">
        <v>3.1040000000000001</v>
      </c>
      <c r="F69" s="412">
        <v>3.1040000000000001</v>
      </c>
      <c r="G69" s="416">
        <f t="shared" si="1"/>
        <v>2.5866666666666668E-3</v>
      </c>
    </row>
    <row r="70" spans="1:7">
      <c r="A70" s="415">
        <v>42125</v>
      </c>
      <c r="B70" s="412">
        <v>2.778</v>
      </c>
      <c r="C70" s="412">
        <v>3.0990000000000002</v>
      </c>
      <c r="D70" s="412">
        <v>2.7679999999999998</v>
      </c>
      <c r="E70" s="412">
        <v>2.847</v>
      </c>
      <c r="F70" s="412">
        <v>2.847</v>
      </c>
      <c r="G70" s="416">
        <f t="shared" si="1"/>
        <v>2.3725E-3</v>
      </c>
    </row>
    <row r="71" spans="1:7">
      <c r="A71" s="415">
        <v>42095</v>
      </c>
      <c r="B71" s="412">
        <v>2.5009999999999999</v>
      </c>
      <c r="C71" s="412">
        <v>2.8130000000000002</v>
      </c>
      <c r="D71" s="412">
        <v>2.4569999999999999</v>
      </c>
      <c r="E71" s="412">
        <v>2.7530000000000001</v>
      </c>
      <c r="F71" s="412">
        <v>2.7530000000000001</v>
      </c>
      <c r="G71" s="416">
        <f t="shared" si="1"/>
        <v>2.294166666666667E-3</v>
      </c>
    </row>
    <row r="72" spans="1:7">
      <c r="A72" s="415">
        <v>42064</v>
      </c>
      <c r="B72" s="412">
        <v>2.6160000000000001</v>
      </c>
      <c r="C72" s="412">
        <v>2.87</v>
      </c>
      <c r="D72" s="412">
        <v>2.4449999999999998</v>
      </c>
      <c r="E72" s="412">
        <v>2.544</v>
      </c>
      <c r="F72" s="412">
        <v>2.544</v>
      </c>
      <c r="G72" s="416">
        <f t="shared" si="1"/>
        <v>2.1199999999999999E-3</v>
      </c>
    </row>
    <row r="73" spans="1:7">
      <c r="A73" s="415">
        <v>42036</v>
      </c>
      <c r="B73" s="412">
        <v>2.254</v>
      </c>
      <c r="C73" s="412">
        <v>2.746</v>
      </c>
      <c r="D73" s="412">
        <v>2.2349999999999999</v>
      </c>
      <c r="E73" s="412">
        <v>2.6</v>
      </c>
      <c r="F73" s="412">
        <v>2.6</v>
      </c>
      <c r="G73" s="416">
        <f t="shared" si="1"/>
        <v>2.166666666666667E-3</v>
      </c>
    </row>
    <row r="74" spans="1:7">
      <c r="A74" s="415">
        <v>42005</v>
      </c>
      <c r="B74" s="412">
        <v>2.7690000000000001</v>
      </c>
      <c r="C74" s="412">
        <v>2.782</v>
      </c>
      <c r="D74" s="412">
        <v>2.226</v>
      </c>
      <c r="E74" s="412">
        <v>2.2509999999999999</v>
      </c>
      <c r="F74" s="412">
        <v>2.2509999999999999</v>
      </c>
      <c r="G74" s="416">
        <f t="shared" si="1"/>
        <v>1.8758333333333333E-3</v>
      </c>
    </row>
    <row r="75" spans="1:7">
      <c r="A75" s="415">
        <v>41974</v>
      </c>
      <c r="B75" s="412">
        <v>2.8860000000000001</v>
      </c>
      <c r="C75" s="412">
        <v>3.016</v>
      </c>
      <c r="D75" s="412">
        <v>2.6869999999999998</v>
      </c>
      <c r="E75" s="412">
        <v>2.7490000000000001</v>
      </c>
      <c r="F75" s="412">
        <v>2.7490000000000001</v>
      </c>
      <c r="G75" s="416">
        <f t="shared" si="1"/>
        <v>2.2908333333333335E-3</v>
      </c>
    </row>
    <row r="76" spans="1:7">
      <c r="A76" s="415">
        <v>41944</v>
      </c>
      <c r="B76" s="412">
        <v>3.0529999999999999</v>
      </c>
      <c r="C76" s="412">
        <v>3.133</v>
      </c>
      <c r="D76" s="412">
        <v>2.9049999999999998</v>
      </c>
      <c r="E76" s="412">
        <v>2.91</v>
      </c>
      <c r="F76" s="412">
        <v>2.91</v>
      </c>
      <c r="G76" s="416">
        <f t="shared" si="1"/>
        <v>2.4250000000000001E-3</v>
      </c>
    </row>
    <row r="77" spans="1:7">
      <c r="A77" s="415">
        <v>41913</v>
      </c>
      <c r="B77" s="412">
        <v>3.1840000000000002</v>
      </c>
      <c r="C77" s="412">
        <v>3.2759999999999998</v>
      </c>
      <c r="D77" s="412">
        <v>2.677</v>
      </c>
      <c r="E77" s="412">
        <v>3.06</v>
      </c>
      <c r="F77" s="412">
        <v>3.06</v>
      </c>
      <c r="G77" s="416">
        <f t="shared" si="1"/>
        <v>2.5500000000000002E-3</v>
      </c>
    </row>
    <row r="78" spans="1:7">
      <c r="A78" s="415">
        <v>41883</v>
      </c>
      <c r="B78" s="412">
        <v>3.1389999999999998</v>
      </c>
      <c r="C78" s="412">
        <v>3.391</v>
      </c>
      <c r="D78" s="412">
        <v>3.1360000000000001</v>
      </c>
      <c r="E78" s="412">
        <v>3.2120000000000002</v>
      </c>
      <c r="F78" s="412">
        <v>3.2120000000000002</v>
      </c>
      <c r="G78" s="416">
        <f t="shared" si="1"/>
        <v>2.676666666666667E-3</v>
      </c>
    </row>
    <row r="79" spans="1:7">
      <c r="A79" s="415">
        <v>41852</v>
      </c>
      <c r="B79" s="412">
        <v>3.3519999999999999</v>
      </c>
      <c r="C79" s="412">
        <v>3.37</v>
      </c>
      <c r="D79" s="412">
        <v>3.0590000000000002</v>
      </c>
      <c r="E79" s="412">
        <v>3.08</v>
      </c>
      <c r="F79" s="412">
        <v>3.08</v>
      </c>
      <c r="G79" s="416">
        <f t="shared" si="1"/>
        <v>2.5666666666666667E-3</v>
      </c>
    </row>
    <row r="80" spans="1:7">
      <c r="A80" s="415">
        <v>41821</v>
      </c>
      <c r="B80" s="412">
        <v>3.3780000000000001</v>
      </c>
      <c r="C80" s="412">
        <v>3.516</v>
      </c>
      <c r="D80" s="412">
        <v>3.2170000000000001</v>
      </c>
      <c r="E80" s="412">
        <v>3.3109999999999999</v>
      </c>
      <c r="F80" s="412">
        <v>3.3109999999999999</v>
      </c>
      <c r="G80" s="416">
        <f t="shared" ref="G80:G111" si="2">(F80/100)/12</f>
        <v>2.7591666666666667E-3</v>
      </c>
    </row>
    <row r="81" spans="1:7">
      <c r="A81" s="415">
        <v>41791</v>
      </c>
      <c r="B81" s="412">
        <v>3.3479999999999999</v>
      </c>
      <c r="C81" s="412">
        <v>3.4990000000000001</v>
      </c>
      <c r="D81" s="412">
        <v>3.3330000000000002</v>
      </c>
      <c r="E81" s="412">
        <v>3.3380000000000001</v>
      </c>
      <c r="F81" s="412">
        <v>3.3380000000000001</v>
      </c>
      <c r="G81" s="416">
        <f t="shared" si="2"/>
        <v>2.7816666666666667E-3</v>
      </c>
    </row>
    <row r="82" spans="1:7">
      <c r="A82" s="415">
        <v>41760</v>
      </c>
      <c r="B82" s="412">
        <v>3.4740000000000002</v>
      </c>
      <c r="C82" s="412">
        <v>3.5030000000000001</v>
      </c>
      <c r="D82" s="412">
        <v>3.2669999999999999</v>
      </c>
      <c r="E82" s="412">
        <v>3.3140000000000001</v>
      </c>
      <c r="F82" s="412">
        <v>3.3140000000000001</v>
      </c>
      <c r="G82" s="416">
        <f t="shared" si="2"/>
        <v>2.761666666666667E-3</v>
      </c>
    </row>
    <row r="83" spans="1:7">
      <c r="A83" s="415">
        <v>41730</v>
      </c>
      <c r="B83" s="412">
        <v>3.585</v>
      </c>
      <c r="C83" s="412">
        <v>3.6520000000000001</v>
      </c>
      <c r="D83" s="412">
        <v>3.4180000000000001</v>
      </c>
      <c r="E83" s="412">
        <v>3.4580000000000002</v>
      </c>
      <c r="F83" s="412">
        <v>3.4580000000000002</v>
      </c>
      <c r="G83" s="416">
        <f t="shared" si="2"/>
        <v>2.8816666666666665E-3</v>
      </c>
    </row>
    <row r="84" spans="1:7">
      <c r="A84" s="415">
        <v>41699</v>
      </c>
      <c r="B84" s="412">
        <v>3.5569999999999999</v>
      </c>
      <c r="C84" s="412">
        <v>3.7509999999999999</v>
      </c>
      <c r="D84" s="412">
        <v>3.4940000000000002</v>
      </c>
      <c r="E84" s="412">
        <v>3.5609999999999999</v>
      </c>
      <c r="F84" s="412">
        <v>3.5609999999999999</v>
      </c>
      <c r="G84" s="416">
        <f t="shared" si="2"/>
        <v>2.9675000000000001E-3</v>
      </c>
    </row>
    <row r="85" spans="1:7">
      <c r="A85" s="415">
        <v>41671</v>
      </c>
      <c r="B85" s="412">
        <v>3.6259999999999999</v>
      </c>
      <c r="C85" s="412">
        <v>3.7440000000000002</v>
      </c>
      <c r="D85" s="412">
        <v>3.5390000000000001</v>
      </c>
      <c r="E85" s="412">
        <v>3.5920000000000001</v>
      </c>
      <c r="F85" s="412">
        <v>3.5920000000000001</v>
      </c>
      <c r="G85" s="416">
        <f t="shared" si="2"/>
        <v>2.9933333333333335E-3</v>
      </c>
    </row>
    <row r="86" spans="1:7">
      <c r="A86" s="415">
        <v>41640</v>
      </c>
      <c r="B86" s="412">
        <v>3.9630000000000001</v>
      </c>
      <c r="C86" s="412">
        <v>3.9670000000000001</v>
      </c>
      <c r="D86" s="412">
        <v>3.5939999999999999</v>
      </c>
      <c r="E86" s="412">
        <v>3.6219999999999999</v>
      </c>
      <c r="F86" s="412">
        <v>3.6219999999999999</v>
      </c>
      <c r="G86" s="416">
        <f t="shared" si="2"/>
        <v>3.0183333333333334E-3</v>
      </c>
    </row>
    <row r="87" spans="1:7">
      <c r="A87" s="415">
        <v>41609</v>
      </c>
      <c r="B87" s="412">
        <v>3.843</v>
      </c>
      <c r="C87" s="412">
        <v>3.976</v>
      </c>
      <c r="D87" s="412">
        <v>3.81</v>
      </c>
      <c r="E87" s="412">
        <v>3.964</v>
      </c>
      <c r="F87" s="412">
        <v>3.964</v>
      </c>
      <c r="G87" s="416">
        <f t="shared" si="2"/>
        <v>3.3033333333333335E-3</v>
      </c>
    </row>
    <row r="88" spans="1:7">
      <c r="A88" s="415">
        <v>41579</v>
      </c>
      <c r="B88" s="412">
        <v>3.665</v>
      </c>
      <c r="C88" s="412">
        <v>3.9380000000000002</v>
      </c>
      <c r="D88" s="412">
        <v>3.6480000000000001</v>
      </c>
      <c r="E88" s="412">
        <v>3.8079999999999998</v>
      </c>
      <c r="F88" s="412">
        <v>3.8079999999999998</v>
      </c>
      <c r="G88" s="416">
        <f t="shared" si="2"/>
        <v>3.1733333333333331E-3</v>
      </c>
    </row>
    <row r="89" spans="1:7">
      <c r="A89" s="415">
        <v>41548</v>
      </c>
      <c r="B89" s="412">
        <v>3.7189999999999999</v>
      </c>
      <c r="C89" s="412">
        <v>3.8039999999999998</v>
      </c>
      <c r="D89" s="412">
        <v>3.5649999999999999</v>
      </c>
      <c r="E89" s="412">
        <v>3.6309999999999998</v>
      </c>
      <c r="F89" s="412">
        <v>3.6309999999999998</v>
      </c>
      <c r="G89" s="416">
        <f t="shared" si="2"/>
        <v>3.0258333333333331E-3</v>
      </c>
    </row>
    <row r="90" spans="1:7">
      <c r="A90" s="415">
        <v>41518</v>
      </c>
      <c r="B90" s="412">
        <v>3.754</v>
      </c>
      <c r="C90" s="412">
        <v>3.91</v>
      </c>
      <c r="D90" s="412">
        <v>3.6480000000000001</v>
      </c>
      <c r="E90" s="412">
        <v>3.6859999999999999</v>
      </c>
      <c r="F90" s="412">
        <v>3.6859999999999999</v>
      </c>
      <c r="G90" s="416">
        <f t="shared" si="2"/>
        <v>3.0716666666666666E-3</v>
      </c>
    </row>
    <row r="91" spans="1:7">
      <c r="A91" s="415">
        <v>41487</v>
      </c>
      <c r="B91" s="412">
        <v>3.669</v>
      </c>
      <c r="C91" s="412">
        <v>3.93</v>
      </c>
      <c r="D91" s="412">
        <v>3.6019999999999999</v>
      </c>
      <c r="E91" s="412">
        <v>3.6760000000000002</v>
      </c>
      <c r="F91" s="412">
        <v>3.6760000000000002</v>
      </c>
      <c r="G91" s="416">
        <f t="shared" si="2"/>
        <v>3.0633333333333333E-3</v>
      </c>
    </row>
    <row r="92" spans="1:7">
      <c r="A92" s="415">
        <v>41456</v>
      </c>
      <c r="B92" s="412">
        <v>3.5230000000000001</v>
      </c>
      <c r="C92" s="412">
        <v>3.7919999999999998</v>
      </c>
      <c r="D92" s="412">
        <v>3.4580000000000002</v>
      </c>
      <c r="E92" s="412">
        <v>3.6459999999999999</v>
      </c>
      <c r="F92" s="412">
        <v>3.6459999999999999</v>
      </c>
      <c r="G92" s="416">
        <f t="shared" si="2"/>
        <v>3.0383333333333334E-3</v>
      </c>
    </row>
    <row r="93" spans="1:7">
      <c r="A93" s="415">
        <v>41426</v>
      </c>
      <c r="B93" s="412">
        <v>3.3090000000000002</v>
      </c>
      <c r="C93" s="412">
        <v>3.63</v>
      </c>
      <c r="D93" s="412">
        <v>3.169</v>
      </c>
      <c r="E93" s="412">
        <v>3.4980000000000002</v>
      </c>
      <c r="F93" s="412">
        <v>3.4980000000000002</v>
      </c>
      <c r="G93" s="416">
        <f t="shared" si="2"/>
        <v>2.9150000000000005E-3</v>
      </c>
    </row>
    <row r="94" spans="1:7">
      <c r="A94" s="415">
        <v>41395</v>
      </c>
      <c r="B94" s="412">
        <v>2.8650000000000002</v>
      </c>
      <c r="C94" s="412">
        <v>3.3559999999999999</v>
      </c>
      <c r="D94" s="412">
        <v>2.81</v>
      </c>
      <c r="E94" s="412">
        <v>3.3079999999999998</v>
      </c>
      <c r="F94" s="412">
        <v>3.3079999999999998</v>
      </c>
      <c r="G94" s="416">
        <f t="shared" si="2"/>
        <v>2.7566666666666664E-3</v>
      </c>
    </row>
    <row r="95" spans="1:7">
      <c r="A95" s="415">
        <v>41365</v>
      </c>
      <c r="B95" s="412">
        <v>3.1360000000000001</v>
      </c>
      <c r="C95" s="412">
        <v>3.14</v>
      </c>
      <c r="D95" s="412">
        <v>2.839</v>
      </c>
      <c r="E95" s="412">
        <v>2.8839999999999999</v>
      </c>
      <c r="F95" s="412">
        <v>2.8839999999999999</v>
      </c>
      <c r="G95" s="416">
        <f t="shared" si="2"/>
        <v>2.4033333333333333E-3</v>
      </c>
    </row>
    <row r="96" spans="1:7">
      <c r="A96" s="415">
        <v>41334</v>
      </c>
      <c r="B96" s="412">
        <v>3.0510000000000002</v>
      </c>
      <c r="C96" s="412">
        <v>3.2839999999999998</v>
      </c>
      <c r="D96" s="412">
        <v>3.0449999999999999</v>
      </c>
      <c r="E96" s="412">
        <v>3.1040000000000001</v>
      </c>
      <c r="F96" s="412">
        <v>3.1040000000000001</v>
      </c>
      <c r="G96" s="416">
        <f t="shared" si="2"/>
        <v>2.5866666666666668E-3</v>
      </c>
    </row>
    <row r="97" spans="1:7">
      <c r="A97" s="415">
        <v>41306</v>
      </c>
      <c r="B97" s="412">
        <v>3.1949999999999998</v>
      </c>
      <c r="C97" s="412">
        <v>3.2440000000000002</v>
      </c>
      <c r="D97" s="412">
        <v>3.0339999999999998</v>
      </c>
      <c r="E97" s="412">
        <v>3.0939999999999999</v>
      </c>
      <c r="F97" s="412">
        <v>3.0939999999999999</v>
      </c>
      <c r="G97" s="416">
        <f t="shared" si="2"/>
        <v>2.5783333333333331E-3</v>
      </c>
    </row>
    <row r="98" spans="1:7">
      <c r="A98" s="415">
        <v>41275</v>
      </c>
      <c r="B98" s="412">
        <v>3.0430000000000001</v>
      </c>
      <c r="C98" s="412">
        <v>3.22</v>
      </c>
      <c r="D98" s="412">
        <v>2.992</v>
      </c>
      <c r="E98" s="412">
        <v>3.17</v>
      </c>
      <c r="F98" s="412">
        <v>3.17</v>
      </c>
      <c r="G98" s="416">
        <f t="shared" si="2"/>
        <v>2.6416666666666667E-3</v>
      </c>
    </row>
    <row r="99" spans="1:7">
      <c r="A99" s="415">
        <v>41244</v>
      </c>
      <c r="B99" s="412">
        <v>2.8330000000000002</v>
      </c>
      <c r="C99" s="412">
        <v>3.036</v>
      </c>
      <c r="D99" s="412">
        <v>2.7450000000000001</v>
      </c>
      <c r="E99" s="412">
        <v>2.952</v>
      </c>
      <c r="F99" s="412">
        <v>2.952</v>
      </c>
      <c r="G99" s="416">
        <f t="shared" si="2"/>
        <v>2.4599999999999999E-3</v>
      </c>
    </row>
    <row r="100" spans="1:7">
      <c r="A100" s="415">
        <v>41214</v>
      </c>
      <c r="B100" s="412">
        <v>2.88</v>
      </c>
      <c r="C100" s="412">
        <v>2.9630000000000001</v>
      </c>
      <c r="D100" s="412">
        <v>2.6960000000000002</v>
      </c>
      <c r="E100" s="412">
        <v>2.794</v>
      </c>
      <c r="F100" s="412">
        <v>2.794</v>
      </c>
      <c r="G100" s="416">
        <f t="shared" si="2"/>
        <v>2.3283333333333333E-3</v>
      </c>
    </row>
    <row r="101" spans="1:7">
      <c r="A101" s="415">
        <v>41183</v>
      </c>
      <c r="B101" s="412">
        <v>2.81</v>
      </c>
      <c r="C101" s="412">
        <v>3.0070000000000001</v>
      </c>
      <c r="D101" s="412">
        <v>2.8</v>
      </c>
      <c r="E101" s="412">
        <v>2.851</v>
      </c>
      <c r="F101" s="412">
        <v>2.851</v>
      </c>
      <c r="G101" s="416">
        <f t="shared" si="2"/>
        <v>2.3758333333333335E-3</v>
      </c>
    </row>
    <row r="102" spans="1:7">
      <c r="A102" s="415">
        <v>41153</v>
      </c>
      <c r="B102" s="412">
        <v>2.68</v>
      </c>
      <c r="C102" s="412">
        <v>3.2770000000000001</v>
      </c>
      <c r="D102" s="412">
        <v>2.6629999999999998</v>
      </c>
      <c r="E102" s="412">
        <v>2.8340000000000001</v>
      </c>
      <c r="F102" s="412">
        <v>2.8340000000000001</v>
      </c>
      <c r="G102" s="416">
        <f t="shared" si="2"/>
        <v>2.3616666666666669E-3</v>
      </c>
    </row>
    <row r="103" spans="1:7">
      <c r="A103" s="415">
        <v>41122</v>
      </c>
      <c r="B103" s="412">
        <v>2.5750000000000002</v>
      </c>
      <c r="C103" s="412">
        <v>2.984</v>
      </c>
      <c r="D103" s="412">
        <v>2.508</v>
      </c>
      <c r="E103" s="412">
        <v>2.6840000000000002</v>
      </c>
      <c r="F103" s="412">
        <v>2.6840000000000002</v>
      </c>
      <c r="G103" s="416">
        <f t="shared" si="2"/>
        <v>2.2366666666666668E-3</v>
      </c>
    </row>
    <row r="104" spans="1:7">
      <c r="A104" s="415">
        <v>41091</v>
      </c>
      <c r="B104" s="412">
        <v>2.742</v>
      </c>
      <c r="C104" s="412">
        <v>2.7490000000000001</v>
      </c>
      <c r="D104" s="412">
        <v>2.452</v>
      </c>
      <c r="E104" s="412">
        <v>2.577</v>
      </c>
      <c r="F104" s="412">
        <v>2.577</v>
      </c>
      <c r="G104" s="416">
        <f t="shared" si="2"/>
        <v>2.1475000000000001E-3</v>
      </c>
    </row>
    <row r="105" spans="1:7">
      <c r="A105" s="415">
        <v>41061</v>
      </c>
      <c r="B105" s="412">
        <v>2.5990000000000002</v>
      </c>
      <c r="C105" s="412">
        <v>2.8290000000000002</v>
      </c>
      <c r="D105" s="412">
        <v>2.5099999999999998</v>
      </c>
      <c r="E105" s="412">
        <v>2.7629999999999999</v>
      </c>
      <c r="F105" s="412">
        <v>2.7629999999999999</v>
      </c>
      <c r="G105" s="416">
        <f t="shared" si="2"/>
        <v>2.3024999999999999E-3</v>
      </c>
    </row>
    <row r="106" spans="1:7">
      <c r="A106" s="415">
        <v>41030</v>
      </c>
      <c r="B106" s="412">
        <v>3.1160000000000001</v>
      </c>
      <c r="C106" s="412">
        <v>3.1680000000000001</v>
      </c>
      <c r="D106" s="412">
        <v>2.585</v>
      </c>
      <c r="E106" s="412">
        <v>2.6720000000000002</v>
      </c>
      <c r="F106" s="412">
        <v>2.6720000000000002</v>
      </c>
      <c r="G106" s="416">
        <f t="shared" si="2"/>
        <v>2.2266666666666667E-3</v>
      </c>
    </row>
    <row r="107" spans="1:7">
      <c r="A107" s="415">
        <v>41000</v>
      </c>
      <c r="B107" s="412">
        <v>3.33</v>
      </c>
      <c r="C107" s="412">
        <v>3.411</v>
      </c>
      <c r="D107" s="412">
        <v>3.0579999999999998</v>
      </c>
      <c r="E107" s="412">
        <v>3.109</v>
      </c>
      <c r="F107" s="412">
        <v>3.109</v>
      </c>
      <c r="G107" s="416">
        <f t="shared" si="2"/>
        <v>2.5908333333333334E-3</v>
      </c>
    </row>
    <row r="108" spans="1:7">
      <c r="A108" s="415">
        <v>40969</v>
      </c>
      <c r="B108" s="412">
        <v>3.1509999999999998</v>
      </c>
      <c r="C108" s="412">
        <v>3.49</v>
      </c>
      <c r="D108" s="412">
        <v>3.0579999999999998</v>
      </c>
      <c r="E108" s="412">
        <v>3.3450000000000002</v>
      </c>
      <c r="F108" s="412">
        <v>3.3450000000000002</v>
      </c>
      <c r="G108" s="416">
        <f t="shared" si="2"/>
        <v>2.7875E-3</v>
      </c>
    </row>
    <row r="109" spans="1:7">
      <c r="A109" s="415">
        <v>40940</v>
      </c>
      <c r="B109" s="412">
        <v>2.948</v>
      </c>
      <c r="C109" s="412">
        <v>3.2389999999999999</v>
      </c>
      <c r="D109" s="412">
        <v>2.9409999999999998</v>
      </c>
      <c r="E109" s="412">
        <v>3.0859999999999999</v>
      </c>
      <c r="F109" s="412">
        <v>3.0859999999999999</v>
      </c>
      <c r="G109" s="416">
        <f t="shared" si="2"/>
        <v>2.5716666666666665E-3</v>
      </c>
    </row>
    <row r="110" spans="1:7">
      <c r="A110" s="415">
        <v>40909</v>
      </c>
      <c r="B110" s="412">
        <v>2.9769999999999999</v>
      </c>
      <c r="C110" s="412">
        <v>3.1789999999999998</v>
      </c>
      <c r="D110" s="412">
        <v>2.88</v>
      </c>
      <c r="E110" s="412">
        <v>2.9340000000000002</v>
      </c>
      <c r="F110" s="412">
        <v>2.9340000000000002</v>
      </c>
      <c r="G110" s="416">
        <f t="shared" si="2"/>
        <v>2.4450000000000001E-3</v>
      </c>
    </row>
    <row r="111" spans="1:7">
      <c r="A111" s="415">
        <v>40878</v>
      </c>
      <c r="B111" s="412">
        <v>3.1389999999999998</v>
      </c>
      <c r="C111" s="412">
        <v>3.1589999999999998</v>
      </c>
      <c r="D111" s="412">
        <v>2.786</v>
      </c>
      <c r="E111" s="412">
        <v>2.8889999999999998</v>
      </c>
      <c r="F111" s="412">
        <v>2.8889999999999998</v>
      </c>
      <c r="G111" s="416">
        <f t="shared" si="2"/>
        <v>2.4074999999999999E-3</v>
      </c>
    </row>
    <row r="112" spans="1:7">
      <c r="A112" s="415">
        <v>40848</v>
      </c>
      <c r="B112" s="412">
        <v>3.0390000000000001</v>
      </c>
      <c r="C112" s="412">
        <v>3.1880000000000002</v>
      </c>
      <c r="D112" s="412">
        <v>2.823</v>
      </c>
      <c r="E112" s="412">
        <v>3.0619999999999998</v>
      </c>
      <c r="F112" s="412">
        <v>3.0619999999999998</v>
      </c>
      <c r="G112" s="416">
        <f t="shared" ref="G112:G143" si="3">(F112/100)/12</f>
        <v>2.5516666666666665E-3</v>
      </c>
    </row>
    <row r="113" spans="1:7">
      <c r="A113" s="415">
        <v>40817</v>
      </c>
      <c r="B113" s="412">
        <v>2.851</v>
      </c>
      <c r="C113" s="412">
        <v>3.452</v>
      </c>
      <c r="D113" s="412">
        <v>2.694</v>
      </c>
      <c r="E113" s="412">
        <v>3.1989999999999998</v>
      </c>
      <c r="F113" s="412">
        <v>3.1989999999999998</v>
      </c>
      <c r="G113" s="416">
        <f t="shared" si="3"/>
        <v>2.665833333333333E-3</v>
      </c>
    </row>
    <row r="114" spans="1:7">
      <c r="A114" s="415">
        <v>40787</v>
      </c>
      <c r="B114" s="412">
        <v>3.5760000000000001</v>
      </c>
      <c r="C114" s="412">
        <v>3.6549999999999998</v>
      </c>
      <c r="D114" s="412">
        <v>2.7519999999999998</v>
      </c>
      <c r="E114" s="412">
        <v>2.9209999999999998</v>
      </c>
      <c r="F114" s="412">
        <v>2.9209999999999998</v>
      </c>
      <c r="G114" s="416">
        <f t="shared" si="3"/>
        <v>2.4341666666666665E-3</v>
      </c>
    </row>
    <row r="115" spans="1:7">
      <c r="A115" s="415">
        <v>40756</v>
      </c>
      <c r="B115" s="412">
        <v>4.141</v>
      </c>
      <c r="C115" s="412">
        <v>4.1680000000000001</v>
      </c>
      <c r="D115" s="412">
        <v>3.3410000000000002</v>
      </c>
      <c r="E115" s="412">
        <v>3.5920000000000001</v>
      </c>
      <c r="F115" s="412">
        <v>3.5920000000000001</v>
      </c>
      <c r="G115" s="416">
        <f t="shared" si="3"/>
        <v>2.9933333333333335E-3</v>
      </c>
    </row>
    <row r="116" spans="1:7">
      <c r="A116" s="415">
        <v>40725</v>
      </c>
      <c r="B116" s="412">
        <v>4.3620000000000001</v>
      </c>
      <c r="C116" s="412">
        <v>4.4160000000000004</v>
      </c>
      <c r="D116" s="412">
        <v>4.1319999999999997</v>
      </c>
      <c r="E116" s="412">
        <v>4.1319999999999997</v>
      </c>
      <c r="F116" s="412">
        <v>4.1319999999999997</v>
      </c>
      <c r="G116" s="416">
        <f t="shared" si="3"/>
        <v>3.443333333333333E-3</v>
      </c>
    </row>
    <row r="117" spans="1:7">
      <c r="A117" s="415">
        <v>40695</v>
      </c>
      <c r="B117" s="412">
        <v>4.1929999999999996</v>
      </c>
      <c r="C117" s="412">
        <v>4.4489999999999998</v>
      </c>
      <c r="D117" s="412">
        <v>4.1369999999999996</v>
      </c>
      <c r="E117" s="412">
        <v>4.3819999999999997</v>
      </c>
      <c r="F117" s="412">
        <v>4.3819999999999997</v>
      </c>
      <c r="G117" s="416">
        <f t="shared" si="3"/>
        <v>3.6516666666666663E-3</v>
      </c>
    </row>
    <row r="118" spans="1:7">
      <c r="A118" s="415">
        <v>40664</v>
      </c>
      <c r="B118" s="412">
        <v>4.4180000000000001</v>
      </c>
      <c r="C118" s="412">
        <v>4.4180000000000001</v>
      </c>
      <c r="D118" s="412">
        <v>4.2069999999999999</v>
      </c>
      <c r="E118" s="412">
        <v>4.2160000000000002</v>
      </c>
      <c r="F118" s="412">
        <v>4.2160000000000002</v>
      </c>
      <c r="G118" s="416">
        <f t="shared" si="3"/>
        <v>3.5133333333333336E-3</v>
      </c>
    </row>
    <row r="119" spans="1:7">
      <c r="A119" s="415">
        <v>40634</v>
      </c>
      <c r="B119" s="412">
        <v>4.5060000000000002</v>
      </c>
      <c r="C119" s="412">
        <v>4.6710000000000003</v>
      </c>
      <c r="D119" s="412">
        <v>4.3890000000000002</v>
      </c>
      <c r="E119" s="412">
        <v>4.4059999999999997</v>
      </c>
      <c r="F119" s="412">
        <v>4.4059999999999997</v>
      </c>
      <c r="G119" s="416">
        <f t="shared" si="3"/>
        <v>3.6716666666666664E-3</v>
      </c>
    </row>
    <row r="120" spans="1:7">
      <c r="A120" s="415">
        <v>40603</v>
      </c>
      <c r="B120" s="412">
        <v>4.5199999999999996</v>
      </c>
      <c r="C120" s="412">
        <v>4.6719999999999997</v>
      </c>
      <c r="D120" s="412">
        <v>4.32</v>
      </c>
      <c r="E120" s="412">
        <v>4.508</v>
      </c>
      <c r="F120" s="412">
        <v>4.508</v>
      </c>
      <c r="G120" s="416">
        <f t="shared" si="3"/>
        <v>3.7566666666666668E-3</v>
      </c>
    </row>
    <row r="121" spans="1:7">
      <c r="A121" s="415">
        <v>40575</v>
      </c>
      <c r="B121" s="412">
        <v>4.6109999999999998</v>
      </c>
      <c r="C121" s="412">
        <v>4.7889999999999997</v>
      </c>
      <c r="D121" s="412">
        <v>4.484</v>
      </c>
      <c r="E121" s="412">
        <v>4.49</v>
      </c>
      <c r="F121" s="412">
        <v>4.49</v>
      </c>
      <c r="G121" s="416">
        <f t="shared" si="3"/>
        <v>3.741666666666667E-3</v>
      </c>
    </row>
    <row r="122" spans="1:7">
      <c r="A122" s="415">
        <v>40544</v>
      </c>
      <c r="B122" s="412">
        <v>4.399</v>
      </c>
      <c r="C122" s="412">
        <v>4.6440000000000001</v>
      </c>
      <c r="D122" s="412">
        <v>4.351</v>
      </c>
      <c r="E122" s="412">
        <v>4.5709999999999997</v>
      </c>
      <c r="F122" s="412">
        <v>4.5709999999999997</v>
      </c>
      <c r="G122" s="416">
        <f t="shared" si="3"/>
        <v>3.8091666666666669E-3</v>
      </c>
    </row>
    <row r="123" spans="1:7">
      <c r="A123" s="415">
        <v>40513</v>
      </c>
      <c r="B123" s="412">
        <v>4.173</v>
      </c>
      <c r="C123" s="412">
        <v>4.6239999999999997</v>
      </c>
      <c r="D123" s="412">
        <v>4.1669999999999998</v>
      </c>
      <c r="E123" s="412">
        <v>4.3620000000000001</v>
      </c>
      <c r="F123" s="412">
        <v>4.3620000000000001</v>
      </c>
      <c r="G123" s="416">
        <f t="shared" si="3"/>
        <v>3.6349999999999998E-3</v>
      </c>
    </row>
    <row r="124" spans="1:7">
      <c r="A124" s="415">
        <v>40483</v>
      </c>
      <c r="B124" s="412">
        <v>3.964</v>
      </c>
      <c r="C124" s="412">
        <v>4.4020000000000001</v>
      </c>
      <c r="D124" s="412">
        <v>3.8570000000000002</v>
      </c>
      <c r="E124" s="412">
        <v>4.1020000000000003</v>
      </c>
      <c r="F124" s="412">
        <v>4.1020000000000003</v>
      </c>
      <c r="G124" s="416">
        <f t="shared" si="3"/>
        <v>3.4183333333333336E-3</v>
      </c>
    </row>
    <row r="125" spans="1:7">
      <c r="A125" s="415">
        <v>40452</v>
      </c>
      <c r="B125" s="412">
        <v>3.72</v>
      </c>
      <c r="C125" s="412">
        <v>4.0750000000000002</v>
      </c>
      <c r="D125" s="412">
        <v>3.637</v>
      </c>
      <c r="E125" s="412">
        <v>4</v>
      </c>
      <c r="F125" s="412">
        <v>4</v>
      </c>
      <c r="G125" s="416">
        <f t="shared" si="3"/>
        <v>3.3333333333333335E-3</v>
      </c>
    </row>
    <row r="126" spans="1:7">
      <c r="A126" s="415">
        <v>40422</v>
      </c>
      <c r="B126" s="412">
        <v>3.5419999999999998</v>
      </c>
      <c r="C126" s="412">
        <v>3.9580000000000002</v>
      </c>
      <c r="D126" s="412">
        <v>3.5419999999999998</v>
      </c>
      <c r="E126" s="412">
        <v>3.6869999999999998</v>
      </c>
      <c r="F126" s="412">
        <v>3.6869999999999998</v>
      </c>
      <c r="G126" s="416">
        <f t="shared" si="3"/>
        <v>3.0725000000000001E-3</v>
      </c>
    </row>
    <row r="127" spans="1:7">
      <c r="A127" s="415">
        <v>40391</v>
      </c>
      <c r="B127" s="412">
        <v>4.0220000000000002</v>
      </c>
      <c r="C127" s="412">
        <v>4.077</v>
      </c>
      <c r="D127" s="412">
        <v>3.4620000000000002</v>
      </c>
      <c r="E127" s="412">
        <v>3.5329999999999999</v>
      </c>
      <c r="F127" s="412">
        <v>3.5329999999999999</v>
      </c>
      <c r="G127" s="416">
        <f t="shared" si="3"/>
        <v>2.9441666666666665E-3</v>
      </c>
    </row>
    <row r="128" spans="1:7">
      <c r="A128" s="415">
        <v>40360</v>
      </c>
      <c r="B128" s="412">
        <v>3.8780000000000001</v>
      </c>
      <c r="C128" s="412">
        <v>4.1379999999999999</v>
      </c>
      <c r="D128" s="412">
        <v>3.8260000000000001</v>
      </c>
      <c r="E128" s="412">
        <v>3.9769999999999999</v>
      </c>
      <c r="F128" s="412">
        <v>3.9769999999999999</v>
      </c>
      <c r="G128" s="416">
        <f t="shared" si="3"/>
        <v>3.3141666666666666E-3</v>
      </c>
    </row>
    <row r="129" spans="1:7">
      <c r="A129" s="415">
        <v>40330</v>
      </c>
      <c r="B129" s="412">
        <v>4.1820000000000004</v>
      </c>
      <c r="C129" s="412">
        <v>4.3179999999999996</v>
      </c>
      <c r="D129" s="412">
        <v>3.9079999999999999</v>
      </c>
      <c r="E129" s="412">
        <v>3.9089999999999998</v>
      </c>
      <c r="F129" s="412">
        <v>3.9089999999999998</v>
      </c>
      <c r="G129" s="416">
        <f t="shared" si="3"/>
        <v>3.2575E-3</v>
      </c>
    </row>
    <row r="130" spans="1:7">
      <c r="A130" s="415">
        <v>40299</v>
      </c>
      <c r="B130" s="412">
        <v>4.5490000000000004</v>
      </c>
      <c r="C130" s="412">
        <v>4.5659999999999998</v>
      </c>
      <c r="D130" s="412">
        <v>3.984</v>
      </c>
      <c r="E130" s="412">
        <v>4.2140000000000004</v>
      </c>
      <c r="F130" s="412">
        <v>4.2140000000000004</v>
      </c>
      <c r="G130" s="416">
        <f t="shared" si="3"/>
        <v>3.5116666666666668E-3</v>
      </c>
    </row>
    <row r="131" spans="1:7">
      <c r="A131" s="415">
        <v>40269</v>
      </c>
      <c r="B131" s="412">
        <v>4.7439999999999998</v>
      </c>
      <c r="C131" s="412">
        <v>4.8579999999999997</v>
      </c>
      <c r="D131" s="412">
        <v>4.5270000000000001</v>
      </c>
      <c r="E131" s="412">
        <v>4.5270000000000001</v>
      </c>
      <c r="F131" s="412">
        <v>4.5270000000000001</v>
      </c>
      <c r="G131" s="416">
        <f t="shared" si="3"/>
        <v>3.7725000000000002E-3</v>
      </c>
    </row>
    <row r="132" spans="1:7">
      <c r="A132" s="415">
        <v>40238</v>
      </c>
      <c r="B132" s="412">
        <v>4.5590000000000002</v>
      </c>
      <c r="C132" s="412">
        <v>4.8029999999999999</v>
      </c>
      <c r="D132" s="412">
        <v>4.5369999999999999</v>
      </c>
      <c r="E132" s="412">
        <v>4.7149999999999999</v>
      </c>
      <c r="F132" s="412">
        <v>4.7149999999999999</v>
      </c>
      <c r="G132" s="416">
        <f t="shared" si="3"/>
        <v>3.9291666666666667E-3</v>
      </c>
    </row>
    <row r="133" spans="1:7">
      <c r="A133" s="415">
        <v>40210</v>
      </c>
      <c r="B133" s="412">
        <v>4.5179999999999998</v>
      </c>
      <c r="C133" s="412">
        <v>4.774</v>
      </c>
      <c r="D133" s="412">
        <v>4.4859999999999998</v>
      </c>
      <c r="E133" s="412">
        <v>4.5289999999999999</v>
      </c>
      <c r="F133" s="412">
        <v>4.5289999999999999</v>
      </c>
      <c r="G133" s="416">
        <f t="shared" si="3"/>
        <v>3.7741666666666666E-3</v>
      </c>
    </row>
    <row r="134" spans="1:7">
      <c r="A134" s="415">
        <v>40179</v>
      </c>
      <c r="B134" s="412">
        <v>4.6790000000000003</v>
      </c>
      <c r="C134" s="412">
        <v>4.7610000000000001</v>
      </c>
      <c r="D134" s="412">
        <v>4.4880000000000004</v>
      </c>
      <c r="E134" s="412">
        <v>4.51</v>
      </c>
      <c r="F134" s="412">
        <v>4.51</v>
      </c>
      <c r="G134" s="416">
        <f t="shared" si="3"/>
        <v>3.7583333333333336E-3</v>
      </c>
    </row>
    <row r="135" spans="1:7">
      <c r="A135" s="415">
        <v>40148</v>
      </c>
      <c r="B135" s="412">
        <v>4.2309999999999999</v>
      </c>
      <c r="C135" s="412">
        <v>4.7140000000000004</v>
      </c>
      <c r="D135" s="412">
        <v>4.22</v>
      </c>
      <c r="E135" s="412">
        <v>4.641</v>
      </c>
      <c r="F135" s="412">
        <v>4.641</v>
      </c>
      <c r="G135" s="416">
        <f t="shared" si="3"/>
        <v>3.8674999999999998E-3</v>
      </c>
    </row>
    <row r="136" spans="1:7">
      <c r="A136" s="415">
        <v>40118</v>
      </c>
      <c r="B136" s="412">
        <v>4.2510000000000003</v>
      </c>
      <c r="C136" s="412">
        <v>4.4809999999999999</v>
      </c>
      <c r="D136" s="412">
        <v>4.1900000000000004</v>
      </c>
      <c r="E136" s="412">
        <v>4.194</v>
      </c>
      <c r="F136" s="412">
        <v>4.194</v>
      </c>
      <c r="G136" s="416">
        <f t="shared" si="3"/>
        <v>3.4949999999999998E-3</v>
      </c>
    </row>
    <row r="137" spans="1:7">
      <c r="A137" s="415">
        <v>40087</v>
      </c>
      <c r="B137" s="412">
        <v>4.0309999999999997</v>
      </c>
      <c r="C137" s="412">
        <v>4.3890000000000002</v>
      </c>
      <c r="D137" s="412">
        <v>3.8879999999999999</v>
      </c>
      <c r="E137" s="412">
        <v>4.2359999999999998</v>
      </c>
      <c r="F137" s="412">
        <v>4.2359999999999998</v>
      </c>
      <c r="G137" s="416">
        <f t="shared" si="3"/>
        <v>3.5299999999999997E-3</v>
      </c>
    </row>
    <row r="138" spans="1:7">
      <c r="A138" s="415">
        <v>40057</v>
      </c>
      <c r="B138" s="412">
        <v>4.1890000000000001</v>
      </c>
      <c r="C138" s="412">
        <v>4.391</v>
      </c>
      <c r="D138" s="412">
        <v>4.0170000000000003</v>
      </c>
      <c r="E138" s="412">
        <v>4.048</v>
      </c>
      <c r="F138" s="412">
        <v>4.048</v>
      </c>
      <c r="G138" s="416">
        <f t="shared" si="3"/>
        <v>3.3733333333333337E-3</v>
      </c>
    </row>
    <row r="139" spans="1:7">
      <c r="A139" s="415">
        <v>40026</v>
      </c>
      <c r="B139" s="412">
        <v>4.3680000000000003</v>
      </c>
      <c r="C139" s="412">
        <v>4.67</v>
      </c>
      <c r="D139" s="412">
        <v>4.1760000000000002</v>
      </c>
      <c r="E139" s="412">
        <v>4.181</v>
      </c>
      <c r="F139" s="412">
        <v>4.181</v>
      </c>
      <c r="G139" s="416">
        <f t="shared" si="3"/>
        <v>3.4841666666666667E-3</v>
      </c>
    </row>
    <row r="140" spans="1:7">
      <c r="A140" s="415">
        <v>39995</v>
      </c>
      <c r="B140" s="412">
        <v>4.375</v>
      </c>
      <c r="C140" s="412">
        <v>4.6559999999999997</v>
      </c>
      <c r="D140" s="412">
        <v>4.1559999999999997</v>
      </c>
      <c r="E140" s="412">
        <v>4.3109999999999999</v>
      </c>
      <c r="F140" s="412">
        <v>4.3109999999999999</v>
      </c>
      <c r="G140" s="416">
        <f t="shared" si="3"/>
        <v>3.5925000000000002E-3</v>
      </c>
    </row>
    <row r="141" spans="1:7">
      <c r="A141" s="415">
        <v>39965</v>
      </c>
      <c r="B141" s="412">
        <v>4.3739999999999997</v>
      </c>
      <c r="C141" s="412">
        <v>5.0659999999999998</v>
      </c>
      <c r="D141" s="412">
        <v>4.266</v>
      </c>
      <c r="E141" s="412">
        <v>4.3109999999999999</v>
      </c>
      <c r="F141" s="412">
        <v>4.3109999999999999</v>
      </c>
      <c r="G141" s="416">
        <f t="shared" si="3"/>
        <v>3.5925000000000002E-3</v>
      </c>
    </row>
    <row r="142" spans="1:7">
      <c r="A142" s="415">
        <v>39934</v>
      </c>
      <c r="B142" s="412">
        <v>4.0780000000000003</v>
      </c>
      <c r="C142" s="412">
        <v>4.6280000000000001</v>
      </c>
      <c r="D142" s="412">
        <v>4.032</v>
      </c>
      <c r="E142" s="412">
        <v>4.3380000000000001</v>
      </c>
      <c r="F142" s="412">
        <v>4.3380000000000001</v>
      </c>
      <c r="G142" s="416">
        <f t="shared" si="3"/>
        <v>3.6150000000000002E-3</v>
      </c>
    </row>
    <row r="143" spans="1:7">
      <c r="A143" s="415">
        <v>39904</v>
      </c>
      <c r="B143" s="412">
        <v>3.5259999999999998</v>
      </c>
      <c r="C143" s="412">
        <v>4.0919999999999996</v>
      </c>
      <c r="D143" s="412">
        <v>3.4940000000000002</v>
      </c>
      <c r="E143" s="412">
        <v>4.0439999999999996</v>
      </c>
      <c r="F143" s="412">
        <v>4.0439999999999996</v>
      </c>
      <c r="G143" s="416">
        <f t="shared" si="3"/>
        <v>3.3699999999999997E-3</v>
      </c>
    </row>
    <row r="144" spans="1:7">
      <c r="A144" s="415">
        <v>39873</v>
      </c>
      <c r="B144" s="412">
        <v>3.6480000000000001</v>
      </c>
      <c r="C144" s="412">
        <v>3.8460000000000001</v>
      </c>
      <c r="D144" s="412">
        <v>3.3740000000000001</v>
      </c>
      <c r="E144" s="412">
        <v>3.5609999999999999</v>
      </c>
      <c r="F144" s="412">
        <v>3.5609999999999999</v>
      </c>
      <c r="G144" s="416">
        <f t="shared" ref="G144:G175" si="4">(F144/100)/12</f>
        <v>2.9675000000000001E-3</v>
      </c>
    </row>
    <row r="145" spans="1:7">
      <c r="A145" s="415">
        <v>39845</v>
      </c>
      <c r="B145" s="412">
        <v>3.59</v>
      </c>
      <c r="C145" s="412">
        <v>3.7629999999999999</v>
      </c>
      <c r="D145" s="412">
        <v>3.4140000000000001</v>
      </c>
      <c r="E145" s="412">
        <v>3.722</v>
      </c>
      <c r="F145" s="412">
        <v>3.722</v>
      </c>
      <c r="G145" s="416">
        <f t="shared" si="4"/>
        <v>3.1016666666666671E-3</v>
      </c>
    </row>
    <row r="146" spans="1:7">
      <c r="A146" s="415">
        <v>39814</v>
      </c>
      <c r="B146" s="412">
        <v>2.657</v>
      </c>
      <c r="C146" s="412">
        <v>3.6110000000000002</v>
      </c>
      <c r="D146" s="412">
        <v>2.62</v>
      </c>
      <c r="E146" s="412">
        <v>3.6030000000000002</v>
      </c>
      <c r="F146" s="412">
        <v>3.6030000000000002</v>
      </c>
      <c r="G146" s="416">
        <f t="shared" si="4"/>
        <v>3.0025E-3</v>
      </c>
    </row>
    <row r="147" spans="1:7">
      <c r="A147" s="415">
        <v>39783</v>
      </c>
      <c r="B147" s="412">
        <v>3.3849999999999998</v>
      </c>
      <c r="C147" s="412">
        <v>3.3879999999999999</v>
      </c>
      <c r="D147" s="412">
        <v>2.5190000000000001</v>
      </c>
      <c r="E147" s="412">
        <v>2.6909999999999998</v>
      </c>
      <c r="F147" s="412">
        <v>2.6909999999999998</v>
      </c>
      <c r="G147" s="416">
        <f t="shared" si="4"/>
        <v>2.2425000000000001E-3</v>
      </c>
    </row>
    <row r="148" spans="1:7">
      <c r="A148" s="415">
        <v>39753</v>
      </c>
      <c r="B148" s="412">
        <v>4.3739999999999997</v>
      </c>
      <c r="C148" s="412">
        <v>4.3739999999999997</v>
      </c>
      <c r="D148" s="412">
        <v>3.468</v>
      </c>
      <c r="E148" s="412">
        <v>3.4870000000000001</v>
      </c>
      <c r="F148" s="412">
        <v>3.4870000000000001</v>
      </c>
      <c r="G148" s="416">
        <f t="shared" si="4"/>
        <v>2.9058333333333332E-3</v>
      </c>
    </row>
    <row r="149" spans="1:7">
      <c r="A149" s="415">
        <v>39722</v>
      </c>
      <c r="B149" s="412">
        <v>4.2370000000000001</v>
      </c>
      <c r="C149" s="412">
        <v>4.375</v>
      </c>
      <c r="D149" s="412">
        <v>3.8839999999999999</v>
      </c>
      <c r="E149" s="412">
        <v>4.3689999999999998</v>
      </c>
      <c r="F149" s="412">
        <v>4.3689999999999998</v>
      </c>
      <c r="G149" s="416">
        <f t="shared" si="4"/>
        <v>3.6408333333333332E-3</v>
      </c>
    </row>
    <row r="150" spans="1:7">
      <c r="A150" s="415">
        <v>39692</v>
      </c>
      <c r="B150" s="412">
        <v>4.4420000000000002</v>
      </c>
      <c r="C150" s="412">
        <v>4.476</v>
      </c>
      <c r="D150" s="412">
        <v>3.895</v>
      </c>
      <c r="E150" s="412">
        <v>4.3049999999999997</v>
      </c>
      <c r="F150" s="412">
        <v>4.3049999999999997</v>
      </c>
      <c r="G150" s="416">
        <f t="shared" si="4"/>
        <v>3.5875E-3</v>
      </c>
    </row>
    <row r="151" spans="1:7">
      <c r="A151" s="415">
        <v>39661</v>
      </c>
      <c r="B151" s="412">
        <v>4.5720000000000001</v>
      </c>
      <c r="C151" s="412">
        <v>4.7220000000000004</v>
      </c>
      <c r="D151" s="412">
        <v>4.3639999999999999</v>
      </c>
      <c r="E151" s="412">
        <v>4.4119999999999999</v>
      </c>
      <c r="F151" s="412">
        <v>4.4119999999999999</v>
      </c>
      <c r="G151" s="416">
        <f t="shared" si="4"/>
        <v>3.6766666666666666E-3</v>
      </c>
    </row>
    <row r="152" spans="1:7">
      <c r="A152" s="415">
        <v>39630</v>
      </c>
      <c r="B152" s="412">
        <v>4.5010000000000003</v>
      </c>
      <c r="C152" s="412">
        <v>4.7169999999999996</v>
      </c>
      <c r="D152" s="412">
        <v>4.4039999999999999</v>
      </c>
      <c r="E152" s="412">
        <v>4.6029999999999998</v>
      </c>
      <c r="F152" s="412">
        <v>4.6029999999999998</v>
      </c>
      <c r="G152" s="416">
        <f t="shared" si="4"/>
        <v>3.835833333333333E-3</v>
      </c>
    </row>
    <row r="153" spans="1:7">
      <c r="A153" s="415">
        <v>39600</v>
      </c>
      <c r="B153" s="412">
        <v>4.7050000000000001</v>
      </c>
      <c r="C153" s="412">
        <v>4.8129999999999997</v>
      </c>
      <c r="D153" s="412">
        <v>4.4930000000000003</v>
      </c>
      <c r="E153" s="412">
        <v>4.5309999999999997</v>
      </c>
      <c r="F153" s="412">
        <v>4.5309999999999997</v>
      </c>
      <c r="G153" s="416">
        <f t="shared" si="4"/>
        <v>3.7758333333333329E-3</v>
      </c>
    </row>
    <row r="154" spans="1:7">
      <c r="A154" s="415">
        <v>39569</v>
      </c>
      <c r="B154" s="412">
        <v>4.4859999999999998</v>
      </c>
      <c r="C154" s="412">
        <v>4.8070000000000004</v>
      </c>
      <c r="D154" s="412">
        <v>4.423</v>
      </c>
      <c r="E154" s="412">
        <v>4.7069999999999999</v>
      </c>
      <c r="F154" s="412">
        <v>4.7069999999999999</v>
      </c>
      <c r="G154" s="416">
        <f t="shared" si="4"/>
        <v>3.9224999999999998E-3</v>
      </c>
    </row>
    <row r="155" spans="1:7">
      <c r="A155" s="415">
        <v>39539</v>
      </c>
      <c r="B155" s="412">
        <v>4.3479999999999999</v>
      </c>
      <c r="C155" s="412">
        <v>4.6239999999999997</v>
      </c>
      <c r="D155" s="412">
        <v>4.2750000000000004</v>
      </c>
      <c r="E155" s="412">
        <v>4.4969999999999999</v>
      </c>
      <c r="F155" s="412">
        <v>4.4969999999999999</v>
      </c>
      <c r="G155" s="416">
        <f t="shared" si="4"/>
        <v>3.7474999999999995E-3</v>
      </c>
    </row>
    <row r="156" spans="1:7">
      <c r="A156" s="415">
        <v>39508</v>
      </c>
      <c r="B156" s="412">
        <v>4.4470000000000001</v>
      </c>
      <c r="C156" s="412">
        <v>4.609</v>
      </c>
      <c r="D156" s="412">
        <v>4.1639999999999997</v>
      </c>
      <c r="E156" s="412">
        <v>4.306</v>
      </c>
      <c r="F156" s="412">
        <v>4.306</v>
      </c>
      <c r="G156" s="416">
        <f t="shared" si="4"/>
        <v>3.5883333333333336E-3</v>
      </c>
    </row>
    <row r="157" spans="1:7">
      <c r="A157" s="415">
        <v>39479</v>
      </c>
      <c r="B157" s="412">
        <v>4.3520000000000003</v>
      </c>
      <c r="C157" s="412">
        <v>4.72</v>
      </c>
      <c r="D157" s="412">
        <v>4.28</v>
      </c>
      <c r="E157" s="412">
        <v>4.4210000000000003</v>
      </c>
      <c r="F157" s="412">
        <v>4.4210000000000003</v>
      </c>
      <c r="G157" s="416">
        <f t="shared" si="4"/>
        <v>3.6841666666666668E-3</v>
      </c>
    </row>
    <row r="158" spans="1:7">
      <c r="A158" s="415">
        <v>39448</v>
      </c>
      <c r="B158" s="412">
        <v>4.4509999999999996</v>
      </c>
      <c r="C158" s="412">
        <v>4.4669999999999996</v>
      </c>
      <c r="D158" s="412">
        <v>4.1020000000000003</v>
      </c>
      <c r="E158" s="412">
        <v>4.3540000000000001</v>
      </c>
      <c r="F158" s="412">
        <v>4.3540000000000001</v>
      </c>
      <c r="G158" s="416">
        <f t="shared" si="4"/>
        <v>3.6283333333333337E-3</v>
      </c>
    </row>
    <row r="159" spans="1:7">
      <c r="A159" s="415">
        <v>39417</v>
      </c>
      <c r="B159" s="412">
        <v>4.3760000000000003</v>
      </c>
      <c r="C159" s="412">
        <v>4.6859999999999999</v>
      </c>
      <c r="D159" s="412">
        <v>4.3090000000000002</v>
      </c>
      <c r="E159" s="412">
        <v>4.4589999999999996</v>
      </c>
      <c r="F159" s="412">
        <v>4.4589999999999996</v>
      </c>
      <c r="G159" s="416">
        <f t="shared" si="4"/>
        <v>3.7158333333333331E-3</v>
      </c>
    </row>
    <row r="160" spans="1:7">
      <c r="A160" s="415">
        <v>39387</v>
      </c>
      <c r="B160" s="412">
        <v>4.7270000000000003</v>
      </c>
      <c r="C160" s="412">
        <v>4.7290000000000001</v>
      </c>
      <c r="D160" s="412">
        <v>4.2789999999999999</v>
      </c>
      <c r="E160" s="412">
        <v>4.4029999999999996</v>
      </c>
      <c r="F160" s="412">
        <v>4.4029999999999996</v>
      </c>
      <c r="G160" s="416">
        <f t="shared" si="4"/>
        <v>3.6691666666666661E-3</v>
      </c>
    </row>
    <row r="161" spans="1:7">
      <c r="A161" s="415">
        <v>39356</v>
      </c>
      <c r="B161" s="412">
        <v>4.8310000000000004</v>
      </c>
      <c r="C161" s="412">
        <v>4.9279999999999999</v>
      </c>
      <c r="D161" s="412">
        <v>4.6260000000000003</v>
      </c>
      <c r="E161" s="412">
        <v>4.7510000000000003</v>
      </c>
      <c r="F161" s="412">
        <v>4.7510000000000003</v>
      </c>
      <c r="G161" s="416">
        <f t="shared" si="4"/>
        <v>3.9591666666666673E-3</v>
      </c>
    </row>
    <row r="162" spans="1:7">
      <c r="A162" s="415">
        <v>39326</v>
      </c>
      <c r="B162" s="412">
        <v>4.8159999999999998</v>
      </c>
      <c r="C162" s="412">
        <v>4.9589999999999996</v>
      </c>
      <c r="D162" s="412">
        <v>4.617</v>
      </c>
      <c r="E162" s="412">
        <v>4.8330000000000002</v>
      </c>
      <c r="F162" s="412">
        <v>4.8330000000000002</v>
      </c>
      <c r="G162" s="416">
        <f t="shared" si="4"/>
        <v>4.0275000000000007E-3</v>
      </c>
    </row>
    <row r="163" spans="1:7">
      <c r="A163" s="415">
        <v>39295</v>
      </c>
      <c r="B163" s="412">
        <v>4.9020000000000001</v>
      </c>
      <c r="C163" s="412">
        <v>5.0549999999999997</v>
      </c>
      <c r="D163" s="412">
        <v>4.8140000000000001</v>
      </c>
      <c r="E163" s="412">
        <v>4.8310000000000004</v>
      </c>
      <c r="F163" s="412">
        <v>4.8310000000000004</v>
      </c>
      <c r="G163" s="416">
        <f t="shared" si="4"/>
        <v>4.0258333333333335E-3</v>
      </c>
    </row>
    <row r="164" spans="1:7">
      <c r="A164" s="415">
        <v>39264</v>
      </c>
      <c r="B164" s="412">
        <v>5.133</v>
      </c>
      <c r="C164" s="412">
        <v>5.2910000000000004</v>
      </c>
      <c r="D164" s="412">
        <v>4.915</v>
      </c>
      <c r="E164" s="412">
        <v>4.9219999999999997</v>
      </c>
      <c r="F164" s="412">
        <v>4.9219999999999997</v>
      </c>
      <c r="G164" s="416">
        <f t="shared" si="4"/>
        <v>4.1016666666666667E-3</v>
      </c>
    </row>
    <row r="165" spans="1:7">
      <c r="A165" s="415">
        <v>39234</v>
      </c>
      <c r="B165" s="412">
        <v>5.0190000000000001</v>
      </c>
      <c r="C165" s="412">
        <v>5.4080000000000004</v>
      </c>
      <c r="D165" s="412">
        <v>4.9960000000000004</v>
      </c>
      <c r="E165" s="412">
        <v>5.1260000000000003</v>
      </c>
      <c r="F165" s="412">
        <v>5.1260000000000003</v>
      </c>
      <c r="G165" s="416">
        <f t="shared" si="4"/>
        <v>4.2716666666666667E-3</v>
      </c>
    </row>
    <row r="166" spans="1:7">
      <c r="A166" s="415">
        <v>39203</v>
      </c>
      <c r="B166" s="412">
        <v>4.8049999999999997</v>
      </c>
      <c r="C166" s="412">
        <v>5.0510000000000002</v>
      </c>
      <c r="D166" s="412">
        <v>4.758</v>
      </c>
      <c r="E166" s="412">
        <v>5.0110000000000001</v>
      </c>
      <c r="F166" s="412">
        <v>5.0110000000000001</v>
      </c>
      <c r="G166" s="416">
        <f t="shared" si="4"/>
        <v>4.1758333333333335E-3</v>
      </c>
    </row>
    <row r="167" spans="1:7">
      <c r="A167" s="415">
        <v>39173</v>
      </c>
      <c r="B167" s="412">
        <v>4.8360000000000003</v>
      </c>
      <c r="C167" s="412">
        <v>4.9429999999999996</v>
      </c>
      <c r="D167" s="412">
        <v>4.7960000000000003</v>
      </c>
      <c r="E167" s="412">
        <v>4.8170000000000002</v>
      </c>
      <c r="F167" s="412">
        <v>4.8170000000000002</v>
      </c>
      <c r="G167" s="416">
        <f t="shared" si="4"/>
        <v>4.0141666666666668E-3</v>
      </c>
    </row>
    <row r="168" spans="1:7">
      <c r="A168" s="415">
        <v>39142</v>
      </c>
      <c r="B168" s="412">
        <v>4.6479999999999997</v>
      </c>
      <c r="C168" s="412">
        <v>4.8550000000000004</v>
      </c>
      <c r="D168" s="412">
        <v>4.6210000000000004</v>
      </c>
      <c r="E168" s="412">
        <v>4.8479999999999999</v>
      </c>
      <c r="F168" s="412">
        <v>4.8479999999999999</v>
      </c>
      <c r="G168" s="416">
        <f t="shared" si="4"/>
        <v>4.0399999999999993E-3</v>
      </c>
    </row>
    <row r="169" spans="1:7">
      <c r="A169" s="415">
        <v>39114</v>
      </c>
      <c r="B169" s="412">
        <v>4.9130000000000003</v>
      </c>
      <c r="C169" s="412">
        <v>4.9429999999999996</v>
      </c>
      <c r="D169" s="412">
        <v>4.625</v>
      </c>
      <c r="E169" s="412">
        <v>4.6689999999999996</v>
      </c>
      <c r="F169" s="412">
        <v>4.6689999999999996</v>
      </c>
      <c r="G169" s="416">
        <f t="shared" si="4"/>
        <v>3.8908333333333329E-3</v>
      </c>
    </row>
    <row r="170" spans="1:7">
      <c r="A170" s="415">
        <v>39083</v>
      </c>
      <c r="B170" s="412">
        <v>4.766</v>
      </c>
      <c r="C170" s="412">
        <v>5.0209999999999999</v>
      </c>
      <c r="D170" s="412">
        <v>4.6870000000000003</v>
      </c>
      <c r="E170" s="412">
        <v>4.9260000000000002</v>
      </c>
      <c r="F170" s="412">
        <v>4.9260000000000002</v>
      </c>
      <c r="G170" s="416">
        <f t="shared" si="4"/>
        <v>4.1050000000000001E-3</v>
      </c>
    </row>
    <row r="171" spans="1:7">
      <c r="A171" s="415">
        <v>39052</v>
      </c>
      <c r="B171" s="412">
        <v>4.5780000000000003</v>
      </c>
      <c r="C171" s="412">
        <v>4.843</v>
      </c>
      <c r="D171" s="412">
        <v>4.5250000000000004</v>
      </c>
      <c r="E171" s="412">
        <v>4.8179999999999996</v>
      </c>
      <c r="F171" s="412">
        <v>4.8179999999999996</v>
      </c>
      <c r="G171" s="416">
        <f t="shared" si="4"/>
        <v>4.0149999999999995E-3</v>
      </c>
    </row>
    <row r="172" spans="1:7">
      <c r="A172" s="415">
        <v>39022</v>
      </c>
      <c r="B172" s="412">
        <v>4.72</v>
      </c>
      <c r="C172" s="412">
        <v>4.83</v>
      </c>
      <c r="D172" s="412">
        <v>4.5609999999999999</v>
      </c>
      <c r="E172" s="412">
        <v>4.5609999999999999</v>
      </c>
      <c r="F172" s="412">
        <v>4.5609999999999999</v>
      </c>
      <c r="G172" s="416">
        <f t="shared" si="4"/>
        <v>3.8008333333333331E-3</v>
      </c>
    </row>
    <row r="173" spans="1:7">
      <c r="A173" s="415">
        <v>38991</v>
      </c>
      <c r="B173" s="412">
        <v>4.7839999999999998</v>
      </c>
      <c r="C173" s="412">
        <v>4.976</v>
      </c>
      <c r="D173" s="412">
        <v>4.7110000000000003</v>
      </c>
      <c r="E173" s="412">
        <v>4.7190000000000003</v>
      </c>
      <c r="F173" s="412">
        <v>4.7190000000000003</v>
      </c>
      <c r="G173" s="416">
        <f t="shared" si="4"/>
        <v>3.9325000000000002E-3</v>
      </c>
    </row>
    <row r="174" spans="1:7">
      <c r="A174" s="415">
        <v>38961</v>
      </c>
      <c r="B174" s="412">
        <v>4.8689999999999998</v>
      </c>
      <c r="C174" s="412">
        <v>4.9770000000000003</v>
      </c>
      <c r="D174" s="412">
        <v>4.6760000000000002</v>
      </c>
      <c r="E174" s="412">
        <v>4.7670000000000003</v>
      </c>
      <c r="F174" s="412">
        <v>4.7670000000000003</v>
      </c>
      <c r="G174" s="416">
        <f t="shared" si="4"/>
        <v>3.9725000000000003E-3</v>
      </c>
    </row>
    <row r="175" spans="1:7">
      <c r="A175" s="415">
        <v>38930</v>
      </c>
      <c r="B175" s="412">
        <v>5.0819999999999999</v>
      </c>
      <c r="C175" s="412">
        <v>5.12</v>
      </c>
      <c r="D175" s="412">
        <v>4.8760000000000003</v>
      </c>
      <c r="E175" s="412">
        <v>4.8780000000000001</v>
      </c>
      <c r="F175" s="412">
        <v>4.8780000000000001</v>
      </c>
      <c r="G175" s="416">
        <f t="shared" si="4"/>
        <v>4.065E-3</v>
      </c>
    </row>
    <row r="176" spans="1:7">
      <c r="A176" s="415">
        <v>38899</v>
      </c>
      <c r="B176" s="412">
        <v>5.2009999999999996</v>
      </c>
      <c r="C176" s="412">
        <v>5.2919999999999998</v>
      </c>
      <c r="D176" s="412">
        <v>5.0510000000000002</v>
      </c>
      <c r="E176" s="412">
        <v>5.07</v>
      </c>
      <c r="F176" s="412">
        <v>5.07</v>
      </c>
      <c r="G176" s="416">
        <f t="shared" ref="G176:G182" si="5">(F176/100)/12</f>
        <v>4.2250000000000005E-3</v>
      </c>
    </row>
    <row r="177" spans="1:7">
      <c r="A177" s="415">
        <v>38869</v>
      </c>
      <c r="B177" s="412">
        <v>5.2380000000000004</v>
      </c>
      <c r="C177" s="412">
        <v>5.2850000000000001</v>
      </c>
      <c r="D177" s="412">
        <v>4.9980000000000002</v>
      </c>
      <c r="E177" s="412">
        <v>5.1859999999999999</v>
      </c>
      <c r="F177" s="412">
        <v>5.1859999999999999</v>
      </c>
      <c r="G177" s="416">
        <f t="shared" si="5"/>
        <v>4.3216666666666664E-3</v>
      </c>
    </row>
    <row r="178" spans="1:7">
      <c r="A178" s="415">
        <v>38838</v>
      </c>
      <c r="B178" s="412">
        <v>5.1550000000000002</v>
      </c>
      <c r="C178" s="412">
        <v>5.3070000000000004</v>
      </c>
      <c r="D178" s="412">
        <v>5.0730000000000004</v>
      </c>
      <c r="E178" s="412">
        <v>5.2069999999999999</v>
      </c>
      <c r="F178" s="412">
        <v>5.2069999999999999</v>
      </c>
      <c r="G178" s="416">
        <f t="shared" si="5"/>
        <v>4.3391666666666665E-3</v>
      </c>
    </row>
    <row r="179" spans="1:7">
      <c r="A179" s="415">
        <v>38808</v>
      </c>
      <c r="B179" s="412">
        <v>4.9279999999999999</v>
      </c>
      <c r="C179" s="412">
        <v>5.2240000000000002</v>
      </c>
      <c r="D179" s="412">
        <v>4.8719999999999999</v>
      </c>
      <c r="E179" s="412">
        <v>5.1689999999999996</v>
      </c>
      <c r="F179" s="412">
        <v>5.1689999999999996</v>
      </c>
      <c r="G179" s="416">
        <f t="shared" si="5"/>
        <v>4.3074999999999997E-3</v>
      </c>
    </row>
    <row r="180" spans="1:7">
      <c r="A180" s="415">
        <v>38777</v>
      </c>
      <c r="B180" s="412">
        <v>4.53</v>
      </c>
      <c r="C180" s="412">
        <v>4.9210000000000003</v>
      </c>
      <c r="D180" s="412">
        <v>4.5190000000000001</v>
      </c>
      <c r="E180" s="412">
        <v>4.8929999999999998</v>
      </c>
      <c r="F180" s="412">
        <v>4.8929999999999998</v>
      </c>
      <c r="G180" s="416">
        <f t="shared" si="5"/>
        <v>4.0775000000000004E-3</v>
      </c>
    </row>
    <row r="181" spans="1:7">
      <c r="A181" s="415">
        <v>38749</v>
      </c>
      <c r="B181" s="412">
        <v>4.6950000000000003</v>
      </c>
      <c r="C181" s="412">
        <v>4.7350000000000003</v>
      </c>
      <c r="D181" s="412">
        <v>4.46</v>
      </c>
      <c r="E181" s="412">
        <v>4.5030000000000001</v>
      </c>
      <c r="F181" s="412">
        <v>4.5030000000000001</v>
      </c>
      <c r="G181" s="416">
        <f t="shared" si="5"/>
        <v>3.7525000000000002E-3</v>
      </c>
    </row>
    <row r="182" spans="1:7">
      <c r="A182" s="415">
        <v>38718</v>
      </c>
      <c r="B182" s="412">
        <v>4.5869999999999997</v>
      </c>
      <c r="C182" s="412">
        <v>4.734</v>
      </c>
      <c r="D182" s="412">
        <v>4.4749999999999996</v>
      </c>
      <c r="E182" s="412">
        <v>4.6849999999999996</v>
      </c>
      <c r="F182" s="412">
        <v>4.6849999999999996</v>
      </c>
      <c r="G182" s="416">
        <f t="shared" si="5"/>
        <v>3.9041666666666665E-3</v>
      </c>
    </row>
    <row r="183" spans="1:7">
      <c r="A183" s="415"/>
      <c r="G183" s="416"/>
    </row>
    <row r="184" spans="1:7">
      <c r="A184" s="415"/>
      <c r="G184" s="416"/>
    </row>
    <row r="185" spans="1:7">
      <c r="A185" s="415"/>
      <c r="G185" s="416"/>
    </row>
    <row r="186" spans="1:7">
      <c r="A186" s="415"/>
      <c r="G186" s="416"/>
    </row>
    <row r="187" spans="1:7">
      <c r="A187" s="415"/>
      <c r="G187" s="416"/>
    </row>
    <row r="188" spans="1:7">
      <c r="A188" s="415"/>
      <c r="G188" s="416"/>
    </row>
    <row r="189" spans="1:7">
      <c r="A189" s="415"/>
      <c r="G189" s="416"/>
    </row>
    <row r="190" spans="1:7">
      <c r="A190" s="415"/>
      <c r="G190" s="416"/>
    </row>
    <row r="191" spans="1:7">
      <c r="A191" s="415"/>
      <c r="G191" s="416"/>
    </row>
    <row r="192" spans="1:7">
      <c r="A192" s="415"/>
      <c r="G192" s="416"/>
    </row>
    <row r="193" spans="1:7">
      <c r="A193" s="415"/>
      <c r="G193" s="416"/>
    </row>
    <row r="194" spans="1:7">
      <c r="A194" s="415"/>
      <c r="G194" s="416"/>
    </row>
    <row r="195" spans="1:7">
      <c r="A195" s="415"/>
      <c r="G195" s="416"/>
    </row>
    <row r="196" spans="1:7">
      <c r="A196" s="415"/>
      <c r="G196" s="416"/>
    </row>
    <row r="197" spans="1:7">
      <c r="A197" s="415"/>
      <c r="G197" s="416"/>
    </row>
    <row r="198" spans="1:7">
      <c r="A198" s="415"/>
      <c r="G198" s="416"/>
    </row>
    <row r="199" spans="1:7">
      <c r="A199" s="415"/>
      <c r="G199" s="416"/>
    </row>
    <row r="200" spans="1:7">
      <c r="A200" s="415"/>
      <c r="G200" s="416"/>
    </row>
    <row r="201" spans="1:7">
      <c r="A201" s="415"/>
      <c r="G201" s="416"/>
    </row>
    <row r="202" spans="1:7">
      <c r="A202" s="415"/>
      <c r="G202" s="416"/>
    </row>
    <row r="203" spans="1:7">
      <c r="A203" s="415"/>
      <c r="G203" s="416"/>
    </row>
    <row r="204" spans="1:7">
      <c r="A204" s="415"/>
      <c r="G204" s="416"/>
    </row>
    <row r="205" spans="1:7">
      <c r="A205" s="415"/>
      <c r="G205" s="416"/>
    </row>
  </sheetData>
  <hyperlinks>
    <hyperlink ref="D1" location="Menu!A1" display="MENU" xr:uid="{9C5885AD-43FB-482B-A077-4EF6F9AD9625}"/>
  </hyperlink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1E25DB-2A1B-4E26-9B48-CCA4F1AFF930}">
  <dimension ref="B1:G94"/>
  <sheetViews>
    <sheetView showGridLines="0" topLeftCell="A20" workbookViewId="0">
      <selection activeCell="A5" sqref="A5:XFD1048576"/>
    </sheetView>
  </sheetViews>
  <sheetFormatPr baseColWidth="10" defaultColWidth="9.1640625" defaultRowHeight="15"/>
  <cols>
    <col min="1" max="1" width="21.5" style="58" customWidth="1"/>
    <col min="2" max="2" width="53.6640625" style="58" bestFit="1" customWidth="1"/>
    <col min="3" max="3" width="13.5" style="58" customWidth="1"/>
    <col min="4" max="4" width="12.5" style="58" bestFit="1" customWidth="1"/>
    <col min="5" max="5" width="11.5" style="58" bestFit="1" customWidth="1"/>
    <col min="6" max="16384" width="9.1640625" style="58"/>
  </cols>
  <sheetData>
    <row r="1" spans="2:7" s="75" customFormat="1" ht="19">
      <c r="B1" s="76" t="s">
        <v>268</v>
      </c>
    </row>
    <row r="2" spans="2:7" s="75" customFormat="1">
      <c r="B2" s="77" t="s">
        <v>264</v>
      </c>
    </row>
    <row r="3" spans="2:7" s="75" customFormat="1">
      <c r="B3" s="77" t="s">
        <v>565</v>
      </c>
    </row>
    <row r="4" spans="2:7" s="75" customFormat="1"/>
    <row r="6" spans="2:7" ht="32.5" customHeight="1">
      <c r="B6" s="386"/>
    </row>
    <row r="8" spans="2:7" ht="18">
      <c r="B8" s="387" t="s">
        <v>521</v>
      </c>
      <c r="C8" s="388">
        <v>2016</v>
      </c>
      <c r="D8" s="388">
        <v>2017</v>
      </c>
      <c r="E8" s="388">
        <v>2018</v>
      </c>
    </row>
    <row r="9" spans="2:7">
      <c r="B9" s="389" t="s">
        <v>538</v>
      </c>
      <c r="C9" s="390">
        <f>'Financial Statement Information'!F68/'Financial Statement Information'!F80</f>
        <v>2.9340518816222141</v>
      </c>
      <c r="D9" s="390">
        <f>'Financial Statement Information'!G68/'Financial Statement Information'!G80</f>
        <v>2.5056291390728478</v>
      </c>
      <c r="E9" s="390">
        <f>'Financial Statement Information'!H68/'Financial Statement Information'!H80</f>
        <v>2.1008136282735825</v>
      </c>
      <c r="G9" s="391" t="str">
        <f ca="1">_xlfn.FORMULATEXT(C9)</f>
        <v>='Financial Statement Information'!F68/'Financial Statement Information'!F80</v>
      </c>
    </row>
    <row r="10" spans="2:7">
      <c r="B10" s="392" t="s">
        <v>570</v>
      </c>
      <c r="C10" s="393"/>
      <c r="D10" s="394">
        <f>(D9-C9)/C9</f>
        <v>-0.14601743930734271</v>
      </c>
      <c r="E10" s="394">
        <f>(E9-D9)/D9</f>
        <v>-0.16156242138413915</v>
      </c>
      <c r="G10" s="391" t="str">
        <f ca="1">_xlfn.FORMULATEXT(D10)</f>
        <v>=(D9-C9)/C9</v>
      </c>
    </row>
    <row r="11" spans="2:7">
      <c r="B11" s="389" t="s">
        <v>537</v>
      </c>
      <c r="C11" s="390">
        <f>('Financial Statement Information'!F68-'Financial Statement Information'!F66)/'Financial Statement Information'!F80</f>
        <v>2.0105955425648521</v>
      </c>
      <c r="D11" s="390">
        <f>('Financial Statement Information'!G68-'Financial Statement Information'!G66)/'Financial Statement Information'!G80</f>
        <v>1.6346026490066226</v>
      </c>
      <c r="E11" s="390">
        <f>('Financial Statement Information'!H68-'Financial Statement Information'!H66)/'Financial Statement Information'!H80</f>
        <v>1.386092041698449</v>
      </c>
      <c r="G11" s="391" t="str">
        <f ca="1">_xlfn.FORMULATEXT(D11)</f>
        <v>=('Financial Statement Information'!G68-'Financial Statement Information'!G66)/'Financial Statement Information'!G80</v>
      </c>
    </row>
    <row r="12" spans="2:7">
      <c r="B12" s="389"/>
      <c r="C12" s="393"/>
      <c r="D12" s="394">
        <f>(D11-C11)/C11</f>
        <v>-0.18700573317624461</v>
      </c>
      <c r="E12" s="394">
        <f>(E11-D11)/D11</f>
        <v>-0.1520312030934233</v>
      </c>
      <c r="G12" s="391" t="str">
        <f ca="1">_xlfn.FORMULATEXT(D12)</f>
        <v>=(D11-C11)/C11</v>
      </c>
    </row>
    <row r="13" spans="2:7">
      <c r="B13" s="389" t="s">
        <v>536</v>
      </c>
      <c r="C13" s="390">
        <f>'Financial Statement Information'!F64/'Financial Statement Information'!F80</f>
        <v>1.1287906466934601</v>
      </c>
      <c r="D13" s="390">
        <f>'Financial Statement Information'!F64/'Financial Statement Information'!F80</f>
        <v>1.1287906466934601</v>
      </c>
      <c r="E13" s="390">
        <f>'Financial Statement Information'!G64/'Financial Statement Information'!G80</f>
        <v>0.86837748344370858</v>
      </c>
      <c r="G13" s="391" t="str">
        <f ca="1">_xlfn.FORMULATEXT(D13)</f>
        <v>='Financial Statement Information'!F64/'Financial Statement Information'!F80</v>
      </c>
    </row>
    <row r="14" spans="2:7">
      <c r="B14" s="389"/>
      <c r="C14" s="393"/>
      <c r="D14" s="394">
        <f>(D13-C13)/C13</f>
        <v>0</v>
      </c>
      <c r="E14" s="394">
        <f>(E13-D13)/D13</f>
        <v>-0.2307010285853924</v>
      </c>
      <c r="G14" s="391" t="str">
        <f ca="1">_xlfn.FORMULATEXT(D14)</f>
        <v>=(D13-C13)/C13</v>
      </c>
    </row>
    <row r="15" spans="2:7">
      <c r="G15" s="391"/>
    </row>
    <row r="16" spans="2:7">
      <c r="G16" s="391"/>
    </row>
    <row r="17" spans="2:7">
      <c r="G17" s="391"/>
    </row>
    <row r="18" spans="2:7" ht="18">
      <c r="B18" s="387" t="s">
        <v>517</v>
      </c>
      <c r="C18" s="388">
        <v>2016</v>
      </c>
      <c r="D18" s="388">
        <v>2017</v>
      </c>
      <c r="E18" s="388">
        <v>2018</v>
      </c>
      <c r="G18" s="391"/>
    </row>
    <row r="19" spans="2:7">
      <c r="B19" s="389" t="s">
        <v>516</v>
      </c>
      <c r="C19" s="395">
        <f>'Financial Statement Information'!F86/'Financial Statement Information'!F74</f>
        <v>0.46657207962509134</v>
      </c>
      <c r="D19" s="395">
        <f>'Financial Statement Information'!G86/'Financial Statement Information'!G74</f>
        <v>0.56460773872914449</v>
      </c>
      <c r="E19" s="395">
        <f>'Financial Statement Information'!H86/'Financial Statement Information'!H74</f>
        <v>0.61883880760635834</v>
      </c>
      <c r="G19" s="391" t="str">
        <f t="shared" ref="G19:G28" ca="1" si="0">_xlfn.FORMULATEXT(D19)</f>
        <v>='Financial Statement Information'!G86/'Financial Statement Information'!G74</v>
      </c>
    </row>
    <row r="20" spans="2:7">
      <c r="B20" s="389"/>
      <c r="D20" s="396">
        <f>(D19-C19)/C19</f>
        <v>0.21011900065436531</v>
      </c>
      <c r="E20" s="396">
        <f>(E19-D19)/D19</f>
        <v>9.6050877728457343E-2</v>
      </c>
      <c r="G20" s="391" t="str">
        <f t="shared" ca="1" si="0"/>
        <v>=(D19-C19)/C19</v>
      </c>
    </row>
    <row r="21" spans="2:7">
      <c r="B21" s="389" t="s">
        <v>515</v>
      </c>
      <c r="C21" s="395">
        <f>'Financial Statement Information'!F86/'Financial Statement Information'!F91</f>
        <v>0.87466752639638912</v>
      </c>
      <c r="D21" s="395">
        <f>'Financial Statement Information'!G86/'Financial Statement Information'!G91</f>
        <v>1.2967794537301265</v>
      </c>
      <c r="E21" s="395">
        <f>'Financial Statement Information'!H86/'Financial Statement Information'!H91</f>
        <v>1.6235619469026548</v>
      </c>
      <c r="G21" s="391" t="str">
        <f t="shared" ca="1" si="0"/>
        <v>='Financial Statement Information'!G86/'Financial Statement Information'!G91</v>
      </c>
    </row>
    <row r="22" spans="2:7">
      <c r="B22" s="389"/>
      <c r="D22" s="396">
        <f>(D21-C21)/C21</f>
        <v>0.48259700354125318</v>
      </c>
      <c r="E22" s="396">
        <f>(E21-D21)/D21</f>
        <v>0.25199542777498013</v>
      </c>
      <c r="G22" s="391" t="str">
        <f t="shared" ca="1" si="0"/>
        <v>=(D21-C21)/C21</v>
      </c>
    </row>
    <row r="23" spans="2:7">
      <c r="B23" s="389" t="s">
        <v>514</v>
      </c>
      <c r="C23" s="397">
        <f>'Financial Statement Information'!F74/'Financial Statement Information'!F91</f>
        <v>1.8746675263963892</v>
      </c>
      <c r="D23" s="397">
        <f>'Financial Statement Information'!G74/'Financial Statement Information'!G91</f>
        <v>2.2967794537301263</v>
      </c>
      <c r="E23" s="397">
        <f>'Financial Statement Information'!H74/'Financial Statement Information'!H91</f>
        <v>2.623561946902655</v>
      </c>
      <c r="G23" s="391" t="str">
        <f t="shared" ca="1" si="0"/>
        <v>='Financial Statement Information'!G74/'Financial Statement Information'!G91</v>
      </c>
    </row>
    <row r="24" spans="2:7">
      <c r="B24" s="389"/>
      <c r="D24" s="396">
        <f>(D23-C23)/C23</f>
        <v>0.22516628756307988</v>
      </c>
      <c r="E24" s="396">
        <f>(E23-D23)/D23</f>
        <v>0.14227856864611518</v>
      </c>
      <c r="G24" s="391" t="str">
        <f t="shared" ca="1" si="0"/>
        <v>=(D23-C23)/C23</v>
      </c>
    </row>
    <row r="25" spans="2:7">
      <c r="B25" s="389" t="s">
        <v>513</v>
      </c>
      <c r="C25" s="397">
        <f>'Financial Statement Information'!F38/'Financial Statement Information'!F40</f>
        <v>52.609756097560975</v>
      </c>
      <c r="D25" s="397">
        <f>'Financial Statement Information'!G38/'Financial Statement Information'!G40</f>
        <v>38.46153846153846</v>
      </c>
      <c r="E25" s="397">
        <f>'Financial Statement Information'!H38/'Financial Statement Information'!H40</f>
        <v>38.096774193548384</v>
      </c>
      <c r="G25" s="391" t="str">
        <f t="shared" ca="1" si="0"/>
        <v>='Financial Statement Information'!G38/'Financial Statement Information'!G40</v>
      </c>
    </row>
    <row r="26" spans="2:7">
      <c r="B26" s="389"/>
      <c r="D26" s="396">
        <f>(D25-C25)/C25</f>
        <v>-0.26892764166755823</v>
      </c>
      <c r="E26" s="396">
        <f>(E25-D25)/D25</f>
        <v>-9.4838709677419648E-3</v>
      </c>
      <c r="G26" s="391" t="str">
        <f t="shared" ca="1" si="0"/>
        <v>=(D25-C25)/C25</v>
      </c>
    </row>
    <row r="27" spans="2:7">
      <c r="B27" s="389" t="s">
        <v>535</v>
      </c>
      <c r="C27" s="397">
        <f>'Financial Statement Information'!F64/'Financial Statement Information'!F76</f>
        <v>18.667673716012086</v>
      </c>
      <c r="D27" s="397">
        <f>'Financial Statement Information'!G64/'Financial Statement Information'!G76</f>
        <v>15.336257309941521</v>
      </c>
      <c r="E27" s="397">
        <f>'Financial Statement Information'!H64/'Financial Statement Information'!H76</f>
        <v>310.86666666666667</v>
      </c>
      <c r="G27" s="391" t="str">
        <f t="shared" ca="1" si="0"/>
        <v>='Financial Statement Information'!G64/'Financial Statement Information'!G76</v>
      </c>
    </row>
    <row r="28" spans="2:7">
      <c r="B28" s="389"/>
      <c r="D28" s="396">
        <f>(D27-C27)/C27</f>
        <v>-0.17845910833619627</v>
      </c>
      <c r="E28" s="396">
        <f>(E27-D27)/D27</f>
        <v>19.270047664442327</v>
      </c>
      <c r="G28" s="391" t="str">
        <f t="shared" ca="1" si="0"/>
        <v>=(D27-C27)/C27</v>
      </c>
    </row>
    <row r="29" spans="2:7">
      <c r="D29" s="398"/>
      <c r="E29" s="398"/>
      <c r="G29" s="391"/>
    </row>
    <row r="30" spans="2:7">
      <c r="G30" s="391"/>
    </row>
    <row r="31" spans="2:7" ht="18">
      <c r="B31" s="387" t="s">
        <v>511</v>
      </c>
      <c r="C31" s="388">
        <v>2016</v>
      </c>
      <c r="D31" s="388">
        <v>2017</v>
      </c>
      <c r="E31" s="388">
        <v>2018</v>
      </c>
      <c r="G31" s="391"/>
    </row>
    <row r="32" spans="2:7">
      <c r="B32" s="389" t="s">
        <v>510</v>
      </c>
      <c r="C32" s="397">
        <f>'Financial Statement Information'!F35/AVERAGE('Financial Statement Information'!E66:F66)</f>
        <v>3.9173152734256544</v>
      </c>
      <c r="D32" s="397">
        <f>'Financial Statement Information'!G35/AVERAGE('Financial Statement Information'!F66:G66)</f>
        <v>3.9455215199689802</v>
      </c>
      <c r="E32" s="397">
        <f>'Financial Statement Information'!H35/AVERAGE('Financial Statement Information'!G66:H66)</f>
        <v>3.9871359000275661</v>
      </c>
      <c r="G32" s="391" t="str">
        <f t="shared" ref="G32:G41" ca="1" si="1">_xlfn.FORMULATEXT(D32)</f>
        <v>='Financial Statement Information'!G35/AVERAGE('Financial Statement Information'!F66:G66)</v>
      </c>
    </row>
    <row r="33" spans="2:7">
      <c r="B33" s="389"/>
      <c r="D33" s="396">
        <f>(D32-C32)/C32</f>
        <v>7.2004024630521043E-3</v>
      </c>
      <c r="E33" s="396">
        <f>(E32-D32)/D32</f>
        <v>1.0547244476545942E-2</v>
      </c>
      <c r="G33" s="391" t="str">
        <f t="shared" ca="1" si="1"/>
        <v>=(D32-C32)/C32</v>
      </c>
    </row>
    <row r="34" spans="2:7">
      <c r="B34" s="389" t="s">
        <v>534</v>
      </c>
      <c r="C34" s="397">
        <f>365/C32</f>
        <v>93.176059245497243</v>
      </c>
      <c r="D34" s="397">
        <f>365/D32</f>
        <v>92.509950370989145</v>
      </c>
      <c r="E34" s="397">
        <f>365/E32</f>
        <v>91.544409107669608</v>
      </c>
      <c r="G34" s="391" t="str">
        <f t="shared" ca="1" si="1"/>
        <v>=365/D32</v>
      </c>
    </row>
    <row r="35" spans="2:7">
      <c r="B35" s="389"/>
      <c r="D35" s="396">
        <f>(D34-C34)/C34</f>
        <v>-7.1489273092464178E-3</v>
      </c>
      <c r="E35" s="396">
        <f>(E34-D34)/D34</f>
        <v>-1.0437161185877447E-2</v>
      </c>
      <c r="G35" s="391" t="str">
        <f t="shared" ca="1" si="1"/>
        <v>=(D34-C34)/C34</v>
      </c>
    </row>
    <row r="36" spans="2:7">
      <c r="B36" s="389" t="s">
        <v>508</v>
      </c>
      <c r="C36" s="397">
        <f>'Financial Statement Information'!F34/AVERAGE('Financial Statement Information'!E65:F65)</f>
        <v>9.6926994906621395</v>
      </c>
      <c r="D36" s="397">
        <f>'Financial Statement Information'!G34/AVERAGE('Financial Statement Information'!F65:G65)</f>
        <v>10.13602787456446</v>
      </c>
      <c r="E36" s="397">
        <f>'Financial Statement Information'!H34/AVERAGE('Financial Statement Information'!G65:H65)</f>
        <v>10.070012870012871</v>
      </c>
      <c r="G36" s="391" t="str">
        <f t="shared" ca="1" si="1"/>
        <v>='Financial Statement Information'!G34/AVERAGE('Financial Statement Information'!F65:G65)</v>
      </c>
    </row>
    <row r="37" spans="2:7">
      <c r="B37" s="389"/>
      <c r="D37" s="396">
        <f>(D36-C36)/C36</f>
        <v>4.5738381173317029E-2</v>
      </c>
      <c r="E37" s="396">
        <f>(E36-D36)/D36</f>
        <v>-6.5129067686612013E-3</v>
      </c>
      <c r="G37" s="391" t="str">
        <f t="shared" ca="1" si="1"/>
        <v>=(D36-C36)/C36</v>
      </c>
    </row>
    <row r="38" spans="2:7">
      <c r="B38" s="389" t="s">
        <v>507</v>
      </c>
      <c r="C38" s="397">
        <f>365/C36</f>
        <v>37.657207917323525</v>
      </c>
      <c r="D38" s="397">
        <f>365/D36</f>
        <v>36.010161427824983</v>
      </c>
      <c r="E38" s="397">
        <f>365/E36</f>
        <v>36.246229742855682</v>
      </c>
      <c r="G38" s="391" t="str">
        <f t="shared" ca="1" si="1"/>
        <v>=365/D36</v>
      </c>
    </row>
    <row r="39" spans="2:7">
      <c r="B39" s="389"/>
      <c r="D39" s="396">
        <f>(D38-C38)/C38</f>
        <v>-4.3737881287285993E-2</v>
      </c>
      <c r="E39" s="396">
        <f>(E38-D38)/D38</f>
        <v>6.5556027985003741E-3</v>
      </c>
      <c r="G39" s="391" t="str">
        <f t="shared" ca="1" si="1"/>
        <v>=(D38-C38)/C38</v>
      </c>
    </row>
    <row r="40" spans="2:7">
      <c r="B40" s="389" t="s">
        <v>506</v>
      </c>
      <c r="C40" s="397">
        <f>'Financial Statement Information'!F34/AVERAGE('Financial Statement Information'!E74:F74)</f>
        <v>1.5217574801750373</v>
      </c>
      <c r="D40" s="397">
        <f>'Financial Statement Information'!G34/AVERAGE('Financial Statement Information'!F74:G74)</f>
        <v>1.5880773010153948</v>
      </c>
      <c r="E40" s="397">
        <f>'Financial Statement Information'!H34/AVERAGE('Financial Statement Information'!G74:H74)</f>
        <v>1.6916524333556742</v>
      </c>
      <c r="G40" s="391" t="str">
        <f t="shared" ca="1" si="1"/>
        <v>='Financial Statement Information'!G34/AVERAGE('Financial Statement Information'!F74:G74)</v>
      </c>
    </row>
    <row r="41" spans="2:7">
      <c r="B41" s="389"/>
      <c r="D41" s="396">
        <f>(D40-C40)/C40</f>
        <v>4.3581071034215761E-2</v>
      </c>
      <c r="E41" s="396">
        <f>(E40-D40)/D40</f>
        <v>6.5220460158995325E-2</v>
      </c>
      <c r="G41" s="391" t="str">
        <f t="shared" ca="1" si="1"/>
        <v>=(D40-C40)/C40</v>
      </c>
    </row>
    <row r="42" spans="2:7">
      <c r="G42" s="391"/>
    </row>
    <row r="43" spans="2:7" ht="18">
      <c r="B43" s="387" t="s">
        <v>505</v>
      </c>
      <c r="C43" s="388">
        <v>2016</v>
      </c>
      <c r="D43" s="388">
        <v>2017</v>
      </c>
      <c r="E43" s="388">
        <v>2018</v>
      </c>
      <c r="G43" s="391"/>
    </row>
    <row r="44" spans="2:7">
      <c r="B44" s="389" t="s">
        <v>533</v>
      </c>
      <c r="C44" s="395">
        <f>'Financial Statement Information'!F38/'Financial Statement Information'!F34</f>
        <v>0.12594149588369241</v>
      </c>
      <c r="D44" s="395">
        <f>'Financial Statement Information'!G38/'Financial Statement Information'!G34</f>
        <v>0.12375216566289909</v>
      </c>
      <c r="E44" s="395">
        <f>'Financial Statement Information'!H38/'Financial Statement Information'!H34</f>
        <v>0.12075047287970962</v>
      </c>
      <c r="G44" s="391" t="str">
        <f t="shared" ref="G44:G51" ca="1" si="2">_xlfn.FORMULATEXT(D44)</f>
        <v>='Financial Statement Information'!G38/'Financial Statement Information'!G34</v>
      </c>
    </row>
    <row r="45" spans="2:7">
      <c r="B45" s="389"/>
      <c r="D45" s="396">
        <f>(D44-C44)/C44</f>
        <v>-1.7383708248274059E-2</v>
      </c>
      <c r="E45" s="396">
        <f>(E44-D44)/D44</f>
        <v>-2.425567881669306E-2</v>
      </c>
      <c r="G45" s="391" t="str">
        <f t="shared" ca="1" si="2"/>
        <v>=(D44-C44)/C44</v>
      </c>
    </row>
    <row r="46" spans="2:7">
      <c r="B46" s="389" t="s">
        <v>532</v>
      </c>
      <c r="C46" s="395">
        <f>'Financial Statement Information'!F44/'Financial Statement Information'!F34</f>
        <v>0.12378116424359199</v>
      </c>
      <c r="D46" s="395">
        <f>'Financial Statement Information'!G44/'Financial Statement Information'!G34</f>
        <v>5.3158430272529769E-2</v>
      </c>
      <c r="E46" s="395">
        <f>'Financial Statement Information'!H44/'Financial Statement Information'!H34</f>
        <v>0.10298553243699198</v>
      </c>
      <c r="G46" s="391" t="str">
        <f t="shared" ca="1" si="2"/>
        <v>='Financial Statement Information'!G44/'Financial Statement Information'!G34</v>
      </c>
    </row>
    <row r="47" spans="2:7">
      <c r="B47" s="389"/>
      <c r="D47" s="396">
        <f>(D46-C46)/C46</f>
        <v>-0.57054507769923712</v>
      </c>
      <c r="E47" s="396">
        <f>(E46-D46)/D46</f>
        <v>0.9373320827761713</v>
      </c>
      <c r="G47" s="391" t="str">
        <f t="shared" ca="1" si="2"/>
        <v>=(D46-C46)/C46</v>
      </c>
    </row>
    <row r="48" spans="2:7">
      <c r="B48" s="389" t="s">
        <v>531</v>
      </c>
      <c r="C48" s="395">
        <f>'Financial Statement Information'!F44/AVERAGE('Financial Statement Information'!E74:F74)</f>
        <v>0.18836491259246096</v>
      </c>
      <c r="D48" s="395">
        <f>'Financial Statement Information'!G44/AVERAGE('Financial Statement Information'!F74:G74)</f>
        <v>8.441969647341413E-2</v>
      </c>
      <c r="E48" s="395">
        <f>'Financial Statement Information'!H44/AVERAGE('Financial Statement Information'!G74:H74)</f>
        <v>0.1742157265474672</v>
      </c>
      <c r="G48" s="391" t="str">
        <f t="shared" ca="1" si="2"/>
        <v>='Financial Statement Information'!G44/AVERAGE('Financial Statement Information'!F74:G74)</v>
      </c>
    </row>
    <row r="49" spans="2:7">
      <c r="B49" s="389"/>
      <c r="D49" s="396">
        <f>(D48-C48)/C48</f>
        <v>-0.55182897222445393</v>
      </c>
      <c r="E49" s="396">
        <f>(E48-D48)/D48</f>
        <v>1.0636857726956181</v>
      </c>
      <c r="G49" s="391" t="str">
        <f t="shared" ca="1" si="2"/>
        <v>=(D48-C48)/C48</v>
      </c>
    </row>
    <row r="50" spans="2:7">
      <c r="B50" s="389" t="s">
        <v>530</v>
      </c>
      <c r="C50" s="395">
        <f>'Financial Statement Information'!F44/AVERAGE('Financial Statement Information'!E90:F90)</f>
        <v>0.34380701398743158</v>
      </c>
      <c r="D50" s="395">
        <f>'Financial Statement Information'!G44/AVERAGE('Financial Statement Information'!F90:G90)</f>
        <v>0.1739952293082497</v>
      </c>
      <c r="E50" s="395">
        <f>'Financial Statement Information'!H44/AVERAGE('Financial Statement Information'!G90:H90)</f>
        <v>0.42743475493316357</v>
      </c>
      <c r="G50" s="391" t="str">
        <f t="shared" ca="1" si="2"/>
        <v>='Financial Statement Information'!G44/AVERAGE('Financial Statement Information'!F90:G90)</v>
      </c>
    </row>
    <row r="51" spans="2:7">
      <c r="B51" s="389"/>
      <c r="D51" s="396">
        <f>(D50-C50)/C50</f>
        <v>-0.49391599871604019</v>
      </c>
      <c r="E51" s="396">
        <f>(E50-D50)/D50</f>
        <v>1.456588934262794</v>
      </c>
      <c r="G51" s="391" t="str">
        <f t="shared" ca="1" si="2"/>
        <v>=(D50-C50)/C50</v>
      </c>
    </row>
    <row r="52" spans="2:7">
      <c r="B52" s="389"/>
      <c r="D52" s="367"/>
      <c r="E52" s="367"/>
    </row>
    <row r="53" spans="2:7">
      <c r="B53" s="389"/>
      <c r="D53" s="367"/>
      <c r="E53" s="367"/>
    </row>
    <row r="54" spans="2:7" ht="18">
      <c r="B54" s="387" t="s">
        <v>529</v>
      </c>
      <c r="C54" s="389"/>
      <c r="D54" s="389"/>
      <c r="E54" s="389"/>
    </row>
    <row r="55" spans="2:7">
      <c r="B55" s="389" t="s">
        <v>528</v>
      </c>
      <c r="C55" s="399" t="s">
        <v>547</v>
      </c>
      <c r="D55" s="389">
        <f>'Control Panel'!C49</f>
        <v>1598</v>
      </c>
      <c r="E55" s="58" t="str">
        <f ca="1">_xlfn.FORMULATEXT(D55)</f>
        <v>='Control Panel'!C49</v>
      </c>
    </row>
    <row r="56" spans="2:7">
      <c r="B56" s="389"/>
      <c r="C56" s="400"/>
      <c r="D56" s="389"/>
    </row>
    <row r="57" spans="2:7">
      <c r="B57" s="389" t="s">
        <v>527</v>
      </c>
      <c r="C57" s="399" t="s">
        <v>548</v>
      </c>
      <c r="D57" s="401">
        <f>'Control Panel'!C55</f>
        <v>93.61</v>
      </c>
      <c r="E57" s="58" t="str">
        <f ca="1">_xlfn.FORMULATEXT(D57)</f>
        <v>='Control Panel'!C55</v>
      </c>
    </row>
    <row r="58" spans="2:7">
      <c r="B58" s="389"/>
      <c r="C58" s="389"/>
      <c r="D58" s="389"/>
    </row>
    <row r="59" spans="2:7">
      <c r="B59" s="389" t="s">
        <v>526</v>
      </c>
      <c r="C59" s="399" t="s">
        <v>571</v>
      </c>
      <c r="D59" s="401">
        <f>'Financial Statement Information'!H49</f>
        <v>2.4895</v>
      </c>
      <c r="E59" s="402" t="str">
        <f ca="1">_xlfn.FORMULATEXT(D59)</f>
        <v>='Financial Statement Information'!H49</v>
      </c>
    </row>
    <row r="60" spans="2:7">
      <c r="B60" s="389"/>
      <c r="C60" s="389"/>
      <c r="D60" s="389"/>
    </row>
    <row r="61" spans="2:7">
      <c r="B61" s="389" t="s">
        <v>525</v>
      </c>
      <c r="C61" s="389"/>
      <c r="D61" s="393">
        <f>'Multiple Valuation'!F11</f>
        <v>35.854852320675107</v>
      </c>
      <c r="E61" s="402" t="str">
        <f ca="1">_xlfn.FORMULATEXT(D61)</f>
        <v>='Multiple Valuation'!F11</v>
      </c>
    </row>
    <row r="62" spans="2:7">
      <c r="B62" s="389"/>
      <c r="C62" s="389"/>
      <c r="D62" s="389"/>
    </row>
    <row r="63" spans="2:7">
      <c r="B63" s="389" t="s">
        <v>524</v>
      </c>
      <c r="C63" s="389"/>
      <c r="D63" s="403">
        <f>'Control Panel'!C48/'Financial Statement Information'!H34</f>
        <v>3.6925310566944431</v>
      </c>
      <c r="E63" s="402" t="str">
        <f ca="1">_xlfn.FORMULATEXT(D63)</f>
        <v>='Control Panel'!C48/'Financial Statement Information'!H34</v>
      </c>
    </row>
    <row r="64" spans="2:7">
      <c r="B64" s="389"/>
      <c r="C64" s="389"/>
      <c r="D64" s="389"/>
    </row>
    <row r="65" spans="2:6">
      <c r="B65" s="389" t="s">
        <v>523</v>
      </c>
      <c r="C65" s="389"/>
      <c r="D65" s="393">
        <f>'Multiple Valuation'!H11</f>
        <v>15.98</v>
      </c>
      <c r="E65" s="402" t="str">
        <f ca="1">_xlfn.FORMULATEXT(D65)</f>
        <v>='Multiple Valuation'!H11</v>
      </c>
    </row>
    <row r="69" spans="2:6" ht="18">
      <c r="B69" s="404" t="s">
        <v>522</v>
      </c>
      <c r="C69" s="389"/>
      <c r="D69" s="389"/>
      <c r="E69" s="389"/>
      <c r="F69" s="389"/>
    </row>
    <row r="70" spans="2:6">
      <c r="B70" s="389"/>
      <c r="C70" s="389"/>
      <c r="D70" s="389"/>
      <c r="E70" s="389"/>
      <c r="F70" s="389"/>
    </row>
    <row r="71" spans="2:6" ht="18">
      <c r="B71" s="387" t="s">
        <v>521</v>
      </c>
      <c r="C71" s="389"/>
      <c r="D71" s="389"/>
      <c r="E71" s="405" t="s">
        <v>504</v>
      </c>
      <c r="F71" s="406" t="s">
        <v>503</v>
      </c>
    </row>
    <row r="72" spans="2:6">
      <c r="B72" s="389" t="s">
        <v>520</v>
      </c>
      <c r="C72" s="389"/>
      <c r="D72" s="389"/>
      <c r="E72" s="407">
        <f>E9</f>
        <v>2.1008136282735825</v>
      </c>
      <c r="F72" s="58">
        <v>1.91</v>
      </c>
    </row>
    <row r="73" spans="2:6">
      <c r="B73" s="389" t="s">
        <v>519</v>
      </c>
      <c r="C73" s="389"/>
      <c r="D73" s="389"/>
      <c r="E73" s="407">
        <f>E11</f>
        <v>1.386092041698449</v>
      </c>
      <c r="F73" s="58">
        <v>1.21</v>
      </c>
    </row>
    <row r="74" spans="2:6">
      <c r="B74" s="389" t="s">
        <v>518</v>
      </c>
      <c r="C74" s="389"/>
      <c r="D74" s="389"/>
      <c r="E74" s="407">
        <f>E13</f>
        <v>0.86837748344370858</v>
      </c>
      <c r="F74" s="58">
        <v>0.53</v>
      </c>
    </row>
    <row r="75" spans="2:6">
      <c r="B75" s="389"/>
      <c r="C75" s="389"/>
      <c r="D75" s="389"/>
      <c r="E75" s="408"/>
    </row>
    <row r="76" spans="2:6" ht="18">
      <c r="B76" s="387" t="s">
        <v>517</v>
      </c>
      <c r="C76" s="389"/>
      <c r="D76" s="389"/>
      <c r="E76" s="405" t="s">
        <v>504</v>
      </c>
      <c r="F76" s="406" t="s">
        <v>503</v>
      </c>
    </row>
    <row r="77" spans="2:6">
      <c r="B77" s="389" t="s">
        <v>516</v>
      </c>
      <c r="C77" s="389"/>
      <c r="D77" s="389"/>
      <c r="E77" s="379">
        <f>E19</f>
        <v>0.61883880760635834</v>
      </c>
    </row>
    <row r="78" spans="2:6">
      <c r="B78" s="389" t="s">
        <v>515</v>
      </c>
      <c r="C78" s="389"/>
      <c r="D78" s="389"/>
      <c r="E78" s="379">
        <f>E21</f>
        <v>1.6235619469026548</v>
      </c>
    </row>
    <row r="79" spans="2:6">
      <c r="B79" s="389" t="s">
        <v>514</v>
      </c>
      <c r="C79" s="389"/>
      <c r="D79" s="389"/>
      <c r="E79" s="409">
        <f>E23</f>
        <v>2.623561946902655</v>
      </c>
    </row>
    <row r="80" spans="2:6">
      <c r="B80" s="389" t="s">
        <v>513</v>
      </c>
      <c r="C80" s="389"/>
      <c r="D80" s="389"/>
      <c r="E80" s="409">
        <f>E25</f>
        <v>38.096774193548384</v>
      </c>
    </row>
    <row r="81" spans="2:6">
      <c r="B81" s="389" t="s">
        <v>512</v>
      </c>
      <c r="C81" s="389"/>
      <c r="D81" s="389"/>
      <c r="E81" s="409">
        <f>E27</f>
        <v>310.86666666666667</v>
      </c>
    </row>
    <row r="82" spans="2:6">
      <c r="B82" s="389"/>
      <c r="C82" s="389"/>
      <c r="D82" s="389"/>
    </row>
    <row r="83" spans="2:6" ht="18">
      <c r="B83" s="387" t="s">
        <v>511</v>
      </c>
      <c r="C83" s="389"/>
      <c r="D83" s="389"/>
      <c r="E83" s="405" t="s">
        <v>504</v>
      </c>
      <c r="F83" s="406" t="s">
        <v>503</v>
      </c>
    </row>
    <row r="84" spans="2:6">
      <c r="B84" s="389" t="s">
        <v>510</v>
      </c>
      <c r="C84" s="389"/>
      <c r="D84" s="389"/>
      <c r="E84" s="407">
        <f>E32</f>
        <v>3.9871359000275661</v>
      </c>
      <c r="F84" s="58">
        <v>3.38</v>
      </c>
    </row>
    <row r="85" spans="2:6">
      <c r="B85" s="389" t="s">
        <v>509</v>
      </c>
      <c r="C85" s="389"/>
      <c r="D85" s="389"/>
      <c r="E85" s="407">
        <f>E34</f>
        <v>91.544409107669608</v>
      </c>
      <c r="F85" s="58">
        <v>117.1</v>
      </c>
    </row>
    <row r="86" spans="2:6">
      <c r="B86" s="389" t="s">
        <v>508</v>
      </c>
      <c r="C86" s="389"/>
      <c r="D86" s="389"/>
      <c r="E86" s="407">
        <f>E36</f>
        <v>10.070012870012871</v>
      </c>
      <c r="F86" s="58">
        <v>22.3</v>
      </c>
    </row>
    <row r="87" spans="2:6">
      <c r="B87" s="389" t="s">
        <v>507</v>
      </c>
      <c r="C87" s="389"/>
      <c r="D87" s="389"/>
      <c r="E87" s="407">
        <f>E38</f>
        <v>36.246229742855682</v>
      </c>
      <c r="F87" s="58">
        <v>52.9</v>
      </c>
    </row>
    <row r="88" spans="2:6">
      <c r="B88" s="389" t="s">
        <v>506</v>
      </c>
      <c r="C88" s="389"/>
      <c r="D88" s="389"/>
      <c r="E88" s="407">
        <f>E40</f>
        <v>1.6916524333556742</v>
      </c>
      <c r="F88" s="58">
        <v>1.22</v>
      </c>
    </row>
    <row r="89" spans="2:6">
      <c r="B89" s="389"/>
      <c r="C89" s="389"/>
      <c r="D89" s="389"/>
    </row>
    <row r="90" spans="2:6" ht="18">
      <c r="B90" s="387" t="s">
        <v>505</v>
      </c>
      <c r="C90" s="389"/>
      <c r="D90" s="389"/>
      <c r="E90" s="405" t="s">
        <v>504</v>
      </c>
      <c r="F90" s="406" t="s">
        <v>503</v>
      </c>
    </row>
    <row r="91" spans="2:6">
      <c r="B91" s="389" t="str">
        <f>B44</f>
        <v xml:space="preserve">Operating Margin </v>
      </c>
      <c r="C91" s="389"/>
      <c r="D91" s="389"/>
      <c r="E91" s="410">
        <f>E44</f>
        <v>0.12075047287970962</v>
      </c>
      <c r="F91" s="375"/>
    </row>
    <row r="92" spans="2:6">
      <c r="B92" s="389" t="str">
        <f>B46</f>
        <v xml:space="preserve">Net Margin </v>
      </c>
      <c r="C92" s="389"/>
      <c r="D92" s="389"/>
      <c r="E92" s="410">
        <f>E46</f>
        <v>0.10298553243699198</v>
      </c>
      <c r="F92" s="375">
        <v>0.08</v>
      </c>
    </row>
    <row r="93" spans="2:6">
      <c r="B93" s="389" t="str">
        <f>B48</f>
        <v xml:space="preserve">Return on Assets (ROA) </v>
      </c>
      <c r="C93" s="389"/>
      <c r="D93" s="389"/>
      <c r="E93" s="410">
        <f>E48</f>
        <v>0.1742157265474672</v>
      </c>
      <c r="F93" s="411">
        <v>0.105</v>
      </c>
    </row>
    <row r="94" spans="2:6">
      <c r="B94" s="58" t="str">
        <f>B50</f>
        <v xml:space="preserve">Return on Equity (ROE) </v>
      </c>
      <c r="E94" s="410">
        <f>E50</f>
        <v>0.42743475493316357</v>
      </c>
      <c r="F94" s="367">
        <v>0.23799999999999999</v>
      </c>
    </row>
  </sheetData>
  <hyperlinks>
    <hyperlink ref="B1" location="Menu!A1" display="MENU" xr:uid="{820CBF1E-9A71-4291-9ADF-B7892E8C23D6}"/>
  </hyperlink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DE0212-2C91-4290-8C94-93C0E97B76AB}">
  <dimension ref="A1:G61"/>
  <sheetViews>
    <sheetView showGridLines="0" topLeftCell="A38" workbookViewId="0">
      <selection activeCell="A10" sqref="A10"/>
    </sheetView>
  </sheetViews>
  <sheetFormatPr baseColWidth="10" defaultColWidth="9.1640625" defaultRowHeight="15"/>
  <cols>
    <col min="1" max="1" width="9.1640625" style="58"/>
    <col min="2" max="2" width="25.33203125" style="58" customWidth="1"/>
    <col min="3" max="3" width="19.5" style="58" customWidth="1"/>
    <col min="4" max="16384" width="9.1640625" style="58"/>
  </cols>
  <sheetData>
    <row r="1" spans="1:7" s="75" customFormat="1" ht="19">
      <c r="C1" s="76" t="s">
        <v>268</v>
      </c>
    </row>
    <row r="2" spans="1:7" s="75" customFormat="1">
      <c r="C2" s="77" t="s">
        <v>468</v>
      </c>
    </row>
    <row r="3" spans="1:7" s="75" customFormat="1">
      <c r="C3" s="77" t="s">
        <v>566</v>
      </c>
    </row>
    <row r="4" spans="1:7" s="75" customFormat="1"/>
    <row r="5" spans="1:7" ht="13.5" customHeight="1"/>
    <row r="6" spans="1:7" ht="16" thickBot="1"/>
    <row r="7" spans="1:7" ht="16" thickBot="1">
      <c r="A7" s="58" t="s">
        <v>17</v>
      </c>
      <c r="B7" s="58" t="s">
        <v>167</v>
      </c>
      <c r="C7" s="176"/>
      <c r="D7" s="236"/>
      <c r="E7" s="235">
        <v>2017</v>
      </c>
      <c r="F7" s="203">
        <v>2018</v>
      </c>
      <c r="G7" s="236">
        <v>2019</v>
      </c>
    </row>
    <row r="8" spans="1:7">
      <c r="C8" s="455" t="s">
        <v>324</v>
      </c>
      <c r="D8" s="456"/>
      <c r="E8" s="202">
        <f>E26/E16</f>
        <v>0.12378116424359199</v>
      </c>
      <c r="F8" s="122">
        <f>F26/F16</f>
        <v>5.3158430272529769E-2</v>
      </c>
      <c r="G8" s="201">
        <f>G26/G16</f>
        <v>0.10298553243699198</v>
      </c>
    </row>
    <row r="9" spans="1:7">
      <c r="C9" s="455" t="s">
        <v>323</v>
      </c>
      <c r="D9" s="456"/>
      <c r="E9" s="200">
        <f>E16/((E41+D41)/2)</f>
        <v>1.5217574801750373</v>
      </c>
      <c r="F9" s="199">
        <f>F16/((F41+E41)/2)</f>
        <v>1.5880773010153948</v>
      </c>
      <c r="G9" s="198">
        <f>G16/((G41+F41)/2)</f>
        <v>1.6916524333556742</v>
      </c>
    </row>
    <row r="10" spans="1:7" ht="16" thickBot="1">
      <c r="C10" s="457" t="s">
        <v>322</v>
      </c>
      <c r="D10" s="458"/>
      <c r="E10" s="197">
        <f>((E41+D41)/2)/((E59+D59)/2)</f>
        <v>1.8252179201297385</v>
      </c>
      <c r="F10" s="133">
        <f>((F41+E41)/2)/((F59+E59)/2)</f>
        <v>2.0610738557090778</v>
      </c>
      <c r="G10" s="196">
        <f>((G41+F41)/2)/((G59+F59)/2)</f>
        <v>2.453479736897942</v>
      </c>
    </row>
    <row r="11" spans="1:7" ht="16" thickBot="1">
      <c r="C11" s="459" t="s">
        <v>321</v>
      </c>
      <c r="D11" s="460"/>
      <c r="E11" s="195">
        <f>E8*E9*E10</f>
        <v>0.34380701398743163</v>
      </c>
      <c r="F11" s="195">
        <f>F8*F9*F10</f>
        <v>0.1739952293082497</v>
      </c>
      <c r="G11" s="195">
        <f>G8*G9*G10</f>
        <v>0.42743475493316363</v>
      </c>
    </row>
    <row r="13" spans="1:7" ht="16" thickBot="1"/>
    <row r="14" spans="1:7" ht="16" thickBot="1">
      <c r="B14" s="452" t="s">
        <v>320</v>
      </c>
      <c r="C14" s="453"/>
      <c r="D14" s="453"/>
      <c r="E14" s="453"/>
      <c r="F14" s="453"/>
      <c r="G14" s="454"/>
    </row>
    <row r="15" spans="1:7" ht="16" thickBot="1">
      <c r="B15" s="176" t="s">
        <v>1</v>
      </c>
      <c r="C15" s="177" t="s">
        <v>20</v>
      </c>
      <c r="D15" s="175">
        <v>2015</v>
      </c>
      <c r="E15" s="175">
        <v>2016</v>
      </c>
      <c r="F15" s="175">
        <v>2017</v>
      </c>
      <c r="G15" s="174">
        <v>2018</v>
      </c>
    </row>
    <row r="16" spans="1:7">
      <c r="B16" s="173" t="s">
        <v>3</v>
      </c>
      <c r="C16" s="191" t="s">
        <v>21</v>
      </c>
      <c r="D16" s="194">
        <v>32464</v>
      </c>
      <c r="E16" s="194">
        <v>34254</v>
      </c>
      <c r="F16" s="194">
        <v>36363</v>
      </c>
      <c r="G16" s="193">
        <v>39122</v>
      </c>
    </row>
    <row r="17" spans="2:7" ht="16" thickBot="1">
      <c r="B17" s="190" t="s">
        <v>4</v>
      </c>
      <c r="C17" s="189" t="s">
        <v>21</v>
      </c>
      <c r="D17" s="187">
        <v>17991</v>
      </c>
      <c r="E17" s="187">
        <v>19377</v>
      </c>
      <c r="F17" s="187">
        <v>20351</v>
      </c>
      <c r="G17" s="192">
        <v>21696</v>
      </c>
    </row>
    <row r="18" spans="2:7">
      <c r="B18" s="185" t="s">
        <v>22</v>
      </c>
      <c r="C18" s="184" t="s">
        <v>21</v>
      </c>
      <c r="D18" s="183">
        <v>14473</v>
      </c>
      <c r="E18" s="183">
        <v>14877</v>
      </c>
      <c r="F18" s="183">
        <v>16012</v>
      </c>
      <c r="G18" s="182">
        <v>17426</v>
      </c>
    </row>
    <row r="19" spans="2:7" ht="16" thickBot="1">
      <c r="B19" s="190" t="s">
        <v>23</v>
      </c>
      <c r="C19" s="189" t="s">
        <v>21</v>
      </c>
      <c r="D19" s="187">
        <v>10469</v>
      </c>
      <c r="E19" s="187">
        <v>10563</v>
      </c>
      <c r="F19" s="187">
        <v>11512</v>
      </c>
      <c r="G19" s="192">
        <v>12702</v>
      </c>
    </row>
    <row r="20" spans="2:7">
      <c r="B20" s="185" t="s">
        <v>24</v>
      </c>
      <c r="C20" s="184" t="s">
        <v>21</v>
      </c>
      <c r="D20" s="183">
        <v>4004</v>
      </c>
      <c r="E20" s="183">
        <v>4314</v>
      </c>
      <c r="F20" s="183">
        <v>4500</v>
      </c>
      <c r="G20" s="182">
        <v>4724</v>
      </c>
    </row>
    <row r="21" spans="2:7">
      <c r="B21" s="173" t="s">
        <v>25</v>
      </c>
      <c r="C21" s="191" t="s">
        <v>21</v>
      </c>
      <c r="D21" s="78">
        <v>720</v>
      </c>
      <c r="E21" s="78">
        <v>700</v>
      </c>
      <c r="F21" s="78">
        <v>3</v>
      </c>
      <c r="G21" s="172">
        <v>28</v>
      </c>
    </row>
    <row r="22" spans="2:7">
      <c r="B22" s="173" t="s">
        <v>26</v>
      </c>
      <c r="C22" s="191" t="s">
        <v>21</v>
      </c>
      <c r="D22" s="78">
        <v>33</v>
      </c>
      <c r="E22" s="78">
        <v>82</v>
      </c>
      <c r="F22" s="78">
        <v>117</v>
      </c>
      <c r="G22" s="172">
        <v>124</v>
      </c>
    </row>
    <row r="23" spans="2:7">
      <c r="B23" s="173" t="s">
        <v>27</v>
      </c>
      <c r="C23" s="191" t="s">
        <v>21</v>
      </c>
      <c r="D23" s="78">
        <v>68</v>
      </c>
      <c r="E23" s="78">
        <v>46</v>
      </c>
      <c r="F23" s="78">
        <v>61</v>
      </c>
      <c r="G23" s="172">
        <v>-173</v>
      </c>
    </row>
    <row r="24" spans="2:7" ht="16" thickBot="1">
      <c r="B24" s="190" t="s">
        <v>28</v>
      </c>
      <c r="C24" s="189" t="s">
        <v>21</v>
      </c>
      <c r="D24" s="188">
        <v>863</v>
      </c>
      <c r="E24" s="188">
        <v>646</v>
      </c>
      <c r="F24" s="187">
        <v>2392</v>
      </c>
      <c r="G24" s="186">
        <v>772</v>
      </c>
    </row>
    <row r="25" spans="2:7">
      <c r="B25" s="185" t="s">
        <v>29</v>
      </c>
      <c r="C25" s="184" t="s">
        <v>21</v>
      </c>
      <c r="D25" s="183">
        <v>3760</v>
      </c>
      <c r="E25" s="183">
        <v>4240</v>
      </c>
      <c r="F25" s="183">
        <v>1933</v>
      </c>
      <c r="G25" s="182">
        <v>4029</v>
      </c>
    </row>
    <row r="26" spans="2:7" ht="16" thickBot="1">
      <c r="B26" s="181" t="s">
        <v>30</v>
      </c>
      <c r="C26" s="180" t="s">
        <v>21</v>
      </c>
      <c r="D26" s="179">
        <v>3760</v>
      </c>
      <c r="E26" s="179">
        <v>4240</v>
      </c>
      <c r="F26" s="179">
        <v>1933</v>
      </c>
      <c r="G26" s="178">
        <v>4029</v>
      </c>
    </row>
    <row r="27" spans="2:7" ht="17" thickTop="1" thickBot="1"/>
    <row r="28" spans="2:7" ht="16" thickBot="1">
      <c r="B28" s="452" t="s">
        <v>319</v>
      </c>
      <c r="C28" s="453"/>
      <c r="D28" s="453"/>
      <c r="E28" s="453"/>
      <c r="F28" s="453"/>
      <c r="G28" s="454"/>
    </row>
    <row r="29" spans="2:7" ht="16" thickBot="1">
      <c r="B29" s="176" t="s">
        <v>41</v>
      </c>
      <c r="C29" s="177" t="s">
        <v>20</v>
      </c>
      <c r="D29" s="175">
        <v>2015</v>
      </c>
      <c r="E29" s="175">
        <v>2016</v>
      </c>
      <c r="F29" s="175">
        <v>2017</v>
      </c>
      <c r="G29" s="174">
        <v>2018</v>
      </c>
    </row>
    <row r="30" spans="2:7">
      <c r="B30" s="173" t="s">
        <v>42</v>
      </c>
      <c r="C30" s="78" t="s">
        <v>21</v>
      </c>
      <c r="D30" s="78">
        <v>3138</v>
      </c>
      <c r="E30" s="78">
        <v>3808</v>
      </c>
      <c r="F30" s="78">
        <v>4249</v>
      </c>
      <c r="G30" s="172">
        <v>4466</v>
      </c>
    </row>
    <row r="31" spans="2:7">
      <c r="B31" s="173" t="s">
        <v>43</v>
      </c>
      <c r="C31" s="78" t="s">
        <v>21</v>
      </c>
      <c r="D31" s="78">
        <v>5457</v>
      </c>
      <c r="E31" s="78">
        <v>6179</v>
      </c>
      <c r="F31" s="78">
        <v>5245</v>
      </c>
      <c r="G31" s="172">
        <v>4663</v>
      </c>
    </row>
    <row r="32" spans="2:7">
      <c r="B32" s="173" t="s">
        <v>44</v>
      </c>
      <c r="C32" s="78" t="s">
        <v>21</v>
      </c>
      <c r="D32" s="78">
        <v>3391</v>
      </c>
      <c r="E32" s="78">
        <v>3677</v>
      </c>
      <c r="F32" s="78">
        <v>3498</v>
      </c>
      <c r="G32" s="172">
        <v>4272</v>
      </c>
    </row>
    <row r="33" spans="2:7">
      <c r="B33" s="173" t="s">
        <v>45</v>
      </c>
      <c r="C33" s="78" t="s">
        <v>21</v>
      </c>
      <c r="D33" s="78">
        <v>4838</v>
      </c>
      <c r="E33" s="78">
        <v>5055</v>
      </c>
      <c r="F33" s="78">
        <v>5261</v>
      </c>
      <c r="G33" s="172">
        <v>5622</v>
      </c>
    </row>
    <row r="34" spans="2:7">
      <c r="B34" s="171" t="s">
        <v>46</v>
      </c>
      <c r="C34" s="121" t="s">
        <v>21</v>
      </c>
      <c r="D34" s="121">
        <v>1339</v>
      </c>
      <c r="E34" s="121">
        <v>1150</v>
      </c>
      <c r="F34" s="121">
        <v>1130</v>
      </c>
      <c r="G34" s="170">
        <v>1968</v>
      </c>
    </row>
    <row r="35" spans="2:7" ht="16" thickBot="1">
      <c r="B35" s="169" t="s">
        <v>47</v>
      </c>
      <c r="C35" s="168" t="s">
        <v>21</v>
      </c>
      <c r="D35" s="168">
        <v>15025</v>
      </c>
      <c r="E35" s="168">
        <v>16061</v>
      </c>
      <c r="F35" s="168">
        <v>15134</v>
      </c>
      <c r="G35" s="167">
        <v>16525</v>
      </c>
    </row>
    <row r="36" spans="2:7">
      <c r="B36" s="173" t="s">
        <v>48</v>
      </c>
      <c r="C36" s="78" t="s">
        <v>21</v>
      </c>
      <c r="D36" s="78">
        <v>3520</v>
      </c>
      <c r="E36" s="78">
        <v>3989</v>
      </c>
      <c r="F36" s="78">
        <v>4454</v>
      </c>
      <c r="G36" s="172">
        <v>4744</v>
      </c>
    </row>
    <row r="37" spans="2:7">
      <c r="B37" s="173" t="s">
        <v>49</v>
      </c>
      <c r="C37" s="78" t="s">
        <v>21</v>
      </c>
      <c r="D37" s="78">
        <v>10</v>
      </c>
      <c r="E37" s="78">
        <v>10</v>
      </c>
      <c r="F37" s="78">
        <v>11</v>
      </c>
      <c r="G37" s="172">
        <v>11</v>
      </c>
    </row>
    <row r="38" spans="2:7">
      <c r="B38" s="173" t="s">
        <v>50</v>
      </c>
      <c r="C38" s="78" t="s">
        <v>21</v>
      </c>
      <c r="D38" s="78">
        <v>412</v>
      </c>
      <c r="E38" s="78">
        <v>422</v>
      </c>
      <c r="F38" s="78">
        <v>439</v>
      </c>
      <c r="G38" s="172">
        <v>437</v>
      </c>
    </row>
    <row r="39" spans="2:7">
      <c r="B39" s="173" t="s">
        <v>51</v>
      </c>
      <c r="C39" s="78" t="s">
        <v>21</v>
      </c>
      <c r="D39" s="78">
        <v>1076</v>
      </c>
      <c r="E39" s="78" t="s">
        <v>52</v>
      </c>
      <c r="F39" s="78" t="s">
        <v>52</v>
      </c>
      <c r="G39" s="172" t="s">
        <v>52</v>
      </c>
    </row>
    <row r="40" spans="2:7">
      <c r="B40" s="171" t="s">
        <v>53</v>
      </c>
      <c r="C40" s="121" t="s">
        <v>21</v>
      </c>
      <c r="D40" s="121">
        <v>1717</v>
      </c>
      <c r="E40" s="121">
        <v>2777</v>
      </c>
      <c r="F40" s="121">
        <v>2498</v>
      </c>
      <c r="G40" s="170">
        <v>2000</v>
      </c>
    </row>
    <row r="41" spans="2:7" ht="16" thickBot="1">
      <c r="B41" s="169" t="s">
        <v>54</v>
      </c>
      <c r="C41" s="168" t="s">
        <v>21</v>
      </c>
      <c r="D41" s="168">
        <v>21760</v>
      </c>
      <c r="E41" s="168">
        <v>23259</v>
      </c>
      <c r="F41" s="168">
        <v>22536</v>
      </c>
      <c r="G41" s="167">
        <v>23717</v>
      </c>
    </row>
    <row r="42" spans="2:7" ht="16" thickBot="1">
      <c r="B42" s="384"/>
      <c r="G42" s="385"/>
    </row>
    <row r="43" spans="2:7" ht="16" thickBot="1">
      <c r="B43" s="176" t="s">
        <v>318</v>
      </c>
      <c r="C43" s="175"/>
      <c r="D43" s="175"/>
      <c r="E43" s="175"/>
      <c r="F43" s="175"/>
      <c r="G43" s="174"/>
    </row>
    <row r="44" spans="2:7">
      <c r="B44" s="173" t="s">
        <v>56</v>
      </c>
      <c r="C44" s="78" t="s">
        <v>21</v>
      </c>
      <c r="D44" s="78">
        <v>45</v>
      </c>
      <c r="E44" s="78">
        <v>331</v>
      </c>
      <c r="F44" s="78">
        <v>342</v>
      </c>
      <c r="G44" s="172">
        <v>15</v>
      </c>
    </row>
    <row r="45" spans="2:7">
      <c r="B45" s="173" t="s">
        <v>57</v>
      </c>
      <c r="C45" s="78" t="s">
        <v>21</v>
      </c>
      <c r="D45" s="78">
        <v>2191</v>
      </c>
      <c r="E45" s="78">
        <v>2048</v>
      </c>
      <c r="F45" s="78">
        <v>2279</v>
      </c>
      <c r="G45" s="172">
        <v>2612</v>
      </c>
    </row>
    <row r="46" spans="2:7">
      <c r="B46" s="173" t="s">
        <v>58</v>
      </c>
      <c r="C46" s="78" t="s">
        <v>21</v>
      </c>
      <c r="D46" s="78">
        <v>85</v>
      </c>
      <c r="E46" s="78">
        <v>84</v>
      </c>
      <c r="F46" s="78">
        <v>150</v>
      </c>
      <c r="G46" s="172">
        <v>229</v>
      </c>
    </row>
    <row r="47" spans="2:7">
      <c r="B47" s="171" t="s">
        <v>59</v>
      </c>
      <c r="C47" s="121" t="s">
        <v>21</v>
      </c>
      <c r="D47" s="121">
        <v>3037</v>
      </c>
      <c r="E47" s="121">
        <v>3011</v>
      </c>
      <c r="F47" s="121">
        <v>3269</v>
      </c>
      <c r="G47" s="170">
        <v>5010</v>
      </c>
    </row>
    <row r="48" spans="2:7" ht="16" thickBot="1">
      <c r="B48" s="169" t="s">
        <v>60</v>
      </c>
      <c r="C48" s="168"/>
      <c r="D48" s="168">
        <v>5358</v>
      </c>
      <c r="E48" s="168">
        <v>5474</v>
      </c>
      <c r="F48" s="168">
        <v>6040</v>
      </c>
      <c r="G48" s="167">
        <v>7866</v>
      </c>
    </row>
    <row r="49" spans="2:7">
      <c r="B49" s="384"/>
      <c r="G49" s="385"/>
    </row>
    <row r="50" spans="2:7">
      <c r="B50" s="173" t="s">
        <v>61</v>
      </c>
      <c r="C50" s="78" t="s">
        <v>21</v>
      </c>
      <c r="D50" s="78">
        <v>2010</v>
      </c>
      <c r="E50" s="78">
        <v>3471</v>
      </c>
      <c r="F50" s="78">
        <v>3468</v>
      </c>
      <c r="G50" s="172">
        <v>3464</v>
      </c>
    </row>
    <row r="51" spans="2:7">
      <c r="B51" s="173" t="s">
        <v>62</v>
      </c>
      <c r="C51" s="78" t="s">
        <v>21</v>
      </c>
      <c r="D51" s="78">
        <v>93</v>
      </c>
      <c r="E51" s="78">
        <v>107</v>
      </c>
      <c r="F51" s="78">
        <v>70</v>
      </c>
      <c r="G51" s="172">
        <v>73</v>
      </c>
    </row>
    <row r="52" spans="2:7">
      <c r="B52" s="173" t="s">
        <v>63</v>
      </c>
      <c r="C52" s="78" t="s">
        <v>21</v>
      </c>
      <c r="D52" s="78">
        <v>364</v>
      </c>
      <c r="E52" s="78" t="s">
        <v>52</v>
      </c>
      <c r="F52" s="78" t="s">
        <v>52</v>
      </c>
      <c r="G52" s="172" t="s">
        <v>52</v>
      </c>
    </row>
    <row r="53" spans="2:7">
      <c r="B53" s="171" t="s">
        <v>64</v>
      </c>
      <c r="C53" s="121" t="s">
        <v>21</v>
      </c>
      <c r="D53" s="121">
        <v>1677</v>
      </c>
      <c r="E53" s="121">
        <v>1800</v>
      </c>
      <c r="F53" s="121">
        <v>3146</v>
      </c>
      <c r="G53" s="170">
        <v>3274</v>
      </c>
    </row>
    <row r="54" spans="2:7" ht="16" thickBot="1">
      <c r="B54" s="169" t="s">
        <v>65</v>
      </c>
      <c r="C54" s="168" t="s">
        <v>21</v>
      </c>
      <c r="D54" s="168">
        <v>9502</v>
      </c>
      <c r="E54" s="168">
        <v>10852</v>
      </c>
      <c r="F54" s="168">
        <v>12724</v>
      </c>
      <c r="G54" s="167">
        <v>14677</v>
      </c>
    </row>
    <row r="55" spans="2:7" ht="16" thickBot="1">
      <c r="B55" s="384"/>
      <c r="G55" s="385"/>
    </row>
    <row r="56" spans="2:7" ht="16" thickBot="1">
      <c r="B56" s="176" t="s">
        <v>317</v>
      </c>
      <c r="C56" s="175"/>
      <c r="D56" s="175"/>
      <c r="E56" s="175"/>
      <c r="F56" s="175"/>
      <c r="G56" s="174"/>
    </row>
    <row r="57" spans="2:7">
      <c r="B57" s="173" t="s">
        <v>66</v>
      </c>
      <c r="C57" s="78"/>
      <c r="D57" s="78">
        <v>0</v>
      </c>
      <c r="E57" s="78">
        <v>0</v>
      </c>
      <c r="F57" s="78">
        <v>0</v>
      </c>
      <c r="G57" s="172">
        <v>0</v>
      </c>
    </row>
    <row r="58" spans="2:7">
      <c r="B58" s="173" t="s">
        <v>67</v>
      </c>
      <c r="C58" s="78" t="s">
        <v>21</v>
      </c>
      <c r="D58" s="78">
        <v>12258</v>
      </c>
      <c r="E58" s="78">
        <v>12407</v>
      </c>
      <c r="F58" s="78">
        <v>9812</v>
      </c>
      <c r="G58" s="172">
        <v>9040</v>
      </c>
    </row>
    <row r="59" spans="2:7">
      <c r="B59" s="171" t="s">
        <v>68</v>
      </c>
      <c r="C59" s="121" t="s">
        <v>21</v>
      </c>
      <c r="D59" s="121">
        <v>12258</v>
      </c>
      <c r="E59" s="121">
        <v>12407</v>
      </c>
      <c r="F59" s="121">
        <v>9812</v>
      </c>
      <c r="G59" s="170">
        <v>9040</v>
      </c>
    </row>
    <row r="60" spans="2:7" ht="16" thickBot="1">
      <c r="B60" s="169" t="s">
        <v>69</v>
      </c>
      <c r="C60" s="168" t="s">
        <v>21</v>
      </c>
      <c r="D60" s="168">
        <v>12258</v>
      </c>
      <c r="E60" s="168">
        <v>12407</v>
      </c>
      <c r="F60" s="168">
        <v>9812</v>
      </c>
      <c r="G60" s="167">
        <v>9040</v>
      </c>
    </row>
    <row r="61" spans="2:7" ht="16" thickBot="1">
      <c r="B61" s="169" t="s">
        <v>70</v>
      </c>
      <c r="C61" s="168" t="s">
        <v>21</v>
      </c>
      <c r="D61" s="168">
        <v>21760</v>
      </c>
      <c r="E61" s="168">
        <v>23259</v>
      </c>
      <c r="F61" s="168">
        <v>22536</v>
      </c>
      <c r="G61" s="167">
        <v>23717</v>
      </c>
    </row>
  </sheetData>
  <mergeCells count="6">
    <mergeCell ref="B28:G28"/>
    <mergeCell ref="C8:D8"/>
    <mergeCell ref="C9:D9"/>
    <mergeCell ref="C10:D10"/>
    <mergeCell ref="C11:D11"/>
    <mergeCell ref="B14:G14"/>
  </mergeCells>
  <hyperlinks>
    <hyperlink ref="C1" location="Menu!A1" display="MENU" xr:uid="{7AE1E8E2-E62C-4B85-BD70-4ECED26EFC3C}"/>
  </hyperlink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629D00-D34F-456D-8090-902336DC22DC}">
  <dimension ref="B1:Y36"/>
  <sheetViews>
    <sheetView showGridLines="0" topLeftCell="A3" workbookViewId="0">
      <selection activeCell="J33" sqref="J32:J33"/>
    </sheetView>
  </sheetViews>
  <sheetFormatPr baseColWidth="10" defaultColWidth="9.1640625" defaultRowHeight="15"/>
  <cols>
    <col min="1" max="1" width="9.1640625" style="58"/>
    <col min="2" max="2" width="19.5" style="58" bestFit="1" customWidth="1"/>
    <col min="3" max="3" width="9.1640625" style="58"/>
    <col min="4" max="4" width="11.83203125" style="58" customWidth="1"/>
    <col min="5" max="5" width="15.6640625" style="58" customWidth="1"/>
    <col min="6" max="6" width="10.5" style="58" customWidth="1"/>
    <col min="7" max="7" width="11.5" style="58" customWidth="1"/>
    <col min="8" max="8" width="10.1640625" style="58" customWidth="1"/>
    <col min="9" max="16384" width="9.1640625" style="58"/>
  </cols>
  <sheetData>
    <row r="1" spans="2:25" s="75" customFormat="1" ht="19">
      <c r="C1" s="76" t="s">
        <v>268</v>
      </c>
    </row>
    <row r="2" spans="2:25" s="75" customFormat="1">
      <c r="C2" s="77" t="s">
        <v>466</v>
      </c>
    </row>
    <row r="3" spans="2:25" s="75" customFormat="1">
      <c r="C3" s="77" t="s">
        <v>269</v>
      </c>
      <c r="D3" s="75" t="s">
        <v>557</v>
      </c>
    </row>
    <row r="4" spans="2:25" s="75" customFormat="1"/>
    <row r="9" spans="2:25" ht="32">
      <c r="B9" s="138"/>
      <c r="C9" s="136"/>
      <c r="D9" s="281"/>
      <c r="E9" s="303" t="s">
        <v>558</v>
      </c>
      <c r="F9" s="281"/>
      <c r="G9" s="281"/>
      <c r="H9" s="293"/>
      <c r="J9" s="58" t="s">
        <v>17</v>
      </c>
      <c r="K9" s="58" t="s">
        <v>167</v>
      </c>
    </row>
    <row r="10" spans="2:25">
      <c r="B10" s="166" t="s">
        <v>316</v>
      </c>
      <c r="C10" s="165" t="s">
        <v>315</v>
      </c>
      <c r="D10" s="164" t="s">
        <v>314</v>
      </c>
      <c r="E10" s="164" t="s">
        <v>21</v>
      </c>
      <c r="F10" s="164" t="s">
        <v>282</v>
      </c>
      <c r="G10" s="164" t="s">
        <v>284</v>
      </c>
      <c r="H10" s="163" t="s">
        <v>283</v>
      </c>
    </row>
    <row r="11" spans="2:25">
      <c r="B11" s="126" t="s">
        <v>294</v>
      </c>
      <c r="C11" s="125" t="s">
        <v>202</v>
      </c>
      <c r="D11" s="304">
        <f>'Control Panel'!C55</f>
        <v>93.61</v>
      </c>
      <c r="E11" s="305">
        <f>'Control Panel'!C48</f>
        <v>144459.20000000001</v>
      </c>
      <c r="F11" s="306">
        <f>'Control Panel'!C48/'Financial Statement Information'!H44</f>
        <v>35.854852320675107</v>
      </c>
      <c r="G11" s="306">
        <f>('Control Panel'!C48-'Financial Statement Information'!H86+'Financial Statement Information'!H63)/'Financial Statement Information'!H53</f>
        <v>24.727979370049734</v>
      </c>
      <c r="H11" s="307">
        <f>'Control Panel'!C48/'Control Panel'!C33</f>
        <v>15.98</v>
      </c>
    </row>
    <row r="12" spans="2:25">
      <c r="B12" s="126" t="s">
        <v>313</v>
      </c>
      <c r="C12" s="125" t="s">
        <v>312</v>
      </c>
      <c r="D12" s="304">
        <v>294.89999999999998</v>
      </c>
      <c r="E12" s="308">
        <v>59102.9</v>
      </c>
      <c r="F12" s="309">
        <v>24.61</v>
      </c>
      <c r="G12" s="309">
        <v>15.19</v>
      </c>
      <c r="H12" s="310">
        <v>7.98</v>
      </c>
    </row>
    <row r="13" spans="2:25">
      <c r="B13" s="126" t="s">
        <v>311</v>
      </c>
      <c r="C13" s="125" t="s">
        <v>310</v>
      </c>
      <c r="D13" s="304">
        <v>72.760000000000005</v>
      </c>
      <c r="E13" s="308">
        <v>10973.4</v>
      </c>
      <c r="F13" s="309">
        <v>31.84</v>
      </c>
      <c r="G13" s="309" t="s">
        <v>297</v>
      </c>
      <c r="H13" s="310">
        <v>15.8</v>
      </c>
    </row>
    <row r="14" spans="2:25">
      <c r="B14" s="126" t="s">
        <v>309</v>
      </c>
      <c r="C14" s="125" t="s">
        <v>308</v>
      </c>
      <c r="D14" s="304">
        <v>18.170000000000002</v>
      </c>
      <c r="E14" s="308">
        <v>7819.6</v>
      </c>
      <c r="F14" s="309">
        <v>39.770000000000003</v>
      </c>
      <c r="G14" s="309">
        <v>23.3</v>
      </c>
      <c r="H14" s="310">
        <v>3.68</v>
      </c>
      <c r="Y14" s="58" t="s">
        <v>541</v>
      </c>
    </row>
    <row r="15" spans="2:25">
      <c r="B15" s="126" t="s">
        <v>307</v>
      </c>
      <c r="C15" s="125" t="s">
        <v>306</v>
      </c>
      <c r="D15" s="304">
        <v>200.74</v>
      </c>
      <c r="E15" s="308">
        <v>26201</v>
      </c>
      <c r="F15" s="309">
        <v>37.11</v>
      </c>
      <c r="G15" s="309">
        <v>28.91</v>
      </c>
      <c r="H15" s="310">
        <v>17.649999999999999</v>
      </c>
    </row>
    <row r="16" spans="2:25">
      <c r="B16" s="126" t="s">
        <v>305</v>
      </c>
      <c r="C16" s="125" t="s">
        <v>304</v>
      </c>
      <c r="D16" s="304">
        <v>86.11</v>
      </c>
      <c r="E16" s="308">
        <v>34390.1</v>
      </c>
      <c r="F16" s="309">
        <v>23.49</v>
      </c>
      <c r="G16" s="309">
        <v>17.420000000000002</v>
      </c>
      <c r="H16" s="310">
        <v>7.47</v>
      </c>
    </row>
    <row r="17" spans="2:8">
      <c r="B17" s="126" t="s">
        <v>303</v>
      </c>
      <c r="C17" s="125" t="s">
        <v>302</v>
      </c>
      <c r="D17" s="304">
        <v>38.82</v>
      </c>
      <c r="E17" s="308">
        <v>6085.7</v>
      </c>
      <c r="F17" s="309">
        <v>15.59</v>
      </c>
      <c r="G17" s="309">
        <v>11.53</v>
      </c>
      <c r="H17" s="310">
        <v>2.79</v>
      </c>
    </row>
    <row r="18" spans="2:8">
      <c r="B18" s="126" t="s">
        <v>301</v>
      </c>
      <c r="C18" s="125" t="s">
        <v>300</v>
      </c>
      <c r="D18" s="304">
        <v>15.24</v>
      </c>
      <c r="E18" s="308">
        <v>2892.7</v>
      </c>
      <c r="F18" s="309">
        <v>29.89</v>
      </c>
      <c r="G18" s="309" t="s">
        <v>297</v>
      </c>
      <c r="H18" s="310" t="s">
        <v>297</v>
      </c>
    </row>
    <row r="19" spans="2:8">
      <c r="B19" s="126" t="s">
        <v>299</v>
      </c>
      <c r="C19" s="125" t="s">
        <v>298</v>
      </c>
      <c r="D19" s="304">
        <v>3.3</v>
      </c>
      <c r="E19" s="308">
        <v>7631</v>
      </c>
      <c r="F19" s="309">
        <v>33.39</v>
      </c>
      <c r="G19" s="309">
        <v>28.89</v>
      </c>
      <c r="H19" s="310">
        <v>9.07</v>
      </c>
    </row>
    <row r="20" spans="2:8" ht="14.5" customHeight="1">
      <c r="B20" s="126" t="s">
        <v>296</v>
      </c>
      <c r="C20" s="125" t="s">
        <v>295</v>
      </c>
      <c r="D20" s="304">
        <v>15.89</v>
      </c>
      <c r="E20" s="308">
        <v>5747.4</v>
      </c>
      <c r="F20" s="309">
        <v>8.98</v>
      </c>
      <c r="G20" s="309">
        <v>9.0500000000000007</v>
      </c>
      <c r="H20" s="310">
        <v>4.66</v>
      </c>
    </row>
    <row r="21" spans="2:8" ht="15" customHeight="1">
      <c r="B21" s="142"/>
      <c r="C21" s="140"/>
      <c r="D21" s="162"/>
      <c r="E21" s="161"/>
      <c r="F21" s="140"/>
      <c r="G21" s="140"/>
      <c r="H21" s="139"/>
    </row>
    <row r="22" spans="2:8" ht="14.5" customHeight="1">
      <c r="B22" s="134" t="s">
        <v>292</v>
      </c>
      <c r="C22" s="133"/>
      <c r="D22" s="160">
        <f>MAX(D11:D20)</f>
        <v>294.89999999999998</v>
      </c>
      <c r="E22" s="159">
        <f>MAX(E11:E20)</f>
        <v>144459.20000000001</v>
      </c>
      <c r="F22" s="158">
        <f>MAX(F11:F20)</f>
        <v>39.770000000000003</v>
      </c>
      <c r="G22" s="158">
        <f>MAX(G11:G20)</f>
        <v>28.91</v>
      </c>
      <c r="H22" s="157">
        <f>MAX(H11:H20)</f>
        <v>17.649999999999999</v>
      </c>
    </row>
    <row r="23" spans="2:8" ht="16" thickBot="1">
      <c r="B23" s="126" t="s">
        <v>291</v>
      </c>
      <c r="C23" s="125"/>
      <c r="D23" s="117">
        <f>_xlfn.PERCENTILE.EXC(D11:D20,0.75)</f>
        <v>120.3925</v>
      </c>
      <c r="E23" s="118">
        <f>_xlfn.PERCENTILE.EXC(E11:E20,0.75)</f>
        <v>40568.300000000003</v>
      </c>
      <c r="F23" s="148">
        <f>_xlfn.PERCENTILE.EXC(F11:F20,0.75)</f>
        <v>36.16863924050633</v>
      </c>
      <c r="G23" s="148">
        <f>_xlfn.PERCENTILE.EXC(G11:G20,0.75)</f>
        <v>27.849494842512435</v>
      </c>
      <c r="H23" s="147">
        <f>_xlfn.PERCENTILE.EXC(H11:H20,0.75)</f>
        <v>15.89</v>
      </c>
    </row>
    <row r="24" spans="2:8">
      <c r="B24" s="130" t="s">
        <v>290</v>
      </c>
      <c r="C24" s="129"/>
      <c r="D24" s="156">
        <f>AVERAGE(D11:D20)</f>
        <v>83.954000000000008</v>
      </c>
      <c r="E24" s="155">
        <f>AVERAGE(E11:E20)</f>
        <v>30530.300000000007</v>
      </c>
      <c r="F24" s="154">
        <f>AVERAGE(F11:F20)</f>
        <v>28.052485232067518</v>
      </c>
      <c r="G24" s="154">
        <f>AVERAGE(G11:G20)</f>
        <v>19.877247421256218</v>
      </c>
      <c r="H24" s="153">
        <f>AVERAGE(H11:H20)</f>
        <v>9.4533333333333349</v>
      </c>
    </row>
    <row r="25" spans="2:8" ht="16" thickBot="1">
      <c r="B25" s="128" t="s">
        <v>289</v>
      </c>
      <c r="C25" s="127"/>
      <c r="D25" s="152">
        <f>MEDIAN(D11:D20)</f>
        <v>55.790000000000006</v>
      </c>
      <c r="E25" s="151">
        <f>MEDIAN(E11:E20)</f>
        <v>9396.5</v>
      </c>
      <c r="F25" s="150">
        <f>MEDIAN(F11:F20)</f>
        <v>30.865000000000002</v>
      </c>
      <c r="G25" s="150">
        <f>MEDIAN(G11:G20)</f>
        <v>20.36</v>
      </c>
      <c r="H25" s="149">
        <f>MEDIAN(H11:H20)</f>
        <v>7.98</v>
      </c>
    </row>
    <row r="26" spans="2:8">
      <c r="B26" s="126" t="s">
        <v>288</v>
      </c>
      <c r="C26" s="125"/>
      <c r="D26" s="117">
        <f>_xlfn.PERCENTILE.EXC(D11:D20,0.25)</f>
        <v>15.727500000000001</v>
      </c>
      <c r="E26" s="117">
        <f>_xlfn.PERCENTILE.EXC(E11:E20,0.25)</f>
        <v>6001.125</v>
      </c>
      <c r="F26" s="204">
        <f>_xlfn.PERCENTILE.EXC(F11:F20,0.25)</f>
        <v>21.515000000000001</v>
      </c>
      <c r="G26" s="204">
        <f>_xlfn.PERCENTILE.EXC(G11:G20,0.25)</f>
        <v>12.445</v>
      </c>
      <c r="H26" s="266">
        <f>_xlfn.PERCENTILE.EXC(H11:H20,0.25)</f>
        <v>4.17</v>
      </c>
    </row>
    <row r="27" spans="2:8">
      <c r="B27" s="123" t="s">
        <v>287</v>
      </c>
      <c r="C27" s="122"/>
      <c r="D27" s="146">
        <f>MIN(D11:D20)</f>
        <v>3.3</v>
      </c>
      <c r="E27" s="145">
        <f>MIN(E11:E20)</f>
        <v>2892.7</v>
      </c>
      <c r="F27" s="144">
        <f>MIN(F11:F20)</f>
        <v>8.98</v>
      </c>
      <c r="G27" s="144">
        <f>MIN(G11:G20)</f>
        <v>9.0500000000000007</v>
      </c>
      <c r="H27" s="143">
        <f>MIN(H11:H20)</f>
        <v>2.79</v>
      </c>
    </row>
    <row r="28" spans="2:8">
      <c r="B28" s="142"/>
      <c r="C28" s="140"/>
      <c r="D28" s="140"/>
      <c r="E28" s="141"/>
      <c r="F28" s="140"/>
      <c r="G28" s="140"/>
      <c r="H28" s="139"/>
    </row>
    <row r="29" spans="2:8">
      <c r="B29" s="138" t="s">
        <v>294</v>
      </c>
      <c r="C29" s="135"/>
      <c r="D29" s="137" t="s">
        <v>202</v>
      </c>
      <c r="E29" s="136"/>
      <c r="F29" s="461" t="s">
        <v>293</v>
      </c>
      <c r="G29" s="461"/>
      <c r="H29" s="462"/>
    </row>
    <row r="30" spans="2:8">
      <c r="B30" s="166"/>
      <c r="C30" s="265"/>
      <c r="D30" s="119"/>
      <c r="E30" s="119"/>
      <c r="F30" s="264" t="s">
        <v>282</v>
      </c>
      <c r="G30" s="263" t="s">
        <v>284</v>
      </c>
      <c r="H30" s="262" t="s">
        <v>283</v>
      </c>
    </row>
    <row r="31" spans="2:8" ht="15" customHeight="1">
      <c r="B31" s="134" t="s">
        <v>292</v>
      </c>
      <c r="C31" s="133"/>
      <c r="D31" s="132"/>
      <c r="E31" s="132"/>
      <c r="F31" s="260">
        <v>99.007415000000009</v>
      </c>
      <c r="G31" s="159">
        <v>107.70484570713393</v>
      </c>
      <c r="H31" s="259">
        <v>101.7577215</v>
      </c>
    </row>
    <row r="32" spans="2:8" ht="16" thickBot="1">
      <c r="B32" s="126" t="s">
        <v>291</v>
      </c>
      <c r="C32" s="125"/>
      <c r="D32" s="78"/>
      <c r="E32" s="78"/>
      <c r="F32" s="253">
        <v>90.04182738924051</v>
      </c>
      <c r="G32" s="118">
        <v>103.5195110024227</v>
      </c>
      <c r="H32" s="252">
        <v>91.610775900000007</v>
      </c>
    </row>
    <row r="33" spans="2:8">
      <c r="B33" s="130" t="s">
        <v>290</v>
      </c>
      <c r="C33" s="129"/>
      <c r="D33" s="78"/>
      <c r="E33" s="78"/>
      <c r="F33" s="258">
        <v>69.836661985232084</v>
      </c>
      <c r="G33" s="155">
        <v>72.056652409847146</v>
      </c>
      <c r="H33" s="257">
        <v>54.501397200000014</v>
      </c>
    </row>
    <row r="34" spans="2:8" ht="16" thickBot="1">
      <c r="B34" s="128" t="s">
        <v>289</v>
      </c>
      <c r="C34" s="127"/>
      <c r="D34" s="78"/>
      <c r="E34" s="78"/>
      <c r="F34" s="256">
        <v>76.838417500000006</v>
      </c>
      <c r="G34" s="151">
        <v>73.961858723404262</v>
      </c>
      <c r="H34" s="255">
        <v>46.007173800000004</v>
      </c>
    </row>
    <row r="35" spans="2:8">
      <c r="B35" s="126" t="s">
        <v>288</v>
      </c>
      <c r="C35" s="125"/>
      <c r="D35" s="78"/>
      <c r="E35" s="78"/>
      <c r="F35" s="253">
        <v>53.561592500000003</v>
      </c>
      <c r="G35" s="118">
        <v>42.724929837296628</v>
      </c>
      <c r="H35" s="252">
        <v>24.041342700000001</v>
      </c>
    </row>
    <row r="36" spans="2:8">
      <c r="B36" s="123" t="s">
        <v>287</v>
      </c>
      <c r="C36" s="122"/>
      <c r="D36" s="121"/>
      <c r="E36" s="121"/>
      <c r="F36" s="250">
        <v>22.355710000000002</v>
      </c>
      <c r="G36" s="145">
        <v>29.326398748435551</v>
      </c>
      <c r="H36" s="249">
        <v>16.0852149</v>
      </c>
    </row>
  </sheetData>
  <mergeCells count="1">
    <mergeCell ref="F29:H29"/>
  </mergeCells>
  <hyperlinks>
    <hyperlink ref="C1" location="Menu!A1" display="MENU" xr:uid="{127258D9-A6C7-4AA8-819C-0AF0E6704082}"/>
  </hyperlinks>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DC2A34-B43A-4E2F-B583-DA47DFFA707A}">
  <dimension ref="B1:J80"/>
  <sheetViews>
    <sheetView showGridLines="0" zoomScale="55" workbookViewId="0">
      <selection activeCell="M31" sqref="M31"/>
    </sheetView>
  </sheetViews>
  <sheetFormatPr baseColWidth="10" defaultColWidth="9.1640625" defaultRowHeight="15"/>
  <cols>
    <col min="1" max="1" width="9.83203125" style="58" customWidth="1"/>
    <col min="2" max="2" width="11.5" style="58" bestFit="1" customWidth="1"/>
    <col min="3" max="3" width="16.33203125" style="58" customWidth="1"/>
    <col min="4" max="4" width="20.1640625" style="58" customWidth="1"/>
    <col min="5" max="5" width="13.5" style="58" bestFit="1" customWidth="1"/>
    <col min="6" max="6" width="11.1640625" style="58" customWidth="1"/>
    <col min="7" max="7" width="11" style="58" customWidth="1"/>
    <col min="8" max="8" width="14.33203125" style="58" customWidth="1"/>
    <col min="9" max="9" width="13.33203125" style="58" customWidth="1"/>
    <col min="10" max="10" width="12.6640625" style="58" customWidth="1"/>
    <col min="11" max="12" width="9.1640625" style="58"/>
    <col min="13" max="13" width="16.6640625" style="58" customWidth="1"/>
    <col min="14" max="14" width="21.1640625" style="58" bestFit="1" customWidth="1"/>
    <col min="15" max="15" width="13.6640625" style="58" bestFit="1" customWidth="1"/>
    <col min="16" max="16" width="9.1640625" style="58"/>
    <col min="17" max="17" width="10.5" style="58" bestFit="1" customWidth="1"/>
    <col min="18" max="18" width="12.5" style="58" bestFit="1" customWidth="1"/>
    <col min="19" max="19" width="14.83203125" style="58" bestFit="1" customWidth="1"/>
    <col min="20" max="16384" width="9.1640625" style="58"/>
  </cols>
  <sheetData>
    <row r="1" spans="2:9" s="78" customFormat="1" ht="19">
      <c r="C1" s="76" t="s">
        <v>268</v>
      </c>
    </row>
    <row r="2" spans="2:9" s="78" customFormat="1">
      <c r="C2" s="77" t="s">
        <v>466</v>
      </c>
    </row>
    <row r="3" spans="2:9" s="78" customFormat="1">
      <c r="C3" s="77" t="s">
        <v>567</v>
      </c>
    </row>
    <row r="4" spans="2:9" s="78" customFormat="1"/>
    <row r="7" spans="2:9" ht="34.5" customHeight="1">
      <c r="C7" s="267" t="s">
        <v>286</v>
      </c>
      <c r="D7" s="268" t="s">
        <v>285</v>
      </c>
      <c r="E7" s="268" t="s">
        <v>282</v>
      </c>
      <c r="F7" s="268" t="s">
        <v>284</v>
      </c>
      <c r="G7" s="268" t="s">
        <v>283</v>
      </c>
      <c r="H7" s="268" t="s">
        <v>501</v>
      </c>
      <c r="I7" s="282" t="s">
        <v>502</v>
      </c>
    </row>
    <row r="8" spans="2:9">
      <c r="B8" s="58" t="s">
        <v>281</v>
      </c>
      <c r="C8" s="292" t="s">
        <v>208</v>
      </c>
      <c r="D8" s="281" t="s">
        <v>245</v>
      </c>
      <c r="E8" s="281" t="s">
        <v>208</v>
      </c>
      <c r="F8" s="281" t="s">
        <v>208</v>
      </c>
      <c r="G8" s="281" t="s">
        <v>208</v>
      </c>
      <c r="H8" s="281" t="s">
        <v>245</v>
      </c>
      <c r="I8" s="293" t="s">
        <v>208</v>
      </c>
    </row>
    <row r="9" spans="2:9" ht="14.25" customHeight="1">
      <c r="B9" s="58" t="s">
        <v>280</v>
      </c>
      <c r="C9" s="296" t="s">
        <v>207</v>
      </c>
      <c r="D9" s="164" t="s">
        <v>244</v>
      </c>
      <c r="E9" s="164" t="s">
        <v>207</v>
      </c>
      <c r="F9" s="164" t="s">
        <v>207</v>
      </c>
      <c r="G9" s="164" t="s">
        <v>207</v>
      </c>
      <c r="H9" s="164" t="s">
        <v>244</v>
      </c>
      <c r="I9" s="163" t="s">
        <v>207</v>
      </c>
    </row>
    <row r="10" spans="2:9">
      <c r="B10" s="58" t="s">
        <v>208</v>
      </c>
      <c r="C10" s="294">
        <v>96.87</v>
      </c>
      <c r="D10" s="283">
        <v>150</v>
      </c>
      <c r="E10" s="283">
        <v>85.439639999999997</v>
      </c>
      <c r="F10" s="283">
        <v>104.31387284267836</v>
      </c>
      <c r="G10" s="283">
        <v>89.448784650000007</v>
      </c>
      <c r="H10" s="283">
        <v>230.39</v>
      </c>
      <c r="I10" s="288">
        <v>168.95</v>
      </c>
    </row>
    <row r="11" spans="2:9">
      <c r="B11" s="58" t="s">
        <v>207</v>
      </c>
      <c r="C11" s="294">
        <v>66.53</v>
      </c>
      <c r="D11" s="283">
        <v>82.5</v>
      </c>
      <c r="E11" s="283">
        <v>53.561592500000003</v>
      </c>
      <c r="F11" s="283">
        <v>42.724929837296628</v>
      </c>
      <c r="G11" s="283">
        <v>42.724929837296628</v>
      </c>
      <c r="H11" s="283">
        <v>2.79</v>
      </c>
      <c r="I11" s="288">
        <v>22.46</v>
      </c>
    </row>
    <row r="12" spans="2:9">
      <c r="B12" s="58" t="s">
        <v>278</v>
      </c>
      <c r="C12" s="294">
        <f>ABS(C10-C11)</f>
        <v>30.340000000000003</v>
      </c>
      <c r="D12" s="283">
        <f>ABS(D10-D11)</f>
        <v>67.5</v>
      </c>
      <c r="E12" s="283">
        <v>31.878047499999994</v>
      </c>
      <c r="F12" s="283">
        <v>61.588943005381736</v>
      </c>
      <c r="G12" s="283">
        <v>46.723854812703379</v>
      </c>
      <c r="H12" s="283">
        <f>ABS(H10-H11)</f>
        <v>227.6</v>
      </c>
      <c r="I12" s="288">
        <f>ABS(I10-I11)</f>
        <v>146.48999999999998</v>
      </c>
    </row>
    <row r="13" spans="2:9">
      <c r="B13" s="58" t="s">
        <v>279</v>
      </c>
      <c r="C13" s="295">
        <v>93.61</v>
      </c>
      <c r="D13" s="290">
        <v>93.61</v>
      </c>
      <c r="E13" s="290">
        <v>93.61</v>
      </c>
      <c r="F13" s="290">
        <v>93.61</v>
      </c>
      <c r="G13" s="290">
        <v>93.61</v>
      </c>
      <c r="H13" s="290">
        <v>93.61</v>
      </c>
      <c r="I13" s="291">
        <v>93.61</v>
      </c>
    </row>
    <row r="14" spans="2:9" ht="15" customHeight="1">
      <c r="B14" s="58" t="s">
        <v>500</v>
      </c>
      <c r="C14" s="322">
        <v>84.71</v>
      </c>
      <c r="D14" s="322">
        <v>103.5</v>
      </c>
      <c r="E14" s="322">
        <v>72.272052125000002</v>
      </c>
      <c r="F14" s="322">
        <v>73.961858723404262</v>
      </c>
      <c r="G14" s="322">
        <v>46.007173800000004</v>
      </c>
      <c r="H14" s="322">
        <v>88.593320307572</v>
      </c>
      <c r="I14" s="322">
        <v>85.509287531126176</v>
      </c>
    </row>
    <row r="15" spans="2:9" ht="15" customHeight="1"/>
    <row r="16" spans="2:9" ht="15" customHeight="1">
      <c r="E16" s="58" t="s">
        <v>541</v>
      </c>
      <c r="F16" s="323" t="s">
        <v>539</v>
      </c>
      <c r="G16" s="323" t="s">
        <v>540</v>
      </c>
      <c r="H16" s="323" t="s">
        <v>542</v>
      </c>
    </row>
    <row r="17" spans="4:10" ht="15" customHeight="1">
      <c r="D17" s="284" t="s">
        <v>286</v>
      </c>
      <c r="E17" s="285">
        <v>66.53</v>
      </c>
      <c r="F17" s="285">
        <v>18.179999999999993</v>
      </c>
      <c r="G17" s="285">
        <v>12.160000000000011</v>
      </c>
      <c r="H17" s="286">
        <v>93.61</v>
      </c>
    </row>
    <row r="18" spans="4:10" ht="15" customHeight="1">
      <c r="D18" s="287" t="s">
        <v>285</v>
      </c>
      <c r="E18" s="283">
        <v>82.5</v>
      </c>
      <c r="F18" s="283">
        <v>21</v>
      </c>
      <c r="G18" s="283">
        <v>46.5</v>
      </c>
      <c r="H18" s="288">
        <v>93.61</v>
      </c>
    </row>
    <row r="19" spans="4:10" ht="15" customHeight="1">
      <c r="D19" s="287" t="s">
        <v>282</v>
      </c>
      <c r="E19" s="283">
        <v>53.561592500000003</v>
      </c>
      <c r="F19" s="283">
        <v>18.710459624999999</v>
      </c>
      <c r="G19" s="283">
        <v>13.167587874999995</v>
      </c>
      <c r="H19" s="288">
        <v>93.61</v>
      </c>
      <c r="J19" s="322"/>
    </row>
    <row r="20" spans="4:10" ht="15" customHeight="1">
      <c r="D20" s="287" t="s">
        <v>284</v>
      </c>
      <c r="E20" s="283">
        <v>42.724929837296628</v>
      </c>
      <c r="F20" s="283">
        <v>31.236928886107634</v>
      </c>
      <c r="G20" s="283">
        <v>30.352014119274102</v>
      </c>
      <c r="H20" s="288">
        <v>93.61</v>
      </c>
    </row>
    <row r="21" spans="4:10" ht="15" customHeight="1">
      <c r="D21" s="287" t="s">
        <v>283</v>
      </c>
      <c r="E21" s="283">
        <v>42.724929837296628</v>
      </c>
      <c r="F21" s="283">
        <v>3.2822439627033759</v>
      </c>
      <c r="G21" s="283">
        <v>43.441610850000004</v>
      </c>
      <c r="H21" s="288">
        <v>93.61</v>
      </c>
    </row>
    <row r="22" spans="4:10" ht="15" customHeight="1">
      <c r="D22" s="287" t="s">
        <v>501</v>
      </c>
      <c r="E22" s="283">
        <v>2.79</v>
      </c>
      <c r="F22" s="283">
        <v>85.803320307571994</v>
      </c>
      <c r="G22" s="283">
        <v>141.79667969242797</v>
      </c>
      <c r="H22" s="288">
        <v>93.61</v>
      </c>
    </row>
    <row r="23" spans="4:10" ht="15" customHeight="1">
      <c r="D23" s="289" t="s">
        <v>502</v>
      </c>
      <c r="E23" s="290">
        <v>22.46</v>
      </c>
      <c r="F23" s="290">
        <v>63.049287531126176</v>
      </c>
      <c r="G23" s="290">
        <v>83.440712468873812</v>
      </c>
      <c r="H23" s="291">
        <v>93.61</v>
      </c>
    </row>
    <row r="24" spans="4:10" ht="15" customHeight="1"/>
    <row r="25" spans="4:10" ht="15" customHeight="1"/>
    <row r="80" ht="30" customHeight="1"/>
  </sheetData>
  <hyperlinks>
    <hyperlink ref="C1" location="Menu!A1" display="MENU" xr:uid="{8F2123A6-8095-48FA-8C7B-F1622BEFF5E5}"/>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CEB6E3-876A-4D29-98C1-4043D4964F48}">
  <dimension ref="A1:J261"/>
  <sheetViews>
    <sheetView showGridLines="0" workbookViewId="0">
      <selection activeCell="D4" sqref="D4"/>
    </sheetView>
  </sheetViews>
  <sheetFormatPr baseColWidth="10" defaultColWidth="9.1640625" defaultRowHeight="13"/>
  <cols>
    <col min="1" max="1" width="8" style="346" customWidth="1"/>
    <col min="2" max="2" width="1.83203125" style="346" customWidth="1"/>
    <col min="3" max="3" width="12.1640625" style="346" customWidth="1"/>
    <col min="4" max="4" width="12.33203125" style="346" customWidth="1"/>
    <col min="5" max="5" width="18.33203125" style="346" customWidth="1"/>
    <col min="6" max="6" width="1.6640625" style="350" customWidth="1"/>
    <col min="7" max="7" width="5.33203125" style="346" customWidth="1"/>
    <col min="8" max="8" width="15.6640625" style="346" customWidth="1"/>
    <col min="9" max="9" width="11.1640625" style="346" customWidth="1"/>
    <col min="10" max="10" width="2.6640625" style="349" customWidth="1"/>
    <col min="11" max="11" width="80.6640625" style="346" customWidth="1"/>
    <col min="12" max="16384" width="9.1640625" style="346"/>
  </cols>
  <sheetData>
    <row r="1" spans="2:6" s="75" customFormat="1" ht="19">
      <c r="D1" s="76" t="s">
        <v>268</v>
      </c>
    </row>
    <row r="2" spans="2:6" s="75" customFormat="1" ht="15">
      <c r="D2" s="77" t="s">
        <v>465</v>
      </c>
    </row>
    <row r="3" spans="2:6" s="75" customFormat="1" ht="15">
      <c r="D3" s="77" t="s">
        <v>568</v>
      </c>
    </row>
    <row r="4" spans="2:6" s="75" customFormat="1" ht="15"/>
    <row r="5" spans="2:6" s="73" customFormat="1" ht="15"/>
    <row r="6" spans="2:6">
      <c r="E6" s="347"/>
      <c r="F6" s="348" t="s">
        <v>464</v>
      </c>
    </row>
    <row r="7" spans="2:6">
      <c r="F7" s="350" t="s">
        <v>463</v>
      </c>
    </row>
    <row r="8" spans="2:6">
      <c r="F8" s="350" t="s">
        <v>462</v>
      </c>
    </row>
    <row r="10" spans="2:6">
      <c r="B10" s="346" t="s">
        <v>358</v>
      </c>
    </row>
    <row r="11" spans="2:6">
      <c r="C11" s="346" t="s">
        <v>359</v>
      </c>
      <c r="E11" s="351">
        <v>100000</v>
      </c>
    </row>
    <row r="12" spans="2:6">
      <c r="C12" s="346" t="s">
        <v>360</v>
      </c>
    </row>
    <row r="13" spans="2:6">
      <c r="C13" s="346" t="s">
        <v>221</v>
      </c>
    </row>
    <row r="14" spans="2:6">
      <c r="C14" s="346" t="s">
        <v>361</v>
      </c>
    </row>
    <row r="15" spans="2:6">
      <c r="C15" s="346" t="s">
        <v>362</v>
      </c>
    </row>
    <row r="16" spans="2:6">
      <c r="C16" s="346" t="s">
        <v>363</v>
      </c>
      <c r="E16" s="352">
        <v>0.95</v>
      </c>
    </row>
    <row r="18" spans="2:6">
      <c r="B18" s="346" t="s">
        <v>364</v>
      </c>
    </row>
    <row r="19" spans="2:6">
      <c r="C19" s="346" t="s">
        <v>365</v>
      </c>
      <c r="E19" s="353">
        <v>9.3127391999999993</v>
      </c>
    </row>
    <row r="20" spans="2:6">
      <c r="C20" s="346" t="s">
        <v>366</v>
      </c>
      <c r="E20" s="351">
        <v>10737.97921883177</v>
      </c>
    </row>
    <row r="21" spans="2:6">
      <c r="C21" s="346" t="s">
        <v>367</v>
      </c>
      <c r="E21" s="351">
        <v>75165.854531822391</v>
      </c>
    </row>
    <row r="23" spans="2:6">
      <c r="B23" s="346" t="s">
        <v>368</v>
      </c>
    </row>
    <row r="24" spans="2:6">
      <c r="C24" s="346" t="s">
        <v>369</v>
      </c>
      <c r="E24" s="346">
        <v>7</v>
      </c>
    </row>
    <row r="25" spans="2:6">
      <c r="C25" s="346" t="s">
        <v>370</v>
      </c>
      <c r="E25" s="346">
        <v>0</v>
      </c>
    </row>
    <row r="26" spans="2:6">
      <c r="C26" s="346" t="s">
        <v>371</v>
      </c>
      <c r="E26" s="346">
        <v>0</v>
      </c>
    </row>
    <row r="27" spans="2:6">
      <c r="C27" s="346" t="s">
        <v>372</v>
      </c>
      <c r="E27" s="346">
        <v>0</v>
      </c>
    </row>
    <row r="28" spans="2:6">
      <c r="C28" s="346" t="s">
        <v>373</v>
      </c>
      <c r="E28" s="346">
        <v>1</v>
      </c>
    </row>
    <row r="30" spans="2:6">
      <c r="F30" s="348" t="s">
        <v>373</v>
      </c>
    </row>
    <row r="33" spans="1:10">
      <c r="A33" s="354" t="s">
        <v>455</v>
      </c>
    </row>
    <row r="35" spans="1:10">
      <c r="A35" s="354" t="s">
        <v>374</v>
      </c>
      <c r="B35" s="354"/>
      <c r="C35" s="354"/>
      <c r="D35" s="354"/>
      <c r="E35" s="354"/>
      <c r="F35" s="348"/>
      <c r="G35" s="354"/>
      <c r="H35" s="354"/>
      <c r="I35" s="354"/>
      <c r="J35" s="355" t="s">
        <v>375</v>
      </c>
    </row>
    <row r="37" spans="1:10">
      <c r="B37" s="346" t="s">
        <v>376</v>
      </c>
    </row>
    <row r="38" spans="1:10">
      <c r="C38" s="346" t="s">
        <v>461</v>
      </c>
    </row>
    <row r="39" spans="1:10">
      <c r="C39" s="346" t="s">
        <v>460</v>
      </c>
    </row>
    <row r="40" spans="1:10">
      <c r="C40" s="346" t="s">
        <v>459</v>
      </c>
    </row>
    <row r="41" spans="1:10">
      <c r="C41" s="346" t="s">
        <v>458</v>
      </c>
    </row>
    <row r="42" spans="1:10">
      <c r="C42" s="346" t="s">
        <v>457</v>
      </c>
    </row>
    <row r="61" spans="2:5">
      <c r="B61" s="346" t="s">
        <v>377</v>
      </c>
      <c r="E61" s="356" t="s">
        <v>378</v>
      </c>
    </row>
    <row r="62" spans="2:5">
      <c r="C62" s="346" t="s">
        <v>379</v>
      </c>
      <c r="E62" s="351">
        <v>100000</v>
      </c>
    </row>
    <row r="63" spans="2:5">
      <c r="C63" s="346" t="s">
        <v>217</v>
      </c>
      <c r="E63" s="357">
        <v>88.593320307572</v>
      </c>
    </row>
    <row r="64" spans="2:5">
      <c r="C64" s="346" t="s">
        <v>290</v>
      </c>
      <c r="E64" s="357">
        <v>86.002332681132799</v>
      </c>
    </row>
    <row r="65" spans="1:10">
      <c r="C65" s="346" t="s">
        <v>289</v>
      </c>
      <c r="E65" s="357">
        <v>85.509287531126176</v>
      </c>
    </row>
    <row r="66" spans="1:10">
      <c r="C66" s="346" t="s">
        <v>380</v>
      </c>
      <c r="E66" s="358" t="s">
        <v>456</v>
      </c>
    </row>
    <row r="67" spans="1:10">
      <c r="C67" s="346" t="s">
        <v>381</v>
      </c>
      <c r="E67" s="357">
        <v>18.44377610374006</v>
      </c>
    </row>
    <row r="68" spans="1:10">
      <c r="C68" s="346" t="s">
        <v>382</v>
      </c>
      <c r="E68" s="357">
        <v>340.17287696489291</v>
      </c>
    </row>
    <row r="69" spans="1:10">
      <c r="C69" s="346" t="s">
        <v>383</v>
      </c>
      <c r="E69" s="359">
        <v>0.16189825167982044</v>
      </c>
    </row>
    <row r="70" spans="1:10">
      <c r="C70" s="346" t="s">
        <v>384</v>
      </c>
      <c r="E70" s="360">
        <v>2.935130650978012</v>
      </c>
    </row>
    <row r="71" spans="1:10">
      <c r="C71" s="346" t="s">
        <v>385</v>
      </c>
      <c r="E71" s="359">
        <v>0.21445669586804425</v>
      </c>
    </row>
    <row r="72" spans="1:10">
      <c r="C72" s="346" t="s">
        <v>287</v>
      </c>
      <c r="E72" s="357">
        <v>22.459875493484596</v>
      </c>
    </row>
    <row r="73" spans="1:10">
      <c r="C73" s="346" t="s">
        <v>292</v>
      </c>
      <c r="E73" s="357">
        <v>168.95424712774107</v>
      </c>
    </row>
    <row r="74" spans="1:10">
      <c r="C74" s="346" t="s">
        <v>386</v>
      </c>
      <c r="E74" s="357">
        <v>146.49437163425648</v>
      </c>
    </row>
    <row r="75" spans="1:10">
      <c r="C75" s="346" t="s">
        <v>387</v>
      </c>
      <c r="E75" s="357">
        <v>5.8324341142004583E-2</v>
      </c>
    </row>
    <row r="77" spans="1:10">
      <c r="A77" s="354" t="s">
        <v>388</v>
      </c>
      <c r="B77" s="354"/>
      <c r="C77" s="354"/>
      <c r="D77" s="354"/>
      <c r="E77" s="354"/>
      <c r="F77" s="348"/>
      <c r="G77" s="354"/>
      <c r="H77" s="354"/>
      <c r="I77" s="354"/>
      <c r="J77" s="355" t="s">
        <v>375</v>
      </c>
    </row>
    <row r="79" spans="1:10">
      <c r="B79" s="346" t="s">
        <v>389</v>
      </c>
      <c r="E79" s="356" t="s">
        <v>378</v>
      </c>
    </row>
    <row r="80" spans="1:10">
      <c r="C80" s="346" t="s">
        <v>390</v>
      </c>
      <c r="E80" s="357">
        <v>22.459875493484596</v>
      </c>
    </row>
    <row r="81" spans="1:6">
      <c r="C81" s="346" t="s">
        <v>391</v>
      </c>
      <c r="E81" s="357">
        <v>62.536714484007753</v>
      </c>
    </row>
    <row r="82" spans="1:6">
      <c r="C82" s="346" t="s">
        <v>392</v>
      </c>
      <c r="E82" s="357">
        <v>70.169894213039896</v>
      </c>
    </row>
    <row r="83" spans="1:6">
      <c r="C83" s="346" t="s">
        <v>393</v>
      </c>
      <c r="E83" s="357">
        <v>75.743690991018838</v>
      </c>
    </row>
    <row r="84" spans="1:6">
      <c r="C84" s="346" t="s">
        <v>394</v>
      </c>
      <c r="E84" s="357">
        <v>80.80303807936059</v>
      </c>
    </row>
    <row r="85" spans="1:6">
      <c r="C85" s="346" t="s">
        <v>395</v>
      </c>
      <c r="E85" s="357">
        <v>85.509064954901433</v>
      </c>
    </row>
    <row r="86" spans="1:6">
      <c r="C86" s="346" t="s">
        <v>396</v>
      </c>
      <c r="E86" s="357">
        <v>90.317008645235575</v>
      </c>
    </row>
    <row r="87" spans="1:6">
      <c r="C87" s="346" t="s">
        <v>397</v>
      </c>
      <c r="E87" s="357">
        <v>95.496541485591038</v>
      </c>
    </row>
    <row r="88" spans="1:6">
      <c r="C88" s="346" t="s">
        <v>398</v>
      </c>
      <c r="E88" s="357">
        <v>101.50362682294688</v>
      </c>
    </row>
    <row r="89" spans="1:6">
      <c r="C89" s="346" t="s">
        <v>399</v>
      </c>
      <c r="E89" s="357">
        <v>110.00155748601271</v>
      </c>
    </row>
    <row r="90" spans="1:6">
      <c r="C90" s="346" t="s">
        <v>400</v>
      </c>
      <c r="E90" s="357">
        <v>168.95424712774107</v>
      </c>
    </row>
    <row r="92" spans="1:6">
      <c r="A92" s="346" t="s">
        <v>401</v>
      </c>
    </row>
    <row r="93" spans="1:6">
      <c r="F93" s="348" t="s">
        <v>369</v>
      </c>
    </row>
    <row r="96" spans="1:6">
      <c r="A96" s="354" t="s">
        <v>455</v>
      </c>
    </row>
    <row r="98" spans="1:10">
      <c r="A98" s="354" t="s">
        <v>454</v>
      </c>
      <c r="B98" s="354"/>
      <c r="C98" s="354"/>
      <c r="D98" s="354"/>
      <c r="E98" s="354"/>
      <c r="F98" s="348"/>
      <c r="G98" s="354"/>
      <c r="H98" s="354"/>
      <c r="I98" s="354"/>
      <c r="J98" s="355" t="s">
        <v>453</v>
      </c>
    </row>
    <row r="100" spans="1:10">
      <c r="B100" s="346" t="s">
        <v>421</v>
      </c>
    </row>
    <row r="101" spans="1:10">
      <c r="C101" s="346" t="s">
        <v>287</v>
      </c>
      <c r="E101" s="361">
        <v>5.5E-2</v>
      </c>
      <c r="G101" s="346" t="s">
        <v>452</v>
      </c>
    </row>
    <row r="102" spans="1:10">
      <c r="C102" s="346" t="s">
        <v>419</v>
      </c>
      <c r="E102" s="361">
        <v>5.8999999999999997E-2</v>
      </c>
      <c r="G102" s="346" t="s">
        <v>451</v>
      </c>
    </row>
    <row r="103" spans="1:10">
      <c r="C103" s="346" t="s">
        <v>292</v>
      </c>
      <c r="E103" s="361">
        <v>6.3E-2</v>
      </c>
      <c r="G103" s="346" t="s">
        <v>450</v>
      </c>
    </row>
    <row r="104" spans="1:10">
      <c r="E104" s="356"/>
    </row>
    <row r="105" spans="1:10">
      <c r="E105" s="356"/>
    </row>
    <row r="113" spans="1:10">
      <c r="A113" s="354" t="s">
        <v>449</v>
      </c>
      <c r="B113" s="354"/>
      <c r="C113" s="354"/>
      <c r="D113" s="354"/>
      <c r="E113" s="354"/>
      <c r="F113" s="348"/>
      <c r="G113" s="354"/>
      <c r="H113" s="354"/>
      <c r="I113" s="354"/>
      <c r="J113" s="355" t="s">
        <v>448</v>
      </c>
    </row>
    <row r="115" spans="1:10">
      <c r="B115" s="346" t="s">
        <v>421</v>
      </c>
    </row>
    <row r="116" spans="1:10">
      <c r="C116" s="346" t="s">
        <v>287</v>
      </c>
      <c r="E116" s="361">
        <v>6.2E-2</v>
      </c>
      <c r="G116" s="346" t="s">
        <v>447</v>
      </c>
    </row>
    <row r="117" spans="1:10">
      <c r="C117" s="346" t="s">
        <v>419</v>
      </c>
      <c r="E117" s="361">
        <v>6.6000000000000003E-2</v>
      </c>
      <c r="G117" s="346" t="s">
        <v>446</v>
      </c>
    </row>
    <row r="118" spans="1:10">
      <c r="C118" s="346" t="s">
        <v>292</v>
      </c>
      <c r="E118" s="361">
        <v>7.0000000000000007E-2</v>
      </c>
      <c r="G118" s="346" t="s">
        <v>445</v>
      </c>
    </row>
    <row r="119" spans="1:10">
      <c r="E119" s="356"/>
    </row>
    <row r="120" spans="1:10">
      <c r="E120" s="356"/>
    </row>
    <row r="128" spans="1:10">
      <c r="A128" s="354" t="s">
        <v>444</v>
      </c>
      <c r="B128" s="354"/>
      <c r="C128" s="354"/>
      <c r="D128" s="354"/>
      <c r="E128" s="354"/>
      <c r="F128" s="348"/>
      <c r="G128" s="354"/>
      <c r="H128" s="354"/>
      <c r="I128" s="354"/>
      <c r="J128" s="355" t="s">
        <v>439</v>
      </c>
    </row>
    <row r="130" spans="1:10">
      <c r="B130" s="346" t="s">
        <v>421</v>
      </c>
    </row>
    <row r="131" spans="1:10">
      <c r="C131" s="346" t="s">
        <v>287</v>
      </c>
      <c r="E131" s="361">
        <v>1.4999999999999999E-2</v>
      </c>
      <c r="G131" s="346" t="s">
        <v>443</v>
      </c>
    </row>
    <row r="132" spans="1:10">
      <c r="C132" s="346" t="s">
        <v>419</v>
      </c>
      <c r="E132" s="361">
        <v>1.7000000000000001E-2</v>
      </c>
      <c r="G132" s="346" t="s">
        <v>442</v>
      </c>
    </row>
    <row r="133" spans="1:10">
      <c r="C133" s="346" t="s">
        <v>292</v>
      </c>
      <c r="E133" s="361">
        <v>1.9E-2</v>
      </c>
      <c r="G133" s="346" t="s">
        <v>441</v>
      </c>
    </row>
    <row r="134" spans="1:10">
      <c r="E134" s="356"/>
    </row>
    <row r="135" spans="1:10">
      <c r="A135" s="354" t="s">
        <v>440</v>
      </c>
      <c r="B135" s="354"/>
      <c r="C135" s="354"/>
      <c r="D135" s="354"/>
      <c r="E135" s="362"/>
      <c r="F135" s="348"/>
      <c r="G135" s="354"/>
      <c r="H135" s="354"/>
      <c r="I135" s="354"/>
      <c r="J135" s="355" t="s">
        <v>439</v>
      </c>
    </row>
    <row r="145" spans="1:10">
      <c r="A145" s="354" t="s">
        <v>438</v>
      </c>
      <c r="B145" s="354"/>
      <c r="C145" s="354"/>
      <c r="D145" s="354"/>
      <c r="E145" s="354"/>
      <c r="F145" s="348"/>
      <c r="G145" s="354"/>
      <c r="H145" s="354"/>
      <c r="I145" s="354"/>
      <c r="J145" s="355" t="s">
        <v>437</v>
      </c>
    </row>
    <row r="147" spans="1:10">
      <c r="B147" s="346" t="s">
        <v>421</v>
      </c>
    </row>
    <row r="148" spans="1:10">
      <c r="C148" s="346" t="s">
        <v>287</v>
      </c>
      <c r="E148" s="361">
        <v>5.8999999999999997E-2</v>
      </c>
      <c r="G148" s="346" t="s">
        <v>436</v>
      </c>
    </row>
    <row r="149" spans="1:10">
      <c r="C149" s="346" t="s">
        <v>419</v>
      </c>
      <c r="E149" s="361">
        <v>6.3E-2</v>
      </c>
      <c r="G149" s="346" t="s">
        <v>435</v>
      </c>
    </row>
    <row r="150" spans="1:10">
      <c r="C150" s="346" t="s">
        <v>292</v>
      </c>
      <c r="E150" s="361">
        <v>6.5000000000000002E-2</v>
      </c>
      <c r="G150" s="346" t="s">
        <v>434</v>
      </c>
    </row>
    <row r="151" spans="1:10">
      <c r="E151" s="356"/>
    </row>
    <row r="152" spans="1:10">
      <c r="E152" s="356"/>
    </row>
    <row r="160" spans="1:10">
      <c r="A160" s="354" t="s">
        <v>433</v>
      </c>
      <c r="B160" s="354"/>
      <c r="C160" s="354"/>
      <c r="D160" s="354"/>
      <c r="E160" s="354"/>
      <c r="F160" s="348"/>
      <c r="G160" s="354"/>
      <c r="H160" s="354"/>
      <c r="I160" s="354"/>
      <c r="J160" s="355" t="s">
        <v>432</v>
      </c>
    </row>
    <row r="162" spans="1:10">
      <c r="B162" s="346" t="s">
        <v>421</v>
      </c>
    </row>
    <row r="163" spans="1:10">
      <c r="C163" s="346" t="s">
        <v>287</v>
      </c>
      <c r="E163" s="361">
        <v>6.0999999999999999E-2</v>
      </c>
      <c r="G163" s="346" t="s">
        <v>431</v>
      </c>
    </row>
    <row r="164" spans="1:10">
      <c r="C164" s="346" t="s">
        <v>419</v>
      </c>
      <c r="E164" s="361">
        <v>6.8000000000000005E-2</v>
      </c>
      <c r="G164" s="346" t="s">
        <v>430</v>
      </c>
    </row>
    <row r="165" spans="1:10">
      <c r="C165" s="346" t="s">
        <v>292</v>
      </c>
      <c r="E165" s="361">
        <v>7.4999999999999997E-2</v>
      </c>
      <c r="G165" s="346" t="s">
        <v>429</v>
      </c>
    </row>
    <row r="166" spans="1:10">
      <c r="E166" s="356"/>
    </row>
    <row r="167" spans="1:10">
      <c r="E167" s="356"/>
    </row>
    <row r="175" spans="1:10">
      <c r="A175" s="354" t="s">
        <v>428</v>
      </c>
      <c r="B175" s="354"/>
      <c r="C175" s="354"/>
      <c r="D175" s="354"/>
      <c r="E175" s="354"/>
      <c r="F175" s="348"/>
      <c r="G175" s="354"/>
      <c r="H175" s="354"/>
      <c r="I175" s="354"/>
      <c r="J175" s="355" t="s">
        <v>427</v>
      </c>
    </row>
    <row r="177" spans="1:10">
      <c r="B177" s="346" t="s">
        <v>421</v>
      </c>
    </row>
    <row r="178" spans="1:10">
      <c r="C178" s="346" t="s">
        <v>287</v>
      </c>
      <c r="E178" s="361">
        <v>0.04</v>
      </c>
      <c r="G178" s="346" t="s">
        <v>426</v>
      </c>
    </row>
    <row r="179" spans="1:10">
      <c r="C179" s="346" t="s">
        <v>419</v>
      </c>
      <c r="E179" s="361">
        <v>4.4999999999999998E-2</v>
      </c>
      <c r="G179" s="346" t="s">
        <v>425</v>
      </c>
    </row>
    <row r="180" spans="1:10">
      <c r="C180" s="346" t="s">
        <v>292</v>
      </c>
      <c r="E180" s="361">
        <v>0.05</v>
      </c>
      <c r="G180" s="346" t="s">
        <v>424</v>
      </c>
    </row>
    <row r="181" spans="1:10">
      <c r="E181" s="356"/>
    </row>
    <row r="182" spans="1:10">
      <c r="E182" s="356"/>
    </row>
    <row r="190" spans="1:10">
      <c r="A190" s="354" t="s">
        <v>423</v>
      </c>
      <c r="B190" s="354"/>
      <c r="C190" s="354"/>
      <c r="D190" s="354"/>
      <c r="E190" s="354"/>
      <c r="F190" s="348"/>
      <c r="G190" s="354"/>
      <c r="H190" s="354"/>
      <c r="I190" s="354"/>
      <c r="J190" s="355" t="s">
        <v>422</v>
      </c>
    </row>
    <row r="192" spans="1:10">
      <c r="B192" s="346" t="s">
        <v>421</v>
      </c>
    </row>
    <row r="193" spans="1:7">
      <c r="C193" s="346" t="s">
        <v>287</v>
      </c>
      <c r="E193" s="361">
        <v>5.7000000000000002E-2</v>
      </c>
      <c r="G193" s="346" t="s">
        <v>420</v>
      </c>
    </row>
    <row r="194" spans="1:7">
      <c r="C194" s="346" t="s">
        <v>419</v>
      </c>
      <c r="E194" s="361">
        <v>6.6359053405539714E-2</v>
      </c>
      <c r="G194" s="346" t="s">
        <v>418</v>
      </c>
    </row>
    <row r="195" spans="1:7">
      <c r="C195" s="346" t="s">
        <v>292</v>
      </c>
      <c r="E195" s="361">
        <v>7.4999999999999997E-2</v>
      </c>
      <c r="G195" s="346" t="s">
        <v>417</v>
      </c>
    </row>
    <row r="196" spans="1:7">
      <c r="E196" s="356"/>
    </row>
    <row r="197" spans="1:7">
      <c r="E197" s="356"/>
    </row>
    <row r="205" spans="1:7">
      <c r="A205" s="346" t="s">
        <v>416</v>
      </c>
    </row>
    <row r="206" spans="1:7">
      <c r="F206" s="348" t="s">
        <v>415</v>
      </c>
    </row>
    <row r="236" spans="1:6">
      <c r="A236" s="346" t="s">
        <v>414</v>
      </c>
    </row>
    <row r="237" spans="1:6">
      <c r="F237" s="348" t="s">
        <v>413</v>
      </c>
    </row>
    <row r="240" spans="1:6">
      <c r="A240" s="354" t="s">
        <v>412</v>
      </c>
    </row>
    <row r="261" spans="1:1">
      <c r="A261" s="346" t="s">
        <v>411</v>
      </c>
    </row>
  </sheetData>
  <hyperlinks>
    <hyperlink ref="D1" location="Menu!A1" display="MENU" xr:uid="{52C6261F-52BE-4C43-8F36-F3791CC7BDFD}"/>
  </hyperlinks>
  <printOptions gridLinesSet="0"/>
  <pageMargins left="0.75" right="0.75" top="1" bottom="1" header="0.5" footer="0.5"/>
  <pageSetup orientation="portrait" r:id="rId1"/>
  <headerFooter alignWithMargins="0">
    <oddHeader>&amp;f</oddHeader>
    <oddFooter>Page &amp;p</oddFooter>
  </headerFooter>
  <rowBreaks count="7" manualBreakCount="7">
    <brk id="29" max="16383" man="1"/>
    <brk id="76" max="16383" man="1"/>
    <brk id="92" max="16383" man="1"/>
    <brk id="134" max="16383" man="1"/>
    <brk id="173" max="16383" man="1"/>
    <brk id="205" max="16383" man="1"/>
    <brk id="236" max="16383" man="1"/>
  </rowBreaks>
  <colBreaks count="1" manualBreakCount="1">
    <brk id="10" max="1048575" man="1"/>
  </colBreaks>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Menu</vt:lpstr>
      <vt:lpstr>Summary</vt:lpstr>
      <vt:lpstr>Control Panel</vt:lpstr>
      <vt:lpstr>DCF Model</vt:lpstr>
      <vt:lpstr>Financial Statement Information</vt:lpstr>
      <vt:lpstr>NIKE BETA</vt:lpstr>
      <vt:lpstr>USTBill TYX</vt:lpstr>
      <vt:lpstr>Ratio Analysis</vt:lpstr>
      <vt:lpstr>DuPont</vt:lpstr>
      <vt:lpstr>Multiple Valuation</vt:lpstr>
      <vt:lpstr>Floating Bars</vt:lpstr>
      <vt:lpstr>Crystal Ball Report</vt:lpstr>
      <vt:lpstr>'Crystal Ball Report'!Print_Area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Miriam McCormick</dc:creator>
  <cp:lastModifiedBy>Drew Haggerty</cp:lastModifiedBy>
  <dcterms:created xsi:type="dcterms:W3CDTF">2019-11-05T14:54:07Z</dcterms:created>
  <dcterms:modified xsi:type="dcterms:W3CDTF">2020-01-22T23:59:02Z</dcterms:modified>
</cp:coreProperties>
</file>