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mp\chatbot-system-testing\src\TestData\"/>
    </mc:Choice>
  </mc:AlternateContent>
  <bookViews>
    <workbookView xWindow="0" yWindow="0" windowWidth="24000" windowHeight="9735" activeTab="17"/>
  </bookViews>
  <sheets>
    <sheet name="1. Greeting" sheetId="1" r:id="rId1"/>
    <sheet name="2. FAQ_Guest_Flow" sheetId="2" state="hidden" r:id="rId2"/>
    <sheet name="3. FAQ_Guest_Details" sheetId="3" state="hidden" r:id="rId3"/>
    <sheet name="4. FAQ_Host_Flow" sheetId="4" state="hidden" r:id="rId4"/>
    <sheet name="5. FAQ_Host_Details" sheetId="5" state="hidden" r:id="rId5"/>
    <sheet name="6. FAQ_Common_Details" sheetId="6" state="hidden" r:id="rId6"/>
    <sheet name="7. Register_House" sheetId="7" state="hidden" r:id="rId7"/>
    <sheet name="8. Search_House" sheetId="8" state="hidden" r:id="rId8"/>
    <sheet name="9. SmallTalk" sheetId="9" state="hidden" r:id="rId9"/>
    <sheet name="10. Weather" sheetId="10" state="hidden" r:id="rId10"/>
    <sheet name="Import Intent from DialogFlow 2" sheetId="11" state="hidden" r:id="rId11"/>
    <sheet name="Sheet23" sheetId="12" state="hidden" r:id="rId12"/>
    <sheet name="Import Entity from DialogFlow 2" sheetId="13" state="hidden" r:id="rId13"/>
    <sheet name="Sheet24" sheetId="14" state="hidden" r:id="rId14"/>
    <sheet name="Sheet25" sheetId="15" state="hidden" r:id="rId15"/>
    <sheet name="Import Entities from DialogFlow" sheetId="16" state="hidden" r:id="rId16"/>
    <sheet name="Flow Chat (Map)" sheetId="17" state="hidden" r:id="rId17"/>
    <sheet name="Sheet26" sheetId="18" r:id="rId18"/>
    <sheet name="Sheet27" sheetId="19" r:id="rId19"/>
  </sheets>
  <calcPr calcId="152511"/>
</workbook>
</file>

<file path=xl/calcChain.xml><?xml version="1.0" encoding="utf-8"?>
<calcChain xmlns="http://schemas.openxmlformats.org/spreadsheetml/2006/main">
  <c r="G15" i="8" l="1"/>
  <c r="G14" i="8"/>
  <c r="G13" i="8"/>
  <c r="G8" i="7"/>
  <c r="G7" i="7"/>
  <c r="G6" i="7"/>
  <c r="G23" i="6"/>
  <c r="G22" i="6"/>
  <c r="G21" i="6"/>
  <c r="G20" i="6"/>
  <c r="G16" i="6"/>
  <c r="G15" i="6"/>
  <c r="G14" i="6"/>
  <c r="G13" i="6"/>
  <c r="G9" i="6"/>
  <c r="G8" i="6"/>
  <c r="G7" i="6"/>
  <c r="G6" i="6"/>
  <c r="G149" i="5"/>
  <c r="G148" i="5"/>
  <c r="G147" i="5"/>
  <c r="G146" i="5"/>
  <c r="G142" i="5"/>
  <c r="G141" i="5"/>
  <c r="G140" i="5"/>
  <c r="G139" i="5"/>
  <c r="G135" i="5"/>
  <c r="G134" i="5"/>
  <c r="G133" i="5"/>
  <c r="G132" i="5"/>
  <c r="G128" i="5"/>
  <c r="G127" i="5"/>
  <c r="G126" i="5"/>
  <c r="G125" i="5"/>
  <c r="G121" i="5"/>
  <c r="G120" i="5"/>
  <c r="G119" i="5"/>
  <c r="G118" i="5"/>
  <c r="G114" i="5"/>
  <c r="G113" i="5"/>
  <c r="G112" i="5"/>
  <c r="G111" i="5"/>
  <c r="G107" i="5"/>
  <c r="G106" i="5"/>
  <c r="G105" i="5"/>
  <c r="G104" i="5"/>
  <c r="G100" i="5"/>
  <c r="G99" i="5"/>
  <c r="G98" i="5"/>
  <c r="G97" i="5"/>
  <c r="G93" i="5"/>
  <c r="G92" i="5"/>
  <c r="G91" i="5"/>
  <c r="G90" i="5"/>
  <c r="G86" i="5"/>
  <c r="G85" i="5"/>
  <c r="G84" i="5"/>
  <c r="G83" i="5"/>
  <c r="G79" i="5"/>
  <c r="G78" i="5"/>
  <c r="G77" i="5"/>
  <c r="G76" i="5"/>
  <c r="G72" i="5"/>
  <c r="G71" i="5"/>
  <c r="G70" i="5"/>
  <c r="G69" i="5"/>
  <c r="G65" i="5"/>
  <c r="G64" i="5"/>
  <c r="G63" i="5"/>
  <c r="G62" i="5"/>
  <c r="G58" i="5"/>
  <c r="G57" i="5"/>
  <c r="G56" i="5"/>
  <c r="G55" i="5"/>
  <c r="G51" i="5"/>
  <c r="G50" i="5"/>
  <c r="G49" i="5"/>
  <c r="G48" i="5"/>
  <c r="G44" i="5"/>
  <c r="G43" i="5"/>
  <c r="G42" i="5"/>
  <c r="G41" i="5"/>
  <c r="G37" i="5"/>
  <c r="G36" i="5"/>
  <c r="G35" i="5"/>
  <c r="G34" i="5"/>
  <c r="G30" i="5"/>
  <c r="G29" i="5"/>
  <c r="G28" i="5"/>
  <c r="G27" i="5"/>
  <c r="G23" i="5"/>
  <c r="G22" i="5"/>
  <c r="G21" i="5"/>
  <c r="G20" i="5"/>
  <c r="G16" i="5"/>
  <c r="G15" i="5"/>
  <c r="G14" i="5"/>
  <c r="G13" i="5"/>
  <c r="G9" i="5"/>
  <c r="G8" i="5"/>
  <c r="G7" i="5"/>
  <c r="G6" i="5"/>
  <c r="G48" i="4"/>
  <c r="G47" i="4"/>
  <c r="G46" i="4"/>
  <c r="G45" i="4"/>
  <c r="G44" i="4"/>
  <c r="G43" i="4"/>
  <c r="G42" i="4"/>
  <c r="G41" i="4"/>
  <c r="G38" i="4"/>
  <c r="G37" i="4"/>
  <c r="G36" i="4"/>
  <c r="G35" i="4"/>
  <c r="G34" i="4"/>
  <c r="G31" i="4"/>
  <c r="G30" i="4"/>
  <c r="G29" i="4"/>
  <c r="G28" i="4"/>
  <c r="G27" i="4"/>
  <c r="G26" i="4"/>
  <c r="G25" i="4"/>
  <c r="G24" i="4"/>
  <c r="G23" i="4"/>
  <c r="G22" i="4"/>
  <c r="G19" i="4"/>
  <c r="G18" i="4"/>
  <c r="G17" i="4"/>
  <c r="G16" i="4"/>
  <c r="G15" i="4"/>
  <c r="G12" i="4"/>
  <c r="G11" i="4"/>
  <c r="G184" i="3"/>
  <c r="G183" i="3"/>
  <c r="G182" i="3"/>
  <c r="G181" i="3"/>
  <c r="G177" i="3"/>
  <c r="G176" i="3"/>
  <c r="G175" i="3"/>
  <c r="G174" i="3"/>
  <c r="G170" i="3"/>
  <c r="G169" i="3"/>
  <c r="G168" i="3"/>
  <c r="G167" i="3"/>
  <c r="G163" i="3"/>
  <c r="G162" i="3"/>
  <c r="G161" i="3"/>
  <c r="G160" i="3"/>
  <c r="G156" i="3"/>
  <c r="G155" i="3"/>
  <c r="G154" i="3"/>
  <c r="G153" i="3"/>
  <c r="G149" i="3"/>
  <c r="G148" i="3"/>
  <c r="G147" i="3"/>
  <c r="G146" i="3"/>
  <c r="G142" i="3"/>
  <c r="G141" i="3"/>
  <c r="G140" i="3"/>
  <c r="G139" i="3"/>
  <c r="G135" i="3"/>
  <c r="G134" i="3"/>
  <c r="G133" i="3"/>
  <c r="G132" i="3"/>
  <c r="G128" i="3"/>
  <c r="G127" i="3"/>
  <c r="G126" i="3"/>
  <c r="G125" i="3"/>
  <c r="G121" i="3"/>
  <c r="G120" i="3"/>
  <c r="G119" i="3"/>
  <c r="G118" i="3"/>
  <c r="G114" i="3"/>
  <c r="G113" i="3"/>
  <c r="G112" i="3"/>
  <c r="G111" i="3"/>
  <c r="G107" i="3"/>
  <c r="G106" i="3"/>
  <c r="G105" i="3"/>
  <c r="G104" i="3"/>
  <c r="G100" i="3"/>
  <c r="G99" i="3"/>
  <c r="G98" i="3"/>
  <c r="G97" i="3"/>
  <c r="G93" i="3"/>
  <c r="G92" i="3"/>
  <c r="G91" i="3"/>
  <c r="G90" i="3"/>
  <c r="G86" i="3"/>
  <c r="G85" i="3"/>
  <c r="G84" i="3"/>
  <c r="G83" i="3"/>
  <c r="G79" i="3"/>
  <c r="G78" i="3"/>
  <c r="G77" i="3"/>
  <c r="G76" i="3"/>
  <c r="G72" i="3"/>
  <c r="G71" i="3"/>
  <c r="G70" i="3"/>
  <c r="G69" i="3"/>
  <c r="G65" i="3"/>
  <c r="G64" i="3"/>
  <c r="G63" i="3"/>
  <c r="G62" i="3"/>
  <c r="G58" i="3"/>
  <c r="G57" i="3"/>
  <c r="G56" i="3"/>
  <c r="G55" i="3"/>
  <c r="G51" i="3"/>
  <c r="G50" i="3"/>
  <c r="G49" i="3"/>
  <c r="G48" i="3"/>
  <c r="G44" i="3"/>
  <c r="G43" i="3"/>
  <c r="G42" i="3"/>
  <c r="G41" i="3"/>
  <c r="G37" i="3"/>
  <c r="G36" i="3"/>
  <c r="G35" i="3"/>
  <c r="G34" i="3"/>
  <c r="G30" i="3"/>
  <c r="G29" i="3"/>
  <c r="G28" i="3"/>
  <c r="G27" i="3"/>
  <c r="G23" i="3"/>
  <c r="G22" i="3"/>
  <c r="G21" i="3"/>
  <c r="G20" i="3"/>
  <c r="G16" i="3"/>
  <c r="G15" i="3"/>
  <c r="G14" i="3"/>
  <c r="G13" i="3"/>
  <c r="G9" i="3"/>
  <c r="G8" i="3"/>
  <c r="G7" i="3"/>
  <c r="G6" i="3"/>
  <c r="G61" i="2"/>
  <c r="G60" i="2"/>
  <c r="G59" i="2"/>
  <c r="G58" i="2"/>
  <c r="G57" i="2"/>
  <c r="G54" i="2"/>
  <c r="G53" i="2"/>
  <c r="G52" i="2"/>
  <c r="G51" i="2"/>
  <c r="G50" i="2"/>
  <c r="G47" i="2"/>
  <c r="G46" i="2"/>
  <c r="G45" i="2"/>
  <c r="G44" i="2"/>
  <c r="G43" i="2"/>
  <c r="G42" i="2"/>
  <c r="G41" i="2"/>
  <c r="G38" i="2"/>
  <c r="G37" i="2"/>
  <c r="G36" i="2"/>
  <c r="G35" i="2"/>
  <c r="G34" i="2"/>
  <c r="G33" i="2"/>
  <c r="G32" i="2"/>
  <c r="G31" i="2"/>
  <c r="G30" i="2"/>
  <c r="G27" i="2"/>
  <c r="G26" i="2"/>
  <c r="G25" i="2"/>
  <c r="G22" i="2"/>
  <c r="G21" i="2"/>
  <c r="G20" i="2"/>
  <c r="G19" i="2"/>
  <c r="G16" i="2"/>
  <c r="G6" i="2"/>
  <c r="G5" i="2"/>
  <c r="G16" i="1"/>
  <c r="G15" i="1"/>
  <c r="G14" i="1"/>
  <c r="G10" i="1"/>
  <c r="G9" i="1"/>
  <c r="G8" i="1"/>
  <c r="E126" i="16"/>
  <c r="D121" i="16"/>
  <c r="D137" i="16"/>
  <c r="F131" i="16"/>
  <c r="E110" i="16"/>
  <c r="D89" i="16"/>
  <c r="F67" i="16"/>
  <c r="E46" i="16"/>
  <c r="D25" i="16"/>
  <c r="F3" i="16"/>
  <c r="G3155" i="15"/>
  <c r="D130" i="16"/>
  <c r="F108" i="16"/>
  <c r="E87" i="16"/>
  <c r="D66" i="16"/>
  <c r="F44" i="16"/>
  <c r="E23" i="16"/>
  <c r="D2" i="16"/>
  <c r="G3154" i="15"/>
  <c r="E128" i="16"/>
  <c r="D107" i="16"/>
  <c r="F85" i="16"/>
  <c r="E64" i="16"/>
  <c r="D43" i="16"/>
  <c r="F21" i="16"/>
  <c r="F3166" i="15"/>
  <c r="G3153" i="15"/>
  <c r="F90" i="16"/>
  <c r="E5" i="16"/>
  <c r="I3140" i="15"/>
  <c r="J3127" i="15"/>
  <c r="F3115" i="15"/>
  <c r="G3102" i="15"/>
  <c r="H3089" i="15"/>
  <c r="I3076" i="15"/>
  <c r="D125" i="16"/>
  <c r="F103" i="16"/>
  <c r="E82" i="16"/>
  <c r="D61" i="16"/>
  <c r="F39" i="16"/>
  <c r="E18" i="16"/>
  <c r="F3164" i="15"/>
  <c r="G3151" i="15"/>
  <c r="E123" i="16"/>
  <c r="D102" i="16"/>
  <c r="F80" i="16"/>
  <c r="E59" i="16"/>
  <c r="D38" i="16"/>
  <c r="F16" i="16"/>
  <c r="F3163" i="15"/>
  <c r="G3150" i="15"/>
  <c r="F121" i="16"/>
  <c r="E100" i="16"/>
  <c r="D79" i="16"/>
  <c r="F57" i="16"/>
  <c r="E36" i="16"/>
  <c r="D15" i="16"/>
  <c r="F3162" i="15"/>
  <c r="G3149" i="15"/>
  <c r="D64" i="16"/>
  <c r="F3153" i="15"/>
  <c r="I3136" i="15"/>
  <c r="J3123" i="15"/>
  <c r="F3111" i="15"/>
  <c r="G3098" i="15"/>
  <c r="H3085" i="15"/>
  <c r="F123" i="16"/>
  <c r="E102" i="16"/>
  <c r="D81" i="16"/>
  <c r="F59" i="16"/>
  <c r="E38" i="16"/>
  <c r="D17" i="16"/>
  <c r="G3163" i="15"/>
  <c r="H3150" i="15"/>
  <c r="D122" i="16"/>
  <c r="F100" i="16"/>
  <c r="E79" i="16"/>
  <c r="D58" i="16"/>
  <c r="F36" i="16"/>
  <c r="E15" i="16"/>
  <c r="G3162" i="15"/>
  <c r="H3149" i="15"/>
  <c r="E120" i="16"/>
  <c r="D99" i="16"/>
  <c r="F77" i="16"/>
  <c r="E56" i="16"/>
  <c r="D35" i="16"/>
  <c r="F13" i="16"/>
  <c r="G3161" i="15"/>
  <c r="H3148" i="15"/>
  <c r="F58" i="16"/>
  <c r="J3149" i="15"/>
  <c r="J3135" i="15"/>
  <c r="F3123" i="15"/>
  <c r="G3110" i="15"/>
  <c r="H3097" i="15"/>
  <c r="I3084" i="15"/>
  <c r="D69" i="16"/>
  <c r="F3156" i="15"/>
  <c r="E67" i="16"/>
  <c r="F3155" i="15"/>
  <c r="F65" i="16"/>
  <c r="F3154" i="15"/>
  <c r="I3128" i="15"/>
  <c r="H3081" i="15"/>
  <c r="D100" i="16"/>
  <c r="F14" i="16"/>
  <c r="F3142" i="15"/>
  <c r="G3129" i="15"/>
  <c r="H3116" i="15"/>
  <c r="I3103" i="15"/>
  <c r="J3090" i="15"/>
  <c r="F3078" i="15"/>
  <c r="E93" i="16"/>
  <c r="D8" i="16"/>
  <c r="F3141" i="15"/>
  <c r="G3128" i="15"/>
  <c r="H3115" i="15"/>
  <c r="I3102" i="15"/>
  <c r="J3089" i="15"/>
  <c r="F3077" i="15"/>
  <c r="F3144" i="15"/>
  <c r="J3092" i="15"/>
  <c r="H3064" i="15"/>
  <c r="I3051" i="15"/>
  <c r="J3038" i="15"/>
  <c r="F3026" i="15"/>
  <c r="G3013" i="15"/>
  <c r="H3000" i="15"/>
  <c r="F63" i="16"/>
  <c r="F115" i="16"/>
  <c r="F83" i="16"/>
  <c r="D57" i="16"/>
  <c r="E30" i="16"/>
  <c r="J3164" i="15"/>
  <c r="J3148" i="15"/>
  <c r="D114" i="16"/>
  <c r="D82" i="16"/>
  <c r="E55" i="16"/>
  <c r="F28" i="16"/>
  <c r="J3163" i="15"/>
  <c r="D139" i="16"/>
  <c r="E112" i="16"/>
  <c r="E80" i="16"/>
  <c r="F53" i="16"/>
  <c r="D27" i="16"/>
  <c r="J3162" i="15"/>
  <c r="E133" i="16"/>
  <c r="F26" i="16"/>
  <c r="H3137" i="15"/>
  <c r="H3121" i="15"/>
  <c r="H3105" i="15"/>
  <c r="G3086" i="15"/>
  <c r="F135" i="16"/>
  <c r="D109" i="16"/>
  <c r="D77" i="16"/>
  <c r="E50" i="16"/>
  <c r="F23" i="16"/>
  <c r="J3160" i="15"/>
  <c r="D134" i="16"/>
  <c r="E107" i="16"/>
  <c r="E75" i="16"/>
  <c r="F48" i="16"/>
  <c r="D22" i="16"/>
  <c r="J3159" i="15"/>
  <c r="E132" i="16"/>
  <c r="F105" i="16"/>
  <c r="F73" i="16"/>
  <c r="D47" i="16"/>
  <c r="E20" i="16"/>
  <c r="J3158" i="15"/>
  <c r="F106" i="16"/>
  <c r="J3165" i="15"/>
  <c r="H3133" i="15"/>
  <c r="H3117" i="15"/>
  <c r="H3101" i="15"/>
  <c r="F139" i="16"/>
  <c r="D113" i="16"/>
  <c r="E86" i="16"/>
  <c r="E54" i="16"/>
  <c r="F27" i="16"/>
  <c r="H3166" i="15"/>
  <c r="D138" i="16"/>
  <c r="E111" i="16"/>
  <c r="F84" i="16"/>
  <c r="F52" i="16"/>
  <c r="D26" i="16"/>
  <c r="H3165" i="15"/>
  <c r="E136" i="16"/>
  <c r="F109" i="16"/>
  <c r="D83" i="16"/>
  <c r="D51" i="16"/>
  <c r="E24" i="16"/>
  <c r="H3164" i="15"/>
  <c r="F122" i="16"/>
  <c r="D16" i="16"/>
  <c r="F3139" i="15"/>
  <c r="J3119" i="15"/>
  <c r="J3103" i="15"/>
  <c r="J3087" i="15"/>
  <c r="F47" i="16"/>
  <c r="D110" i="16"/>
  <c r="E3" i="16"/>
  <c r="E44" i="16"/>
  <c r="F10" i="16"/>
  <c r="G3090" i="15"/>
  <c r="F78" i="16"/>
  <c r="F3149" i="15"/>
  <c r="H3132" i="15"/>
  <c r="G3113" i="15"/>
  <c r="G3097" i="15"/>
  <c r="G3081" i="15"/>
  <c r="D72" i="16"/>
  <c r="H3147" i="15"/>
  <c r="H3131" i="15"/>
  <c r="G3112" i="15"/>
  <c r="G3096" i="15"/>
  <c r="G3080" i="15"/>
  <c r="G3131" i="15"/>
  <c r="J3070" i="15"/>
  <c r="J3054" i="15"/>
  <c r="I3035" i="15"/>
  <c r="I3019" i="15"/>
  <c r="I3003" i="15"/>
  <c r="E42" i="16"/>
  <c r="D126" i="16"/>
  <c r="F40" i="16"/>
  <c r="E124" i="16"/>
  <c r="D39" i="16"/>
  <c r="F74" i="16"/>
  <c r="I3112" i="15"/>
  <c r="J3075" i="15"/>
  <c r="E73" i="16"/>
  <c r="I3158" i="15"/>
  <c r="F3138" i="15"/>
  <c r="G3125" i="15"/>
  <c r="H3112" i="15"/>
  <c r="I3099" i="15"/>
  <c r="J3086" i="15"/>
  <c r="F3074" i="15"/>
  <c r="F66" i="16"/>
  <c r="I3154" i="15"/>
  <c r="F3137" i="15"/>
  <c r="G3124" i="15"/>
  <c r="H3111" i="15"/>
  <c r="I3098" i="15"/>
  <c r="J3085" i="15"/>
  <c r="F3073" i="15"/>
  <c r="F3128" i="15"/>
  <c r="J3076" i="15"/>
  <c r="H3060" i="15"/>
  <c r="I3047" i="15"/>
  <c r="J3034" i="15"/>
  <c r="F3022" i="15"/>
  <c r="G3009" i="15"/>
  <c r="D101" i="16"/>
  <c r="F15" i="16"/>
  <c r="D105" i="16"/>
  <c r="E78" i="16"/>
  <c r="F51" i="16"/>
  <c r="F19" i="16"/>
  <c r="I3161" i="15"/>
  <c r="E135" i="16"/>
  <c r="E103" i="16"/>
  <c r="F76" i="16"/>
  <c r="D50" i="16"/>
  <c r="D18" i="16"/>
  <c r="I3160" i="15"/>
  <c r="F133" i="16"/>
  <c r="F101" i="16"/>
  <c r="D75" i="16"/>
  <c r="E48" i="16"/>
  <c r="E16" i="16"/>
  <c r="I3159" i="15"/>
  <c r="D112" i="16"/>
  <c r="G3156" i="15"/>
  <c r="G3134" i="15"/>
  <c r="G3118" i="15"/>
  <c r="F3099" i="15"/>
  <c r="F3083" i="15"/>
  <c r="E130" i="16"/>
  <c r="E98" i="16"/>
  <c r="F71" i="16"/>
  <c r="D45" i="16"/>
  <c r="D13" i="16"/>
  <c r="I3157" i="15"/>
  <c r="F128" i="16"/>
  <c r="F96" i="16"/>
  <c r="D70" i="16"/>
  <c r="E43" i="16"/>
  <c r="E11" i="16"/>
  <c r="I3156" i="15"/>
  <c r="D127" i="16"/>
  <c r="D95" i="16"/>
  <c r="E68" i="16"/>
  <c r="F41" i="16"/>
  <c r="F9" i="16"/>
  <c r="I3155" i="15"/>
  <c r="E85" i="16"/>
  <c r="G3146" i="15"/>
  <c r="G3130" i="15"/>
  <c r="G3114" i="15"/>
  <c r="F3095" i="15"/>
  <c r="E134" i="16"/>
  <c r="F107" i="16"/>
  <c r="F75" i="16"/>
  <c r="D49" i="16"/>
  <c r="E22" i="16"/>
  <c r="F3160" i="15"/>
  <c r="F132" i="16"/>
  <c r="D106" i="16"/>
  <c r="D74" i="16"/>
  <c r="E47" i="16"/>
  <c r="F20" i="16"/>
  <c r="F3159" i="15"/>
  <c r="D131" i="16"/>
  <c r="E104" i="16"/>
  <c r="E72" i="16"/>
  <c r="F45" i="16"/>
  <c r="D19" i="16"/>
  <c r="F3158" i="15"/>
  <c r="E101" i="16"/>
  <c r="I3162" i="15"/>
  <c r="I3132" i="15"/>
  <c r="I3116" i="15"/>
  <c r="I3100" i="15"/>
  <c r="D133" i="16"/>
  <c r="E26" i="16"/>
  <c r="F88" i="16"/>
  <c r="F129" i="16"/>
  <c r="D23" i="16"/>
  <c r="H3141" i="15"/>
  <c r="H3077" i="15"/>
  <c r="E57" i="16"/>
  <c r="G3145" i="15"/>
  <c r="F3126" i="15"/>
  <c r="F3110" i="15"/>
  <c r="F3094" i="15"/>
  <c r="J3074" i="15"/>
  <c r="F50" i="16"/>
  <c r="G3144" i="15"/>
  <c r="F3125" i="15"/>
  <c r="F3109" i="15"/>
  <c r="F3093" i="15"/>
  <c r="J3073" i="15"/>
  <c r="H3118" i="15"/>
  <c r="I3067" i="15"/>
  <c r="H3048" i="15"/>
  <c r="H3032" i="15"/>
  <c r="H3016" i="15"/>
  <c r="F127" i="16"/>
  <c r="D21" i="16"/>
  <c r="F104" i="16"/>
  <c r="F99" i="16"/>
  <c r="D41" i="16"/>
  <c r="H3158" i="15"/>
  <c r="D98" i="16"/>
  <c r="E39" i="16"/>
  <c r="H3157" i="15"/>
  <c r="E96" i="16"/>
  <c r="F37" i="16"/>
  <c r="H3156" i="15"/>
  <c r="F3147" i="15"/>
  <c r="J3111" i="15"/>
  <c r="J3079" i="15"/>
  <c r="D93" i="16"/>
  <c r="E34" i="16"/>
  <c r="H3154" i="15"/>
  <c r="E91" i="16"/>
  <c r="F32" i="16"/>
  <c r="H3153" i="15"/>
  <c r="F89" i="16"/>
  <c r="D31" i="16"/>
  <c r="H3152" i="15"/>
  <c r="F3143" i="15"/>
  <c r="J3107" i="15"/>
  <c r="D129" i="16"/>
  <c r="E70" i="16"/>
  <c r="F11" i="16"/>
  <c r="E127" i="16"/>
  <c r="F68" i="16"/>
  <c r="D10" i="16"/>
  <c r="F125" i="16"/>
  <c r="D67" i="16"/>
  <c r="E8" i="16"/>
  <c r="D80" i="16"/>
  <c r="H3129" i="15"/>
  <c r="G3094" i="15"/>
  <c r="D5" i="16"/>
  <c r="E108" i="16"/>
  <c r="J3115" i="15"/>
  <c r="D36" i="16"/>
  <c r="J3122" i="15"/>
  <c r="I3087" i="15"/>
  <c r="E29" i="16"/>
  <c r="J3121" i="15"/>
  <c r="I3086" i="15"/>
  <c r="I3105" i="15"/>
  <c r="G3045" i="15"/>
  <c r="F3010" i="15"/>
  <c r="I3165" i="15"/>
  <c r="E19" i="16"/>
  <c r="F81" i="16"/>
  <c r="J3150" i="15"/>
  <c r="J3099" i="15"/>
  <c r="D116" i="16"/>
  <c r="E9" i="16"/>
  <c r="J3134" i="15"/>
  <c r="J3118" i="15"/>
  <c r="J3102" i="15"/>
  <c r="I3083" i="15"/>
  <c r="E109" i="16"/>
  <c r="F2" i="16"/>
  <c r="J3133" i="15"/>
  <c r="J3117" i="15"/>
  <c r="J3101" i="15"/>
  <c r="I3082" i="15"/>
  <c r="F6" i="16"/>
  <c r="I3089" i="15"/>
  <c r="G3057" i="15"/>
  <c r="G3041" i="15"/>
  <c r="G3025" i="15"/>
  <c r="F3006" i="15"/>
  <c r="E58" i="16"/>
  <c r="F120" i="16"/>
  <c r="E35" i="16"/>
  <c r="D119" i="16"/>
  <c r="F33" i="16"/>
  <c r="E53" i="16"/>
  <c r="H3109" i="15"/>
  <c r="F3075" i="15"/>
  <c r="D68" i="16"/>
  <c r="H3155" i="15"/>
  <c r="G3137" i="15"/>
  <c r="H3124" i="15"/>
  <c r="I3111" i="15"/>
  <c r="J3098" i="15"/>
  <c r="F3086" i="15"/>
  <c r="G3073" i="15"/>
  <c r="E61" i="16"/>
  <c r="H3151" i="15"/>
  <c r="G3136" i="15"/>
  <c r="H3123" i="15"/>
  <c r="I3110" i="15"/>
  <c r="J3097" i="15"/>
  <c r="F3085" i="15"/>
  <c r="E51" i="16"/>
  <c r="F3119" i="15"/>
  <c r="I3139" i="15"/>
  <c r="H3088" i="15"/>
  <c r="I3138" i="15"/>
  <c r="H3087" i="15"/>
  <c r="J3124" i="15"/>
  <c r="I3059" i="15"/>
  <c r="F3034" i="15"/>
  <c r="H3008" i="15"/>
  <c r="D44" i="16"/>
  <c r="F3108" i="15"/>
  <c r="G3068" i="15"/>
  <c r="H3055" i="15"/>
  <c r="I3042" i="15"/>
  <c r="J3029" i="15"/>
  <c r="F3017" i="15"/>
  <c r="G3004" i="15"/>
  <c r="E17" i="16"/>
  <c r="F3104" i="15"/>
  <c r="G3067" i="15"/>
  <c r="H3054" i="15"/>
  <c r="I3041" i="15"/>
  <c r="J3028" i="15"/>
  <c r="F3016" i="15"/>
  <c r="G3003" i="15"/>
  <c r="H3106" i="15"/>
  <c r="H3029" i="15"/>
  <c r="F2991" i="15"/>
  <c r="G2978" i="15"/>
  <c r="D30" i="16"/>
  <c r="G3106" i="15"/>
  <c r="H3136" i="15"/>
  <c r="G3085" i="15"/>
  <c r="H3135" i="15"/>
  <c r="G3084" i="15"/>
  <c r="I3121" i="15"/>
  <c r="J3058" i="15"/>
  <c r="G3033" i="15"/>
  <c r="I3007" i="15"/>
  <c r="E94" i="16"/>
  <c r="F35" i="16"/>
  <c r="F3152" i="15"/>
  <c r="F92" i="16"/>
  <c r="D34" i="16"/>
  <c r="F3151" i="15"/>
  <c r="D91" i="16"/>
  <c r="E32" i="16"/>
  <c r="F3150" i="15"/>
  <c r="J3143" i="15"/>
  <c r="I3108" i="15"/>
  <c r="H3073" i="15"/>
  <c r="F87" i="16"/>
  <c r="D29" i="16"/>
  <c r="E139" i="16"/>
  <c r="D86" i="16"/>
  <c r="E27" i="16"/>
  <c r="F137" i="16"/>
  <c r="E84" i="16"/>
  <c r="F25" i="16"/>
  <c r="D128" i="16"/>
  <c r="J3139" i="15"/>
  <c r="I3104" i="15"/>
  <c r="E118" i="16"/>
  <c r="D65" i="16"/>
  <c r="E6" i="16"/>
  <c r="F116" i="16"/>
  <c r="E63" i="16"/>
  <c r="F4" i="16"/>
  <c r="D115" i="16"/>
  <c r="F61" i="16"/>
  <c r="D3" i="16"/>
  <c r="E37" i="16"/>
  <c r="G3126" i="15"/>
  <c r="F3091" i="15"/>
  <c r="E131" i="16"/>
  <c r="D87" i="16"/>
  <c r="F3103" i="15"/>
  <c r="J3161" i="15"/>
  <c r="I3119" i="15"/>
  <c r="H3084" i="15"/>
  <c r="J3157" i="15"/>
  <c r="I3118" i="15"/>
  <c r="H3083" i="15"/>
  <c r="F3080" i="15"/>
  <c r="F3042" i="15"/>
  <c r="J3006" i="15"/>
  <c r="J3152" i="15"/>
  <c r="I3164" i="15"/>
  <c r="E60" i="16"/>
  <c r="H3159" i="15"/>
  <c r="F3087" i="15"/>
  <c r="F94" i="16"/>
  <c r="I3147" i="15"/>
  <c r="I3131" i="15"/>
  <c r="I3115" i="15"/>
  <c r="H3096" i="15"/>
  <c r="H3080" i="15"/>
  <c r="D88" i="16"/>
  <c r="I3146" i="15"/>
  <c r="I3130" i="15"/>
  <c r="I3114" i="15"/>
  <c r="H3095" i="15"/>
  <c r="H3079" i="15"/>
  <c r="J3140" i="15"/>
  <c r="F3070" i="15"/>
  <c r="F3054" i="15"/>
  <c r="F3038" i="15"/>
  <c r="J3018" i="15"/>
  <c r="J3002" i="15"/>
  <c r="D37" i="16"/>
  <c r="E99" i="16"/>
  <c r="D14" i="16"/>
  <c r="F97" i="16"/>
  <c r="E12" i="16"/>
  <c r="J3147" i="15"/>
  <c r="I3096" i="15"/>
  <c r="D132" i="16"/>
  <c r="F46" i="16"/>
  <c r="J3146" i="15"/>
  <c r="F3134" i="15"/>
  <c r="G3121" i="15"/>
  <c r="H3108" i="15"/>
  <c r="I3095" i="15"/>
  <c r="J3082" i="15"/>
  <c r="E125" i="16"/>
  <c r="D40" i="16"/>
  <c r="J3145" i="15"/>
  <c r="F3133" i="15"/>
  <c r="G3120" i="15"/>
  <c r="H3107" i="15"/>
  <c r="I3094" i="15"/>
  <c r="E138" i="16"/>
  <c r="D135" i="16"/>
  <c r="G3078" i="15"/>
  <c r="J3126" i="15"/>
  <c r="I3075" i="15"/>
  <c r="J3125" i="15"/>
  <c r="I3078" i="15"/>
  <c r="G3099" i="15"/>
  <c r="G3053" i="15"/>
  <c r="I3027" i="15"/>
  <c r="F3002" i="15"/>
  <c r="H3146" i="15"/>
  <c r="G3095" i="15"/>
  <c r="F3065" i="15"/>
  <c r="G3052" i="15"/>
  <c r="H3039" i="15"/>
  <c r="I3026" i="15"/>
  <c r="J3013" i="15"/>
  <c r="F3001" i="15"/>
  <c r="H3142" i="15"/>
  <c r="G3091" i="15"/>
  <c r="F3064" i="15"/>
  <c r="G3051" i="15"/>
  <c r="H3038" i="15"/>
  <c r="I3025" i="15"/>
  <c r="J3012" i="15"/>
  <c r="F3000" i="15"/>
  <c r="J3067" i="15"/>
  <c r="I3016" i="15"/>
  <c r="J2987" i="15"/>
  <c r="D117" i="16"/>
  <c r="F113" i="16"/>
  <c r="G3074" i="15"/>
  <c r="I3123" i="15"/>
  <c r="H3072" i="15"/>
  <c r="D73" i="16"/>
  <c r="F124" i="16"/>
  <c r="F12" i="16"/>
  <c r="F69" i="16"/>
  <c r="E69" i="16"/>
  <c r="J3095" i="15"/>
  <c r="E66" i="16"/>
  <c r="D118" i="16"/>
  <c r="D6" i="16"/>
  <c r="D63" i="16"/>
  <c r="F42" i="16"/>
  <c r="J3091" i="15"/>
  <c r="F43" i="16"/>
  <c r="E95" i="16"/>
  <c r="J3155" i="15"/>
  <c r="E40" i="16"/>
  <c r="H3145" i="15"/>
  <c r="F111" i="16"/>
  <c r="J3166" i="15"/>
  <c r="J3138" i="15"/>
  <c r="D136" i="16"/>
  <c r="J3105" i="15"/>
  <c r="G3061" i="15"/>
  <c r="E106" i="16"/>
  <c r="J3151" i="15"/>
  <c r="G3138" i="15"/>
  <c r="D52" i="16"/>
  <c r="H3128" i="15"/>
  <c r="G3093" i="15"/>
  <c r="E45" i="16"/>
  <c r="H3127" i="15"/>
  <c r="G3092" i="15"/>
  <c r="G3115" i="15"/>
  <c r="J3050" i="15"/>
  <c r="I3015" i="15"/>
  <c r="H3162" i="15"/>
  <c r="H3161" i="15"/>
  <c r="H3160" i="15"/>
  <c r="J3083" i="15"/>
  <c r="E25" i="16"/>
  <c r="J3130" i="15"/>
  <c r="G3105" i="15"/>
  <c r="I3079" i="15"/>
  <c r="F18" i="16"/>
  <c r="J3129" i="15"/>
  <c r="G3104" i="15"/>
  <c r="D53" i="16"/>
  <c r="D84" i="16"/>
  <c r="E77" i="16"/>
  <c r="G3072" i="15"/>
  <c r="J3046" i="15"/>
  <c r="F2998" i="15"/>
  <c r="H3082" i="15"/>
  <c r="F3049" i="15"/>
  <c r="H3023" i="15"/>
  <c r="J2997" i="15"/>
  <c r="H3078" i="15"/>
  <c r="F3048" i="15"/>
  <c r="H3022" i="15"/>
  <c r="J2996" i="15"/>
  <c r="J3003" i="15"/>
  <c r="F31" i="16"/>
  <c r="F62" i="16"/>
  <c r="D56" i="16"/>
  <c r="F3097" i="15"/>
  <c r="F3096" i="15"/>
  <c r="F3046" i="15"/>
  <c r="F3014" i="15"/>
  <c r="F22" i="16"/>
  <c r="J3104" i="15"/>
  <c r="H3067" i="15"/>
  <c r="I3054" i="15"/>
  <c r="J3041" i="15"/>
  <c r="F3029" i="15"/>
  <c r="G3016" i="15"/>
  <c r="H3003" i="15"/>
  <c r="H3163" i="15"/>
  <c r="J3100" i="15"/>
  <c r="H3066" i="15"/>
  <c r="I3053" i="15"/>
  <c r="J3040" i="15"/>
  <c r="F3028" i="15"/>
  <c r="G3015" i="15"/>
  <c r="H3002" i="15"/>
  <c r="I3093" i="15"/>
  <c r="G3026" i="15"/>
  <c r="G2990" i="15"/>
  <c r="H2977" i="15"/>
  <c r="F8" i="16"/>
  <c r="H3093" i="15"/>
  <c r="G3133" i="15"/>
  <c r="F3082" i="15"/>
  <c r="G3132" i="15"/>
  <c r="J3081" i="15"/>
  <c r="F3112" i="15"/>
  <c r="H3056" i="15"/>
  <c r="J3030" i="15"/>
  <c r="G3005" i="15"/>
  <c r="I3166" i="15"/>
  <c r="I3101" i="15"/>
  <c r="I3066" i="15"/>
  <c r="J3053" i="15"/>
  <c r="F3041" i="15"/>
  <c r="G3028" i="15"/>
  <c r="H3015" i="15"/>
  <c r="I3002" i="15"/>
  <c r="I3150" i="15"/>
  <c r="I3097" i="15"/>
  <c r="I3065" i="15"/>
  <c r="J3052" i="15"/>
  <c r="F3040" i="15"/>
  <c r="G3027" i="15"/>
  <c r="H3014" i="15"/>
  <c r="I3001" i="15"/>
  <c r="J3080" i="15"/>
  <c r="F3023" i="15"/>
  <c r="H2989" i="15"/>
  <c r="I2976" i="15"/>
  <c r="J2963" i="15"/>
  <c r="G3158" i="15"/>
  <c r="F3129" i="15"/>
  <c r="F3030" i="15"/>
  <c r="J3065" i="15"/>
  <c r="I3014" i="15"/>
  <c r="J3064" i="15"/>
  <c r="I3013" i="15"/>
  <c r="I2988" i="15"/>
  <c r="F2963" i="15"/>
  <c r="J2947" i="15"/>
  <c r="F2935" i="15"/>
  <c r="G2922" i="15"/>
  <c r="H2909" i="15"/>
  <c r="I2896" i="15"/>
  <c r="J2883" i="15"/>
  <c r="F2871" i="15"/>
  <c r="G2858" i="15"/>
  <c r="H2845" i="15"/>
  <c r="I2832" i="15"/>
  <c r="J2819" i="15"/>
  <c r="H3057" i="15"/>
  <c r="G3006" i="15"/>
  <c r="G2985" i="15"/>
  <c r="H2972" i="15"/>
  <c r="I2959" i="15"/>
  <c r="J2946" i="15"/>
  <c r="F2934" i="15"/>
  <c r="G2921" i="15"/>
  <c r="H2908" i="15"/>
  <c r="I2895" i="15"/>
  <c r="J2882" i="15"/>
  <c r="F2870" i="15"/>
  <c r="G2857" i="15"/>
  <c r="H2844" i="15"/>
  <c r="I2831" i="15"/>
  <c r="J2818" i="15"/>
  <c r="G3050" i="15"/>
  <c r="F2999" i="15"/>
  <c r="H2983" i="15"/>
  <c r="I2970" i="15"/>
  <c r="J2957" i="15"/>
  <c r="F2945" i="15"/>
  <c r="G2932" i="15"/>
  <c r="H2919" i="15"/>
  <c r="I2906" i="15"/>
  <c r="J2893" i="15"/>
  <c r="F2881" i="15"/>
  <c r="G2868" i="15"/>
  <c r="H2855" i="15"/>
  <c r="I2842" i="15"/>
  <c r="J2829" i="15"/>
  <c r="F54" i="16"/>
  <c r="J2968" i="15"/>
  <c r="I2917" i="15"/>
  <c r="H2866" i="15"/>
  <c r="J2816" i="15"/>
  <c r="F2804" i="15"/>
  <c r="G2791" i="15"/>
  <c r="H2778" i="15"/>
  <c r="I2765" i="15"/>
  <c r="G2971" i="15"/>
  <c r="F2920" i="15"/>
  <c r="J2868" i="15"/>
  <c r="D71" i="16"/>
  <c r="G3116" i="15"/>
  <c r="I3023" i="15"/>
  <c r="I3062" i="15"/>
  <c r="H3011" i="15"/>
  <c r="I3061" i="15"/>
  <c r="H3010" i="15"/>
  <c r="H2985" i="15"/>
  <c r="G2962" i="15"/>
  <c r="F2947" i="15"/>
  <c r="G2934" i="15"/>
  <c r="H2921" i="15"/>
  <c r="I2908" i="15"/>
  <c r="J2895" i="15"/>
  <c r="F2883" i="15"/>
  <c r="G2870" i="15"/>
  <c r="H2857" i="15"/>
  <c r="I2844" i="15"/>
  <c r="J2831" i="15"/>
  <c r="F2819" i="15"/>
  <c r="G3054" i="15"/>
  <c r="F3003" i="15"/>
  <c r="H2984" i="15"/>
  <c r="I2971" i="15"/>
  <c r="J2958" i="15"/>
  <c r="F2946" i="15"/>
  <c r="G2933" i="15"/>
  <c r="H2920" i="15"/>
  <c r="I2907" i="15"/>
  <c r="J2894" i="15"/>
  <c r="F2882" i="15"/>
  <c r="G2869" i="15"/>
  <c r="H2856" i="15"/>
  <c r="I2843" i="15"/>
  <c r="J2830" i="15"/>
  <c r="F2818" i="15"/>
  <c r="F3047" i="15"/>
  <c r="J2995" i="15"/>
  <c r="I2982" i="15"/>
  <c r="J2969" i="15"/>
  <c r="F2957" i="15"/>
  <c r="G2944" i="15"/>
  <c r="H2931" i="15"/>
  <c r="I2918" i="15"/>
  <c r="J2905" i="15"/>
  <c r="F2893" i="15"/>
  <c r="G2880" i="15"/>
  <c r="H2867" i="15"/>
  <c r="I2854" i="15"/>
  <c r="J2841" i="15"/>
  <c r="F2829" i="15"/>
  <c r="I3109" i="15"/>
  <c r="I2965" i="15"/>
  <c r="H2914" i="15"/>
  <c r="G2863" i="15"/>
  <c r="F2816" i="15"/>
  <c r="G2803" i="15"/>
  <c r="H2790" i="15"/>
  <c r="I2777" i="15"/>
  <c r="F3148" i="15"/>
  <c r="F2968" i="15"/>
  <c r="J2916" i="15"/>
  <c r="I2865" i="15"/>
  <c r="G3157" i="15"/>
  <c r="H3103" i="15"/>
  <c r="G3017" i="15"/>
  <c r="H3059" i="15"/>
  <c r="G3008" i="15"/>
  <c r="H3058" i="15"/>
  <c r="G3007" i="15"/>
  <c r="G2982" i="15"/>
  <c r="H2961" i="15"/>
  <c r="G2946" i="15"/>
  <c r="E62" i="16"/>
  <c r="E119" i="16"/>
  <c r="E7" i="16"/>
  <c r="D59" i="16"/>
  <c r="D48" i="16"/>
  <c r="I3092" i="15"/>
  <c r="F55" i="16"/>
  <c r="F112" i="16"/>
  <c r="G3166" i="15"/>
  <c r="E52" i="16"/>
  <c r="E21" i="16"/>
  <c r="I3088" i="15"/>
  <c r="D33" i="16"/>
  <c r="D90" i="16"/>
  <c r="I3152" i="15"/>
  <c r="F29" i="16"/>
  <c r="G3142" i="15"/>
  <c r="E90" i="16"/>
  <c r="D96" i="16"/>
  <c r="I3135" i="15"/>
  <c r="F114" i="16"/>
  <c r="H3099" i="15"/>
  <c r="F3058" i="15"/>
  <c r="D85" i="16"/>
  <c r="D103" i="16"/>
  <c r="H3125" i="15"/>
  <c r="F30" i="16"/>
  <c r="F3122" i="15"/>
  <c r="F3090" i="15"/>
  <c r="D24" i="16"/>
  <c r="F3121" i="15"/>
  <c r="F3089" i="15"/>
  <c r="H3102" i="15"/>
  <c r="H3044" i="15"/>
  <c r="H3012" i="15"/>
  <c r="I3149" i="15"/>
  <c r="I3148" i="15"/>
  <c r="F138" i="16"/>
  <c r="F3079" i="15"/>
  <c r="D4" i="16"/>
  <c r="I3127" i="15"/>
  <c r="F3102" i="15"/>
  <c r="H3076" i="15"/>
  <c r="G3164" i="15"/>
  <c r="I3126" i="15"/>
  <c r="F3101" i="15"/>
  <c r="F136" i="16"/>
  <c r="F3165" i="15"/>
  <c r="F3161" i="15"/>
  <c r="F3157" i="15"/>
  <c r="H3040" i="15"/>
  <c r="E129" i="16"/>
  <c r="H3071" i="15"/>
  <c r="J3045" i="15"/>
  <c r="G3020" i="15"/>
  <c r="F102" i="16"/>
  <c r="H3070" i="15"/>
  <c r="J3044" i="15"/>
  <c r="G3019" i="15"/>
  <c r="E33" i="16"/>
  <c r="G2994" i="15"/>
  <c r="E115" i="16"/>
  <c r="G3152" i="15"/>
  <c r="G3148" i="15"/>
  <c r="J3077" i="15"/>
  <c r="I3071" i="15"/>
  <c r="I3039" i="15"/>
  <c r="G3001" i="15"/>
  <c r="G3143" i="15"/>
  <c r="F3092" i="15"/>
  <c r="G3064" i="15"/>
  <c r="H3051" i="15"/>
  <c r="I3038" i="15"/>
  <c r="J3025" i="15"/>
  <c r="F3013" i="15"/>
  <c r="G3000" i="15"/>
  <c r="G3139" i="15"/>
  <c r="F3088" i="15"/>
  <c r="G3063" i="15"/>
  <c r="H3050" i="15"/>
  <c r="I3037" i="15"/>
  <c r="J3024" i="15"/>
  <c r="F3012" i="15"/>
  <c r="G2999" i="15"/>
  <c r="I3064" i="15"/>
  <c r="H3013" i="15"/>
  <c r="F2987" i="15"/>
  <c r="F95" i="16"/>
  <c r="E92" i="16"/>
  <c r="F126" i="16"/>
  <c r="H3120" i="15"/>
  <c r="D120" i="16"/>
  <c r="H3119" i="15"/>
  <c r="H3075" i="15"/>
  <c r="H3086" i="15"/>
  <c r="F3050" i="15"/>
  <c r="H3024" i="15"/>
  <c r="I2999" i="15"/>
  <c r="F3140" i="15"/>
  <c r="J3088" i="15"/>
  <c r="H3063" i="15"/>
  <c r="I3050" i="15"/>
  <c r="J3037" i="15"/>
  <c r="F3025" i="15"/>
  <c r="G3012" i="15"/>
  <c r="H2999" i="15"/>
  <c r="F3136" i="15"/>
  <c r="J3084" i="15"/>
  <c r="H3062" i="15"/>
  <c r="I3049" i="15"/>
  <c r="J3036" i="15"/>
  <c r="F3024" i="15"/>
  <c r="G3011" i="15"/>
  <c r="H2998" i="15"/>
  <c r="H3061" i="15"/>
  <c r="G3010" i="15"/>
  <c r="G2986" i="15"/>
  <c r="H2973" i="15"/>
  <c r="I2960" i="15"/>
  <c r="G3082" i="15"/>
  <c r="F3081" i="15"/>
  <c r="H3004" i="15"/>
  <c r="F3053" i="15"/>
  <c r="J3001" i="15"/>
  <c r="F3052" i="15"/>
  <c r="J3000" i="15"/>
  <c r="J2975" i="15"/>
  <c r="F2959" i="15"/>
  <c r="I2944" i="15"/>
  <c r="J2931" i="15"/>
  <c r="F2919" i="15"/>
  <c r="G2906" i="15"/>
  <c r="H2893" i="15"/>
  <c r="I2880" i="15"/>
  <c r="J2867" i="15"/>
  <c r="F2855" i="15"/>
  <c r="G2842" i="15"/>
  <c r="H2829" i="15"/>
  <c r="E97" i="16"/>
  <c r="I3044" i="15"/>
  <c r="J2994" i="15"/>
  <c r="F2982" i="15"/>
  <c r="G2969" i="15"/>
  <c r="H2956" i="15"/>
  <c r="I2943" i="15"/>
  <c r="J2930" i="15"/>
  <c r="F2918" i="15"/>
  <c r="G2905" i="15"/>
  <c r="H2892" i="15"/>
  <c r="I2879" i="15"/>
  <c r="J2866" i="15"/>
  <c r="F2854" i="15"/>
  <c r="G2841" i="15"/>
  <c r="H2828" i="15"/>
  <c r="H3138" i="15"/>
  <c r="H3037" i="15"/>
  <c r="F2993" i="15"/>
  <c r="G2980" i="15"/>
  <c r="H2967" i="15"/>
  <c r="I2954" i="15"/>
  <c r="J2941" i="15"/>
  <c r="F2929" i="15"/>
  <c r="G2916" i="15"/>
  <c r="H2903" i="15"/>
  <c r="I2890" i="15"/>
  <c r="J2877" i="15"/>
  <c r="F2865" i="15"/>
  <c r="G2852" i="15"/>
  <c r="H2839" i="15"/>
  <c r="I2826" i="15"/>
  <c r="F3043" i="15"/>
  <c r="F2956" i="15"/>
  <c r="J2904" i="15"/>
  <c r="I2853" i="15"/>
  <c r="I2813" i="15"/>
  <c r="E14" i="16"/>
  <c r="D123" i="16"/>
  <c r="F3131" i="15"/>
  <c r="F7" i="16"/>
  <c r="E116" i="16"/>
  <c r="F3127" i="15"/>
  <c r="J3156" i="15"/>
  <c r="F93" i="16"/>
  <c r="H3113" i="15"/>
  <c r="I3072" i="15"/>
  <c r="J3137" i="15"/>
  <c r="G3029" i="15"/>
  <c r="F17" i="16"/>
  <c r="H3144" i="15"/>
  <c r="G3077" i="15"/>
  <c r="G3108" i="15"/>
  <c r="J3066" i="15"/>
  <c r="E122" i="16"/>
  <c r="E76" i="16"/>
  <c r="F110" i="16"/>
  <c r="F3118" i="15"/>
  <c r="D104" i="16"/>
  <c r="F3117" i="15"/>
  <c r="F49" i="16"/>
  <c r="F3113" i="15"/>
  <c r="G3021" i="15"/>
  <c r="J3061" i="15"/>
  <c r="I3010" i="15"/>
  <c r="J3060" i="15"/>
  <c r="I3009" i="15"/>
  <c r="I2984" i="15"/>
  <c r="J3110" i="15"/>
  <c r="F134" i="16"/>
  <c r="J3026" i="15"/>
  <c r="H3130" i="15"/>
  <c r="F3061" i="15"/>
  <c r="H3035" i="15"/>
  <c r="J3009" i="15"/>
  <c r="H3126" i="15"/>
  <c r="F3060" i="15"/>
  <c r="H3034" i="15"/>
  <c r="J3008" i="15"/>
  <c r="J3051" i="15"/>
  <c r="J2983" i="15"/>
  <c r="D7" i="16"/>
  <c r="I3107" i="15"/>
  <c r="I3106" i="15"/>
  <c r="G3069" i="15"/>
  <c r="F3018" i="15"/>
  <c r="G3127" i="15"/>
  <c r="G3060" i="15"/>
  <c r="I3034" i="15"/>
  <c r="F3009" i="15"/>
  <c r="G3123" i="15"/>
  <c r="G3059" i="15"/>
  <c r="I3033" i="15"/>
  <c r="F3008" i="15"/>
  <c r="I3048" i="15"/>
  <c r="F2983" i="15"/>
  <c r="H2957" i="15"/>
  <c r="J3108" i="15"/>
  <c r="G3040" i="15"/>
  <c r="G3039" i="15"/>
  <c r="J2971" i="15"/>
  <c r="H2941" i="15"/>
  <c r="J2915" i="15"/>
  <c r="G2890" i="15"/>
  <c r="I2864" i="15"/>
  <c r="F2839" i="15"/>
  <c r="F3116" i="15"/>
  <c r="I2991" i="15"/>
  <c r="F2966" i="15"/>
  <c r="H2940" i="15"/>
  <c r="J2914" i="15"/>
  <c r="G2889" i="15"/>
  <c r="I2863" i="15"/>
  <c r="F2838" i="15"/>
  <c r="G3087" i="15"/>
  <c r="J2989" i="15"/>
  <c r="G2964" i="15"/>
  <c r="I2938" i="15"/>
  <c r="F2913" i="15"/>
  <c r="H2887" i="15"/>
  <c r="J2861" i="15"/>
  <c r="G2836" i="15"/>
  <c r="H2994" i="15"/>
  <c r="F2892" i="15"/>
  <c r="H2810" i="15"/>
  <c r="H2794" i="15"/>
  <c r="G2775" i="15"/>
  <c r="H3001" i="15"/>
  <c r="J2932" i="15"/>
  <c r="F2856" i="15"/>
  <c r="G3117" i="15"/>
  <c r="G3049" i="15"/>
  <c r="J3049" i="15"/>
  <c r="J3132" i="15"/>
  <c r="G3023" i="15"/>
  <c r="F2975" i="15"/>
  <c r="H2953" i="15"/>
  <c r="H2937" i="15"/>
  <c r="G2918" i="15"/>
  <c r="G2902" i="15"/>
  <c r="G2886" i="15"/>
  <c r="F2867" i="15"/>
  <c r="F2851" i="15"/>
  <c r="F2835" i="15"/>
  <c r="D12" i="16"/>
  <c r="I3028" i="15"/>
  <c r="I2987" i="15"/>
  <c r="H2968" i="15"/>
  <c r="H2952" i="15"/>
  <c r="H2936" i="15"/>
  <c r="G2917" i="15"/>
  <c r="G2901" i="15"/>
  <c r="G2885" i="15"/>
  <c r="F2866" i="15"/>
  <c r="F2850" i="15"/>
  <c r="F2834" i="15"/>
  <c r="I3125" i="15"/>
  <c r="H3021" i="15"/>
  <c r="J2985" i="15"/>
  <c r="I2966" i="15"/>
  <c r="I2950" i="15"/>
  <c r="I2934" i="15"/>
  <c r="H2915" i="15"/>
  <c r="H2899" i="15"/>
  <c r="H2883" i="15"/>
  <c r="G2864" i="15"/>
  <c r="G2848" i="15"/>
  <c r="G2832" i="15"/>
  <c r="G3030" i="15"/>
  <c r="F2940" i="15"/>
  <c r="F2876" i="15"/>
  <c r="J2812" i="15"/>
  <c r="J2796" i="15"/>
  <c r="J2780" i="15"/>
  <c r="J3039" i="15"/>
  <c r="H2942" i="15"/>
  <c r="H2878" i="15"/>
  <c r="D20" i="16"/>
  <c r="H3068" i="15"/>
  <c r="J3072" i="15"/>
  <c r="D124" i="16"/>
  <c r="J3032" i="15"/>
  <c r="F2995" i="15"/>
  <c r="I2956" i="15"/>
  <c r="J2939" i="15"/>
  <c r="F2927" i="15"/>
  <c r="G2914" i="15"/>
  <c r="H2901" i="15"/>
  <c r="I2888" i="15"/>
  <c r="J2875" i="15"/>
  <c r="F2863" i="15"/>
  <c r="G2850" i="15"/>
  <c r="H2837" i="15"/>
  <c r="I2824" i="15"/>
  <c r="H3090" i="15"/>
  <c r="H3025" i="15"/>
  <c r="F2990" i="15"/>
  <c r="G2977" i="15"/>
  <c r="H2964" i="15"/>
  <c r="I2951" i="15"/>
  <c r="J2938" i="15"/>
  <c r="F2926" i="15"/>
  <c r="G2913" i="15"/>
  <c r="H2900" i="15"/>
  <c r="I2887" i="15"/>
  <c r="J2874" i="15"/>
  <c r="F2862" i="15"/>
  <c r="G2849" i="15"/>
  <c r="H2836" i="15"/>
  <c r="I2823" i="15"/>
  <c r="H3069" i="15"/>
  <c r="G3018" i="15"/>
  <c r="G2988" i="15"/>
  <c r="H2975" i="15"/>
  <c r="I2962" i="15"/>
  <c r="J2949" i="15"/>
  <c r="F2937" i="15"/>
  <c r="G2924" i="15"/>
  <c r="H2911" i="15"/>
  <c r="I2898" i="15"/>
  <c r="J2885" i="15"/>
  <c r="F2873" i="15"/>
  <c r="G2860" i="15"/>
  <c r="H2847" i="15"/>
  <c r="I2834" i="15"/>
  <c r="J2821" i="15"/>
  <c r="F2988" i="15"/>
  <c r="J2936" i="15"/>
  <c r="I2885" i="15"/>
  <c r="H2834" i="15"/>
  <c r="J2808" i="15"/>
  <c r="F2796" i="15"/>
  <c r="G2783" i="15"/>
  <c r="H2770" i="15"/>
  <c r="H2990" i="15"/>
  <c r="G2939" i="15"/>
  <c r="F2888" i="15"/>
  <c r="J2836" i="15"/>
  <c r="F72" i="16"/>
  <c r="J3141" i="15"/>
  <c r="H3036" i="15"/>
  <c r="F3069" i="15"/>
  <c r="J3017" i="15"/>
  <c r="F3068" i="15"/>
  <c r="J3016" i="15"/>
  <c r="I2968" i="15"/>
  <c r="H2913" i="15"/>
  <c r="G2862" i="15"/>
  <c r="I3077" i="15"/>
  <c r="I2963" i="15"/>
  <c r="H2912" i="15"/>
  <c r="G2861" i="15"/>
  <c r="G3066" i="15"/>
  <c r="J2961" i="15"/>
  <c r="I2910" i="15"/>
  <c r="H2859" i="15"/>
  <c r="J2984" i="15"/>
  <c r="F2808" i="15"/>
  <c r="G2987" i="15"/>
  <c r="I2817" i="15"/>
  <c r="F2803" i="15"/>
  <c r="G2790" i="15"/>
  <c r="H2777" i="15"/>
  <c r="G3135" i="15"/>
  <c r="G2967" i="15"/>
  <c r="F2916" i="15"/>
  <c r="J2864" i="15"/>
  <c r="H2816" i="15"/>
  <c r="I2803" i="15"/>
  <c r="J2790" i="15"/>
  <c r="F2778" i="15"/>
  <c r="H3122" i="15"/>
  <c r="J2991" i="15"/>
  <c r="F2923" i="15"/>
  <c r="J2871" i="15"/>
  <c r="I2820" i="15"/>
  <c r="G2973" i="15"/>
  <c r="F2922" i="15"/>
  <c r="J2870" i="15"/>
  <c r="I2819" i="15"/>
  <c r="H2971" i="15"/>
  <c r="G2920" i="15"/>
  <c r="F2869" i="15"/>
  <c r="J2817" i="15"/>
  <c r="H2818" i="15"/>
  <c r="H2766" i="15"/>
  <c r="H2830" i="15"/>
  <c r="H2805" i="15"/>
  <c r="I2792" i="15"/>
  <c r="J2779" i="15"/>
  <c r="F2767" i="15"/>
  <c r="J2976" i="15"/>
  <c r="I2925" i="15"/>
  <c r="H2874" i="15"/>
  <c r="G2823" i="15"/>
  <c r="F2806" i="15"/>
  <c r="G2793" i="15"/>
  <c r="H2780" i="15"/>
  <c r="I2767" i="15"/>
  <c r="F2976" i="15"/>
  <c r="I2932" i="15"/>
  <c r="H2881" i="15"/>
  <c r="G2830" i="15"/>
  <c r="J2982" i="15"/>
  <c r="I2931" i="15"/>
  <c r="H2880" i="15"/>
  <c r="G2829" i="15"/>
  <c r="F2981" i="15"/>
  <c r="J2929" i="15"/>
  <c r="I2878" i="15"/>
  <c r="H2827" i="15"/>
  <c r="J2856" i="15"/>
  <c r="D9" i="16"/>
  <c r="F117" i="16"/>
  <c r="I3124" i="15"/>
  <c r="E2" i="16"/>
  <c r="D111" i="16"/>
  <c r="I3120" i="15"/>
  <c r="I3153" i="15"/>
  <c r="E88" i="16"/>
  <c r="F3107" i="15"/>
  <c r="E121" i="16"/>
  <c r="I3134" i="15"/>
  <c r="J3022" i="15"/>
  <c r="I3163" i="15"/>
  <c r="G3141" i="15"/>
  <c r="F130" i="16"/>
  <c r="F3105" i="15"/>
  <c r="I3063" i="15"/>
  <c r="F79" i="16"/>
  <c r="D55" i="16"/>
  <c r="E89" i="16"/>
  <c r="J3114" i="15"/>
  <c r="F82" i="16"/>
  <c r="J3113" i="15"/>
  <c r="E117" i="16"/>
  <c r="G3100" i="15"/>
  <c r="J3014" i="15"/>
  <c r="I3058" i="15"/>
  <c r="H3007" i="15"/>
  <c r="I3057" i="15"/>
  <c r="H3006" i="15"/>
  <c r="H2981" i="15"/>
  <c r="F3098" i="15"/>
  <c r="G3147" i="15"/>
  <c r="H3020" i="15"/>
  <c r="I3117" i="15"/>
  <c r="J3057" i="15"/>
  <c r="G3032" i="15"/>
  <c r="I3006" i="15"/>
  <c r="I3113" i="15"/>
  <c r="J3056" i="15"/>
  <c r="G3031" i="15"/>
  <c r="I3005" i="15"/>
  <c r="F3039" i="15"/>
  <c r="I2980" i="15"/>
  <c r="I3144" i="15"/>
  <c r="J3094" i="15"/>
  <c r="J3093" i="15"/>
  <c r="J3062" i="15"/>
  <c r="I3011" i="15"/>
  <c r="H3114" i="15"/>
  <c r="F3057" i="15"/>
  <c r="H3031" i="15"/>
  <c r="J3005" i="15"/>
  <c r="H3110" i="15"/>
  <c r="F3056" i="15"/>
  <c r="H3030" i="15"/>
  <c r="J3004" i="15"/>
  <c r="J3035" i="15"/>
  <c r="J2979" i="15"/>
  <c r="G2954" i="15"/>
  <c r="I3055" i="15"/>
  <c r="H3027" i="15"/>
  <c r="H3026" i="15"/>
  <c r="J2967" i="15"/>
  <c r="G2938" i="15"/>
  <c r="I2912" i="15"/>
  <c r="F2887" i="15"/>
  <c r="H2861" i="15"/>
  <c r="J2835" i="15"/>
  <c r="G3070" i="15"/>
  <c r="H2988" i="15"/>
  <c r="J2962" i="15"/>
  <c r="G2937" i="15"/>
  <c r="I2911" i="15"/>
  <c r="F2886" i="15"/>
  <c r="H2860" i="15"/>
  <c r="J2834" i="15"/>
  <c r="F3063" i="15"/>
  <c r="I2986" i="15"/>
  <c r="F2961" i="15"/>
  <c r="H2935" i="15"/>
  <c r="J2909" i="15"/>
  <c r="G2884" i="15"/>
  <c r="I2858" i="15"/>
  <c r="F2833" i="15"/>
  <c r="I2981" i="15"/>
  <c r="G2879" i="15"/>
  <c r="G2807" i="15"/>
  <c r="F2788" i="15"/>
  <c r="F2772" i="15"/>
  <c r="F2984" i="15"/>
  <c r="G2907" i="15"/>
  <c r="G2843" i="15"/>
  <c r="F98" i="16"/>
  <c r="J2998" i="15"/>
  <c r="F3037" i="15"/>
  <c r="I3081" i="15"/>
  <c r="I2997" i="15"/>
  <c r="F2971" i="15"/>
  <c r="G2950" i="15"/>
  <c r="F2931" i="15"/>
  <c r="F2915" i="15"/>
  <c r="F2899" i="15"/>
  <c r="J2879" i="15"/>
  <c r="J2863" i="15"/>
  <c r="J2847" i="15"/>
  <c r="I2828" i="15"/>
  <c r="G3103" i="15"/>
  <c r="J3015" i="15"/>
  <c r="G2981" i="15"/>
  <c r="G2965" i="15"/>
  <c r="G2949" i="15"/>
  <c r="F2930" i="15"/>
  <c r="F2914" i="15"/>
  <c r="F2898" i="15"/>
  <c r="J2878" i="15"/>
  <c r="J2862" i="15"/>
  <c r="J2846" i="15"/>
  <c r="I2827" i="15"/>
  <c r="H3074" i="15"/>
  <c r="I3008" i="15"/>
  <c r="H2979" i="15"/>
  <c r="H2963" i="15"/>
  <c r="H2947" i="15"/>
  <c r="G2928" i="15"/>
  <c r="G2912" i="15"/>
  <c r="G2896" i="15"/>
  <c r="F2877" i="15"/>
  <c r="F2861" i="15"/>
  <c r="F2845" i="15"/>
  <c r="J2825" i="15"/>
  <c r="G2991" i="15"/>
  <c r="G2927" i="15"/>
  <c r="H2850" i="15"/>
  <c r="I2809" i="15"/>
  <c r="I2793" i="15"/>
  <c r="H2774" i="15"/>
  <c r="I2993" i="15"/>
  <c r="I2929" i="15"/>
  <c r="J2852" i="15"/>
  <c r="H3104" i="15"/>
  <c r="J3042" i="15"/>
  <c r="I3046" i="15"/>
  <c r="F3120" i="15"/>
  <c r="F3020" i="15"/>
  <c r="G2974" i="15"/>
  <c r="I2952" i="15"/>
  <c r="I2936" i="15"/>
  <c r="J2923" i="15"/>
  <c r="F2911" i="15"/>
  <c r="G2898" i="15"/>
  <c r="H2885" i="15"/>
  <c r="I2872" i="15"/>
  <c r="J2859" i="15"/>
  <c r="F2847" i="15"/>
  <c r="G2834" i="15"/>
  <c r="H2821" i="15"/>
  <c r="J3063" i="15"/>
  <c r="I3012" i="15"/>
  <c r="J2986" i="15"/>
  <c r="F2974" i="15"/>
  <c r="G2961" i="15"/>
  <c r="H2948" i="15"/>
  <c r="I2935" i="15"/>
  <c r="J2922" i="15"/>
  <c r="F2910" i="15"/>
  <c r="G2897" i="15"/>
  <c r="H2884" i="15"/>
  <c r="I2871" i="15"/>
  <c r="J2858" i="15"/>
  <c r="F2846" i="15"/>
  <c r="G2833" i="15"/>
  <c r="H2820" i="15"/>
  <c r="I3056" i="15"/>
  <c r="H3005" i="15"/>
  <c r="F2985" i="15"/>
  <c r="G2972" i="15"/>
  <c r="H2959" i="15"/>
  <c r="I2946" i="15"/>
  <c r="J2933" i="15"/>
  <c r="F2921" i="15"/>
  <c r="G2908" i="15"/>
  <c r="H2895" i="15"/>
  <c r="I2882" i="15"/>
  <c r="J2869" i="15"/>
  <c r="F2857" i="15"/>
  <c r="G2844" i="15"/>
  <c r="H2831" i="15"/>
  <c r="I2818" i="15"/>
  <c r="G2975" i="15"/>
  <c r="F2924" i="15"/>
  <c r="J2872" i="15"/>
  <c r="I2821" i="15"/>
  <c r="I2805" i="15"/>
  <c r="J2792" i="15"/>
  <c r="F2780" i="15"/>
  <c r="G2767" i="15"/>
  <c r="I2977" i="15"/>
  <c r="H2926" i="15"/>
  <c r="G2875" i="15"/>
  <c r="F2824" i="15"/>
  <c r="J3131" i="15"/>
  <c r="I3090" i="15"/>
  <c r="J3010" i="15"/>
  <c r="G3056" i="15"/>
  <c r="F3005" i="15"/>
  <c r="G3055" i="15"/>
  <c r="F3004" i="15"/>
  <c r="J2951" i="15"/>
  <c r="I2900" i="15"/>
  <c r="H2849" i="15"/>
  <c r="G3022" i="15"/>
  <c r="J2950" i="15"/>
  <c r="I2899" i="15"/>
  <c r="H2848" i="15"/>
  <c r="F3015" i="15"/>
  <c r="F2949" i="15"/>
  <c r="J2897" i="15"/>
  <c r="I2846" i="15"/>
  <c r="I2933" i="15"/>
  <c r="G2795" i="15"/>
  <c r="F2936" i="15"/>
  <c r="H2813" i="15"/>
  <c r="J2799" i="15"/>
  <c r="F2787" i="15"/>
  <c r="G2774" i="15"/>
  <c r="I3036" i="15"/>
  <c r="H2954" i="15"/>
  <c r="G2903" i="15"/>
  <c r="F2852" i="15"/>
  <c r="G2813" i="15"/>
  <c r="H2800" i="15"/>
  <c r="I2787" i="15"/>
  <c r="J2774" i="15"/>
  <c r="H3033" i="15"/>
  <c r="I2964" i="15"/>
  <c r="G2910" i="15"/>
  <c r="F2859" i="15"/>
  <c r="I3060" i="15"/>
  <c r="H2960" i="15"/>
  <c r="G2909" i="15"/>
  <c r="F2858" i="15"/>
  <c r="H3053" i="15"/>
  <c r="I2958" i="15"/>
  <c r="H2907" i="15"/>
  <c r="G2856" i="15"/>
  <c r="F2972" i="15"/>
  <c r="J2804" i="15"/>
  <c r="H2974" i="15"/>
  <c r="I2816" i="15"/>
  <c r="G2802" i="15"/>
  <c r="H2789" i="15"/>
  <c r="I2776" i="15"/>
  <c r="F3084" i="15"/>
  <c r="F2964" i="15"/>
  <c r="E71" i="16"/>
  <c r="F119" i="16"/>
  <c r="E4" i="16"/>
  <c r="D42" i="16"/>
  <c r="D46" i="16"/>
  <c r="E113" i="16"/>
  <c r="I3080" i="15"/>
  <c r="H3143" i="15"/>
  <c r="I3031" i="15"/>
  <c r="F3135" i="15"/>
  <c r="H3092" i="15"/>
  <c r="H3091" i="15"/>
  <c r="I3073" i="15"/>
  <c r="G3036" i="15"/>
  <c r="G3035" i="15"/>
  <c r="E28" i="16"/>
  <c r="G3065" i="15"/>
  <c r="G3079" i="15"/>
  <c r="I3022" i="15"/>
  <c r="G3075" i="15"/>
  <c r="I3021" i="15"/>
  <c r="I3000" i="15"/>
  <c r="E41" i="16"/>
  <c r="F70" i="16"/>
  <c r="H2996" i="15"/>
  <c r="H3047" i="15"/>
  <c r="G2996" i="15"/>
  <c r="H3046" i="15"/>
  <c r="G2995" i="15"/>
  <c r="G2970" i="15"/>
  <c r="J3153" i="15"/>
  <c r="F3071" i="15"/>
  <c r="I2928" i="15"/>
  <c r="H2877" i="15"/>
  <c r="G2826" i="15"/>
  <c r="J2978" i="15"/>
  <c r="I2927" i="15"/>
  <c r="H2876" i="15"/>
  <c r="G2825" i="15"/>
  <c r="F2977" i="15"/>
  <c r="J2925" i="15"/>
  <c r="I2874" i="15"/>
  <c r="H2823" i="15"/>
  <c r="J2840" i="15"/>
  <c r="J2784" i="15"/>
  <c r="H2958" i="15"/>
  <c r="E74" i="16"/>
  <c r="J3136" i="15"/>
  <c r="J3048" i="15"/>
  <c r="G2966" i="15"/>
  <c r="J2927" i="15"/>
  <c r="I2892" i="15"/>
  <c r="I2860" i="15"/>
  <c r="H2825" i="15"/>
  <c r="F2994" i="15"/>
  <c r="F2962" i="15"/>
  <c r="J2926" i="15"/>
  <c r="I2891" i="15"/>
  <c r="I2859" i="15"/>
  <c r="H2824" i="15"/>
  <c r="G2992" i="15"/>
  <c r="G2960" i="15"/>
  <c r="F2925" i="15"/>
  <c r="J2889" i="15"/>
  <c r="J2857" i="15"/>
  <c r="I2822" i="15"/>
  <c r="I2901" i="15"/>
  <c r="H2806" i="15"/>
  <c r="G2771" i="15"/>
  <c r="F2904" i="15"/>
  <c r="E13" i="16"/>
  <c r="J3033" i="15"/>
  <c r="F118" i="16"/>
  <c r="H2949" i="15"/>
  <c r="I2920" i="15"/>
  <c r="F2895" i="15"/>
  <c r="H2869" i="15"/>
  <c r="J2843" i="15"/>
  <c r="G2818" i="15"/>
  <c r="J2999" i="15"/>
  <c r="J2970" i="15"/>
  <c r="G2945" i="15"/>
  <c r="I2919" i="15"/>
  <c r="F2894" i="15"/>
  <c r="H2868" i="15"/>
  <c r="J2842" i="15"/>
  <c r="D76" i="16"/>
  <c r="I2994" i="15"/>
  <c r="F2969" i="15"/>
  <c r="H2943" i="15"/>
  <c r="J2917" i="15"/>
  <c r="G2892" i="15"/>
  <c r="I2866" i="15"/>
  <c r="F2841" i="15"/>
  <c r="I3068" i="15"/>
  <c r="G2911" i="15"/>
  <c r="G2815" i="15"/>
  <c r="I2789" i="15"/>
  <c r="J3096" i="15"/>
  <c r="I2913" i="15"/>
  <c r="J2815" i="15"/>
  <c r="H3134" i="15"/>
  <c r="H3043" i="15"/>
  <c r="H3042" i="15"/>
  <c r="F2939" i="15"/>
  <c r="I2836" i="15"/>
  <c r="F2938" i="15"/>
  <c r="I2835" i="15"/>
  <c r="G2936" i="15"/>
  <c r="J2833" i="15"/>
  <c r="H2782" i="15"/>
  <c r="H2809" i="15"/>
  <c r="J2783" i="15"/>
  <c r="J2992" i="15"/>
  <c r="H2890" i="15"/>
  <c r="F2810" i="15"/>
  <c r="H2784" i="15"/>
  <c r="F2992" i="15"/>
  <c r="H2897" i="15"/>
  <c r="H3009" i="15"/>
  <c r="H2896" i="15"/>
  <c r="G3002" i="15"/>
  <c r="I2894" i="15"/>
  <c r="J2920" i="15"/>
  <c r="G2923" i="15"/>
  <c r="F2799" i="15"/>
  <c r="H2773" i="15"/>
  <c r="G2951" i="15"/>
  <c r="G2887" i="15"/>
  <c r="I2815" i="15"/>
  <c r="I2799" i="15"/>
  <c r="I2783" i="15"/>
  <c r="J3071" i="15"/>
  <c r="J2959" i="15"/>
  <c r="G2894" i="15"/>
  <c r="H2817" i="15"/>
  <c r="G2957" i="15"/>
  <c r="G2893" i="15"/>
  <c r="G3160" i="15"/>
  <c r="H2955" i="15"/>
  <c r="H2891" i="15"/>
  <c r="J3055" i="15"/>
  <c r="I2801" i="15"/>
  <c r="I2961" i="15"/>
  <c r="F2815" i="15"/>
  <c r="H2801" i="15"/>
  <c r="I2788" i="15"/>
  <c r="J2775" i="15"/>
  <c r="G3062" i="15"/>
  <c r="J2960" i="15"/>
  <c r="I2909" i="15"/>
  <c r="H2858" i="15"/>
  <c r="J2814" i="15"/>
  <c r="F2802" i="15"/>
  <c r="G2789" i="15"/>
  <c r="H2776" i="15"/>
  <c r="G2942" i="15"/>
  <c r="F2891" i="15"/>
  <c r="J2839" i="15"/>
  <c r="H2992" i="15"/>
  <c r="G2941" i="15"/>
  <c r="F2890" i="15"/>
  <c r="J2838" i="15"/>
  <c r="I2990" i="15"/>
  <c r="H2939" i="15"/>
  <c r="G2888" i="15"/>
  <c r="F2837" i="15"/>
  <c r="G2895" i="15"/>
  <c r="I2785" i="15"/>
  <c r="I2897" i="15"/>
  <c r="G2810" i="15"/>
  <c r="H2797" i="15"/>
  <c r="I2784" i="15"/>
  <c r="J2771" i="15"/>
  <c r="G2998" i="15"/>
  <c r="J2944" i="15"/>
  <c r="I2893" i="15"/>
  <c r="H2842" i="15"/>
  <c r="J2810" i="15"/>
  <c r="F2798" i="15"/>
  <c r="G2785" i="15"/>
  <c r="H2772" i="15"/>
  <c r="H2995" i="15"/>
  <c r="F2944" i="15"/>
  <c r="J2892" i="15"/>
  <c r="I2841" i="15"/>
  <c r="I2810" i="15"/>
  <c r="J2797" i="15"/>
  <c r="J2940" i="15"/>
  <c r="I2873" i="15"/>
  <c r="I2814" i="15"/>
  <c r="F2797" i="15"/>
  <c r="G2784" i="15"/>
  <c r="H2771" i="15"/>
  <c r="G2758" i="15"/>
  <c r="H2745" i="15"/>
  <c r="I2732" i="15"/>
  <c r="J2719" i="15"/>
  <c r="F2707" i="15"/>
  <c r="G2694" i="15"/>
  <c r="H2681" i="15"/>
  <c r="I2668" i="15"/>
  <c r="J2655" i="15"/>
  <c r="F2643" i="15"/>
  <c r="G2630" i="15"/>
  <c r="H2617" i="15"/>
  <c r="I2604" i="15"/>
  <c r="J2591" i="15"/>
  <c r="F2579" i="15"/>
  <c r="G2566" i="15"/>
  <c r="F2758" i="15"/>
  <c r="G2745" i="15"/>
  <c r="H2732" i="15"/>
  <c r="I2719" i="15"/>
  <c r="J2706" i="15"/>
  <c r="F2694" i="15"/>
  <c r="G2681" i="15"/>
  <c r="H2668" i="15"/>
  <c r="I2655" i="15"/>
  <c r="J2642" i="15"/>
  <c r="F2630" i="15"/>
  <c r="G2617" i="15"/>
  <c r="H2604" i="15"/>
  <c r="I2591" i="15"/>
  <c r="J2578" i="15"/>
  <c r="F2566" i="15"/>
  <c r="F2757" i="15"/>
  <c r="G2744" i="15"/>
  <c r="H2731" i="15"/>
  <c r="I2718" i="15"/>
  <c r="J2705" i="15"/>
  <c r="F2693" i="15"/>
  <c r="G2680" i="15"/>
  <c r="H2667" i="15"/>
  <c r="I2654" i="15"/>
  <c r="J2641" i="15"/>
  <c r="F2629" i="15"/>
  <c r="G2616" i="15"/>
  <c r="H2603" i="15"/>
  <c r="I2590" i="15"/>
  <c r="J2577" i="15"/>
  <c r="F2565" i="15"/>
  <c r="F2756" i="15"/>
  <c r="G2743" i="15"/>
  <c r="H2730" i="15"/>
  <c r="I2717" i="15"/>
  <c r="J2704" i="15"/>
  <c r="I2937" i="15"/>
  <c r="H2870" i="15"/>
  <c r="F2813" i="15"/>
  <c r="G2796" i="15"/>
  <c r="H2783" i="15"/>
  <c r="I2770" i="15"/>
  <c r="H2757" i="15"/>
  <c r="I2744" i="15"/>
  <c r="J2731" i="15"/>
  <c r="F2719" i="15"/>
  <c r="G2706" i="15"/>
  <c r="H2693" i="15"/>
  <c r="I2680" i="15"/>
  <c r="J2667" i="15"/>
  <c r="F2655" i="15"/>
  <c r="G2642" i="15"/>
  <c r="H2629" i="15"/>
  <c r="I2616" i="15"/>
  <c r="J2603" i="15"/>
  <c r="F2591" i="15"/>
  <c r="G2578" i="15"/>
  <c r="H2565" i="15"/>
  <c r="G2757" i="15"/>
  <c r="H2744" i="15"/>
  <c r="I2731" i="15"/>
  <c r="J2718" i="15"/>
  <c r="F2706" i="15"/>
  <c r="G2693" i="15"/>
  <c r="H2680" i="15"/>
  <c r="I2667" i="15"/>
  <c r="J2654" i="15"/>
  <c r="F2642" i="15"/>
  <c r="G2629" i="15"/>
  <c r="H2616" i="15"/>
  <c r="I2603" i="15"/>
  <c r="J2590" i="15"/>
  <c r="F2578" i="15"/>
  <c r="G2565" i="15"/>
  <c r="G2756" i="15"/>
  <c r="H2743" i="15"/>
  <c r="I2730" i="15"/>
  <c r="J2717" i="15"/>
  <c r="F2705" i="15"/>
  <c r="G2692" i="15"/>
  <c r="H2679" i="15"/>
  <c r="I2666" i="15"/>
  <c r="J2653" i="15"/>
  <c r="F2641" i="15"/>
  <c r="G2628" i="15"/>
  <c r="H2615" i="15"/>
  <c r="I2602" i="15"/>
  <c r="J2589" i="15"/>
  <c r="F2577" i="15"/>
  <c r="G2564" i="15"/>
  <c r="G2755" i="15"/>
  <c r="H2742" i="15"/>
  <c r="I2729" i="15"/>
  <c r="J2716" i="15"/>
  <c r="F2704" i="15"/>
  <c r="H2934" i="15"/>
  <c r="F2864" i="15"/>
  <c r="G2812" i="15"/>
  <c r="H2795" i="15"/>
  <c r="I2782" i="15"/>
  <c r="J2769" i="15"/>
  <c r="I2756" i="15"/>
  <c r="J2743" i="15"/>
  <c r="F2731" i="15"/>
  <c r="G2718" i="15"/>
  <c r="H2705" i="15"/>
  <c r="I2692" i="15"/>
  <c r="J2679" i="15"/>
  <c r="F2667" i="15"/>
  <c r="G2654" i="15"/>
  <c r="H2641" i="15"/>
  <c r="I2628" i="15"/>
  <c r="J2615" i="15"/>
  <c r="F2603" i="15"/>
  <c r="G2590" i="15"/>
  <c r="H2577" i="15"/>
  <c r="I2564" i="15"/>
  <c r="H2756" i="15"/>
  <c r="I2743" i="15"/>
  <c r="J2730" i="15"/>
  <c r="F2718" i="15"/>
  <c r="G2705" i="15"/>
  <c r="H2692" i="15"/>
  <c r="I2679" i="15"/>
  <c r="J2666" i="15"/>
  <c r="F2654" i="15"/>
  <c r="G2641" i="15"/>
  <c r="H2628" i="15"/>
  <c r="I2615" i="15"/>
  <c r="J2602" i="15"/>
  <c r="F2590" i="15"/>
  <c r="G2577" i="15"/>
  <c r="H2564" i="15"/>
  <c r="H2755" i="15"/>
  <c r="I2742" i="15"/>
  <c r="J2729" i="15"/>
  <c r="F2717" i="15"/>
  <c r="G2704" i="15"/>
  <c r="H2691" i="15"/>
  <c r="I2678" i="15"/>
  <c r="J2665" i="15"/>
  <c r="F2653" i="15"/>
  <c r="G2640" i="15"/>
  <c r="H2627" i="15"/>
  <c r="I2614" i="15"/>
  <c r="J2601" i="15"/>
  <c r="F2589" i="15"/>
  <c r="G2576" i="15"/>
  <c r="H2563" i="15"/>
  <c r="H2754" i="15"/>
  <c r="I2741" i="15"/>
  <c r="J2728" i="15"/>
  <c r="F2716" i="15"/>
  <c r="G2703" i="15"/>
  <c r="F2928" i="15"/>
  <c r="J2860" i="15"/>
  <c r="H2811" i="15"/>
  <c r="I2794" i="15"/>
  <c r="J2781" i="15"/>
  <c r="F2769" i="15"/>
  <c r="J2755" i="15"/>
  <c r="F2743" i="15"/>
  <c r="G2730" i="15"/>
  <c r="H2717" i="15"/>
  <c r="I2704" i="15"/>
  <c r="J2691" i="15"/>
  <c r="F2679" i="15"/>
  <c r="G2666" i="15"/>
  <c r="H2653" i="15"/>
  <c r="I2640" i="15"/>
  <c r="J2627" i="15"/>
  <c r="F2615" i="15"/>
  <c r="G2602" i="15"/>
  <c r="H2589" i="15"/>
  <c r="I2576" i="15"/>
  <c r="J2563" i="15"/>
  <c r="I2755" i="15"/>
  <c r="J2742" i="15"/>
  <c r="F2730" i="15"/>
  <c r="G2717" i="15"/>
  <c r="H2704" i="15"/>
  <c r="I2691" i="15"/>
  <c r="J2678" i="15"/>
  <c r="F2666" i="15"/>
  <c r="G2653" i="15"/>
  <c r="H2640" i="15"/>
  <c r="I2627" i="15"/>
  <c r="J2614" i="15"/>
  <c r="F2602" i="15"/>
  <c r="G2589" i="15"/>
  <c r="H2576" i="15"/>
  <c r="I2563" i="15"/>
  <c r="I2754" i="15"/>
  <c r="J2741" i="15"/>
  <c r="F2729" i="15"/>
  <c r="G2716" i="15"/>
  <c r="H2703" i="15"/>
  <c r="I2690" i="15"/>
  <c r="J2677" i="15"/>
  <c r="F2665" i="15"/>
  <c r="G2652" i="15"/>
  <c r="H2639" i="15"/>
  <c r="I2626" i="15"/>
  <c r="J2613" i="15"/>
  <c r="F2601" i="15"/>
  <c r="G2588" i="15"/>
  <c r="H2575" i="15"/>
  <c r="I2562" i="15"/>
  <c r="I2753" i="15"/>
  <c r="J2740" i="15"/>
  <c r="F2728" i="15"/>
  <c r="G2715" i="15"/>
  <c r="H2702" i="15"/>
  <c r="I2689" i="15"/>
  <c r="J2676" i="15"/>
  <c r="F2664" i="15"/>
  <c r="G2651" i="15"/>
  <c r="I2701" i="15"/>
  <c r="J2684" i="15"/>
  <c r="F2668" i="15"/>
  <c r="H2650" i="15"/>
  <c r="G2635" i="15"/>
  <c r="H2622" i="15"/>
  <c r="I2609" i="15"/>
  <c r="J2596" i="15"/>
  <c r="F2584" i="15"/>
  <c r="G2571" i="15"/>
  <c r="J2558" i="15"/>
  <c r="F2546" i="15"/>
  <c r="G2533" i="15"/>
  <c r="H2520" i="15"/>
  <c r="I2507" i="15"/>
  <c r="J2494" i="15"/>
  <c r="F2482" i="15"/>
  <c r="G2469" i="15"/>
  <c r="H2456" i="15"/>
  <c r="I2443" i="15"/>
  <c r="F2557" i="15"/>
  <c r="G2544" i="15"/>
  <c r="H2531" i="15"/>
  <c r="I2518" i="15"/>
  <c r="J2505" i="15"/>
  <c r="F2493" i="15"/>
  <c r="G2480" i="15"/>
  <c r="H2467" i="15"/>
  <c r="I2454" i="15"/>
  <c r="J2441" i="15"/>
  <c r="F2429" i="15"/>
  <c r="G2416" i="15"/>
  <c r="H2403" i="15"/>
  <c r="I2390" i="15"/>
  <c r="J2377" i="15"/>
  <c r="F2365" i="15"/>
  <c r="J2556" i="15"/>
  <c r="F2544" i="15"/>
  <c r="G2531" i="15"/>
  <c r="H2518" i="15"/>
  <c r="I2505" i="15"/>
  <c r="J2492" i="15"/>
  <c r="F2480" i="15"/>
  <c r="G2467" i="15"/>
  <c r="H2454" i="15"/>
  <c r="I2441" i="15"/>
  <c r="J2428" i="15"/>
  <c r="F2416" i="15"/>
  <c r="G2403" i="15"/>
  <c r="H2390" i="15"/>
  <c r="I2377" i="15"/>
  <c r="J2364" i="15"/>
  <c r="J2555" i="15"/>
  <c r="F2543" i="15"/>
  <c r="G2530" i="15"/>
  <c r="H2517" i="15"/>
  <c r="I2504" i="15"/>
  <c r="J2491" i="15"/>
  <c r="F2479" i="15"/>
  <c r="G2466" i="15"/>
  <c r="H2453" i="15"/>
  <c r="I2440" i="15"/>
  <c r="J2427" i="15"/>
  <c r="F2415" i="15"/>
  <c r="J2696" i="15"/>
  <c r="G2679" i="15"/>
  <c r="H2662" i="15"/>
  <c r="I2645" i="15"/>
  <c r="G2631" i="15"/>
  <c r="H2618" i="15"/>
  <c r="I2605" i="15"/>
  <c r="J2592" i="15"/>
  <c r="F2580" i="15"/>
  <c r="G2567" i="15"/>
  <c r="J2554" i="15"/>
  <c r="F2542" i="15"/>
  <c r="G2529" i="15"/>
  <c r="H2516" i="15"/>
  <c r="I2503" i="15"/>
  <c r="J2490" i="15"/>
  <c r="F2478" i="15"/>
  <c r="G2465" i="15"/>
  <c r="H2452" i="15"/>
  <c r="F60" i="16"/>
  <c r="E114" i="16"/>
  <c r="G3165" i="15"/>
  <c r="E31" i="16"/>
  <c r="F24" i="16"/>
  <c r="D28" i="16"/>
  <c r="E137" i="16"/>
  <c r="G3140" i="15"/>
  <c r="H3028" i="15"/>
  <c r="G3122" i="15"/>
  <c r="G3089" i="15"/>
  <c r="G3088" i="15"/>
  <c r="F3066" i="15"/>
  <c r="F3033" i="15"/>
  <c r="F3032" i="15"/>
  <c r="D32" i="16"/>
  <c r="H3052" i="15"/>
  <c r="I3070" i="15"/>
  <c r="H3019" i="15"/>
  <c r="I3069" i="15"/>
  <c r="H3018" i="15"/>
  <c r="H2993" i="15"/>
  <c r="F3146" i="15"/>
  <c r="I3137" i="15"/>
  <c r="F86" i="16"/>
  <c r="G3044" i="15"/>
  <c r="D60" i="16"/>
  <c r="G3043" i="15"/>
  <c r="F3132" i="15"/>
  <c r="F2967" i="15"/>
  <c r="H3098" i="15"/>
  <c r="J3019" i="15"/>
  <c r="H2925" i="15"/>
  <c r="G2874" i="15"/>
  <c r="F2823" i="15"/>
  <c r="I2975" i="15"/>
  <c r="H2924" i="15"/>
  <c r="G2873" i="15"/>
  <c r="F2822" i="15"/>
  <c r="J2973" i="15"/>
  <c r="I2922" i="15"/>
  <c r="H2871" i="15"/>
  <c r="G2820" i="15"/>
  <c r="F2828" i="15"/>
  <c r="I2781" i="15"/>
  <c r="I2945" i="15"/>
  <c r="E105" i="16"/>
  <c r="I3085" i="15"/>
  <c r="F3036" i="15"/>
  <c r="G2958" i="15"/>
  <c r="I2924" i="15"/>
  <c r="H2889" i="15"/>
  <c r="G2854" i="15"/>
  <c r="G2822" i="15"/>
  <c r="J2990" i="15"/>
  <c r="I2955" i="15"/>
  <c r="I2923" i="15"/>
  <c r="H2888" i="15"/>
  <c r="G2853" i="15"/>
  <c r="G2821" i="15"/>
  <c r="F2989" i="15"/>
  <c r="J2953" i="15"/>
  <c r="J2921" i="15"/>
  <c r="I2886" i="15"/>
  <c r="H2851" i="15"/>
  <c r="H2819" i="15"/>
  <c r="J2888" i="15"/>
  <c r="F2800" i="15"/>
  <c r="F2768" i="15"/>
  <c r="G2891" i="15"/>
  <c r="E49" i="16"/>
  <c r="F3021" i="15"/>
  <c r="H3045" i="15"/>
  <c r="F2943" i="15"/>
  <c r="H2917" i="15"/>
  <c r="J2891" i="15"/>
  <c r="G2866" i="15"/>
  <c r="I2840" i="15"/>
  <c r="I3141" i="15"/>
  <c r="G2993" i="15"/>
  <c r="I2967" i="15"/>
  <c r="F2942" i="15"/>
  <c r="H2916" i="15"/>
  <c r="J2890" i="15"/>
  <c r="G2865" i="15"/>
  <c r="I2839" i="15"/>
  <c r="J3112" i="15"/>
  <c r="H2991" i="15"/>
  <c r="J2965" i="15"/>
  <c r="G2940" i="15"/>
  <c r="I2914" i="15"/>
  <c r="F2889" i="15"/>
  <c r="H2863" i="15"/>
  <c r="J2837" i="15"/>
  <c r="H3017" i="15"/>
  <c r="H2898" i="15"/>
  <c r="F2812" i="15"/>
  <c r="H2786" i="15"/>
  <c r="F3027" i="15"/>
  <c r="J2900" i="15"/>
  <c r="I2812" i="15"/>
  <c r="F3062" i="15"/>
  <c r="I3030" i="15"/>
  <c r="I3029" i="15"/>
  <c r="G2926" i="15"/>
  <c r="J2823" i="15"/>
  <c r="G2925" i="15"/>
  <c r="J2822" i="15"/>
  <c r="H2923" i="15"/>
  <c r="F2821" i="15"/>
  <c r="I2769" i="15"/>
  <c r="G2806" i="15"/>
  <c r="I2780" i="15"/>
  <c r="F2980" i="15"/>
  <c r="I2877" i="15"/>
  <c r="J2806" i="15"/>
  <c r="G2781" i="15"/>
  <c r="G2979" i="15"/>
  <c r="I2884" i="15"/>
  <c r="F2986" i="15"/>
  <c r="I2883" i="15"/>
  <c r="G2984" i="15"/>
  <c r="J2881" i="15"/>
  <c r="I2869" i="15"/>
  <c r="F2872" i="15"/>
  <c r="J2795" i="15"/>
  <c r="G2770" i="15"/>
  <c r="H2938" i="15"/>
  <c r="I2861" i="15"/>
  <c r="H2812" i="15"/>
  <c r="H2796" i="15"/>
  <c r="G2777" i="15"/>
  <c r="I3020" i="15"/>
  <c r="H2945" i="15"/>
  <c r="I2868" i="15"/>
  <c r="J3047" i="15"/>
  <c r="H2944" i="15"/>
  <c r="I2867" i="15"/>
  <c r="I3040" i="15"/>
  <c r="I2942" i="15"/>
  <c r="J2865" i="15"/>
  <c r="G2959" i="15"/>
  <c r="J2788" i="15"/>
  <c r="H2910" i="15"/>
  <c r="F2811" i="15"/>
  <c r="G2798" i="15"/>
  <c r="H2785" i="15"/>
  <c r="I2772" i="15"/>
  <c r="F3011" i="15"/>
  <c r="F2948" i="15"/>
  <c r="J2896" i="15"/>
  <c r="I2845" i="15"/>
  <c r="I2811" i="15"/>
  <c r="J2798" i="15"/>
  <c r="F2786" i="15"/>
  <c r="G2773" i="15"/>
  <c r="H2929" i="15"/>
  <c r="G2878" i="15"/>
  <c r="F2827" i="15"/>
  <c r="I2979" i="15"/>
  <c r="H2928" i="15"/>
  <c r="G2877" i="15"/>
  <c r="F2826" i="15"/>
  <c r="J2977" i="15"/>
  <c r="I2926" i="15"/>
  <c r="H2875" i="15"/>
  <c r="G2824" i="15"/>
  <c r="F2844" i="15"/>
  <c r="J2772" i="15"/>
  <c r="H2846" i="15"/>
  <c r="F2807" i="15"/>
  <c r="G2794" i="15"/>
  <c r="H2781" i="15"/>
  <c r="I2768" i="15"/>
  <c r="G2983" i="15"/>
  <c r="F2932" i="15"/>
  <c r="J2880" i="15"/>
  <c r="I2829" i="15"/>
  <c r="I2807" i="15"/>
  <c r="J2794" i="15"/>
  <c r="F2782" i="15"/>
  <c r="G2769" i="15"/>
  <c r="H2982" i="15"/>
  <c r="G2931" i="15"/>
  <c r="F2880" i="15"/>
  <c r="J2828" i="15"/>
  <c r="H2807" i="15"/>
  <c r="F2770" i="15"/>
  <c r="J2924" i="15"/>
  <c r="I2857" i="15"/>
  <c r="J2809" i="15"/>
  <c r="J2793" i="15"/>
  <c r="F2781" i="15"/>
  <c r="G2768" i="15"/>
  <c r="F2755" i="15"/>
  <c r="G2742" i="15"/>
  <c r="H2729" i="15"/>
  <c r="I2716" i="15"/>
  <c r="J2703" i="15"/>
  <c r="F2691" i="15"/>
  <c r="G2678" i="15"/>
  <c r="H2665" i="15"/>
  <c r="I2652" i="15"/>
  <c r="J2639" i="15"/>
  <c r="F2627" i="15"/>
  <c r="G2614" i="15"/>
  <c r="H2601" i="15"/>
  <c r="I2588" i="15"/>
  <c r="J2575" i="15"/>
  <c r="F2563" i="15"/>
  <c r="J2754" i="15"/>
  <c r="F2742" i="15"/>
  <c r="G2729" i="15"/>
  <c r="H2716" i="15"/>
  <c r="I2703" i="15"/>
  <c r="J2690" i="15"/>
  <c r="F2678" i="15"/>
  <c r="G2665" i="15"/>
  <c r="H2652" i="15"/>
  <c r="I2639" i="15"/>
  <c r="J2626" i="15"/>
  <c r="F2614" i="15"/>
  <c r="G2601" i="15"/>
  <c r="H2588" i="15"/>
  <c r="I2575" i="15"/>
  <c r="J2562" i="15"/>
  <c r="J2753" i="15"/>
  <c r="F2741" i="15"/>
  <c r="G2728" i="15"/>
  <c r="H2715" i="15"/>
  <c r="I2702" i="15"/>
  <c r="J2689" i="15"/>
  <c r="F2677" i="15"/>
  <c r="G2664" i="15"/>
  <c r="H2651" i="15"/>
  <c r="I2638" i="15"/>
  <c r="J2625" i="15"/>
  <c r="F2613" i="15"/>
  <c r="G2600" i="15"/>
  <c r="H2587" i="15"/>
  <c r="I2574" i="15"/>
  <c r="J2561" i="15"/>
  <c r="J2752" i="15"/>
  <c r="F2740" i="15"/>
  <c r="G2727" i="15"/>
  <c r="H2714" i="15"/>
  <c r="J2766" i="15"/>
  <c r="I2921" i="15"/>
  <c r="G2851" i="15"/>
  <c r="F2809" i="15"/>
  <c r="F2793" i="15"/>
  <c r="G2780" i="15"/>
  <c r="H2767" i="15"/>
  <c r="G2754" i="15"/>
  <c r="H2741" i="15"/>
  <c r="I2728" i="15"/>
  <c r="J2715" i="15"/>
  <c r="F2703" i="15"/>
  <c r="G2690" i="15"/>
  <c r="H2677" i="15"/>
  <c r="I2664" i="15"/>
  <c r="J2651" i="15"/>
  <c r="F2639" i="15"/>
  <c r="G2626" i="15"/>
  <c r="H2613" i="15"/>
  <c r="I2600" i="15"/>
  <c r="J2587" i="15"/>
  <c r="F2575" i="15"/>
  <c r="G2562" i="15"/>
  <c r="F2754" i="15"/>
  <c r="G2741" i="15"/>
  <c r="H2728" i="15"/>
  <c r="I2715" i="15"/>
  <c r="J2702" i="15"/>
  <c r="F2690" i="15"/>
  <c r="G2677" i="15"/>
  <c r="H2664" i="15"/>
  <c r="I2651" i="15"/>
  <c r="J2638" i="15"/>
  <c r="F2626" i="15"/>
  <c r="G2613" i="15"/>
  <c r="H2600" i="15"/>
  <c r="I2587" i="15"/>
  <c r="J2574" i="15"/>
  <c r="F2562" i="15"/>
  <c r="F2753" i="15"/>
  <c r="G2740" i="15"/>
  <c r="H2727" i="15"/>
  <c r="I2714" i="15"/>
  <c r="J2701" i="15"/>
  <c r="F2689" i="15"/>
  <c r="G2676" i="15"/>
  <c r="H2663" i="15"/>
  <c r="I2650" i="15"/>
  <c r="J2637" i="15"/>
  <c r="F2625" i="15"/>
  <c r="G2612" i="15"/>
  <c r="H2599" i="15"/>
  <c r="I2586" i="15"/>
  <c r="J2573" i="15"/>
  <c r="J2764" i="15"/>
  <c r="F2752" i="15"/>
  <c r="G2739" i="15"/>
  <c r="H2726" i="15"/>
  <c r="I2713" i="15"/>
  <c r="F3059" i="15"/>
  <c r="G2915" i="15"/>
  <c r="F2848" i="15"/>
  <c r="G2808" i="15"/>
  <c r="G2792" i="15"/>
  <c r="H2779" i="15"/>
  <c r="I2766" i="15"/>
  <c r="H2753" i="15"/>
  <c r="I2740" i="15"/>
  <c r="J2727" i="15"/>
  <c r="F2715" i="15"/>
  <c r="G2702" i="15"/>
  <c r="H2689" i="15"/>
  <c r="I2676" i="15"/>
  <c r="J2663" i="15"/>
  <c r="F2651" i="15"/>
  <c r="G2638" i="15"/>
  <c r="H2625" i="15"/>
  <c r="I2612" i="15"/>
  <c r="J2599" i="15"/>
  <c r="F2587" i="15"/>
  <c r="G2574" i="15"/>
  <c r="H2561" i="15"/>
  <c r="G2753" i="15"/>
  <c r="H2740" i="15"/>
  <c r="I2727" i="15"/>
  <c r="J2714" i="15"/>
  <c r="F2702" i="15"/>
  <c r="G2689" i="15"/>
  <c r="H2676" i="15"/>
  <c r="I2663" i="15"/>
  <c r="J2650" i="15"/>
  <c r="F2638" i="15"/>
  <c r="G2625" i="15"/>
  <c r="H2612" i="15"/>
  <c r="I2599" i="15"/>
  <c r="J2586" i="15"/>
  <c r="F2574" i="15"/>
  <c r="F2765" i="15"/>
  <c r="G2752" i="15"/>
  <c r="H2739" i="15"/>
  <c r="I2726" i="15"/>
  <c r="J2713" i="15"/>
  <c r="F2701" i="15"/>
  <c r="G2688" i="15"/>
  <c r="H2675" i="15"/>
  <c r="I2662" i="15"/>
  <c r="J2649" i="15"/>
  <c r="F2637" i="15"/>
  <c r="G2624" i="15"/>
  <c r="H2611" i="15"/>
  <c r="I2598" i="15"/>
  <c r="J2585" i="15"/>
  <c r="F2573" i="15"/>
  <c r="F2764" i="15"/>
  <c r="G2751" i="15"/>
  <c r="H2738" i="15"/>
  <c r="I2725" i="15"/>
  <c r="J2712" i="15"/>
  <c r="J3007" i="15"/>
  <c r="F2912" i="15"/>
  <c r="J2844" i="15"/>
  <c r="I2806" i="15"/>
  <c r="H2791" i="15"/>
  <c r="I2778" i="15"/>
  <c r="J2765" i="15"/>
  <c r="I2752" i="15"/>
  <c r="J2739" i="15"/>
  <c r="F2727" i="15"/>
  <c r="G2714" i="15"/>
  <c r="H2701" i="15"/>
  <c r="I2688" i="15"/>
  <c r="J2675" i="15"/>
  <c r="F2663" i="15"/>
  <c r="G2650" i="15"/>
  <c r="H2637" i="15"/>
  <c r="I2624" i="15"/>
  <c r="J2611" i="15"/>
  <c r="F2599" i="15"/>
  <c r="G2586" i="15"/>
  <c r="H2573" i="15"/>
  <c r="G2765" i="15"/>
  <c r="H2752" i="15"/>
  <c r="I2739" i="15"/>
  <c r="J2726" i="15"/>
  <c r="F2714" i="15"/>
  <c r="G2701" i="15"/>
  <c r="H2688" i="15"/>
  <c r="I2675" i="15"/>
  <c r="J2662" i="15"/>
  <c r="F2650" i="15"/>
  <c r="G2637" i="15"/>
  <c r="H2624" i="15"/>
  <c r="I2611" i="15"/>
  <c r="J2598" i="15"/>
  <c r="F2586" i="15"/>
  <c r="G2573" i="15"/>
  <c r="G2764" i="15"/>
  <c r="H2751" i="15"/>
  <c r="I2738" i="15"/>
  <c r="J2725" i="15"/>
  <c r="F2713" i="15"/>
  <c r="G2700" i="15"/>
  <c r="H2687" i="15"/>
  <c r="I2674" i="15"/>
  <c r="J2661" i="15"/>
  <c r="F2649" i="15"/>
  <c r="G2636" i="15"/>
  <c r="H2623" i="15"/>
  <c r="I2610" i="15"/>
  <c r="J2597" i="15"/>
  <c r="F2585" i="15"/>
  <c r="G2572" i="15"/>
  <c r="G2763" i="15"/>
  <c r="H2750" i="15"/>
  <c r="I2737" i="15"/>
  <c r="J2724" i="15"/>
  <c r="F2712" i="15"/>
  <c r="G2699" i="15"/>
  <c r="H2686" i="15"/>
  <c r="I2673" i="15"/>
  <c r="J2660" i="15"/>
  <c r="F2648" i="15"/>
  <c r="I2697" i="15"/>
  <c r="J2680" i="15"/>
  <c r="G2663" i="15"/>
  <c r="H2646" i="15"/>
  <c r="F2632" i="15"/>
  <c r="G2619" i="15"/>
  <c r="H2606" i="15"/>
  <c r="I2593" i="15"/>
  <c r="J2580" i="15"/>
  <c r="F2568" i="15"/>
  <c r="I2555" i="15"/>
  <c r="J2542" i="15"/>
  <c r="F2530" i="15"/>
  <c r="G2517" i="15"/>
  <c r="H2504" i="15"/>
  <c r="I2491" i="15"/>
  <c r="J2478" i="15"/>
  <c r="F2466" i="15"/>
  <c r="G2453" i="15"/>
  <c r="H2440" i="15"/>
  <c r="J2553" i="15"/>
  <c r="F2541" i="15"/>
  <c r="G2528" i="15"/>
  <c r="H2515" i="15"/>
  <c r="I2502" i="15"/>
  <c r="J2489" i="15"/>
  <c r="F2477" i="15"/>
  <c r="G2464" i="15"/>
  <c r="H2451" i="15"/>
  <c r="I2438" i="15"/>
  <c r="J2425" i="15"/>
  <c r="F2413" i="15"/>
  <c r="G2400" i="15"/>
  <c r="H2387" i="15"/>
  <c r="I2374" i="15"/>
  <c r="J2361" i="15"/>
  <c r="I2553" i="15"/>
  <c r="J2540" i="15"/>
  <c r="F2528" i="15"/>
  <c r="G2515" i="15"/>
  <c r="H2502" i="15"/>
  <c r="I2489" i="15"/>
  <c r="J2476" i="15"/>
  <c r="F2464" i="15"/>
  <c r="G2451" i="15"/>
  <c r="D11" i="16"/>
  <c r="D97" i="16"/>
  <c r="J3106" i="15"/>
  <c r="G3109" i="15"/>
  <c r="D78" i="16"/>
  <c r="I3142" i="15"/>
  <c r="I3133" i="15"/>
  <c r="F3055" i="15"/>
  <c r="G2997" i="15"/>
  <c r="F2997" i="15"/>
  <c r="F2996" i="15"/>
  <c r="F34" i="16"/>
  <c r="F3076" i="15"/>
  <c r="F3072" i="15"/>
  <c r="H2997" i="15"/>
  <c r="I3145" i="15"/>
  <c r="F2903" i="15"/>
  <c r="J3031" i="15"/>
  <c r="F2902" i="15"/>
  <c r="I3024" i="15"/>
  <c r="G2900" i="15"/>
  <c r="G2943" i="15"/>
  <c r="J2768" i="15"/>
  <c r="I3074" i="15"/>
  <c r="G3058" i="15"/>
  <c r="J2911" i="15"/>
  <c r="H2841" i="15"/>
  <c r="F2978" i="15"/>
  <c r="J2910" i="15"/>
  <c r="H2840" i="15"/>
  <c r="G2976" i="15"/>
  <c r="F2909" i="15"/>
  <c r="I2838" i="15"/>
  <c r="I2837" i="15"/>
  <c r="J2980" i="15"/>
  <c r="I2995" i="15"/>
  <c r="H2969" i="15"/>
  <c r="J2907" i="15"/>
  <c r="I2856" i="15"/>
  <c r="F3051" i="15"/>
  <c r="F2958" i="15"/>
  <c r="J2906" i="15"/>
  <c r="I2855" i="15"/>
  <c r="J3043" i="15"/>
  <c r="G2956" i="15"/>
  <c r="F2905" i="15"/>
  <c r="J2853" i="15"/>
  <c r="H2962" i="15"/>
  <c r="H2802" i="15"/>
  <c r="J2964" i="15"/>
  <c r="J3142" i="15"/>
  <c r="F38" i="16"/>
  <c r="J2887" i="15"/>
  <c r="J2886" i="15"/>
  <c r="F2885" i="15"/>
  <c r="J2884" i="15"/>
  <c r="F2771" i="15"/>
  <c r="G2839" i="15"/>
  <c r="I2771" i="15"/>
  <c r="G2846" i="15"/>
  <c r="G2845" i="15"/>
  <c r="H2843" i="15"/>
  <c r="J2811" i="15"/>
  <c r="J3023" i="15"/>
  <c r="J2848" i="15"/>
  <c r="F2790" i="15"/>
  <c r="J2988" i="15"/>
  <c r="J2855" i="15"/>
  <c r="J2918" i="15"/>
  <c r="J2993" i="15"/>
  <c r="F2853" i="15"/>
  <c r="F2776" i="15"/>
  <c r="J2807" i="15"/>
  <c r="G2782" i="15"/>
  <c r="H2986" i="15"/>
  <c r="F2884" i="15"/>
  <c r="H2808" i="15"/>
  <c r="J2782" i="15"/>
  <c r="I2916" i="15"/>
  <c r="J3128" i="15"/>
  <c r="I2915" i="15"/>
  <c r="F3100" i="15"/>
  <c r="J2913" i="15"/>
  <c r="I3004" i="15"/>
  <c r="G3014" i="15"/>
  <c r="J2803" i="15"/>
  <c r="G2778" i="15"/>
  <c r="H2970" i="15"/>
  <c r="F2868" i="15"/>
  <c r="H2804" i="15"/>
  <c r="J2778" i="15"/>
  <c r="I2969" i="15"/>
  <c r="G2867" i="15"/>
  <c r="G2804" i="15"/>
  <c r="J2908" i="15"/>
  <c r="J2805" i="15"/>
  <c r="J2777" i="15"/>
  <c r="J2751" i="15"/>
  <c r="G2726" i="15"/>
  <c r="I2700" i="15"/>
  <c r="F2675" i="15"/>
  <c r="H2649" i="15"/>
  <c r="J2623" i="15"/>
  <c r="G2598" i="15"/>
  <c r="I2572" i="15"/>
  <c r="I2751" i="15"/>
  <c r="F2726" i="15"/>
  <c r="H2700" i="15"/>
  <c r="J2674" i="15"/>
  <c r="G2649" i="15"/>
  <c r="I2623" i="15"/>
  <c r="F2598" i="15"/>
  <c r="H2572" i="15"/>
  <c r="I2750" i="15"/>
  <c r="F2725" i="15"/>
  <c r="H2699" i="15"/>
  <c r="J2673" i="15"/>
  <c r="G2648" i="15"/>
  <c r="I2622" i="15"/>
  <c r="F2597" i="15"/>
  <c r="H2571" i="15"/>
  <c r="I2749" i="15"/>
  <c r="F2724" i="15"/>
  <c r="J2972" i="15"/>
  <c r="G2835" i="15"/>
  <c r="J2789" i="15"/>
  <c r="J2763" i="15"/>
  <c r="G2738" i="15"/>
  <c r="I2712" i="15"/>
  <c r="F2687" i="15"/>
  <c r="H2661" i="15"/>
  <c r="J2635" i="15"/>
  <c r="G2610" i="15"/>
  <c r="I2584" i="15"/>
  <c r="I2763" i="15"/>
  <c r="F2738" i="15"/>
  <c r="H2712" i="15"/>
  <c r="J2686" i="15"/>
  <c r="G2661" i="15"/>
  <c r="I2635" i="15"/>
  <c r="F2610" i="15"/>
  <c r="H2584" i="15"/>
  <c r="I2762" i="15"/>
  <c r="F2737" i="15"/>
  <c r="H2711" i="15"/>
  <c r="J2685" i="15"/>
  <c r="G2660" i="15"/>
  <c r="I2634" i="15"/>
  <c r="F2609" i="15"/>
  <c r="H2583" i="15"/>
  <c r="I2761" i="15"/>
  <c r="F2736" i="15"/>
  <c r="H2710" i="15"/>
  <c r="G2899" i="15"/>
  <c r="H2803" i="15"/>
  <c r="G2776" i="15"/>
  <c r="G2750" i="15"/>
  <c r="I2724" i="15"/>
  <c r="F2699" i="15"/>
  <c r="H2673" i="15"/>
  <c r="J2647" i="15"/>
  <c r="G2622" i="15"/>
  <c r="I2596" i="15"/>
  <c r="F2571" i="15"/>
  <c r="F2750" i="15"/>
  <c r="H2724" i="15"/>
  <c r="J2698" i="15"/>
  <c r="G2673" i="15"/>
  <c r="I2647" i="15"/>
  <c r="F2622" i="15"/>
  <c r="H2596" i="15"/>
  <c r="J2570" i="15"/>
  <c r="F2749" i="15"/>
  <c r="H2723" i="15"/>
  <c r="J2697" i="15"/>
  <c r="G2672" i="15"/>
  <c r="I2646" i="15"/>
  <c r="F2621" i="15"/>
  <c r="H2595" i="15"/>
  <c r="J2569" i="15"/>
  <c r="F2748" i="15"/>
  <c r="H2722" i="15"/>
  <c r="G2963" i="15"/>
  <c r="I2825" i="15"/>
  <c r="G2788" i="15"/>
  <c r="G2762" i="15"/>
  <c r="I2736" i="15"/>
  <c r="F2711" i="15"/>
  <c r="H2685" i="15"/>
  <c r="J2659" i="15"/>
  <c r="G2634" i="15"/>
  <c r="I2608" i="15"/>
  <c r="F2583" i="15"/>
  <c r="F2762" i="15"/>
  <c r="H2736" i="15"/>
  <c r="J2710" i="15"/>
  <c r="G2685" i="15"/>
  <c r="I2659" i="15"/>
  <c r="F2634" i="15"/>
  <c r="H2608" i="15"/>
  <c r="J2582" i="15"/>
  <c r="F2761" i="15"/>
  <c r="H2735" i="15"/>
  <c r="J2709" i="15"/>
  <c r="G2684" i="15"/>
  <c r="I2658" i="15"/>
  <c r="F2633" i="15"/>
  <c r="H2607" i="15"/>
  <c r="J2581" i="15"/>
  <c r="F2760" i="15"/>
  <c r="H2734" i="15"/>
  <c r="J2708" i="15"/>
  <c r="G2683" i="15"/>
  <c r="I2657" i="15"/>
  <c r="I2693" i="15"/>
  <c r="G2659" i="15"/>
  <c r="J2628" i="15"/>
  <c r="G2603" i="15"/>
  <c r="I2577" i="15"/>
  <c r="H2552" i="15"/>
  <c r="J2526" i="15"/>
  <c r="G2501" i="15"/>
  <c r="I2475" i="15"/>
  <c r="F2450" i="15"/>
  <c r="I2550" i="15"/>
  <c r="F2525" i="15"/>
  <c r="H2499" i="15"/>
  <c r="J2473" i="15"/>
  <c r="G2448" i="15"/>
  <c r="I2422" i="15"/>
  <c r="F2397" i="15"/>
  <c r="H2371" i="15"/>
  <c r="H2550" i="15"/>
  <c r="J2524" i="15"/>
  <c r="G2499" i="15"/>
  <c r="I2473" i="15"/>
  <c r="F2448" i="15"/>
  <c r="F2432" i="15"/>
  <c r="J2412" i="15"/>
  <c r="J2396" i="15"/>
  <c r="J2380" i="15"/>
  <c r="I2361" i="15"/>
  <c r="H2549" i="15"/>
  <c r="H2533" i="15"/>
  <c r="G2514" i="15"/>
  <c r="G2498" i="15"/>
  <c r="G2482" i="15"/>
  <c r="F2463" i="15"/>
  <c r="F2447" i="15"/>
  <c r="F2431" i="15"/>
  <c r="J2411" i="15"/>
  <c r="F2688" i="15"/>
  <c r="H2666" i="15"/>
  <c r="J2640" i="15"/>
  <c r="J2624" i="15"/>
  <c r="J2608" i="15"/>
  <c r="I2589" i="15"/>
  <c r="I2573" i="15"/>
  <c r="F2558" i="15"/>
  <c r="J2538" i="15"/>
  <c r="J2522" i="15"/>
  <c r="J2506" i="15"/>
  <c r="I2487" i="15"/>
  <c r="I2471" i="15"/>
  <c r="I2455" i="15"/>
  <c r="I2439" i="15"/>
  <c r="F2553" i="15"/>
  <c r="G2540" i="15"/>
  <c r="H2527" i="15"/>
  <c r="I2514" i="15"/>
  <c r="J2501" i="15"/>
  <c r="F2489" i="15"/>
  <c r="G2476" i="15"/>
  <c r="H2463" i="15"/>
  <c r="I2450" i="15"/>
  <c r="J2437" i="15"/>
  <c r="F2425" i="15"/>
  <c r="G2412" i="15"/>
  <c r="H2399" i="15"/>
  <c r="I2386" i="15"/>
  <c r="J2373" i="15"/>
  <c r="F2361" i="15"/>
  <c r="J2552" i="15"/>
  <c r="F2540" i="15"/>
  <c r="G2527" i="15"/>
  <c r="H2514" i="15"/>
  <c r="I2501" i="15"/>
  <c r="J2488" i="15"/>
  <c r="F2476" i="15"/>
  <c r="G2463" i="15"/>
  <c r="H2450" i="15"/>
  <c r="I2437" i="15"/>
  <c r="J2424" i="15"/>
  <c r="F2412" i="15"/>
  <c r="G2399" i="15"/>
  <c r="H2386" i="15"/>
  <c r="I2373" i="15"/>
  <c r="J2360" i="15"/>
  <c r="J2551" i="15"/>
  <c r="F2539" i="15"/>
  <c r="G2526" i="15"/>
  <c r="H2513" i="15"/>
  <c r="I2500" i="15"/>
  <c r="J2487" i="15"/>
  <c r="F2475" i="15"/>
  <c r="G2462" i="15"/>
  <c r="H2449" i="15"/>
  <c r="I2436" i="15"/>
  <c r="J2423" i="15"/>
  <c r="F2411" i="15"/>
  <c r="G2691" i="15"/>
  <c r="H2674" i="15"/>
  <c r="J2656" i="15"/>
  <c r="F2640" i="15"/>
  <c r="G2627" i="15"/>
  <c r="H2614" i="15"/>
  <c r="I2601" i="15"/>
  <c r="J2588" i="15"/>
  <c r="F2576" i="15"/>
  <c r="G2563" i="15"/>
  <c r="J2550" i="15"/>
  <c r="F2538" i="15"/>
  <c r="G2525" i="15"/>
  <c r="H2512" i="15"/>
  <c r="I2499" i="15"/>
  <c r="J2486" i="15"/>
  <c r="F2474" i="15"/>
  <c r="G2461" i="15"/>
  <c r="H2448" i="15"/>
  <c r="I2435" i="15"/>
  <c r="F2549" i="15"/>
  <c r="G2536" i="15"/>
  <c r="H2523" i="15"/>
  <c r="I2510" i="15"/>
  <c r="J2497" i="15"/>
  <c r="F2485" i="15"/>
  <c r="G2472" i="15"/>
  <c r="H2459" i="15"/>
  <c r="I2446" i="15"/>
  <c r="J2433" i="15"/>
  <c r="F2421" i="15"/>
  <c r="G2408" i="15"/>
  <c r="H2395" i="15"/>
  <c r="I2382" i="15"/>
  <c r="J2369" i="15"/>
  <c r="F2357" i="15"/>
  <c r="J2548" i="15"/>
  <c r="F2536" i="15"/>
  <c r="G2523" i="15"/>
  <c r="H2510" i="15"/>
  <c r="I2497" i="15"/>
  <c r="J2484" i="15"/>
  <c r="F2472" i="15"/>
  <c r="G2459" i="15"/>
  <c r="H2446" i="15"/>
  <c r="I2433" i="15"/>
  <c r="J2420" i="15"/>
  <c r="F2408" i="15"/>
  <c r="G2395" i="15"/>
  <c r="H2382" i="15"/>
  <c r="I2369" i="15"/>
  <c r="I2560" i="15"/>
  <c r="J2547" i="15"/>
  <c r="F2535" i="15"/>
  <c r="G2522" i="15"/>
  <c r="H2509" i="15"/>
  <c r="I2496" i="15"/>
  <c r="J2483" i="15"/>
  <c r="F2471" i="15"/>
  <c r="G2458" i="15"/>
  <c r="H2445" i="15"/>
  <c r="I2432" i="15"/>
  <c r="J2419" i="15"/>
  <c r="F2407" i="15"/>
  <c r="I2685" i="15"/>
  <c r="J2668" i="15"/>
  <c r="F2652" i="15"/>
  <c r="F2636" i="15"/>
  <c r="G2623" i="15"/>
  <c r="H2610" i="15"/>
  <c r="I2597" i="15"/>
  <c r="J2584" i="15"/>
  <c r="F2572" i="15"/>
  <c r="I2559" i="15"/>
  <c r="J2546" i="15"/>
  <c r="F2534" i="15"/>
  <c r="G2521" i="15"/>
  <c r="H2508" i="15"/>
  <c r="I2495" i="15"/>
  <c r="J2482" i="15"/>
  <c r="F2470" i="15"/>
  <c r="G2457" i="15"/>
  <c r="H2444" i="15"/>
  <c r="J2557" i="15"/>
  <c r="F2545" i="15"/>
  <c r="G2532" i="15"/>
  <c r="H2519" i="15"/>
  <c r="I2506" i="15"/>
  <c r="J2493" i="15"/>
  <c r="F2481" i="15"/>
  <c r="G2468" i="15"/>
  <c r="H2455" i="15"/>
  <c r="I2442" i="15"/>
  <c r="J2429" i="15"/>
  <c r="F2417" i="15"/>
  <c r="G2404" i="15"/>
  <c r="H2391" i="15"/>
  <c r="I2378" i="15"/>
  <c r="J2365" i="15"/>
  <c r="I2557" i="15"/>
  <c r="J2544" i="15"/>
  <c r="F2532" i="15"/>
  <c r="G2519" i="15"/>
  <c r="H2506" i="15"/>
  <c r="I2493" i="15"/>
  <c r="J2480" i="15"/>
  <c r="F2468" i="15"/>
  <c r="G2455" i="15"/>
  <c r="H2442" i="15"/>
  <c r="I2429" i="15"/>
  <c r="J2416" i="15"/>
  <c r="F2404" i="15"/>
  <c r="G2391" i="15"/>
  <c r="H2378" i="15"/>
  <c r="I2365" i="15"/>
  <c r="I2556" i="15"/>
  <c r="J2543" i="15"/>
  <c r="F2531" i="15"/>
  <c r="G2518" i="15"/>
  <c r="H2505" i="15"/>
  <c r="I2492" i="15"/>
  <c r="J2479" i="15"/>
  <c r="F2467" i="15"/>
  <c r="G2454" i="15"/>
  <c r="H2441" i="15"/>
  <c r="I2428" i="15"/>
  <c r="J2415" i="15"/>
  <c r="F2403" i="15"/>
  <c r="G2390" i="15"/>
  <c r="H2377" i="15"/>
  <c r="I2364" i="15"/>
  <c r="J2418" i="15"/>
  <c r="I2367" i="15"/>
  <c r="H2401" i="15"/>
  <c r="I2384" i="15"/>
  <c r="F2367" i="15"/>
  <c r="H2412" i="15"/>
  <c r="J2353" i="15"/>
  <c r="G2340" i="15"/>
  <c r="H2327" i="15"/>
  <c r="I2314" i="15"/>
  <c r="J2301" i="15"/>
  <c r="F2289" i="15"/>
  <c r="G2276" i="15"/>
  <c r="H2263" i="15"/>
  <c r="I2250" i="15"/>
  <c r="J2237" i="15"/>
  <c r="F2225" i="15"/>
  <c r="G2212" i="15"/>
  <c r="H2199" i="15"/>
  <c r="I2186" i="15"/>
  <c r="J2173" i="15"/>
  <c r="F2161" i="15"/>
  <c r="G2148" i="15"/>
  <c r="H2135" i="15"/>
  <c r="I2122" i="15"/>
  <c r="J2109" i="15"/>
  <c r="F2097" i="15"/>
  <c r="G2084" i="15"/>
  <c r="H2071" i="15"/>
  <c r="I2058" i="15"/>
  <c r="J2045" i="15"/>
  <c r="F2033" i="15"/>
  <c r="G2020" i="15"/>
  <c r="H2007" i="15"/>
  <c r="I1994" i="15"/>
  <c r="J1981" i="15"/>
  <c r="F1969" i="15"/>
  <c r="F2386" i="15"/>
  <c r="G2351" i="15"/>
  <c r="H2338" i="15"/>
  <c r="I2325" i="15"/>
  <c r="J2312" i="15"/>
  <c r="F2300" i="15"/>
  <c r="G2287" i="15"/>
  <c r="H2274" i="15"/>
  <c r="I2261" i="15"/>
  <c r="J2248" i="15"/>
  <c r="F2236" i="15"/>
  <c r="G2223" i="15"/>
  <c r="H2210" i="15"/>
  <c r="I2197" i="15"/>
  <c r="J2184" i="15"/>
  <c r="F2172" i="15"/>
  <c r="G2159" i="15"/>
  <c r="H2146" i="15"/>
  <c r="I2133" i="15"/>
  <c r="J2120" i="15"/>
  <c r="F2108" i="15"/>
  <c r="G2095" i="15"/>
  <c r="H2082" i="15"/>
  <c r="I2069" i="15"/>
  <c r="J2056" i="15"/>
  <c r="F2044" i="15"/>
  <c r="G2031" i="15"/>
  <c r="H2018" i="15"/>
  <c r="I2005" i="15"/>
  <c r="I2400" i="15"/>
  <c r="F2383" i="15"/>
  <c r="G2366" i="15"/>
  <c r="G2409" i="15"/>
  <c r="G2352" i="15"/>
  <c r="F5" i="16"/>
  <c r="F91" i="16"/>
  <c r="H3100" i="15"/>
  <c r="F3106" i="15"/>
  <c r="F56" i="16"/>
  <c r="H3139" i="15"/>
  <c r="J3120" i="15"/>
  <c r="G3042" i="15"/>
  <c r="D108" i="16"/>
  <c r="E81" i="16"/>
  <c r="J3144" i="15"/>
  <c r="F3145" i="15"/>
  <c r="J3069" i="15"/>
  <c r="J3068" i="15"/>
  <c r="I2992" i="15"/>
  <c r="H3094" i="15"/>
  <c r="J2899" i="15"/>
  <c r="F3019" i="15"/>
  <c r="J2898" i="15"/>
  <c r="J3011" i="15"/>
  <c r="F2897" i="15"/>
  <c r="H2930" i="15"/>
  <c r="I3052" i="15"/>
  <c r="G3083" i="15"/>
  <c r="F3007" i="15"/>
  <c r="H2905" i="15"/>
  <c r="G2838" i="15"/>
  <c r="J2974" i="15"/>
  <c r="H2904" i="15"/>
  <c r="G2837" i="15"/>
  <c r="F2973" i="15"/>
  <c r="I2902" i="15"/>
  <c r="H2835" i="15"/>
  <c r="J2824" i="15"/>
  <c r="G2955" i="15"/>
  <c r="F3124" i="15"/>
  <c r="H2965" i="15"/>
  <c r="I2904" i="15"/>
  <c r="H2853" i="15"/>
  <c r="G3038" i="15"/>
  <c r="J2954" i="15"/>
  <c r="I2903" i="15"/>
  <c r="H2852" i="15"/>
  <c r="F3031" i="15"/>
  <c r="F2953" i="15"/>
  <c r="J2901" i="15"/>
  <c r="I2850" i="15"/>
  <c r="I2949" i="15"/>
  <c r="G2799" i="15"/>
  <c r="F2952" i="15"/>
  <c r="I3091" i="15"/>
  <c r="G3107" i="15"/>
  <c r="F2875" i="15"/>
  <c r="F2874" i="15"/>
  <c r="G2872" i="15"/>
  <c r="I2833" i="15"/>
  <c r="J2767" i="15"/>
  <c r="H2826" i="15"/>
  <c r="H2768" i="15"/>
  <c r="H2833" i="15"/>
  <c r="H2832" i="15"/>
  <c r="I2830" i="15"/>
  <c r="I2808" i="15"/>
  <c r="I2989" i="15"/>
  <c r="F2836" i="15"/>
  <c r="J2786" i="15"/>
  <c r="F2979" i="15"/>
  <c r="F2843" i="15"/>
  <c r="F2906" i="15"/>
  <c r="G2968" i="15"/>
  <c r="G2840" i="15"/>
  <c r="H3065" i="15"/>
  <c r="I2804" i="15"/>
  <c r="F2779" i="15"/>
  <c r="I2973" i="15"/>
  <c r="G2871" i="15"/>
  <c r="G2805" i="15"/>
  <c r="I2779" i="15"/>
  <c r="J2903" i="15"/>
  <c r="F3035" i="15"/>
  <c r="J2902" i="15"/>
  <c r="J3027" i="15"/>
  <c r="F2901" i="15"/>
  <c r="H2946" i="15"/>
  <c r="J2948" i="15"/>
  <c r="I2800" i="15"/>
  <c r="F2775" i="15"/>
  <c r="I2957" i="15"/>
  <c r="G2855" i="15"/>
  <c r="G2801" i="15"/>
  <c r="I2775" i="15"/>
  <c r="J2956" i="15"/>
  <c r="H2854" i="15"/>
  <c r="F2801" i="15"/>
  <c r="I2889" i="15"/>
  <c r="J2801" i="15"/>
  <c r="I2774" i="15"/>
  <c r="I2748" i="15"/>
  <c r="F2723" i="15"/>
  <c r="H2697" i="15"/>
  <c r="J2671" i="15"/>
  <c r="G2646" i="15"/>
  <c r="I2620" i="15"/>
  <c r="F2595" i="15"/>
  <c r="H2569" i="15"/>
  <c r="H2748" i="15"/>
  <c r="J2722" i="15"/>
  <c r="G2697" i="15"/>
  <c r="I2671" i="15"/>
  <c r="F2646" i="15"/>
  <c r="H2620" i="15"/>
  <c r="J2594" i="15"/>
  <c r="G2569" i="15"/>
  <c r="H2747" i="15"/>
  <c r="J2721" i="15"/>
  <c r="G2696" i="15"/>
  <c r="I2670" i="15"/>
  <c r="F2645" i="15"/>
  <c r="H2619" i="15"/>
  <c r="J2593" i="15"/>
  <c r="G2568" i="15"/>
  <c r="H2746" i="15"/>
  <c r="J2720" i="15"/>
  <c r="I2953" i="15"/>
  <c r="G2819" i="15"/>
  <c r="I2786" i="15"/>
  <c r="I2760" i="15"/>
  <c r="F2735" i="15"/>
  <c r="H2709" i="15"/>
  <c r="J2683" i="15"/>
  <c r="G2658" i="15"/>
  <c r="I2632" i="15"/>
  <c r="F2607" i="15"/>
  <c r="H2581" i="15"/>
  <c r="H2760" i="15"/>
  <c r="J2734" i="15"/>
  <c r="G2709" i="15"/>
  <c r="I2683" i="15"/>
  <c r="F2658" i="15"/>
  <c r="H2632" i="15"/>
  <c r="J2606" i="15"/>
  <c r="G2581" i="15"/>
  <c r="H2759" i="15"/>
  <c r="J2733" i="15"/>
  <c r="G2708" i="15"/>
  <c r="I2682" i="15"/>
  <c r="F2657" i="15"/>
  <c r="H2631" i="15"/>
  <c r="J2605" i="15"/>
  <c r="G2580" i="15"/>
  <c r="H2758" i="15"/>
  <c r="J2732" i="15"/>
  <c r="G2707" i="15"/>
  <c r="G2883" i="15"/>
  <c r="H2799" i="15"/>
  <c r="F2773" i="15"/>
  <c r="F2747" i="15"/>
  <c r="H2721" i="15"/>
  <c r="J2695" i="15"/>
  <c r="G2670" i="15"/>
  <c r="I2644" i="15"/>
  <c r="F2619" i="15"/>
  <c r="H2593" i="15"/>
  <c r="J2567" i="15"/>
  <c r="J2746" i="15"/>
  <c r="G2721" i="15"/>
  <c r="I2695" i="15"/>
  <c r="F2670" i="15"/>
  <c r="H2644" i="15"/>
  <c r="J2618" i="15"/>
  <c r="G2593" i="15"/>
  <c r="I2567" i="15"/>
  <c r="J2745" i="15"/>
  <c r="G2720" i="15"/>
  <c r="I2694" i="15"/>
  <c r="F2669" i="15"/>
  <c r="H2643" i="15"/>
  <c r="J2617" i="15"/>
  <c r="G2592" i="15"/>
  <c r="I2566" i="15"/>
  <c r="J2744" i="15"/>
  <c r="G2719" i="15"/>
  <c r="G2947" i="15"/>
  <c r="H2815" i="15"/>
  <c r="F2785" i="15"/>
  <c r="F2759" i="15"/>
  <c r="H2733" i="15"/>
  <c r="J2707" i="15"/>
  <c r="G2682" i="15"/>
  <c r="I2656" i="15"/>
  <c r="F2631" i="15"/>
  <c r="H2605" i="15"/>
  <c r="J2579" i="15"/>
  <c r="J2758" i="15"/>
  <c r="G2733" i="15"/>
  <c r="I2707" i="15"/>
  <c r="F2682" i="15"/>
  <c r="H2656" i="15"/>
  <c r="J2630" i="15"/>
  <c r="G2605" i="15"/>
  <c r="I2579" i="15"/>
  <c r="J2757" i="15"/>
  <c r="G2732" i="15"/>
  <c r="I2706" i="15"/>
  <c r="F2681" i="15"/>
  <c r="H2655" i="15"/>
  <c r="J2629" i="15"/>
  <c r="G2604" i="15"/>
  <c r="I2578" i="15"/>
  <c r="J2756" i="15"/>
  <c r="G2731" i="15"/>
  <c r="I2705" i="15"/>
  <c r="F2680" i="15"/>
  <c r="H2654" i="15"/>
  <c r="J2688" i="15"/>
  <c r="G2655" i="15"/>
  <c r="I2625" i="15"/>
  <c r="F2600" i="15"/>
  <c r="H2574" i="15"/>
  <c r="G2549" i="15"/>
  <c r="I2523" i="15"/>
  <c r="F2498" i="15"/>
  <c r="H2472" i="15"/>
  <c r="J2446" i="15"/>
  <c r="H2547" i="15"/>
  <c r="J2521" i="15"/>
  <c r="G2496" i="15"/>
  <c r="I2470" i="15"/>
  <c r="F2445" i="15"/>
  <c r="H2419" i="15"/>
  <c r="J2393" i="15"/>
  <c r="G2368" i="15"/>
  <c r="G2547" i="15"/>
  <c r="I2521" i="15"/>
  <c r="F2496" i="15"/>
  <c r="H2470" i="15"/>
  <c r="J2444" i="15"/>
  <c r="I2425" i="15"/>
  <c r="I2409" i="15"/>
  <c r="I2393" i="15"/>
  <c r="H2374" i="15"/>
  <c r="H2358" i="15"/>
  <c r="G2546" i="15"/>
  <c r="F2527" i="15"/>
  <c r="F2511" i="15"/>
  <c r="F2495" i="15"/>
  <c r="J2475" i="15"/>
  <c r="J2459" i="15"/>
  <c r="J2443" i="15"/>
  <c r="I2424" i="15"/>
  <c r="I2408" i="15"/>
  <c r="F2684" i="15"/>
  <c r="H2658" i="15"/>
  <c r="I2637" i="15"/>
  <c r="I2621" i="15"/>
  <c r="H2602" i="15"/>
  <c r="H2586" i="15"/>
  <c r="H2570" i="15"/>
  <c r="I2551" i="15"/>
  <c r="I2535" i="15"/>
  <c r="I2519" i="15"/>
  <c r="H2500" i="15"/>
  <c r="H2484" i="15"/>
  <c r="H2468" i="15"/>
  <c r="G2449" i="15"/>
  <c r="H2436" i="15"/>
  <c r="J2549" i="15"/>
  <c r="F2537" i="15"/>
  <c r="G2524" i="15"/>
  <c r="H2511" i="15"/>
  <c r="I2498" i="15"/>
  <c r="J2485" i="15"/>
  <c r="F2473" i="15"/>
  <c r="G2460" i="15"/>
  <c r="H2447" i="15"/>
  <c r="I2434" i="15"/>
  <c r="J2421" i="15"/>
  <c r="F2409" i="15"/>
  <c r="G2396" i="15"/>
  <c r="H2383" i="15"/>
  <c r="I2370" i="15"/>
  <c r="J2357" i="15"/>
  <c r="I2549" i="15"/>
  <c r="J2536" i="15"/>
  <c r="F2524" i="15"/>
  <c r="G2511" i="15"/>
  <c r="H2498" i="15"/>
  <c r="I2485" i="15"/>
  <c r="J2472" i="15"/>
  <c r="F2460" i="15"/>
  <c r="G2447" i="15"/>
  <c r="H2434" i="15"/>
  <c r="I2421" i="15"/>
  <c r="J2408" i="15"/>
  <c r="F2396" i="15"/>
  <c r="G2383" i="15"/>
  <c r="H2370" i="15"/>
  <c r="I2357" i="15"/>
  <c r="I2548" i="15"/>
  <c r="J2535" i="15"/>
  <c r="F2523" i="15"/>
  <c r="G2510" i="15"/>
  <c r="H2497" i="15"/>
  <c r="I2484" i="15"/>
  <c r="J2471" i="15"/>
  <c r="F2459" i="15"/>
  <c r="G2446" i="15"/>
  <c r="H2433" i="15"/>
  <c r="I2420" i="15"/>
  <c r="J2407" i="15"/>
  <c r="G2687" i="15"/>
  <c r="I2669" i="15"/>
  <c r="J2652" i="15"/>
  <c r="J2636" i="15"/>
  <c r="F2624" i="15"/>
  <c r="G2611" i="15"/>
  <c r="H2598" i="15"/>
  <c r="I2585" i="15"/>
  <c r="J2572" i="15"/>
  <c r="H2560" i="15"/>
  <c r="I2547" i="15"/>
  <c r="J2534" i="15"/>
  <c r="F2522" i="15"/>
  <c r="G2509" i="15"/>
  <c r="H2496" i="15"/>
  <c r="I2483" i="15"/>
  <c r="J2470" i="15"/>
  <c r="F2458" i="15"/>
  <c r="G2445" i="15"/>
  <c r="I2558" i="15"/>
  <c r="J2545" i="15"/>
  <c r="F2533" i="15"/>
  <c r="G2520" i="15"/>
  <c r="H2507" i="15"/>
  <c r="I2494" i="15"/>
  <c r="J2481" i="15"/>
  <c r="F2469" i="15"/>
  <c r="G2456" i="15"/>
  <c r="H2443" i="15"/>
  <c r="I2430" i="15"/>
  <c r="J2417" i="15"/>
  <c r="F2405" i="15"/>
  <c r="G2392" i="15"/>
  <c r="H2379" i="15"/>
  <c r="I2366" i="15"/>
  <c r="H2558" i="15"/>
  <c r="I2545" i="15"/>
  <c r="J2532" i="15"/>
  <c r="F2520" i="15"/>
  <c r="G2507" i="15"/>
  <c r="H2494" i="15"/>
  <c r="I2481" i="15"/>
  <c r="J2468" i="15"/>
  <c r="F2456" i="15"/>
  <c r="G2443" i="15"/>
  <c r="H2430" i="15"/>
  <c r="I2417" i="15"/>
  <c r="J2404" i="15"/>
  <c r="F2392" i="15"/>
  <c r="G2379" i="15"/>
  <c r="H2366" i="15"/>
  <c r="H2557" i="15"/>
  <c r="I2544" i="15"/>
  <c r="J2531" i="15"/>
  <c r="F2519" i="15"/>
  <c r="G2506" i="15"/>
  <c r="H2493" i="15"/>
  <c r="I2480" i="15"/>
  <c r="J2467" i="15"/>
  <c r="F2455" i="15"/>
  <c r="G2442" i="15"/>
  <c r="H2429" i="15"/>
  <c r="I2416" i="15"/>
  <c r="H2698" i="15"/>
  <c r="I2681" i="15"/>
  <c r="J2664" i="15"/>
  <c r="G2647" i="15"/>
  <c r="J2632" i="15"/>
  <c r="F2620" i="15"/>
  <c r="G2607" i="15"/>
  <c r="H2594" i="15"/>
  <c r="I2581" i="15"/>
  <c r="J2568" i="15"/>
  <c r="H2556" i="15"/>
  <c r="I2543" i="15"/>
  <c r="J2530" i="15"/>
  <c r="F2518" i="15"/>
  <c r="G2505" i="15"/>
  <c r="H2492" i="15"/>
  <c r="I2479" i="15"/>
  <c r="J2466" i="15"/>
  <c r="F2454" i="15"/>
  <c r="G2441" i="15"/>
  <c r="I2554" i="15"/>
  <c r="J2541" i="15"/>
  <c r="F2529" i="15"/>
  <c r="G2516" i="15"/>
  <c r="H2503" i="15"/>
  <c r="I2490" i="15"/>
  <c r="J2477" i="15"/>
  <c r="F2465" i="15"/>
  <c r="G2452" i="15"/>
  <c r="H2439" i="15"/>
  <c r="I2426" i="15"/>
  <c r="J2413" i="15"/>
  <c r="F2401" i="15"/>
  <c r="G2388" i="15"/>
  <c r="H2375" i="15"/>
  <c r="I2362" i="15"/>
  <c r="H2554" i="15"/>
  <c r="I2541" i="15"/>
  <c r="J2528" i="15"/>
  <c r="F2516" i="15"/>
  <c r="G2503" i="15"/>
  <c r="H2490" i="15"/>
  <c r="I2477" i="15"/>
  <c r="J2464" i="15"/>
  <c r="F2452" i="15"/>
  <c r="G2439" i="15"/>
  <c r="H2426" i="15"/>
  <c r="I2413" i="15"/>
  <c r="J2400" i="15"/>
  <c r="F2388" i="15"/>
  <c r="G2375" i="15"/>
  <c r="H2362" i="15"/>
  <c r="H2553" i="15"/>
  <c r="I2540" i="15"/>
  <c r="J2527" i="15"/>
  <c r="F2515" i="15"/>
  <c r="G2502" i="15"/>
  <c r="H2489" i="15"/>
  <c r="I2476" i="15"/>
  <c r="J2463" i="15"/>
  <c r="F2451" i="15"/>
  <c r="G2438" i="15"/>
  <c r="H2425" i="15"/>
  <c r="I2412" i="15"/>
  <c r="J2399" i="15"/>
  <c r="F2387" i="15"/>
  <c r="G2374" i="15"/>
  <c r="H2361" i="15"/>
  <c r="F2406" i="15"/>
  <c r="G2356" i="15"/>
  <c r="H2397" i="15"/>
  <c r="J2379" i="15"/>
  <c r="F2363" i="15"/>
  <c r="H2396" i="15"/>
  <c r="J2349" i="15"/>
  <c r="F2337" i="15"/>
  <c r="G2324" i="15"/>
  <c r="H2311" i="15"/>
  <c r="I2298" i="15"/>
  <c r="J2285" i="15"/>
  <c r="F2273" i="15"/>
  <c r="G2260" i="15"/>
  <c r="H2247" i="15"/>
  <c r="I2234" i="15"/>
  <c r="J2221" i="15"/>
  <c r="F2209" i="15"/>
  <c r="G2196" i="15"/>
  <c r="H2183" i="15"/>
  <c r="I2170" i="15"/>
  <c r="J2157" i="15"/>
  <c r="F2145" i="15"/>
  <c r="G2132" i="15"/>
  <c r="H2119" i="15"/>
  <c r="I2106" i="15"/>
  <c r="J2093" i="15"/>
  <c r="F2081" i="15"/>
  <c r="G2068" i="15"/>
  <c r="H2055" i="15"/>
  <c r="I2042" i="15"/>
  <c r="J2029" i="15"/>
  <c r="F2017" i="15"/>
  <c r="G2004" i="15"/>
  <c r="H1991" i="15"/>
  <c r="I1978" i="15"/>
  <c r="H2424" i="15"/>
  <c r="G2373" i="15"/>
  <c r="F2348" i="15"/>
  <c r="G2335" i="15"/>
  <c r="H2322" i="15"/>
  <c r="I2309" i="15"/>
  <c r="J2296" i="15"/>
  <c r="F2284" i="15"/>
  <c r="G2271" i="15"/>
  <c r="H2258" i="15"/>
  <c r="I2245" i="15"/>
  <c r="J2232" i="15"/>
  <c r="F2220" i="15"/>
  <c r="G2207" i="15"/>
  <c r="H2194" i="15"/>
  <c r="I2181" i="15"/>
  <c r="J2168" i="15"/>
  <c r="F2156" i="15"/>
  <c r="G2143" i="15"/>
  <c r="H2130" i="15"/>
  <c r="I2117" i="15"/>
  <c r="J2104" i="15"/>
  <c r="F2092" i="15"/>
  <c r="G2079" i="15"/>
  <c r="H2066" i="15"/>
  <c r="I2053" i="15"/>
  <c r="J2040" i="15"/>
  <c r="F2028" i="15"/>
  <c r="G2015" i="15"/>
  <c r="H2002" i="15"/>
  <c r="J2395" i="15"/>
  <c r="F2379" i="15"/>
  <c r="G2362" i="15"/>
  <c r="F2390" i="15"/>
  <c r="F64" i="16"/>
  <c r="E83" i="16"/>
  <c r="I3143" i="15"/>
  <c r="I3129" i="15"/>
  <c r="G3048" i="15"/>
  <c r="E10" i="16"/>
  <c r="J3021" i="15"/>
  <c r="F3130" i="15"/>
  <c r="J2851" i="15"/>
  <c r="J2850" i="15"/>
  <c r="F2849" i="15"/>
  <c r="H2894" i="15"/>
  <c r="J2943" i="15"/>
  <c r="F3067" i="15"/>
  <c r="I2875" i="15"/>
  <c r="F2941" i="15"/>
  <c r="H2978" i="15"/>
  <c r="F2840" i="15"/>
  <c r="H2933" i="15"/>
  <c r="F2831" i="15"/>
  <c r="H2932" i="15"/>
  <c r="F2830" i="15"/>
  <c r="I2930" i="15"/>
  <c r="G2828" i="15"/>
  <c r="J2776" i="15"/>
  <c r="E65" i="16"/>
  <c r="G2989" i="15"/>
  <c r="H2882" i="15"/>
  <c r="I2941" i="15"/>
  <c r="I2948" i="15"/>
  <c r="J2945" i="15"/>
  <c r="G2786" i="15"/>
  <c r="G2809" i="15"/>
  <c r="J2919" i="15"/>
  <c r="J2854" i="15"/>
  <c r="F2908" i="15"/>
  <c r="F2795" i="15"/>
  <c r="G2935" i="15"/>
  <c r="I2795" i="15"/>
  <c r="H2865" i="15"/>
  <c r="H2864" i="15"/>
  <c r="I2862" i="15"/>
  <c r="J2820" i="15"/>
  <c r="H2765" i="15"/>
  <c r="G2817" i="15"/>
  <c r="F2766" i="15"/>
  <c r="F2817" i="15"/>
  <c r="H2838" i="15"/>
  <c r="I2764" i="15"/>
  <c r="H2713" i="15"/>
  <c r="G2662" i="15"/>
  <c r="F2611" i="15"/>
  <c r="H2764" i="15"/>
  <c r="G2713" i="15"/>
  <c r="F2662" i="15"/>
  <c r="J2610" i="15"/>
  <c r="H2763" i="15"/>
  <c r="G2712" i="15"/>
  <c r="F2661" i="15"/>
  <c r="J2609" i="15"/>
  <c r="H2762" i="15"/>
  <c r="G2711" i="15"/>
  <c r="F2805" i="15"/>
  <c r="F2751" i="15"/>
  <c r="J2699" i="15"/>
  <c r="I2648" i="15"/>
  <c r="H2597" i="15"/>
  <c r="J2750" i="15"/>
  <c r="I2699" i="15"/>
  <c r="H2648" i="15"/>
  <c r="G2597" i="15"/>
  <c r="J2749" i="15"/>
  <c r="I2698" i="15"/>
  <c r="H2647" i="15"/>
  <c r="G2596" i="15"/>
  <c r="J2748" i="15"/>
  <c r="H2966" i="15"/>
  <c r="F2789" i="15"/>
  <c r="H2737" i="15"/>
  <c r="G2686" i="15"/>
  <c r="F2635" i="15"/>
  <c r="J2583" i="15"/>
  <c r="G2737" i="15"/>
  <c r="F2686" i="15"/>
  <c r="J2634" i="15"/>
  <c r="I2583" i="15"/>
  <c r="G2736" i="15"/>
  <c r="F2685" i="15"/>
  <c r="J2633" i="15"/>
  <c r="I2582" i="15"/>
  <c r="G2735" i="15"/>
  <c r="F2896" i="15"/>
  <c r="H2775" i="15"/>
  <c r="J2723" i="15"/>
  <c r="I2672" i="15"/>
  <c r="H2621" i="15"/>
  <c r="G2570" i="15"/>
  <c r="I2723" i="15"/>
  <c r="H2672" i="15"/>
  <c r="G2621" i="15"/>
  <c r="F2570" i="15"/>
  <c r="I2722" i="15"/>
  <c r="H2671" i="15"/>
  <c r="G2620" i="15"/>
  <c r="F2569" i="15"/>
  <c r="I2721" i="15"/>
  <c r="H2670" i="15"/>
  <c r="F2676" i="15"/>
  <c r="F2616" i="15"/>
  <c r="J2564" i="15"/>
  <c r="F2514" i="15"/>
  <c r="J2462" i="15"/>
  <c r="J2537" i="15"/>
  <c r="I2486" i="15"/>
  <c r="H2435" i="15"/>
  <c r="G2384" i="15"/>
  <c r="I2537" i="15"/>
  <c r="H2486" i="15"/>
  <c r="H2438" i="15"/>
  <c r="H2406" i="15"/>
  <c r="G2371" i="15"/>
  <c r="J2539" i="15"/>
  <c r="J2507" i="15"/>
  <c r="I2472" i="15"/>
  <c r="H2437" i="15"/>
  <c r="J2700" i="15"/>
  <c r="I2653" i="15"/>
  <c r="G2615" i="15"/>
  <c r="G2583" i="15"/>
  <c r="H2548" i="15"/>
  <c r="G2513" i="15"/>
  <c r="G2481" i="15"/>
  <c r="F2446" i="15"/>
  <c r="I2546" i="15"/>
  <c r="F2521" i="15"/>
  <c r="H2495" i="15"/>
  <c r="J2469" i="15"/>
  <c r="G2444" i="15"/>
  <c r="I2418" i="15"/>
  <c r="F2393" i="15"/>
  <c r="H2367" i="15"/>
  <c r="H2546" i="15"/>
  <c r="J2520" i="15"/>
  <c r="G2495" i="15"/>
  <c r="I2469" i="15"/>
  <c r="F2444" i="15"/>
  <c r="H2418" i="15"/>
  <c r="J2392" i="15"/>
  <c r="G2367" i="15"/>
  <c r="H2545" i="15"/>
  <c r="J2519" i="15"/>
  <c r="G2494" i="15"/>
  <c r="I2468" i="15"/>
  <c r="F2443" i="15"/>
  <c r="H2417" i="15"/>
  <c r="H2682" i="15"/>
  <c r="J2648" i="15"/>
  <c r="J2620" i="15"/>
  <c r="G2595" i="15"/>
  <c r="I2569" i="15"/>
  <c r="H2544" i="15"/>
  <c r="J2518" i="15"/>
  <c r="G2493" i="15"/>
  <c r="I2467" i="15"/>
  <c r="F2442" i="15"/>
  <c r="I2542" i="15"/>
  <c r="F2517" i="15"/>
  <c r="H2491" i="15"/>
  <c r="J2465" i="15"/>
  <c r="G2440" i="15"/>
  <c r="I2414" i="15"/>
  <c r="F2389" i="15"/>
  <c r="H2363" i="15"/>
  <c r="H2542" i="15"/>
  <c r="J2516" i="15"/>
  <c r="G2491" i="15"/>
  <c r="I2465" i="15"/>
  <c r="F2440" i="15"/>
  <c r="H2414" i="15"/>
  <c r="J2388" i="15"/>
  <c r="G2363" i="15"/>
  <c r="H2541" i="15"/>
  <c r="J2515" i="15"/>
  <c r="G2490" i="15"/>
  <c r="I2464" i="15"/>
  <c r="F2439" i="15"/>
  <c r="H2413" i="15"/>
  <c r="I2677" i="15"/>
  <c r="G2643" i="15"/>
  <c r="J2616" i="15"/>
  <c r="G2591" i="15"/>
  <c r="I2565" i="15"/>
  <c r="H2540" i="15"/>
  <c r="J2514" i="15"/>
  <c r="G2489" i="15"/>
  <c r="I2463" i="15"/>
  <c r="F2438" i="15"/>
  <c r="I2538" i="15"/>
  <c r="F2513" i="15"/>
  <c r="H2487" i="15"/>
  <c r="J2461" i="15"/>
  <c r="G2436" i="15"/>
  <c r="I2410" i="15"/>
  <c r="F2385" i="15"/>
  <c r="H2359" i="15"/>
  <c r="H2538" i="15"/>
  <c r="J2512" i="15"/>
  <c r="G2487" i="15"/>
  <c r="I2461" i="15"/>
  <c r="F2436" i="15"/>
  <c r="H2410" i="15"/>
  <c r="J2384" i="15"/>
  <c r="G2359" i="15"/>
  <c r="H2537" i="15"/>
  <c r="J2511" i="15"/>
  <c r="G2486" i="15"/>
  <c r="I2460" i="15"/>
  <c r="F2435" i="15"/>
  <c r="H2409" i="15"/>
  <c r="J2383" i="15"/>
  <c r="G2358" i="15"/>
  <c r="F2353" i="15"/>
  <c r="J2375" i="15"/>
  <c r="G2377" i="15"/>
  <c r="J2333" i="15"/>
  <c r="G2308" i="15"/>
  <c r="I2282" i="15"/>
  <c r="F2257" i="15"/>
  <c r="H2231" i="15"/>
  <c r="J2205" i="15"/>
  <c r="G2180" i="15"/>
  <c r="I2154" i="15"/>
  <c r="F2129" i="15"/>
  <c r="H2103" i="15"/>
  <c r="J2077" i="15"/>
  <c r="G2052" i="15"/>
  <c r="I2026" i="15"/>
  <c r="F2001" i="15"/>
  <c r="H1975" i="15"/>
  <c r="H2360" i="15"/>
  <c r="F2332" i="15"/>
  <c r="H2306" i="15"/>
  <c r="J2280" i="15"/>
  <c r="G2255" i="15"/>
  <c r="I2229" i="15"/>
  <c r="F2204" i="15"/>
  <c r="H2178" i="15"/>
  <c r="J2152" i="15"/>
  <c r="G2127" i="15"/>
  <c r="I2101" i="15"/>
  <c r="F2076" i="15"/>
  <c r="H2050" i="15"/>
  <c r="J2024" i="15"/>
  <c r="G1999" i="15"/>
  <c r="F2375" i="15"/>
  <c r="F2374" i="15"/>
  <c r="I2342" i="15"/>
  <c r="J2329" i="15"/>
  <c r="F2317" i="15"/>
  <c r="G2304" i="15"/>
  <c r="H2291" i="15"/>
  <c r="I2278" i="15"/>
  <c r="J2265" i="15"/>
  <c r="F2253" i="15"/>
  <c r="G2240" i="15"/>
  <c r="H2227" i="15"/>
  <c r="I2214" i="15"/>
  <c r="J2201" i="15"/>
  <c r="F2189" i="15"/>
  <c r="G2176" i="15"/>
  <c r="H2163" i="15"/>
  <c r="I2150" i="15"/>
  <c r="J2137" i="15"/>
  <c r="F2125" i="15"/>
  <c r="G2112" i="15"/>
  <c r="H2099" i="15"/>
  <c r="I2086" i="15"/>
  <c r="J2073" i="15"/>
  <c r="F2061" i="15"/>
  <c r="G2048" i="15"/>
  <c r="H2035" i="15"/>
  <c r="I2022" i="15"/>
  <c r="J2009" i="15"/>
  <c r="F1997" i="15"/>
  <c r="G1984" i="15"/>
  <c r="H1971" i="15"/>
  <c r="I2395" i="15"/>
  <c r="I2353" i="15"/>
  <c r="J2340" i="15"/>
  <c r="F2328" i="15"/>
  <c r="G2315" i="15"/>
  <c r="H2302" i="15"/>
  <c r="I2289" i="15"/>
  <c r="J2276" i="15"/>
  <c r="F2264" i="15"/>
  <c r="G2251" i="15"/>
  <c r="H2238" i="15"/>
  <c r="I2225" i="15"/>
  <c r="J2212" i="15"/>
  <c r="F2200" i="15"/>
  <c r="G2187" i="15"/>
  <c r="H2174" i="15"/>
  <c r="I2161" i="15"/>
  <c r="J2148" i="15"/>
  <c r="F2136" i="15"/>
  <c r="G2123" i="15"/>
  <c r="H2110" i="15"/>
  <c r="I2097" i="15"/>
  <c r="J2084" i="15"/>
  <c r="F2072" i="15"/>
  <c r="G2059" i="15"/>
  <c r="H2046" i="15"/>
  <c r="I2033" i="15"/>
  <c r="J2020" i="15"/>
  <c r="F2008" i="15"/>
  <c r="F2399" i="15"/>
  <c r="G2382" i="15"/>
  <c r="H2365" i="15"/>
  <c r="J2402" i="15"/>
  <c r="H2351" i="15"/>
  <c r="I2338" i="15"/>
  <c r="J2325" i="15"/>
  <c r="F2313" i="15"/>
  <c r="G2300" i="15"/>
  <c r="H2287" i="15"/>
  <c r="I2274" i="15"/>
  <c r="J2261" i="15"/>
  <c r="F2249" i="15"/>
  <c r="G2236" i="15"/>
  <c r="H2223" i="15"/>
  <c r="I2210" i="15"/>
  <c r="J2197" i="15"/>
  <c r="F2185" i="15"/>
  <c r="G2172" i="15"/>
  <c r="H2159" i="15"/>
  <c r="I2146" i="15"/>
  <c r="J2133" i="15"/>
  <c r="F2121" i="15"/>
  <c r="G2108" i="15"/>
  <c r="H2095" i="15"/>
  <c r="I2082" i="15"/>
  <c r="J2069" i="15"/>
  <c r="F2057" i="15"/>
  <c r="G2044" i="15"/>
  <c r="H2031" i="15"/>
  <c r="I2018" i="15"/>
  <c r="J2005" i="15"/>
  <c r="F1993" i="15"/>
  <c r="G1980" i="15"/>
  <c r="J2430" i="15"/>
  <c r="I2379" i="15"/>
  <c r="I2349" i="15"/>
  <c r="J2336" i="15"/>
  <c r="F2324" i="15"/>
  <c r="G2311" i="15"/>
  <c r="H2298" i="15"/>
  <c r="I2285" i="15"/>
  <c r="J2272" i="15"/>
  <c r="F2260" i="15"/>
  <c r="G2247" i="15"/>
  <c r="H2234" i="15"/>
  <c r="I2221" i="15"/>
  <c r="J2208" i="15"/>
  <c r="F2196" i="15"/>
  <c r="G2183" i="15"/>
  <c r="H2170" i="15"/>
  <c r="I2157" i="15"/>
  <c r="J2144" i="15"/>
  <c r="F2132" i="15"/>
  <c r="G2119" i="15"/>
  <c r="H2106" i="15"/>
  <c r="I2093" i="15"/>
  <c r="J2080" i="15"/>
  <c r="F2068" i="15"/>
  <c r="G2055" i="15"/>
  <c r="H2042" i="15"/>
  <c r="I2029" i="15"/>
  <c r="J2016" i="15"/>
  <c r="F2004" i="15"/>
  <c r="G2398" i="15"/>
  <c r="H2381" i="15"/>
  <c r="J2363" i="15"/>
  <c r="I2399" i="15"/>
  <c r="I2350" i="15"/>
  <c r="J2337" i="15"/>
  <c r="F2325" i="15"/>
  <c r="G2312" i="15"/>
  <c r="H2299" i="15"/>
  <c r="I2286" i="15"/>
  <c r="J2273" i="15"/>
  <c r="F2261" i="15"/>
  <c r="G2248" i="15"/>
  <c r="H2235" i="15"/>
  <c r="I2222" i="15"/>
  <c r="J2209" i="15"/>
  <c r="F2197" i="15"/>
  <c r="G2184" i="15"/>
  <c r="H2171" i="15"/>
  <c r="I2158" i="15"/>
  <c r="J2145" i="15"/>
  <c r="F2133" i="15"/>
  <c r="G2120" i="15"/>
  <c r="H2107" i="15"/>
  <c r="I2094" i="15"/>
  <c r="J2081" i="15"/>
  <c r="F2069" i="15"/>
  <c r="G2056" i="15"/>
  <c r="H2043" i="15"/>
  <c r="I2030" i="15"/>
  <c r="J2017" i="15"/>
  <c r="F2005" i="15"/>
  <c r="G1992" i="15"/>
  <c r="H1979" i="15"/>
  <c r="I2427" i="15"/>
  <c r="H2376" i="15"/>
  <c r="J2348" i="15"/>
  <c r="F2336" i="15"/>
  <c r="G2323" i="15"/>
  <c r="H2310" i="15"/>
  <c r="I2297" i="15"/>
  <c r="J2284" i="15"/>
  <c r="F2272" i="15"/>
  <c r="G2259" i="15"/>
  <c r="H2246" i="15"/>
  <c r="I2233" i="15"/>
  <c r="J2220" i="15"/>
  <c r="F2208" i="15"/>
  <c r="G2195" i="15"/>
  <c r="H2182" i="15"/>
  <c r="I2169" i="15"/>
  <c r="J2156" i="15"/>
  <c r="F2144" i="15"/>
  <c r="G2131" i="15"/>
  <c r="H2118" i="15"/>
  <c r="I2105" i="15"/>
  <c r="J2092" i="15"/>
  <c r="F2080" i="15"/>
  <c r="G2067" i="15"/>
  <c r="H2054" i="15"/>
  <c r="I2041" i="15"/>
  <c r="J2028" i="15"/>
  <c r="F2016" i="15"/>
  <c r="G2003" i="15"/>
  <c r="H1990" i="15"/>
  <c r="I1977" i="15"/>
  <c r="I2423" i="15"/>
  <c r="H2372" i="15"/>
  <c r="J1988" i="15"/>
  <c r="F1972" i="15"/>
  <c r="F2382" i="15"/>
  <c r="I2348" i="15"/>
  <c r="J2335" i="15"/>
  <c r="F2323" i="15"/>
  <c r="G2310" i="15"/>
  <c r="H2297" i="15"/>
  <c r="I2284" i="15"/>
  <c r="J2271" i="15"/>
  <c r="F2259" i="15"/>
  <c r="G2246" i="15"/>
  <c r="H2233" i="15"/>
  <c r="I2220" i="15"/>
  <c r="J2207" i="15"/>
  <c r="F2195" i="15"/>
  <c r="G2182" i="15"/>
  <c r="H2169" i="15"/>
  <c r="I2156" i="15"/>
  <c r="J2143" i="15"/>
  <c r="F2131" i="15"/>
  <c r="G2118" i="15"/>
  <c r="H2105" i="15"/>
  <c r="I2092" i="15"/>
  <c r="J2079" i="15"/>
  <c r="F2067" i="15"/>
  <c r="G2054" i="15"/>
  <c r="H2041" i="15"/>
  <c r="I2028" i="15"/>
  <c r="J2015" i="15"/>
  <c r="F2003" i="15"/>
  <c r="G1990" i="15"/>
  <c r="H1977" i="15"/>
  <c r="J2422" i="15"/>
  <c r="I2371" i="15"/>
  <c r="I2347" i="15"/>
  <c r="J2334" i="15"/>
  <c r="F2322" i="15"/>
  <c r="G2309" i="15"/>
  <c r="H2296" i="15"/>
  <c r="I2283" i="15"/>
  <c r="J2270" i="15"/>
  <c r="F2258" i="15"/>
  <c r="G2245" i="15"/>
  <c r="H2232" i="15"/>
  <c r="I2219" i="15"/>
  <c r="J2206" i="15"/>
  <c r="F2194" i="15"/>
  <c r="G2181" i="15"/>
  <c r="H2168" i="15"/>
  <c r="I2155" i="15"/>
  <c r="J2142" i="15"/>
  <c r="F2130" i="15"/>
  <c r="G2117" i="15"/>
  <c r="H2104" i="15"/>
  <c r="I2091" i="15"/>
  <c r="J2078" i="15"/>
  <c r="F2066" i="15"/>
  <c r="G2053" i="15"/>
  <c r="H2040" i="15"/>
  <c r="I2027" i="15"/>
  <c r="J2014" i="15"/>
  <c r="F2002" i="15"/>
  <c r="G1989" i="15"/>
  <c r="H1976" i="15"/>
  <c r="J1963" i="15"/>
  <c r="F1951" i="15"/>
  <c r="G1938" i="15"/>
  <c r="H1925" i="15"/>
  <c r="I1912" i="15"/>
  <c r="J1899" i="15"/>
  <c r="F1887" i="15"/>
  <c r="G1874" i="15"/>
  <c r="H1861" i="15"/>
  <c r="I1848" i="15"/>
  <c r="J1835" i="15"/>
  <c r="F1823" i="15"/>
  <c r="G1810" i="15"/>
  <c r="H1797" i="15"/>
  <c r="I1784" i="15"/>
  <c r="J1771" i="15"/>
  <c r="F1759" i="15"/>
  <c r="G1746" i="15"/>
  <c r="H1733" i="15"/>
  <c r="I1720" i="15"/>
  <c r="J1707" i="15"/>
  <c r="F1695" i="15"/>
  <c r="G1682" i="15"/>
  <c r="H1669" i="15"/>
  <c r="I1656" i="15"/>
  <c r="J1643" i="15"/>
  <c r="F1631" i="15"/>
  <c r="G1618" i="15"/>
  <c r="H1605" i="15"/>
  <c r="I1592" i="15"/>
  <c r="J1579" i="15"/>
  <c r="F1567" i="15"/>
  <c r="J1962" i="15"/>
  <c r="F1950" i="15"/>
  <c r="G1937" i="15"/>
  <c r="H1924" i="15"/>
  <c r="I1911" i="15"/>
  <c r="J1898" i="15"/>
  <c r="F1886" i="15"/>
  <c r="G1873" i="15"/>
  <c r="H1860" i="15"/>
  <c r="I1847" i="15"/>
  <c r="J1834" i="15"/>
  <c r="F1822" i="15"/>
  <c r="G1809" i="15"/>
  <c r="H1796" i="15"/>
  <c r="I1783" i="15"/>
  <c r="J1770" i="15"/>
  <c r="F1758" i="15"/>
  <c r="G1745" i="15"/>
  <c r="H1732" i="15"/>
  <c r="I1719" i="15"/>
  <c r="J1706" i="15"/>
  <c r="F1694" i="15"/>
  <c r="G1681" i="15"/>
  <c r="H1668" i="15"/>
  <c r="I1655" i="15"/>
  <c r="J1642" i="15"/>
  <c r="F1630" i="15"/>
  <c r="F1996" i="15"/>
  <c r="G1979" i="15"/>
  <c r="F2414" i="15"/>
  <c r="G2354" i="15"/>
  <c r="H2341" i="15"/>
  <c r="I2328" i="15"/>
  <c r="J2315" i="15"/>
  <c r="F2303" i="15"/>
  <c r="G2290" i="15"/>
  <c r="H2277" i="15"/>
  <c r="I2264" i="15"/>
  <c r="J2251" i="15"/>
  <c r="F2239" i="15"/>
  <c r="G2226" i="15"/>
  <c r="H2213" i="15"/>
  <c r="I2200" i="15"/>
  <c r="J2187" i="15"/>
  <c r="F2175" i="15"/>
  <c r="G2162" i="15"/>
  <c r="H2149" i="15"/>
  <c r="I2136" i="15"/>
  <c r="J2123" i="15"/>
  <c r="F2111" i="15"/>
  <c r="G2098" i="15"/>
  <c r="H2085" i="15"/>
  <c r="I2072" i="15"/>
  <c r="J2059" i="15"/>
  <c r="F2047" i="15"/>
  <c r="G2034" i="15"/>
  <c r="H2021" i="15"/>
  <c r="I2008" i="15"/>
  <c r="J1995" i="15"/>
  <c r="F1983" i="15"/>
  <c r="G1970" i="15"/>
  <c r="F2394" i="15"/>
  <c r="G2353" i="15"/>
  <c r="H2340" i="15"/>
  <c r="I2327" i="15"/>
  <c r="J2314" i="15"/>
  <c r="F2302" i="15"/>
  <c r="G2289" i="15"/>
  <c r="H2276" i="15"/>
  <c r="I2263" i="15"/>
  <c r="J2250" i="15"/>
  <c r="F2238" i="15"/>
  <c r="G2225" i="15"/>
  <c r="H2212" i="15"/>
  <c r="I2199" i="15"/>
  <c r="J2186" i="15"/>
  <c r="F2174" i="15"/>
  <c r="G2161" i="15"/>
  <c r="H2148" i="15"/>
  <c r="I2135" i="15"/>
  <c r="J2122" i="15"/>
  <c r="F2110" i="15"/>
  <c r="G2097" i="15"/>
  <c r="H2084" i="15"/>
  <c r="I2071" i="15"/>
  <c r="J2058" i="15"/>
  <c r="F2046" i="15"/>
  <c r="G2033" i="15"/>
  <c r="H2020" i="15"/>
  <c r="I2007" i="15"/>
  <c r="J1994" i="15"/>
  <c r="F1982" i="15"/>
  <c r="G1969" i="15"/>
  <c r="I1956" i="15"/>
  <c r="J1943" i="15"/>
  <c r="F1931" i="15"/>
  <c r="G1918" i="15"/>
  <c r="H1905" i="15"/>
  <c r="I1892" i="15"/>
  <c r="J1879" i="15"/>
  <c r="F1867" i="15"/>
  <c r="G1854" i="15"/>
  <c r="H1841" i="15"/>
  <c r="I1828" i="15"/>
  <c r="J1815" i="15"/>
  <c r="F1803" i="15"/>
  <c r="G1790" i="15"/>
  <c r="H1777" i="15"/>
  <c r="I1764" i="15"/>
  <c r="J1751" i="15"/>
  <c r="F1739" i="15"/>
  <c r="G1726" i="15"/>
  <c r="H1713" i="15"/>
  <c r="I1700" i="15"/>
  <c r="J1687" i="15"/>
  <c r="F1675" i="15"/>
  <c r="G1662" i="15"/>
  <c r="H1649" i="15"/>
  <c r="I1636" i="15"/>
  <c r="J1623" i="15"/>
  <c r="F1611" i="15"/>
  <c r="G1598" i="15"/>
  <c r="H1585" i="15"/>
  <c r="I1572" i="15"/>
  <c r="J1559" i="15"/>
  <c r="I1955" i="15"/>
  <c r="J1942" i="15"/>
  <c r="F1930" i="15"/>
  <c r="G1917" i="15"/>
  <c r="H1904" i="15"/>
  <c r="I1891" i="15"/>
  <c r="J1878" i="15"/>
  <c r="F1866" i="15"/>
  <c r="G1853" i="15"/>
  <c r="H1840" i="15"/>
  <c r="I1827" i="15"/>
  <c r="J1814" i="15"/>
  <c r="F1802" i="15"/>
  <c r="G1789" i="15"/>
  <c r="H1776" i="15"/>
  <c r="I1763" i="15"/>
  <c r="J1750" i="15"/>
  <c r="F1738" i="15"/>
  <c r="G1725" i="15"/>
  <c r="H1712" i="15"/>
  <c r="I1699" i="15"/>
  <c r="J1686" i="15"/>
  <c r="F1674" i="15"/>
  <c r="G1661" i="15"/>
  <c r="H1648" i="15"/>
  <c r="I1635" i="15"/>
  <c r="J1622" i="15"/>
  <c r="G1995" i="15"/>
  <c r="H1978" i="15"/>
  <c r="I2407" i="15"/>
  <c r="H2353" i="15"/>
  <c r="I2340" i="15"/>
  <c r="J2327" i="15"/>
  <c r="F2315" i="15"/>
  <c r="G2302" i="15"/>
  <c r="H2289" i="15"/>
  <c r="I2276" i="15"/>
  <c r="J2263" i="15"/>
  <c r="F2251" i="15"/>
  <c r="G2238" i="15"/>
  <c r="H2225" i="15"/>
  <c r="I2212" i="15"/>
  <c r="J2199" i="15"/>
  <c r="F2187" i="15"/>
  <c r="G2174" i="15"/>
  <c r="H2161" i="15"/>
  <c r="I2148" i="15"/>
  <c r="J2135" i="15"/>
  <c r="F2123" i="15"/>
  <c r="G2110" i="15"/>
  <c r="H2097" i="15"/>
  <c r="I2084" i="15"/>
  <c r="J2071" i="15"/>
  <c r="F2059" i="15"/>
  <c r="G2046" i="15"/>
  <c r="H2033" i="15"/>
  <c r="I2020" i="15"/>
  <c r="J2007" i="15"/>
  <c r="F1995" i="15"/>
  <c r="G1982" i="15"/>
  <c r="H1969" i="15"/>
  <c r="J2390" i="15"/>
  <c r="H2352" i="15"/>
  <c r="I2339" i="15"/>
  <c r="J2326" i="15"/>
  <c r="F2314" i="15"/>
  <c r="G2301" i="15"/>
  <c r="H2288" i="15"/>
  <c r="I2275" i="15"/>
  <c r="J2262" i="15"/>
  <c r="F2250" i="15"/>
  <c r="G2237" i="15"/>
  <c r="H2224" i="15"/>
  <c r="I2211" i="15"/>
  <c r="J2198" i="15"/>
  <c r="F2186" i="15"/>
  <c r="G2173" i="15"/>
  <c r="H2160" i="15"/>
  <c r="I2147" i="15"/>
  <c r="J2134" i="15"/>
  <c r="F2122" i="15"/>
  <c r="G2109" i="15"/>
  <c r="H2096" i="15"/>
  <c r="I2083" i="15"/>
  <c r="J2070" i="15"/>
  <c r="F2058" i="15"/>
  <c r="G2045" i="15"/>
  <c r="H2032" i="15"/>
  <c r="I2019" i="15"/>
  <c r="J2006" i="15"/>
  <c r="F1994" i="15"/>
  <c r="G1981" i="15"/>
  <c r="H1968" i="15"/>
  <c r="J1955" i="15"/>
  <c r="F1943" i="15"/>
  <c r="G1930" i="15"/>
  <c r="H1917" i="15"/>
  <c r="I1904" i="15"/>
  <c r="J1891" i="15"/>
  <c r="F1879" i="15"/>
  <c r="G1866" i="15"/>
  <c r="H1853" i="15"/>
  <c r="I1840" i="15"/>
  <c r="J1827" i="15"/>
  <c r="F1815" i="15"/>
  <c r="G1802" i="15"/>
  <c r="H1789" i="15"/>
  <c r="I1776" i="15"/>
  <c r="J1763" i="15"/>
  <c r="F1751" i="15"/>
  <c r="G1738" i="15"/>
  <c r="H1725" i="15"/>
  <c r="I1712" i="15"/>
  <c r="J1699" i="15"/>
  <c r="F1687" i="15"/>
  <c r="G1674" i="15"/>
  <c r="H1661" i="15"/>
  <c r="I1648" i="15"/>
  <c r="J1635" i="15"/>
  <c r="F1623" i="15"/>
  <c r="G1610" i="15"/>
  <c r="H1597" i="15"/>
  <c r="I1584" i="15"/>
  <c r="J1571" i="15"/>
  <c r="I1967" i="15"/>
  <c r="J1954" i="15"/>
  <c r="F1942" i="15"/>
  <c r="G1929" i="15"/>
  <c r="H1916" i="15"/>
  <c r="I1903" i="15"/>
  <c r="J1890" i="15"/>
  <c r="F1878" i="15"/>
  <c r="G1865" i="15"/>
  <c r="H1852" i="15"/>
  <c r="I1839" i="15"/>
  <c r="J1826" i="15"/>
  <c r="F1814" i="15"/>
  <c r="G1801" i="15"/>
  <c r="H1788" i="15"/>
  <c r="I1775" i="15"/>
  <c r="J1762" i="15"/>
  <c r="F1750" i="15"/>
  <c r="G1737" i="15"/>
  <c r="H1724" i="15"/>
  <c r="I1711" i="15"/>
  <c r="J1698" i="15"/>
  <c r="F1686" i="15"/>
  <c r="G1673" i="15"/>
  <c r="H1660" i="15"/>
  <c r="I1647" i="15"/>
  <c r="J1634" i="15"/>
  <c r="F1622" i="15"/>
  <c r="G1609" i="15"/>
  <c r="H1596" i="15"/>
  <c r="I1583" i="15"/>
  <c r="I1989" i="15"/>
  <c r="J1972" i="15"/>
  <c r="H2388" i="15"/>
  <c r="H2349" i="15"/>
  <c r="I2336" i="15"/>
  <c r="J2323" i="15"/>
  <c r="F2311" i="15"/>
  <c r="G2298" i="15"/>
  <c r="H2285" i="15"/>
  <c r="I2272" i="15"/>
  <c r="J2259" i="15"/>
  <c r="F2247" i="15"/>
  <c r="G2234" i="15"/>
  <c r="H2221" i="15"/>
  <c r="I2208" i="15"/>
  <c r="J2195" i="15"/>
  <c r="F2183" i="15"/>
  <c r="G2170" i="15"/>
  <c r="H2157" i="15"/>
  <c r="I2144" i="15"/>
  <c r="J2131" i="15"/>
  <c r="F2119" i="15"/>
  <c r="G2106" i="15"/>
  <c r="H2093" i="15"/>
  <c r="I2080" i="15"/>
  <c r="J2067" i="15"/>
  <c r="F2055" i="15"/>
  <c r="G2042" i="15"/>
  <c r="H2029" i="15"/>
  <c r="I2016" i="15"/>
  <c r="J2003" i="15"/>
  <c r="F1991" i="15"/>
  <c r="G1978" i="15"/>
  <c r="F2426" i="15"/>
  <c r="J2374" i="15"/>
  <c r="H2348" i="15"/>
  <c r="I2335" i="15"/>
  <c r="J2322" i="15"/>
  <c r="F2310" i="15"/>
  <c r="G2297" i="15"/>
  <c r="H2284" i="15"/>
  <c r="I2271" i="15"/>
  <c r="J2258" i="15"/>
  <c r="F2246" i="15"/>
  <c r="G2233" i="15"/>
  <c r="H2220" i="15"/>
  <c r="I2207" i="15"/>
  <c r="J2194" i="15"/>
  <c r="F2182" i="15"/>
  <c r="G2169" i="15"/>
  <c r="H2156" i="15"/>
  <c r="I2143" i="15"/>
  <c r="J2130" i="15"/>
  <c r="F2118" i="15"/>
  <c r="G2105" i="15"/>
  <c r="H2092" i="15"/>
  <c r="I2079" i="15"/>
  <c r="J2066" i="15"/>
  <c r="F2054" i="15"/>
  <c r="G2041" i="15"/>
  <c r="H2028" i="15"/>
  <c r="I2015" i="15"/>
  <c r="J2002" i="15"/>
  <c r="F1990" i="15"/>
  <c r="G1977" i="15"/>
  <c r="I1964" i="15"/>
  <c r="J1951" i="15"/>
  <c r="F1939" i="15"/>
  <c r="G1926" i="15"/>
  <c r="H1913" i="15"/>
  <c r="I1900" i="15"/>
  <c r="J1887" i="15"/>
  <c r="F1875" i="15"/>
  <c r="G1862" i="15"/>
  <c r="H1849" i="15"/>
  <c r="I1836" i="15"/>
  <c r="J1823" i="15"/>
  <c r="F1811" i="15"/>
  <c r="G1798" i="15"/>
  <c r="H1785" i="15"/>
  <c r="I1772" i="15"/>
  <c r="J1759" i="15"/>
  <c r="F1747" i="15"/>
  <c r="G1734" i="15"/>
  <c r="H1721" i="15"/>
  <c r="I1708" i="15"/>
  <c r="J1695" i="15"/>
  <c r="F1683" i="15"/>
  <c r="G1670" i="15"/>
  <c r="H1657" i="15"/>
  <c r="I1644" i="15"/>
  <c r="J1631" i="15"/>
  <c r="F1619" i="15"/>
  <c r="G1606" i="15"/>
  <c r="H1593" i="15"/>
  <c r="I1580" i="15"/>
  <c r="J1567" i="15"/>
  <c r="I1963" i="15"/>
  <c r="J1950" i="15"/>
  <c r="F1938" i="15"/>
  <c r="G1925" i="15"/>
  <c r="H1912" i="15"/>
  <c r="I1899" i="15"/>
  <c r="J1886" i="15"/>
  <c r="F1874" i="15"/>
  <c r="G1861" i="15"/>
  <c r="H1848" i="15"/>
  <c r="I1835" i="15"/>
  <c r="J1822" i="15"/>
  <c r="F1810" i="15"/>
  <c r="G1797" i="15"/>
  <c r="H1784" i="15"/>
  <c r="I1771" i="15"/>
  <c r="J1758" i="15"/>
  <c r="F1746" i="15"/>
  <c r="G1733" i="15"/>
  <c r="H1720" i="15"/>
  <c r="I1707" i="15"/>
  <c r="J1694" i="15"/>
  <c r="F1682" i="15"/>
  <c r="G1669" i="15"/>
  <c r="H1656" i="15"/>
  <c r="I1643" i="15"/>
  <c r="J1630" i="15"/>
  <c r="F1614" i="15"/>
  <c r="I1595" i="15"/>
  <c r="J1578" i="15"/>
  <c r="G1565" i="15"/>
  <c r="F1961" i="15"/>
  <c r="G1948" i="15"/>
  <c r="H1935" i="15"/>
  <c r="I1922" i="15"/>
  <c r="J1909" i="15"/>
  <c r="F1897" i="15"/>
  <c r="G1884" i="15"/>
  <c r="H1871" i="15"/>
  <c r="I1858" i="15"/>
  <c r="J1845" i="15"/>
  <c r="F1833" i="15"/>
  <c r="G1820" i="15"/>
  <c r="H1807" i="15"/>
  <c r="I1794" i="15"/>
  <c r="J1781" i="15"/>
  <c r="F1769" i="15"/>
  <c r="G1756" i="15"/>
  <c r="H1743" i="15"/>
  <c r="I1730" i="15"/>
  <c r="J1717" i="15"/>
  <c r="F1705" i="15"/>
  <c r="G1692" i="15"/>
  <c r="H1679" i="15"/>
  <c r="I1666" i="15"/>
  <c r="J1653" i="15"/>
  <c r="F1641" i="15"/>
  <c r="G1628" i="15"/>
  <c r="H1615" i="15"/>
  <c r="I1602" i="15"/>
  <c r="J1589" i="15"/>
  <c r="F1577" i="15"/>
  <c r="G1564" i="15"/>
  <c r="F1960" i="15"/>
  <c r="G1947" i="15"/>
  <c r="H1934" i="15"/>
  <c r="I1921" i="15"/>
  <c r="J1908" i="15"/>
  <c r="F1896" i="15"/>
  <c r="G1883" i="15"/>
  <c r="H1870" i="15"/>
  <c r="I1857" i="15"/>
  <c r="J1844" i="15"/>
  <c r="F1832" i="15"/>
  <c r="G1819" i="15"/>
  <c r="H1806" i="15"/>
  <c r="I1793" i="15"/>
  <c r="J1780" i="15"/>
  <c r="F1768" i="15"/>
  <c r="G1755" i="15"/>
  <c r="H1742" i="15"/>
  <c r="I1729" i="15"/>
  <c r="J1716" i="15"/>
  <c r="F1704" i="15"/>
  <c r="G1691" i="15"/>
  <c r="H1678" i="15"/>
  <c r="I1665" i="15"/>
  <c r="J1652" i="15"/>
  <c r="F1640" i="15"/>
  <c r="G1627" i="15"/>
  <c r="H1614" i="15"/>
  <c r="I1601" i="15"/>
  <c r="J1588" i="15"/>
  <c r="F1576" i="15"/>
  <c r="G1563" i="15"/>
  <c r="F1551" i="15"/>
  <c r="G1538" i="15"/>
  <c r="H1525" i="15"/>
  <c r="I1512" i="15"/>
  <c r="J1499" i="15"/>
  <c r="F1487" i="15"/>
  <c r="G1474" i="15"/>
  <c r="D54" i="16"/>
  <c r="D62" i="16"/>
  <c r="H3140" i="15"/>
  <c r="J3116" i="15"/>
  <c r="F3045" i="15"/>
  <c r="D94" i="16"/>
  <c r="I3018" i="15"/>
  <c r="J3078" i="15"/>
  <c r="I2848" i="15"/>
  <c r="I2847" i="15"/>
  <c r="J2845" i="15"/>
  <c r="I2881" i="15"/>
  <c r="I2940" i="15"/>
  <c r="H3041" i="15"/>
  <c r="H2872" i="15"/>
  <c r="J2937" i="15"/>
  <c r="J2952" i="15"/>
  <c r="G3159" i="15"/>
  <c r="G2930" i="15"/>
  <c r="J2827" i="15"/>
  <c r="G2929" i="15"/>
  <c r="J2826" i="15"/>
  <c r="H2927" i="15"/>
  <c r="F2825" i="15"/>
  <c r="I2773" i="15"/>
  <c r="G3111" i="15"/>
  <c r="H2976" i="15"/>
  <c r="G2831" i="15"/>
  <c r="J2928" i="15"/>
  <c r="J2935" i="15"/>
  <c r="F2933" i="15"/>
  <c r="F2783" i="15"/>
  <c r="J2802" i="15"/>
  <c r="F2907" i="15"/>
  <c r="F2842" i="15"/>
  <c r="H2814" i="15"/>
  <c r="J2791" i="15"/>
  <c r="H2922" i="15"/>
  <c r="H2792" i="15"/>
  <c r="I2852" i="15"/>
  <c r="I2851" i="15"/>
  <c r="J2849" i="15"/>
  <c r="G2814" i="15"/>
  <c r="H3049" i="15"/>
  <c r="F2814" i="15"/>
  <c r="G3046" i="15"/>
  <c r="J2813" i="15"/>
  <c r="H2822" i="15"/>
  <c r="H2761" i="15"/>
  <c r="G2710" i="15"/>
  <c r="F2659" i="15"/>
  <c r="J2607" i="15"/>
  <c r="G2761" i="15"/>
  <c r="F2710" i="15"/>
  <c r="J2658" i="15"/>
  <c r="I2607" i="15"/>
  <c r="G2760" i="15"/>
  <c r="F2709" i="15"/>
  <c r="J2657" i="15"/>
  <c r="I2606" i="15"/>
  <c r="G2759" i="15"/>
  <c r="F2708" i="15"/>
  <c r="G2800" i="15"/>
  <c r="J2747" i="15"/>
  <c r="I2696" i="15"/>
  <c r="H2645" i="15"/>
  <c r="G2594" i="15"/>
  <c r="I2747" i="15"/>
  <c r="H2696" i="15"/>
  <c r="G2645" i="15"/>
  <c r="F2594" i="15"/>
  <c r="I2746" i="15"/>
  <c r="H2695" i="15"/>
  <c r="G2644" i="15"/>
  <c r="F2593" i="15"/>
  <c r="I2745" i="15"/>
  <c r="H2950" i="15"/>
  <c r="J2785" i="15"/>
  <c r="G2734" i="15"/>
  <c r="F2683" i="15"/>
  <c r="J2631" i="15"/>
  <c r="I2580" i="15"/>
  <c r="F2734" i="15"/>
  <c r="J2682" i="15"/>
  <c r="I2631" i="15"/>
  <c r="H2580" i="15"/>
  <c r="F2733" i="15"/>
  <c r="J2681" i="15"/>
  <c r="I2630" i="15"/>
  <c r="H2579" i="15"/>
  <c r="F2732" i="15"/>
  <c r="J2876" i="15"/>
  <c r="G2772" i="15"/>
  <c r="I2720" i="15"/>
  <c r="H2669" i="15"/>
  <c r="G2618" i="15"/>
  <c r="F2567" i="15"/>
  <c r="H2720" i="15"/>
  <c r="G2669" i="15"/>
  <c r="F2618" i="15"/>
  <c r="J2566" i="15"/>
  <c r="H2719" i="15"/>
  <c r="G2668" i="15"/>
  <c r="F2617" i="15"/>
  <c r="J2565" i="15"/>
  <c r="H2718" i="15"/>
  <c r="G2667" i="15"/>
  <c r="F2672" i="15"/>
  <c r="J2612" i="15"/>
  <c r="I2561" i="15"/>
  <c r="J2510" i="15"/>
  <c r="I2459" i="15"/>
  <c r="I2534" i="15"/>
  <c r="H2483" i="15"/>
  <c r="G2432" i="15"/>
  <c r="F2381" i="15"/>
  <c r="H2534" i="15"/>
  <c r="G2483" i="15"/>
  <c r="G2435" i="15"/>
  <c r="F2400" i="15"/>
  <c r="F2368" i="15"/>
  <c r="I2536" i="15"/>
  <c r="H2501" i="15"/>
  <c r="H2469" i="15"/>
  <c r="G2434" i="15"/>
  <c r="F2692" i="15"/>
  <c r="I2649" i="15"/>
  <c r="F2612" i="15"/>
  <c r="J2576" i="15"/>
  <c r="G2545" i="15"/>
  <c r="F2510" i="15"/>
  <c r="J2474" i="15"/>
  <c r="J2442" i="15"/>
  <c r="H2543" i="15"/>
  <c r="J2517" i="15"/>
  <c r="G2492" i="15"/>
  <c r="I2466" i="15"/>
  <c r="F2441" i="15"/>
  <c r="H2415" i="15"/>
  <c r="J2389" i="15"/>
  <c r="G2364" i="15"/>
  <c r="G2543" i="15"/>
  <c r="I2517" i="15"/>
  <c r="F2492" i="15"/>
  <c r="H2466" i="15"/>
  <c r="J2440" i="15"/>
  <c r="G2415" i="15"/>
  <c r="I2389" i="15"/>
  <c r="F2364" i="15"/>
  <c r="G2542" i="15"/>
  <c r="I2516" i="15"/>
  <c r="F2491" i="15"/>
  <c r="H2465" i="15"/>
  <c r="J2439" i="15"/>
  <c r="G2414" i="15"/>
  <c r="H2678" i="15"/>
  <c r="F2644" i="15"/>
  <c r="I2617" i="15"/>
  <c r="F2592" i="15"/>
  <c r="H2566" i="15"/>
  <c r="G2541" i="15"/>
  <c r="I2515" i="15"/>
  <c r="F2490" i="15"/>
  <c r="H2464" i="15"/>
  <c r="J2438" i="15"/>
  <c r="H2539" i="15"/>
  <c r="J2513" i="15"/>
  <c r="G2488" i="15"/>
  <c r="I2462" i="15"/>
  <c r="F2437" i="15"/>
  <c r="H2411" i="15"/>
  <c r="J2385" i="15"/>
  <c r="G2360" i="15"/>
  <c r="G2539" i="15"/>
  <c r="I2513" i="15"/>
  <c r="F2488" i="15"/>
  <c r="H2462" i="15"/>
  <c r="J2436" i="15"/>
  <c r="G2411" i="15"/>
  <c r="I2385" i="15"/>
  <c r="F2360" i="15"/>
  <c r="G2538" i="15"/>
  <c r="I2512" i="15"/>
  <c r="F2487" i="15"/>
  <c r="H2461" i="15"/>
  <c r="J2435" i="15"/>
  <c r="G2410" i="15"/>
  <c r="J2672" i="15"/>
  <c r="G2639" i="15"/>
  <c r="I2613" i="15"/>
  <c r="F2588" i="15"/>
  <c r="H2562" i="15"/>
  <c r="G2537" i="15"/>
  <c r="I2511" i="15"/>
  <c r="F2486" i="15"/>
  <c r="H2460" i="15"/>
  <c r="F2561" i="15"/>
  <c r="H2535" i="15"/>
  <c r="J2509" i="15"/>
  <c r="G2484" i="15"/>
  <c r="I2458" i="15"/>
  <c r="F2433" i="15"/>
  <c r="H2407" i="15"/>
  <c r="J2381" i="15"/>
  <c r="J2560" i="15"/>
  <c r="G2535" i="15"/>
  <c r="I2509" i="15"/>
  <c r="F2484" i="15"/>
  <c r="H2458" i="15"/>
  <c r="J2432" i="15"/>
  <c r="G2407" i="15"/>
  <c r="I2381" i="15"/>
  <c r="J2559" i="15"/>
  <c r="G2534" i="15"/>
  <c r="I2508" i="15"/>
  <c r="F2483" i="15"/>
  <c r="H2457" i="15"/>
  <c r="J2431" i="15"/>
  <c r="G2406" i="15"/>
  <c r="I2380" i="15"/>
  <c r="I2431" i="15"/>
  <c r="H2405" i="15"/>
  <c r="J2371" i="15"/>
  <c r="G2361" i="15"/>
  <c r="I2330" i="15"/>
  <c r="F2305" i="15"/>
  <c r="H2279" i="15"/>
  <c r="J2253" i="15"/>
  <c r="G2228" i="15"/>
  <c r="I2202" i="15"/>
  <c r="F2177" i="15"/>
  <c r="H2151" i="15"/>
  <c r="J2125" i="15"/>
  <c r="G2100" i="15"/>
  <c r="I2074" i="15"/>
  <c r="F2049" i="15"/>
  <c r="H2023" i="15"/>
  <c r="J1997" i="15"/>
  <c r="G1972" i="15"/>
  <c r="H2354" i="15"/>
  <c r="J2328" i="15"/>
  <c r="G2303" i="15"/>
  <c r="I2277" i="15"/>
  <c r="F2252" i="15"/>
  <c r="H2226" i="15"/>
  <c r="J2200" i="15"/>
  <c r="G2175" i="15"/>
  <c r="I2149" i="15"/>
  <c r="F2124" i="15"/>
  <c r="H2098" i="15"/>
  <c r="J2072" i="15"/>
  <c r="G2047" i="15"/>
  <c r="I2021" i="15"/>
  <c r="I2404" i="15"/>
  <c r="G2370" i="15"/>
  <c r="F2358" i="15"/>
  <c r="H2339" i="15"/>
  <c r="I2326" i="15"/>
  <c r="J2313" i="15"/>
  <c r="F2301" i="15"/>
  <c r="G2288" i="15"/>
  <c r="H2275" i="15"/>
  <c r="I2262" i="15"/>
  <c r="J2249" i="15"/>
  <c r="F2237" i="15"/>
  <c r="G2224" i="15"/>
  <c r="H2211" i="15"/>
  <c r="I2198" i="15"/>
  <c r="J2185" i="15"/>
  <c r="F2173" i="15"/>
  <c r="G2160" i="15"/>
  <c r="H2147" i="15"/>
  <c r="I2134" i="15"/>
  <c r="J2121" i="15"/>
  <c r="F2109" i="15"/>
  <c r="G2096" i="15"/>
  <c r="H2083" i="15"/>
  <c r="I2070" i="15"/>
  <c r="J2057" i="15"/>
  <c r="F2045" i="15"/>
  <c r="G2032" i="15"/>
  <c r="H2019" i="15"/>
  <c r="I2006" i="15"/>
  <c r="J1993" i="15"/>
  <c r="F1981" i="15"/>
  <c r="F2434" i="15"/>
  <c r="J2382" i="15"/>
  <c r="H2350" i="15"/>
  <c r="I2337" i="15"/>
  <c r="J2324" i="15"/>
  <c r="F2312" i="15"/>
  <c r="G2299" i="15"/>
  <c r="H2286" i="15"/>
  <c r="I2273" i="15"/>
  <c r="J2260" i="15"/>
  <c r="F2248" i="15"/>
  <c r="G2235" i="15"/>
  <c r="H2222" i="15"/>
  <c r="I2209" i="15"/>
  <c r="J2196" i="15"/>
  <c r="F2184" i="15"/>
  <c r="G2171" i="15"/>
  <c r="H2158" i="15"/>
  <c r="I2145" i="15"/>
  <c r="J2132" i="15"/>
  <c r="F2120" i="15"/>
  <c r="G2107" i="15"/>
  <c r="H2094" i="15"/>
  <c r="I2081" i="15"/>
  <c r="J2068" i="15"/>
  <c r="F2056" i="15"/>
  <c r="G2043" i="15"/>
  <c r="H2030" i="15"/>
  <c r="I2017" i="15"/>
  <c r="J2004" i="15"/>
  <c r="F2395" i="15"/>
  <c r="G2378" i="15"/>
  <c r="I2360" i="15"/>
  <c r="J2386" i="15"/>
  <c r="G2348" i="15"/>
  <c r="H2335" i="15"/>
  <c r="I2322" i="15"/>
  <c r="J2309" i="15"/>
  <c r="F2297" i="15"/>
  <c r="G2284" i="15"/>
  <c r="H2271" i="15"/>
  <c r="I2258" i="15"/>
  <c r="J2245" i="15"/>
  <c r="F2233" i="15"/>
  <c r="G2220" i="15"/>
  <c r="H2207" i="15"/>
  <c r="I2194" i="15"/>
  <c r="J2181" i="15"/>
  <c r="F2169" i="15"/>
  <c r="G2156" i="15"/>
  <c r="H2143" i="15"/>
  <c r="I2130" i="15"/>
  <c r="J2117" i="15"/>
  <c r="F2105" i="15"/>
  <c r="G2092" i="15"/>
  <c r="H2079" i="15"/>
  <c r="I2066" i="15"/>
  <c r="J2053" i="15"/>
  <c r="F2041" i="15"/>
  <c r="G2028" i="15"/>
  <c r="H2015" i="15"/>
  <c r="I2002" i="15"/>
  <c r="J1989" i="15"/>
  <c r="F1977" i="15"/>
  <c r="F2418" i="15"/>
  <c r="J2366" i="15"/>
  <c r="H2346" i="15"/>
  <c r="I2333" i="15"/>
  <c r="J2320" i="15"/>
  <c r="F2308" i="15"/>
  <c r="G2295" i="15"/>
  <c r="H2282" i="15"/>
  <c r="I2269" i="15"/>
  <c r="J2256" i="15"/>
  <c r="F2244" i="15"/>
  <c r="G2231" i="15"/>
  <c r="H2218" i="15"/>
  <c r="I2205" i="15"/>
  <c r="J2192" i="15"/>
  <c r="F2180" i="15"/>
  <c r="G2167" i="15"/>
  <c r="H2154" i="15"/>
  <c r="I2141" i="15"/>
  <c r="J2128" i="15"/>
  <c r="F2116" i="15"/>
  <c r="G2103" i="15"/>
  <c r="H2090" i="15"/>
  <c r="I2077" i="15"/>
  <c r="J2064" i="15"/>
  <c r="F2052" i="15"/>
  <c r="G2039" i="15"/>
  <c r="H2026" i="15"/>
  <c r="I2013" i="15"/>
  <c r="J2000" i="15"/>
  <c r="G2394" i="15"/>
  <c r="I2376" i="15"/>
  <c r="J2359" i="15"/>
  <c r="I2383" i="15"/>
  <c r="H2347" i="15"/>
  <c r="I2334" i="15"/>
  <c r="J2321" i="15"/>
  <c r="F2309" i="15"/>
  <c r="G2296" i="15"/>
  <c r="H2283" i="15"/>
  <c r="I2270" i="15"/>
  <c r="J2257" i="15"/>
  <c r="F2245" i="15"/>
  <c r="G2232" i="15"/>
  <c r="H2219" i="15"/>
  <c r="I2206" i="15"/>
  <c r="J2193" i="15"/>
  <c r="F2181" i="15"/>
  <c r="G2168" i="15"/>
  <c r="H2155" i="15"/>
  <c r="I2142" i="15"/>
  <c r="J2129" i="15"/>
  <c r="F2117" i="15"/>
  <c r="G2104" i="15"/>
  <c r="H2091" i="15"/>
  <c r="I2078" i="15"/>
  <c r="J2065" i="15"/>
  <c r="F2053" i="15"/>
  <c r="G2040" i="15"/>
  <c r="H2027" i="15"/>
  <c r="I2014" i="15"/>
  <c r="J2001" i="15"/>
  <c r="F1989" i="15"/>
  <c r="G1976" i="15"/>
  <c r="J2414" i="15"/>
  <c r="I2363" i="15"/>
  <c r="I2345" i="15"/>
  <c r="J2332" i="15"/>
  <c r="F2320" i="15"/>
  <c r="G2307" i="15"/>
  <c r="H2294" i="15"/>
  <c r="I2281" i="15"/>
  <c r="J2268" i="15"/>
  <c r="F2256" i="15"/>
  <c r="G2243" i="15"/>
  <c r="H2230" i="15"/>
  <c r="I2217" i="15"/>
  <c r="J2204" i="15"/>
  <c r="F2192" i="15"/>
  <c r="G2179" i="15"/>
  <c r="H2166" i="15"/>
  <c r="I2153" i="15"/>
  <c r="J2140" i="15"/>
  <c r="F2128" i="15"/>
  <c r="G2115" i="15"/>
  <c r="H2102" i="15"/>
  <c r="I2089" i="15"/>
  <c r="J2076" i="15"/>
  <c r="F2064" i="15"/>
  <c r="G2051" i="15"/>
  <c r="H2038" i="15"/>
  <c r="I2025" i="15"/>
  <c r="J2012" i="15"/>
  <c r="F2000" i="15"/>
  <c r="G1987" i="15"/>
  <c r="H1974" i="15"/>
  <c r="J2410" i="15"/>
  <c r="I2359" i="15"/>
  <c r="J1984" i="15"/>
  <c r="G2433" i="15"/>
  <c r="F2366" i="15"/>
  <c r="H2345" i="15"/>
  <c r="I2332" i="15"/>
  <c r="J2319" i="15"/>
  <c r="F2307" i="15"/>
  <c r="G2294" i="15"/>
  <c r="H2281" i="15"/>
  <c r="I2268" i="15"/>
  <c r="J2255" i="15"/>
  <c r="F2243" i="15"/>
  <c r="G2230" i="15"/>
  <c r="H2217" i="15"/>
  <c r="I2204" i="15"/>
  <c r="J2191" i="15"/>
  <c r="F2179" i="15"/>
  <c r="G2166" i="15"/>
  <c r="H2153" i="15"/>
  <c r="I2140" i="15"/>
  <c r="J2127" i="15"/>
  <c r="F2115" i="15"/>
  <c r="G2102" i="15"/>
  <c r="H2089" i="15"/>
  <c r="I2076" i="15"/>
  <c r="J2063" i="15"/>
  <c r="F2051" i="15"/>
  <c r="G2038" i="15"/>
  <c r="H2025" i="15"/>
  <c r="I2012" i="15"/>
  <c r="J1999" i="15"/>
  <c r="F1987" i="15"/>
  <c r="G1974" i="15"/>
  <c r="F2410" i="15"/>
  <c r="J2358" i="15"/>
  <c r="H2344" i="15"/>
  <c r="I2331" i="15"/>
  <c r="J2318" i="15"/>
  <c r="F2306" i="15"/>
  <c r="G2293" i="15"/>
  <c r="H2280" i="15"/>
  <c r="I2267" i="15"/>
  <c r="J2254" i="15"/>
  <c r="F2242" i="15"/>
  <c r="G2229" i="15"/>
  <c r="H2216" i="15"/>
  <c r="I2203" i="15"/>
  <c r="J2190" i="15"/>
  <c r="F2178" i="15"/>
  <c r="G2165" i="15"/>
  <c r="H2152" i="15"/>
  <c r="I2139" i="15"/>
  <c r="J2126" i="15"/>
  <c r="F2114" i="15"/>
  <c r="G2101" i="15"/>
  <c r="H2088" i="15"/>
  <c r="I2075" i="15"/>
  <c r="J2062" i="15"/>
  <c r="F2050" i="15"/>
  <c r="G2037" i="15"/>
  <c r="H2024" i="15"/>
  <c r="I2011" i="15"/>
  <c r="J1998" i="15"/>
  <c r="F1986" i="15"/>
  <c r="G1973" i="15"/>
  <c r="I1960" i="15"/>
  <c r="J1947" i="15"/>
  <c r="F1935" i="15"/>
  <c r="G1922" i="15"/>
  <c r="H1909" i="15"/>
  <c r="I1896" i="15"/>
  <c r="J1883" i="15"/>
  <c r="F1871" i="15"/>
  <c r="G1858" i="15"/>
  <c r="H1845" i="15"/>
  <c r="I1832" i="15"/>
  <c r="J1819" i="15"/>
  <c r="F1807" i="15"/>
  <c r="G1794" i="15"/>
  <c r="H1781" i="15"/>
  <c r="I1768" i="15"/>
  <c r="J1755" i="15"/>
  <c r="F1743" i="15"/>
  <c r="G1730" i="15"/>
  <c r="H1717" i="15"/>
  <c r="I1704" i="15"/>
  <c r="J1691" i="15"/>
  <c r="F1679" i="15"/>
  <c r="G1666" i="15"/>
  <c r="H1653" i="15"/>
  <c r="I1640" i="15"/>
  <c r="J1627" i="15"/>
  <c r="F1615" i="15"/>
  <c r="G1602" i="15"/>
  <c r="H1589" i="15"/>
  <c r="I1576" i="15"/>
  <c r="J1563" i="15"/>
  <c r="I1959" i="15"/>
  <c r="J1946" i="15"/>
  <c r="F1934" i="15"/>
  <c r="G1921" i="15"/>
  <c r="H1908" i="15"/>
  <c r="I1895" i="15"/>
  <c r="J1882" i="15"/>
  <c r="F1870" i="15"/>
  <c r="G1857" i="15"/>
  <c r="H1844" i="15"/>
  <c r="I1831" i="15"/>
  <c r="J1818" i="15"/>
  <c r="F1806" i="15"/>
  <c r="G1793" i="15"/>
  <c r="H1780" i="15"/>
  <c r="I1767" i="15"/>
  <c r="J1754" i="15"/>
  <c r="F1742" i="15"/>
  <c r="G1729" i="15"/>
  <c r="H1716" i="15"/>
  <c r="I1703" i="15"/>
  <c r="J1690" i="15"/>
  <c r="F1678" i="15"/>
  <c r="G1665" i="15"/>
  <c r="H1652" i="15"/>
  <c r="I1639" i="15"/>
  <c r="J1626" i="15"/>
  <c r="F1992" i="15"/>
  <c r="G1975" i="15"/>
  <c r="J2394" i="15"/>
  <c r="F2351" i="15"/>
  <c r="G2338" i="15"/>
  <c r="H2325" i="15"/>
  <c r="I2312" i="15"/>
  <c r="J2299" i="15"/>
  <c r="F2287" i="15"/>
  <c r="G2274" i="15"/>
  <c r="H2261" i="15"/>
  <c r="I2248" i="15"/>
  <c r="J2235" i="15"/>
  <c r="F2223" i="15"/>
  <c r="G2210" i="15"/>
  <c r="H2197" i="15"/>
  <c r="I2184" i="15"/>
  <c r="J2171" i="15"/>
  <c r="F2159" i="15"/>
  <c r="G2146" i="15"/>
  <c r="H2133" i="15"/>
  <c r="I2120" i="15"/>
  <c r="J2107" i="15"/>
  <c r="F2095" i="15"/>
  <c r="G2082" i="15"/>
  <c r="H2069" i="15"/>
  <c r="I2056" i="15"/>
  <c r="J2043" i="15"/>
  <c r="F2031" i="15"/>
  <c r="G2018" i="15"/>
  <c r="H2005" i="15"/>
  <c r="I1992" i="15"/>
  <c r="J1979" i="15"/>
  <c r="H2432" i="15"/>
  <c r="G2381" i="15"/>
  <c r="F2350" i="15"/>
  <c r="G2337" i="15"/>
  <c r="H2324" i="15"/>
  <c r="I2311" i="15"/>
  <c r="J2298" i="15"/>
  <c r="F2286" i="15"/>
  <c r="G2273" i="15"/>
  <c r="H2260" i="15"/>
  <c r="I2247" i="15"/>
  <c r="J2234" i="15"/>
  <c r="F2222" i="15"/>
  <c r="G2209" i="15"/>
  <c r="H2196" i="15"/>
  <c r="I2183" i="15"/>
  <c r="J2170" i="15"/>
  <c r="F2158" i="15"/>
  <c r="G2145" i="15"/>
  <c r="H2132" i="15"/>
  <c r="I2119" i="15"/>
  <c r="J2106" i="15"/>
  <c r="F2094" i="15"/>
  <c r="G2081" i="15"/>
  <c r="H2068" i="15"/>
  <c r="I2055" i="15"/>
  <c r="J2042" i="15"/>
  <c r="F2030" i="15"/>
  <c r="G2017" i="15"/>
  <c r="H2004" i="15"/>
  <c r="I1991" i="15"/>
  <c r="J1978" i="15"/>
  <c r="G1966" i="15"/>
  <c r="H1953" i="15"/>
  <c r="I1940" i="15"/>
  <c r="J1927" i="15"/>
  <c r="F1915" i="15"/>
  <c r="G1902" i="15"/>
  <c r="H1889" i="15"/>
  <c r="I1876" i="15"/>
  <c r="J1863" i="15"/>
  <c r="F1851" i="15"/>
  <c r="G1838" i="15"/>
  <c r="H1825" i="15"/>
  <c r="I1812" i="15"/>
  <c r="J1799" i="15"/>
  <c r="F1787" i="15"/>
  <c r="G1774" i="15"/>
  <c r="H1761" i="15"/>
  <c r="I1748" i="15"/>
  <c r="J1735" i="15"/>
  <c r="F1723" i="15"/>
  <c r="G1710" i="15"/>
  <c r="H1697" i="15"/>
  <c r="I1684" i="15"/>
  <c r="J1671" i="15"/>
  <c r="F1659" i="15"/>
  <c r="G1646" i="15"/>
  <c r="H1633" i="15"/>
  <c r="I1620" i="15"/>
  <c r="J1607" i="15"/>
  <c r="F1595" i="15"/>
  <c r="G1582" i="15"/>
  <c r="H1569" i="15"/>
  <c r="G1965" i="15"/>
  <c r="H1952" i="15"/>
  <c r="I1939" i="15"/>
  <c r="J1926" i="15"/>
  <c r="F1914" i="15"/>
  <c r="G1901" i="15"/>
  <c r="H1888" i="15"/>
  <c r="I1875" i="15"/>
  <c r="J1862" i="15"/>
  <c r="F1850" i="15"/>
  <c r="G1837" i="15"/>
  <c r="H1824" i="15"/>
  <c r="I1811" i="15"/>
  <c r="J1798" i="15"/>
  <c r="F1786" i="15"/>
  <c r="G1773" i="15"/>
  <c r="H1760" i="15"/>
  <c r="I1747" i="15"/>
  <c r="J1734" i="15"/>
  <c r="F1722" i="15"/>
  <c r="G1709" i="15"/>
  <c r="H1696" i="15"/>
  <c r="I1683" i="15"/>
  <c r="J1670" i="15"/>
  <c r="F1658" i="15"/>
  <c r="G1645" i="15"/>
  <c r="H1632" i="15"/>
  <c r="I1619" i="15"/>
  <c r="G1991" i="15"/>
  <c r="I1973" i="15"/>
  <c r="I2391" i="15"/>
  <c r="G2350" i="15"/>
  <c r="H2337" i="15"/>
  <c r="I2324" i="15"/>
  <c r="J2311" i="15"/>
  <c r="F2299" i="15"/>
  <c r="G2286" i="15"/>
  <c r="H2273" i="15"/>
  <c r="I2260" i="15"/>
  <c r="J2247" i="15"/>
  <c r="F2235" i="15"/>
  <c r="G2222" i="15"/>
  <c r="H2209" i="15"/>
  <c r="I2196" i="15"/>
  <c r="J2183" i="15"/>
  <c r="F2171" i="15"/>
  <c r="G2158" i="15"/>
  <c r="H2145" i="15"/>
  <c r="I2132" i="15"/>
  <c r="J2119" i="15"/>
  <c r="F2107" i="15"/>
  <c r="G2094" i="15"/>
  <c r="H2081" i="15"/>
  <c r="I2068" i="15"/>
  <c r="J2055" i="15"/>
  <c r="F2043" i="15"/>
  <c r="G2030" i="15"/>
  <c r="H2017" i="15"/>
  <c r="I2004" i="15"/>
  <c r="J1991" i="15"/>
  <c r="F1979" i="15"/>
  <c r="G2429" i="15"/>
  <c r="F2378" i="15"/>
  <c r="G2349" i="15"/>
  <c r="H2336" i="15"/>
  <c r="I2323" i="15"/>
  <c r="J2310" i="15"/>
  <c r="F2298" i="15"/>
  <c r="G2285" i="15"/>
  <c r="H2272" i="15"/>
  <c r="I2259" i="15"/>
  <c r="J2246" i="15"/>
  <c r="F2234" i="15"/>
  <c r="G2221" i="15"/>
  <c r="H2208" i="15"/>
  <c r="I2195" i="15"/>
  <c r="J2182" i="15"/>
  <c r="F2170" i="15"/>
  <c r="G2157" i="15"/>
  <c r="H2144" i="15"/>
  <c r="I2131" i="15"/>
  <c r="J2118" i="15"/>
  <c r="F2106" i="15"/>
  <c r="G2093" i="15"/>
  <c r="H2080" i="15"/>
  <c r="I2067" i="15"/>
  <c r="J2054" i="15"/>
  <c r="F2042" i="15"/>
  <c r="G2029" i="15"/>
  <c r="H2016" i="15"/>
  <c r="I2003" i="15"/>
  <c r="J1990" i="15"/>
  <c r="F1978" i="15"/>
  <c r="H1965" i="15"/>
  <c r="I1952" i="15"/>
  <c r="J1939" i="15"/>
  <c r="F1927" i="15"/>
  <c r="G1914" i="15"/>
  <c r="H1901" i="15"/>
  <c r="I1888" i="15"/>
  <c r="J1875" i="15"/>
  <c r="F1863" i="15"/>
  <c r="G1850" i="15"/>
  <c r="H1837" i="15"/>
  <c r="I1824" i="15"/>
  <c r="J1811" i="15"/>
  <c r="F1799" i="15"/>
  <c r="G1786" i="15"/>
  <c r="H1773" i="15"/>
  <c r="I1760" i="15"/>
  <c r="J1747" i="15"/>
  <c r="F1735" i="15"/>
  <c r="G1722" i="15"/>
  <c r="H1709" i="15"/>
  <c r="I1696" i="15"/>
  <c r="J1683" i="15"/>
  <c r="F1671" i="15"/>
  <c r="G1658" i="15"/>
  <c r="H1645" i="15"/>
  <c r="I1632" i="15"/>
  <c r="J1619" i="15"/>
  <c r="F1607" i="15"/>
  <c r="G1594" i="15"/>
  <c r="H1581" i="15"/>
  <c r="I1568" i="15"/>
  <c r="H1964" i="15"/>
  <c r="I1951" i="15"/>
  <c r="J1938" i="15"/>
  <c r="F1926" i="15"/>
  <c r="G1913" i="15"/>
  <c r="H1900" i="15"/>
  <c r="I1887" i="15"/>
  <c r="J1874" i="15"/>
  <c r="F1862" i="15"/>
  <c r="G1849" i="15"/>
  <c r="H1836" i="15"/>
  <c r="I1823" i="15"/>
  <c r="J1810" i="15"/>
  <c r="F1798" i="15"/>
  <c r="G1785" i="15"/>
  <c r="H1772" i="15"/>
  <c r="I1759" i="15"/>
  <c r="J1746" i="15"/>
  <c r="F1734" i="15"/>
  <c r="G1721" i="15"/>
  <c r="H1708" i="15"/>
  <c r="I1695" i="15"/>
  <c r="J1682" i="15"/>
  <c r="F1670" i="15"/>
  <c r="G1657" i="15"/>
  <c r="H1644" i="15"/>
  <c r="I1631" i="15"/>
  <c r="J1618" i="15"/>
  <c r="F1606" i="15"/>
  <c r="G1593" i="15"/>
  <c r="H1580" i="15"/>
  <c r="I1985" i="15"/>
  <c r="J1968" i="15"/>
  <c r="G2369" i="15"/>
  <c r="G2346" i="15"/>
  <c r="H2333" i="15"/>
  <c r="I2320" i="15"/>
  <c r="J2307" i="15"/>
  <c r="F2295" i="15"/>
  <c r="G2282" i="15"/>
  <c r="H2269" i="15"/>
  <c r="I2256" i="15"/>
  <c r="J2243" i="15"/>
  <c r="F2231" i="15"/>
  <c r="G2218" i="15"/>
  <c r="H2205" i="15"/>
  <c r="I2192" i="15"/>
  <c r="J2179" i="15"/>
  <c r="F2167" i="15"/>
  <c r="G2154" i="15"/>
  <c r="H2141" i="15"/>
  <c r="I2128" i="15"/>
  <c r="J2115" i="15"/>
  <c r="F2103" i="15"/>
  <c r="G2090" i="15"/>
  <c r="H2077" i="15"/>
  <c r="I2064" i="15"/>
  <c r="J2051" i="15"/>
  <c r="F2039" i="15"/>
  <c r="G2026" i="15"/>
  <c r="H2013" i="15"/>
  <c r="I2000" i="15"/>
  <c r="J1987" i="15"/>
  <c r="F1975" i="15"/>
  <c r="G2413" i="15"/>
  <c r="F2362" i="15"/>
  <c r="G2345" i="15"/>
  <c r="H2332" i="15"/>
  <c r="I2319" i="15"/>
  <c r="J2306" i="15"/>
  <c r="F2294" i="15"/>
  <c r="G2281" i="15"/>
  <c r="H2268" i="15"/>
  <c r="I2255" i="15"/>
  <c r="J2242" i="15"/>
  <c r="F2230" i="15"/>
  <c r="G2217" i="15"/>
  <c r="H2204" i="15"/>
  <c r="I2191" i="15"/>
  <c r="J2178" i="15"/>
  <c r="F2166" i="15"/>
  <c r="G2153" i="15"/>
  <c r="H2140" i="15"/>
  <c r="I2127" i="15"/>
  <c r="J2114" i="15"/>
  <c r="F2102" i="15"/>
  <c r="G2089" i="15"/>
  <c r="H2076" i="15"/>
  <c r="I2063" i="15"/>
  <c r="J2050" i="15"/>
  <c r="F2038" i="15"/>
  <c r="G2025" i="15"/>
  <c r="H2012" i="15"/>
  <c r="I1999" i="15"/>
  <c r="J1986" i="15"/>
  <c r="F1974" i="15"/>
  <c r="H1961" i="15"/>
  <c r="I1948" i="15"/>
  <c r="J1935" i="15"/>
  <c r="F1923" i="15"/>
  <c r="G1910" i="15"/>
  <c r="H1897" i="15"/>
  <c r="I1884" i="15"/>
  <c r="J1871" i="15"/>
  <c r="F1859" i="15"/>
  <c r="G1846" i="15"/>
  <c r="H1833" i="15"/>
  <c r="I1820" i="15"/>
  <c r="J1807" i="15"/>
  <c r="F1795" i="15"/>
  <c r="G1782" i="15"/>
  <c r="H1769" i="15"/>
  <c r="I1756" i="15"/>
  <c r="J1743" i="15"/>
  <c r="F1731" i="15"/>
  <c r="G1718" i="15"/>
  <c r="H1705" i="15"/>
  <c r="I1692" i="15"/>
  <c r="J1679" i="15"/>
  <c r="F1667" i="15"/>
  <c r="G1654" i="15"/>
  <c r="H1641" i="15"/>
  <c r="I1628" i="15"/>
  <c r="J1615" i="15"/>
  <c r="F1603" i="15"/>
  <c r="G1590" i="15"/>
  <c r="H1577" i="15"/>
  <c r="I1564" i="15"/>
  <c r="H1960" i="15"/>
  <c r="I1947" i="15"/>
  <c r="J1934" i="15"/>
  <c r="F1922" i="15"/>
  <c r="G1909" i="15"/>
  <c r="H1896" i="15"/>
  <c r="I1883" i="15"/>
  <c r="J1870" i="15"/>
  <c r="F1858" i="15"/>
  <c r="G1845" i="15"/>
  <c r="H1832" i="15"/>
  <c r="I1819" i="15"/>
  <c r="J1806" i="15"/>
  <c r="F1794" i="15"/>
  <c r="G1781" i="15"/>
  <c r="H1768" i="15"/>
  <c r="I1755" i="15"/>
  <c r="J1742" i="15"/>
  <c r="F1730" i="15"/>
  <c r="G1717" i="15"/>
  <c r="H1704" i="15"/>
  <c r="I1691" i="15"/>
  <c r="J1678" i="15"/>
  <c r="F1666" i="15"/>
  <c r="G1653" i="15"/>
  <c r="H1640" i="15"/>
  <c r="I1627" i="15"/>
  <c r="H1608" i="15"/>
  <c r="I1591" i="15"/>
  <c r="J3154" i="15"/>
  <c r="F3114" i="15"/>
  <c r="G3047" i="15"/>
  <c r="J3020" i="15"/>
  <c r="G2953" i="15"/>
  <c r="J2800" i="15"/>
  <c r="I2876" i="15"/>
  <c r="J3059" i="15"/>
  <c r="G2787" i="15"/>
  <c r="I3151" i="15"/>
  <c r="G3101" i="15"/>
  <c r="F3044" i="15"/>
  <c r="I3017" i="15"/>
  <c r="F2950" i="15"/>
  <c r="I2797" i="15"/>
  <c r="H2873" i="15"/>
  <c r="G3034" i="15"/>
  <c r="F2784" i="15"/>
  <c r="F2879" i="15"/>
  <c r="F2878" i="15"/>
  <c r="G2876" i="15"/>
  <c r="I2849" i="15"/>
  <c r="I2974" i="15"/>
  <c r="F2794" i="15"/>
  <c r="G2779" i="15"/>
  <c r="J2770" i="15"/>
  <c r="G2904" i="15"/>
  <c r="G2766" i="15"/>
  <c r="J2955" i="15"/>
  <c r="G2952" i="15"/>
  <c r="J2787" i="15"/>
  <c r="H2788" i="15"/>
  <c r="F2960" i="15"/>
  <c r="J2735" i="15"/>
  <c r="H2633" i="15"/>
  <c r="I2735" i="15"/>
  <c r="G2633" i="15"/>
  <c r="I2734" i="15"/>
  <c r="G2632" i="15"/>
  <c r="I2733" i="15"/>
  <c r="J2773" i="15"/>
  <c r="F2671" i="15"/>
  <c r="I2568" i="15"/>
  <c r="J2670" i="15"/>
  <c r="H2568" i="15"/>
  <c r="J2669" i="15"/>
  <c r="H2567" i="15"/>
  <c r="G2816" i="15"/>
  <c r="I2708" i="15"/>
  <c r="G2606" i="15"/>
  <c r="H2708" i="15"/>
  <c r="F2606" i="15"/>
  <c r="H2707" i="15"/>
  <c r="F2605" i="15"/>
  <c r="H2706" i="15"/>
  <c r="G2746" i="15"/>
  <c r="J2643" i="15"/>
  <c r="F2746" i="15"/>
  <c r="I2643" i="15"/>
  <c r="F2745" i="15"/>
  <c r="I2642" i="15"/>
  <c r="F2744" i="15"/>
  <c r="I2641" i="15"/>
  <c r="G2587" i="15"/>
  <c r="G2485" i="15"/>
  <c r="F2509" i="15"/>
  <c r="I2406" i="15"/>
  <c r="J2508" i="15"/>
  <c r="G2419" i="15"/>
  <c r="I2552" i="15"/>
  <c r="H2485" i="15"/>
  <c r="G2418" i="15"/>
  <c r="F2628" i="15"/>
  <c r="G2561" i="15"/>
  <c r="F2494" i="15"/>
  <c r="G2556" i="15"/>
  <c r="F2505" i="15"/>
  <c r="J2453" i="15"/>
  <c r="I2402" i="15"/>
  <c r="F2556" i="15"/>
  <c r="J2504" i="15"/>
  <c r="I2453" i="15"/>
  <c r="H2402" i="15"/>
  <c r="F2555" i="15"/>
  <c r="J2503" i="15"/>
  <c r="I2452" i="15"/>
  <c r="G2695" i="15"/>
  <c r="H2630" i="15"/>
  <c r="G2579" i="15"/>
  <c r="H2528" i="15"/>
  <c r="G2477" i="15"/>
  <c r="G2552" i="15"/>
  <c r="F2501" i="15"/>
  <c r="J2449" i="15"/>
  <c r="I2398" i="15"/>
  <c r="F2552" i="15"/>
  <c r="J2500" i="15"/>
  <c r="I2449" i="15"/>
  <c r="H2398" i="15"/>
  <c r="F2551" i="15"/>
  <c r="J2499" i="15"/>
  <c r="I2448" i="15"/>
  <c r="H2690" i="15"/>
  <c r="H2626" i="15"/>
  <c r="G2575" i="15"/>
  <c r="H2524" i="15"/>
  <c r="G2473" i="15"/>
  <c r="G2548" i="15"/>
  <c r="F2497" i="15"/>
  <c r="J2445" i="15"/>
  <c r="I2394" i="15"/>
  <c r="F2548" i="15"/>
  <c r="J2496" i="15"/>
  <c r="I2445" i="15"/>
  <c r="H2394" i="15"/>
  <c r="F2547" i="15"/>
  <c r="J2495" i="15"/>
  <c r="I2444" i="15"/>
  <c r="H2393" i="15"/>
  <c r="H2380" i="15"/>
  <c r="H2428" i="15"/>
  <c r="J2317" i="15"/>
  <c r="I2266" i="15"/>
  <c r="H2215" i="15"/>
  <c r="G2164" i="15"/>
  <c r="F2113" i="15"/>
  <c r="J2061" i="15"/>
  <c r="I2010" i="15"/>
  <c r="J2398" i="15"/>
  <c r="F2316" i="15"/>
  <c r="J2264" i="15"/>
  <c r="I2213" i="15"/>
  <c r="H2162" i="15"/>
  <c r="G2111" i="15"/>
  <c r="F2060" i="15"/>
  <c r="J2008" i="15"/>
  <c r="G2425" i="15"/>
  <c r="F2333" i="15"/>
  <c r="H2307" i="15"/>
  <c r="J2281" i="15"/>
  <c r="G2256" i="15"/>
  <c r="I2230" i="15"/>
  <c r="F2205" i="15"/>
  <c r="H2179" i="15"/>
  <c r="J2153" i="15"/>
  <c r="G2128" i="15"/>
  <c r="I2102" i="15"/>
  <c r="F2077" i="15"/>
  <c r="H2051" i="15"/>
  <c r="J2025" i="15"/>
  <c r="G2000" i="15"/>
  <c r="I1974" i="15"/>
  <c r="G2357" i="15"/>
  <c r="G2331" i="15"/>
  <c r="I2305" i="15"/>
  <c r="F2280" i="15"/>
  <c r="H2254" i="15"/>
  <c r="J2228" i="15"/>
  <c r="G2203" i="15"/>
  <c r="I2177" i="15"/>
  <c r="F2152" i="15"/>
  <c r="H2126" i="15"/>
  <c r="J2100" i="15"/>
  <c r="G2075" i="15"/>
  <c r="I2049" i="15"/>
  <c r="F2024" i="15"/>
  <c r="J2403" i="15"/>
  <c r="H2369" i="15"/>
  <c r="H2355" i="15"/>
  <c r="F2329" i="15"/>
  <c r="H2303" i="15"/>
  <c r="J2277" i="15"/>
  <c r="G2252" i="15"/>
  <c r="I2226" i="15"/>
  <c r="F2201" i="15"/>
  <c r="H2175" i="15"/>
  <c r="J2149" i="15"/>
  <c r="G2124" i="15"/>
  <c r="I2098" i="15"/>
  <c r="F2073" i="15"/>
  <c r="H2047" i="15"/>
  <c r="J2021" i="15"/>
  <c r="G1996" i="15"/>
  <c r="I1970" i="15"/>
  <c r="J2352" i="15"/>
  <c r="G2327" i="15"/>
  <c r="I2301" i="15"/>
  <c r="F2276" i="15"/>
  <c r="H2250" i="15"/>
  <c r="J2224" i="15"/>
  <c r="G2199" i="15"/>
  <c r="I2173" i="15"/>
  <c r="F2148" i="15"/>
  <c r="H2122" i="15"/>
  <c r="J2096" i="15"/>
  <c r="G2071" i="15"/>
  <c r="I2045" i="15"/>
  <c r="F2020" i="15"/>
  <c r="G2402" i="15"/>
  <c r="I2368" i="15"/>
  <c r="I2354" i="15"/>
  <c r="G2328" i="15"/>
  <c r="I2302" i="15"/>
  <c r="F2277" i="15"/>
  <c r="H2251" i="15"/>
  <c r="J2225" i="15"/>
  <c r="G2200" i="15"/>
  <c r="I2174" i="15"/>
  <c r="F2149" i="15"/>
  <c r="H2123" i="15"/>
  <c r="J2097" i="15"/>
  <c r="G2072" i="15"/>
  <c r="I2046" i="15"/>
  <c r="F2021" i="15"/>
  <c r="H1995" i="15"/>
  <c r="J1969" i="15"/>
  <c r="F2352" i="15"/>
  <c r="H2326" i="15"/>
  <c r="J2300" i="15"/>
  <c r="G2275" i="15"/>
  <c r="I2249" i="15"/>
  <c r="F2224" i="15"/>
  <c r="H2198" i="15"/>
  <c r="J2172" i="15"/>
  <c r="G2147" i="15"/>
  <c r="I2121" i="15"/>
  <c r="F2096" i="15"/>
  <c r="H2070" i="15"/>
  <c r="J2044" i="15"/>
  <c r="G2019" i="15"/>
  <c r="I1993" i="15"/>
  <c r="F1968" i="15"/>
  <c r="J1992" i="15"/>
  <c r="G2401" i="15"/>
  <c r="F2339" i="15"/>
  <c r="H2313" i="15"/>
  <c r="J2287" i="15"/>
  <c r="G2262" i="15"/>
  <c r="I2236" i="15"/>
  <c r="F2211" i="15"/>
  <c r="H2185" i="15"/>
  <c r="J2159" i="15"/>
  <c r="G2134" i="15"/>
  <c r="I2108" i="15"/>
  <c r="F2083" i="15"/>
  <c r="H2057" i="15"/>
  <c r="J2031" i="15"/>
  <c r="G2006" i="15"/>
  <c r="I1980" i="15"/>
  <c r="H2384" i="15"/>
  <c r="F2338" i="15"/>
  <c r="H2312" i="15"/>
  <c r="J2286" i="15"/>
  <c r="G2261" i="15"/>
  <c r="I2235" i="15"/>
  <c r="F2210" i="15"/>
  <c r="H2184" i="15"/>
  <c r="J2158" i="15"/>
  <c r="G2133" i="15"/>
  <c r="I2107" i="15"/>
  <c r="F2082" i="15"/>
  <c r="H2056" i="15"/>
  <c r="J2030" i="15"/>
  <c r="G2005" i="15"/>
  <c r="I1979" i="15"/>
  <c r="G1954" i="15"/>
  <c r="I1928" i="15"/>
  <c r="F1903" i="15"/>
  <c r="H1877" i="15"/>
  <c r="J1851" i="15"/>
  <c r="G1826" i="15"/>
  <c r="I1800" i="15"/>
  <c r="F1775" i="15"/>
  <c r="H1749" i="15"/>
  <c r="J1723" i="15"/>
  <c r="G1698" i="15"/>
  <c r="I1672" i="15"/>
  <c r="F1647" i="15"/>
  <c r="H1621" i="15"/>
  <c r="J1595" i="15"/>
  <c r="G3076" i="15"/>
  <c r="I3122" i="15"/>
  <c r="I3043" i="15"/>
  <c r="F2955" i="15"/>
  <c r="H2951" i="15"/>
  <c r="G3024" i="15"/>
  <c r="J2942" i="15"/>
  <c r="J2873" i="15"/>
  <c r="G3071" i="15"/>
  <c r="I2983" i="15"/>
  <c r="J2981" i="15"/>
  <c r="F2860" i="15"/>
  <c r="G3119" i="15"/>
  <c r="I2796" i="15"/>
  <c r="I2947" i="15"/>
  <c r="J2912" i="15"/>
  <c r="I2996" i="15"/>
  <c r="G2859" i="15"/>
  <c r="J2832" i="15"/>
  <c r="J2966" i="15"/>
  <c r="G2811" i="15"/>
  <c r="G2919" i="15"/>
  <c r="H2918" i="15"/>
  <c r="I2790" i="15"/>
  <c r="J2687" i="15"/>
  <c r="H2585" i="15"/>
  <c r="I2687" i="15"/>
  <c r="G2585" i="15"/>
  <c r="I2686" i="15"/>
  <c r="G2584" i="15"/>
  <c r="H2902" i="15"/>
  <c r="H2725" i="15"/>
  <c r="F2623" i="15"/>
  <c r="G2725" i="15"/>
  <c r="J2622" i="15"/>
  <c r="G2724" i="15"/>
  <c r="J2621" i="15"/>
  <c r="G2723" i="15"/>
  <c r="F2763" i="15"/>
  <c r="I2660" i="15"/>
  <c r="J2762" i="15"/>
  <c r="H2660" i="15"/>
  <c r="J2761" i="15"/>
  <c r="H2659" i="15"/>
  <c r="J2760" i="15"/>
  <c r="I2802" i="15"/>
  <c r="G2698" i="15"/>
  <c r="J2595" i="15"/>
  <c r="F2698" i="15"/>
  <c r="I2595" i="15"/>
  <c r="F2697" i="15"/>
  <c r="I2594" i="15"/>
  <c r="F2696" i="15"/>
  <c r="H2642" i="15"/>
  <c r="I2539" i="15"/>
  <c r="G2437" i="15"/>
  <c r="F2461" i="15"/>
  <c r="I2358" i="15"/>
  <c r="J2460" i="15"/>
  <c r="G2387" i="15"/>
  <c r="J2523" i="15"/>
  <c r="I2456" i="15"/>
  <c r="G2675" i="15"/>
  <c r="G2599" i="15"/>
  <c r="H2532" i="15"/>
  <c r="F2462" i="15"/>
  <c r="J2533" i="15"/>
  <c r="I2482" i="15"/>
  <c r="H2431" i="15"/>
  <c r="G2380" i="15"/>
  <c r="I2533" i="15"/>
  <c r="H2482" i="15"/>
  <c r="G2431" i="15"/>
  <c r="F2380" i="15"/>
  <c r="I2532" i="15"/>
  <c r="H2481" i="15"/>
  <c r="G2430" i="15"/>
  <c r="I2665" i="15"/>
  <c r="F2608" i="15"/>
  <c r="G2557" i="15"/>
  <c r="F2506" i="15"/>
  <c r="J2454" i="15"/>
  <c r="J2529" i="15"/>
  <c r="I2478" i="15"/>
  <c r="H2427" i="15"/>
  <c r="G2376" i="15"/>
  <c r="I2529" i="15"/>
  <c r="H2478" i="15"/>
  <c r="G2427" i="15"/>
  <c r="F2376" i="15"/>
  <c r="I2528" i="15"/>
  <c r="H2477" i="15"/>
  <c r="G2426" i="15"/>
  <c r="F2660" i="15"/>
  <c r="F2604" i="15"/>
  <c r="G2553" i="15"/>
  <c r="F2502" i="15"/>
  <c r="J2450" i="15"/>
  <c r="J2525" i="15"/>
  <c r="I2474" i="15"/>
  <c r="H2423" i="15"/>
  <c r="G2372" i="15"/>
  <c r="I2525" i="15"/>
  <c r="H2474" i="15"/>
  <c r="G2423" i="15"/>
  <c r="F2372" i="15"/>
  <c r="I2524" i="15"/>
  <c r="H2473" i="15"/>
  <c r="G2422" i="15"/>
  <c r="F2371" i="15"/>
  <c r="I2392" i="15"/>
  <c r="I2346" i="15"/>
  <c r="H2295" i="15"/>
  <c r="G2244" i="15"/>
  <c r="F2193" i="15"/>
  <c r="J2141" i="15"/>
  <c r="I2090" i="15"/>
  <c r="H2039" i="15"/>
  <c r="G1988" i="15"/>
  <c r="J2344" i="15"/>
  <c r="I2293" i="15"/>
  <c r="H2242" i="15"/>
  <c r="G2191" i="15"/>
  <c r="F2140" i="15"/>
  <c r="J2088" i="15"/>
  <c r="I2037" i="15"/>
  <c r="J2391" i="15"/>
  <c r="D92" i="16"/>
  <c r="G2948" i="15"/>
  <c r="I3045" i="15"/>
  <c r="I2978" i="15"/>
  <c r="I3032" i="15"/>
  <c r="J2934" i="15"/>
  <c r="F2970" i="15"/>
  <c r="F2820" i="15"/>
  <c r="H2798" i="15"/>
  <c r="I2905" i="15"/>
  <c r="I2684" i="15"/>
  <c r="H2684" i="15"/>
  <c r="H2683" i="15"/>
  <c r="H2886" i="15"/>
  <c r="J2619" i="15"/>
  <c r="I2619" i="15"/>
  <c r="I2618" i="15"/>
  <c r="J2759" i="15"/>
  <c r="I2759" i="15"/>
  <c r="I2758" i="15"/>
  <c r="I2757" i="15"/>
  <c r="F2695" i="15"/>
  <c r="J2694" i="15"/>
  <c r="J2693" i="15"/>
  <c r="J2692" i="15"/>
  <c r="H2536" i="15"/>
  <c r="J2457" i="15"/>
  <c r="I2457" i="15"/>
  <c r="I2520" i="15"/>
  <c r="G2671" i="15"/>
  <c r="F2526" i="15"/>
  <c r="I2530" i="15"/>
  <c r="G2428" i="15"/>
  <c r="H2530" i="15"/>
  <c r="F2428" i="15"/>
  <c r="H2529" i="15"/>
  <c r="F2427" i="15"/>
  <c r="J2604" i="15"/>
  <c r="J2502" i="15"/>
  <c r="I2526" i="15"/>
  <c r="G2424" i="15"/>
  <c r="H2526" i="15"/>
  <c r="F2424" i="15"/>
  <c r="H2525" i="15"/>
  <c r="F2423" i="15"/>
  <c r="J2600" i="15"/>
  <c r="J2498" i="15"/>
  <c r="I2522" i="15"/>
  <c r="G2420" i="15"/>
  <c r="H2522" i="15"/>
  <c r="F2420" i="15"/>
  <c r="H2521" i="15"/>
  <c r="F2419" i="15"/>
  <c r="I2388" i="15"/>
  <c r="G2292" i="15"/>
  <c r="J2189" i="15"/>
  <c r="H2087" i="15"/>
  <c r="F1985" i="15"/>
  <c r="H2290" i="15"/>
  <c r="F2188" i="15"/>
  <c r="I2085" i="15"/>
  <c r="J2387" i="15"/>
  <c r="G2336" i="15"/>
  <c r="J2297" i="15"/>
  <c r="F2269" i="15"/>
  <c r="J2233" i="15"/>
  <c r="H2195" i="15"/>
  <c r="I2166" i="15"/>
  <c r="H2131" i="15"/>
  <c r="F2093" i="15"/>
  <c r="G2064" i="15"/>
  <c r="F2029" i="15"/>
  <c r="I1990" i="15"/>
  <c r="H2408" i="15"/>
  <c r="H2334" i="15"/>
  <c r="F2296" i="15"/>
  <c r="G2267" i="15"/>
  <c r="F2232" i="15"/>
  <c r="I2193" i="15"/>
  <c r="J2164" i="15"/>
  <c r="I2129" i="15"/>
  <c r="G2091" i="15"/>
  <c r="H2062" i="15"/>
  <c r="G2027" i="15"/>
  <c r="F2391" i="15"/>
  <c r="F2422" i="15"/>
  <c r="G2332" i="15"/>
  <c r="J2293" i="15"/>
  <c r="F2265" i="15"/>
  <c r="J2229" i="15"/>
  <c r="H2191" i="15"/>
  <c r="I2162" i="15"/>
  <c r="H2127" i="15"/>
  <c r="F2089" i="15"/>
  <c r="G2060" i="15"/>
  <c r="F2025" i="15"/>
  <c r="I1986" i="15"/>
  <c r="H2392" i="15"/>
  <c r="H2330" i="15"/>
  <c r="F2292" i="15"/>
  <c r="G2263" i="15"/>
  <c r="F2228" i="15"/>
  <c r="I2189" i="15"/>
  <c r="J2160" i="15"/>
  <c r="I2125" i="15"/>
  <c r="G2087" i="15"/>
  <c r="H2058" i="15"/>
  <c r="G2023" i="15"/>
  <c r="H2389" i="15"/>
  <c r="I2415" i="15"/>
  <c r="H2331" i="15"/>
  <c r="F2293" i="15"/>
  <c r="G2264" i="15"/>
  <c r="F2229" i="15"/>
  <c r="I2190" i="15"/>
  <c r="J2161" i="15"/>
  <c r="I2126" i="15"/>
  <c r="G2088" i="15"/>
  <c r="H2059" i="15"/>
  <c r="G2024" i="15"/>
  <c r="J1985" i="15"/>
  <c r="G2389" i="15"/>
  <c r="I2329" i="15"/>
  <c r="G2291" i="15"/>
  <c r="H2262" i="15"/>
  <c r="G2227" i="15"/>
  <c r="J2188" i="15"/>
  <c r="F2160" i="15"/>
  <c r="J2124" i="15"/>
  <c r="H2086" i="15"/>
  <c r="I2057" i="15"/>
  <c r="H2022" i="15"/>
  <c r="F1984" i="15"/>
  <c r="G2385" i="15"/>
  <c r="G2417" i="15"/>
  <c r="H2329" i="15"/>
  <c r="I2300" i="15"/>
  <c r="H2265" i="15"/>
  <c r="F2227" i="15"/>
  <c r="G2198" i="15"/>
  <c r="F2163" i="15"/>
  <c r="I2124" i="15"/>
  <c r="J2095" i="15"/>
  <c r="I2060" i="15"/>
  <c r="G2022" i="15"/>
  <c r="H1993" i="15"/>
  <c r="G2397" i="15"/>
  <c r="H2328" i="15"/>
  <c r="I2299" i="15"/>
  <c r="H2264" i="15"/>
  <c r="F2226" i="15"/>
  <c r="G2197" i="15"/>
  <c r="F2162" i="15"/>
  <c r="I2123" i="15"/>
  <c r="J2094" i="15"/>
  <c r="I2059" i="15"/>
  <c r="G2021" i="15"/>
  <c r="H1992" i="15"/>
  <c r="H1957" i="15"/>
  <c r="F1919" i="15"/>
  <c r="G1890" i="15"/>
  <c r="F1855" i="15"/>
  <c r="I1816" i="15"/>
  <c r="J1787" i="15"/>
  <c r="I1752" i="15"/>
  <c r="G1714" i="15"/>
  <c r="H1685" i="15"/>
  <c r="G1650" i="15"/>
  <c r="J1611" i="15"/>
  <c r="F1583" i="15"/>
  <c r="F1966" i="15"/>
  <c r="H1940" i="15"/>
  <c r="J1914" i="15"/>
  <c r="G1889" i="15"/>
  <c r="I1863" i="15"/>
  <c r="F1838" i="15"/>
  <c r="H1812" i="15"/>
  <c r="J1786" i="15"/>
  <c r="G1761" i="15"/>
  <c r="I1735" i="15"/>
  <c r="F1710" i="15"/>
  <c r="H1684" i="15"/>
  <c r="J1658" i="15"/>
  <c r="G1633" i="15"/>
  <c r="G1983" i="15"/>
  <c r="J2362" i="15"/>
  <c r="J2331" i="15"/>
  <c r="G2306" i="15"/>
  <c r="I2280" i="15"/>
  <c r="F2255" i="15"/>
  <c r="H2229" i="15"/>
  <c r="J2203" i="15"/>
  <c r="G2178" i="15"/>
  <c r="I2152" i="15"/>
  <c r="F2127" i="15"/>
  <c r="H2101" i="15"/>
  <c r="J2075" i="15"/>
  <c r="G2050" i="15"/>
  <c r="I2024" i="15"/>
  <c r="F1999" i="15"/>
  <c r="H1973" i="15"/>
  <c r="H2356" i="15"/>
  <c r="J2330" i="15"/>
  <c r="G2305" i="15"/>
  <c r="I2279" i="15"/>
  <c r="F2254" i="15"/>
  <c r="H2228" i="15"/>
  <c r="J2202" i="15"/>
  <c r="G2177" i="15"/>
  <c r="I2151" i="15"/>
  <c r="F2126" i="15"/>
  <c r="H2100" i="15"/>
  <c r="J2074" i="15"/>
  <c r="G2049" i="15"/>
  <c r="I2023" i="15"/>
  <c r="F1998" i="15"/>
  <c r="H1972" i="15"/>
  <c r="F1947" i="15"/>
  <c r="H1921" i="15"/>
  <c r="J1895" i="15"/>
  <c r="G1870" i="15"/>
  <c r="I1844" i="15"/>
  <c r="F1819" i="15"/>
  <c r="H1793" i="15"/>
  <c r="J1767" i="15"/>
  <c r="G1742" i="15"/>
  <c r="I1716" i="15"/>
  <c r="F1691" i="15"/>
  <c r="H1665" i="15"/>
  <c r="J1639" i="15"/>
  <c r="G1614" i="15"/>
  <c r="I1588" i="15"/>
  <c r="F1563" i="15"/>
  <c r="F1946" i="15"/>
  <c r="H1920" i="15"/>
  <c r="J1894" i="15"/>
  <c r="G1869" i="15"/>
  <c r="I1843" i="15"/>
  <c r="F1818" i="15"/>
  <c r="H1792" i="15"/>
  <c r="J1766" i="15"/>
  <c r="G1741" i="15"/>
  <c r="I1715" i="15"/>
  <c r="F1690" i="15"/>
  <c r="H1664" i="15"/>
  <c r="J1638" i="15"/>
  <c r="G1613" i="15"/>
  <c r="J2426" i="15"/>
  <c r="J2343" i="15"/>
  <c r="G2318" i="15"/>
  <c r="I2292" i="15"/>
  <c r="F2267" i="15"/>
  <c r="H2241" i="15"/>
  <c r="J2215" i="15"/>
  <c r="G2190" i="15"/>
  <c r="I2164" i="15"/>
  <c r="F2139" i="15"/>
  <c r="H2113" i="15"/>
  <c r="J2087" i="15"/>
  <c r="G2062" i="15"/>
  <c r="I2036" i="15"/>
  <c r="F2011" i="15"/>
  <c r="H1985" i="15"/>
  <c r="I2403" i="15"/>
  <c r="J2342" i="15"/>
  <c r="G2317" i="15"/>
  <c r="I2291" i="15"/>
  <c r="F2266" i="15"/>
  <c r="H2240" i="15"/>
  <c r="J2214" i="15"/>
  <c r="G2189" i="15"/>
  <c r="I2163" i="15"/>
  <c r="F2138" i="15"/>
  <c r="H2112" i="15"/>
  <c r="J2086" i="15"/>
  <c r="G2061" i="15"/>
  <c r="I2035" i="15"/>
  <c r="F2010" i="15"/>
  <c r="H1984" i="15"/>
  <c r="F1959" i="15"/>
  <c r="H1933" i="15"/>
  <c r="J1907" i="15"/>
  <c r="G1882" i="15"/>
  <c r="I1856" i="15"/>
  <c r="F1831" i="15"/>
  <c r="H1805" i="15"/>
  <c r="J1779" i="15"/>
  <c r="G1754" i="15"/>
  <c r="I1728" i="15"/>
  <c r="F1703" i="15"/>
  <c r="H1677" i="15"/>
  <c r="J1651" i="15"/>
  <c r="G1626" i="15"/>
  <c r="I1600" i="15"/>
  <c r="F1575" i="15"/>
  <c r="F1958" i="15"/>
  <c r="H1932" i="15"/>
  <c r="J1906" i="15"/>
  <c r="G1881" i="15"/>
  <c r="I1855" i="15"/>
  <c r="F1830" i="15"/>
  <c r="H1804" i="15"/>
  <c r="J1778" i="15"/>
  <c r="G1753" i="15"/>
  <c r="I1727" i="15"/>
  <c r="F1702" i="15"/>
  <c r="H1676" i="15"/>
  <c r="J1650" i="15"/>
  <c r="G1625" i="15"/>
  <c r="I1599" i="15"/>
  <c r="H1994" i="15"/>
  <c r="H2404" i="15"/>
  <c r="J2339" i="15"/>
  <c r="G2314" i="15"/>
  <c r="I2288" i="15"/>
  <c r="F2263" i="15"/>
  <c r="H2237" i="15"/>
  <c r="J2211" i="15"/>
  <c r="G2186" i="15"/>
  <c r="I2160" i="15"/>
  <c r="F2135" i="15"/>
  <c r="H2109" i="15"/>
  <c r="J2083" i="15"/>
  <c r="G2058" i="15"/>
  <c r="I2032" i="15"/>
  <c r="F2007" i="15"/>
  <c r="H1981" i="15"/>
  <c r="I2387" i="15"/>
  <c r="J2338" i="15"/>
  <c r="G2313" i="15"/>
  <c r="I2287" i="15"/>
  <c r="F2262" i="15"/>
  <c r="H2236" i="15"/>
  <c r="J2210" i="15"/>
  <c r="G2185" i="15"/>
  <c r="I2159" i="15"/>
  <c r="F2134" i="15"/>
  <c r="H2108" i="15"/>
  <c r="J2082" i="15"/>
  <c r="G2057" i="15"/>
  <c r="I2031" i="15"/>
  <c r="F2006" i="15"/>
  <c r="H1980" i="15"/>
  <c r="F1955" i="15"/>
  <c r="H1929" i="15"/>
  <c r="J1903" i="15"/>
  <c r="G1878" i="15"/>
  <c r="I1852" i="15"/>
  <c r="F1827" i="15"/>
  <c r="H1801" i="15"/>
  <c r="J1775" i="15"/>
  <c r="G1750" i="15"/>
  <c r="I1724" i="15"/>
  <c r="F1699" i="15"/>
  <c r="H1673" i="15"/>
  <c r="J1647" i="15"/>
  <c r="G1622" i="15"/>
  <c r="I1596" i="15"/>
  <c r="F1571" i="15"/>
  <c r="F1954" i="15"/>
  <c r="H1928" i="15"/>
  <c r="J1902" i="15"/>
  <c r="G1877" i="15"/>
  <c r="I1851" i="15"/>
  <c r="F1826" i="15"/>
  <c r="H1800" i="15"/>
  <c r="J1774" i="15"/>
  <c r="G1749" i="15"/>
  <c r="I1723" i="15"/>
  <c r="F1698" i="15"/>
  <c r="H1672" i="15"/>
  <c r="J1646" i="15"/>
  <c r="G1621" i="15"/>
  <c r="J1582" i="15"/>
  <c r="F1562" i="15"/>
  <c r="I1954" i="15"/>
  <c r="I1938" i="15"/>
  <c r="H1919" i="15"/>
  <c r="H1903" i="15"/>
  <c r="H1887" i="15"/>
  <c r="G1868" i="15"/>
  <c r="G1852" i="15"/>
  <c r="G1836" i="15"/>
  <c r="F1817" i="15"/>
  <c r="F1801" i="15"/>
  <c r="F1785" i="15"/>
  <c r="J1765" i="15"/>
  <c r="J1749" i="15"/>
  <c r="J1733" i="15"/>
  <c r="I1714" i="15"/>
  <c r="I1698" i="15"/>
  <c r="I1682" i="15"/>
  <c r="H1663" i="15"/>
  <c r="H1647" i="15"/>
  <c r="H1631" i="15"/>
  <c r="G1612" i="15"/>
  <c r="G1596" i="15"/>
  <c r="G1580" i="15"/>
  <c r="F1561" i="15"/>
  <c r="I1953" i="15"/>
  <c r="I1937" i="15"/>
  <c r="H1918" i="15"/>
  <c r="H1902" i="15"/>
  <c r="H1886" i="15"/>
  <c r="G1867" i="15"/>
  <c r="G1851" i="15"/>
  <c r="G1835" i="15"/>
  <c r="F1816" i="15"/>
  <c r="F1800" i="15"/>
  <c r="F1784" i="15"/>
  <c r="J1764" i="15"/>
  <c r="J1748" i="15"/>
  <c r="J1732" i="15"/>
  <c r="I1713" i="15"/>
  <c r="I1697" i="15"/>
  <c r="I1681" i="15"/>
  <c r="H1662" i="15"/>
  <c r="H1646" i="15"/>
  <c r="H1630" i="15"/>
  <c r="G1611" i="15"/>
  <c r="G1595" i="15"/>
  <c r="G1579" i="15"/>
  <c r="F1560" i="15"/>
  <c r="I1544" i="15"/>
  <c r="I1528" i="15"/>
  <c r="H1509" i="15"/>
  <c r="H1493" i="15"/>
  <c r="H1477" i="15"/>
  <c r="H1461" i="15"/>
  <c r="I1448" i="15"/>
  <c r="J1435" i="15"/>
  <c r="F1423" i="15"/>
  <c r="G1410" i="15"/>
  <c r="H1397" i="15"/>
  <c r="I1384" i="15"/>
  <c r="J1371" i="15"/>
  <c r="F1359" i="15"/>
  <c r="G1346" i="15"/>
  <c r="H1333" i="15"/>
  <c r="I1320" i="15"/>
  <c r="J1307" i="15"/>
  <c r="F1295" i="15"/>
  <c r="G1282" i="15"/>
  <c r="H1269" i="15"/>
  <c r="I1256" i="15"/>
  <c r="J1243" i="15"/>
  <c r="F1231" i="15"/>
  <c r="G1218" i="15"/>
  <c r="H1205" i="15"/>
  <c r="I1192" i="15"/>
  <c r="J1179" i="15"/>
  <c r="F1167" i="15"/>
  <c r="G1154" i="15"/>
  <c r="F1550" i="15"/>
  <c r="G1537" i="15"/>
  <c r="H1524" i="15"/>
  <c r="I1511" i="15"/>
  <c r="J1498" i="15"/>
  <c r="F1486" i="15"/>
  <c r="G1473" i="15"/>
  <c r="H1460" i="15"/>
  <c r="I1447" i="15"/>
  <c r="J1434" i="15"/>
  <c r="F1422" i="15"/>
  <c r="G1409" i="15"/>
  <c r="H1396" i="15"/>
  <c r="I1383" i="15"/>
  <c r="J1370" i="15"/>
  <c r="F1358" i="15"/>
  <c r="G1345" i="15"/>
  <c r="H1332" i="15"/>
  <c r="I1319" i="15"/>
  <c r="J1306" i="15"/>
  <c r="F1294" i="15"/>
  <c r="G1281" i="15"/>
  <c r="H1268" i="15"/>
  <c r="I1255" i="15"/>
  <c r="J1242" i="15"/>
  <c r="F1618" i="15"/>
  <c r="J1598" i="15"/>
  <c r="F1582" i="15"/>
  <c r="I1567" i="15"/>
  <c r="H1963" i="15"/>
  <c r="I1950" i="15"/>
  <c r="J1937" i="15"/>
  <c r="F1925" i="15"/>
  <c r="G1912" i="15"/>
  <c r="H1899" i="15"/>
  <c r="I1886" i="15"/>
  <c r="J1873" i="15"/>
  <c r="F1861" i="15"/>
  <c r="G1848" i="15"/>
  <c r="H1835" i="15"/>
  <c r="I1822" i="15"/>
  <c r="J1809" i="15"/>
  <c r="F1797" i="15"/>
  <c r="G1784" i="15"/>
  <c r="H1771" i="15"/>
  <c r="I1758" i="15"/>
  <c r="J1745" i="15"/>
  <c r="F1733" i="15"/>
  <c r="G1720" i="15"/>
  <c r="H1707" i="15"/>
  <c r="I1694" i="15"/>
  <c r="J1681" i="15"/>
  <c r="F1669" i="15"/>
  <c r="G1656" i="15"/>
  <c r="H1643" i="15"/>
  <c r="I1630" i="15"/>
  <c r="J1617" i="15"/>
  <c r="F1605" i="15"/>
  <c r="G1592" i="15"/>
  <c r="H1579" i="15"/>
  <c r="I1566" i="15"/>
  <c r="H1962" i="15"/>
  <c r="I1949" i="15"/>
  <c r="J1936" i="15"/>
  <c r="F1924" i="15"/>
  <c r="G1911" i="15"/>
  <c r="H1898" i="15"/>
  <c r="I1885" i="15"/>
  <c r="J1872" i="15"/>
  <c r="F1860" i="15"/>
  <c r="G1847" i="15"/>
  <c r="H1834" i="15"/>
  <c r="I1821" i="15"/>
  <c r="J1808" i="15"/>
  <c r="F1796" i="15"/>
  <c r="G1783" i="15"/>
  <c r="H1770" i="15"/>
  <c r="I1757" i="15"/>
  <c r="J1744" i="15"/>
  <c r="F1732" i="15"/>
  <c r="G1719" i="15"/>
  <c r="H1706" i="15"/>
  <c r="I1693" i="15"/>
  <c r="J1680" i="15"/>
  <c r="F1668" i="15"/>
  <c r="G1655" i="15"/>
  <c r="H1642" i="15"/>
  <c r="I1629" i="15"/>
  <c r="J1616" i="15"/>
  <c r="F1604" i="15"/>
  <c r="G1591" i="15"/>
  <c r="H1578" i="15"/>
  <c r="I1565" i="15"/>
  <c r="H1553" i="15"/>
  <c r="I1540" i="15"/>
  <c r="J1527" i="15"/>
  <c r="F1515" i="15"/>
  <c r="G1502" i="15"/>
  <c r="H1489" i="15"/>
  <c r="I1476" i="15"/>
  <c r="J1463" i="15"/>
  <c r="F1451" i="15"/>
  <c r="G1438" i="15"/>
  <c r="H1425" i="15"/>
  <c r="I1412" i="15"/>
  <c r="J1399" i="15"/>
  <c r="F1387" i="15"/>
  <c r="G1374" i="15"/>
  <c r="H1361" i="15"/>
  <c r="I1348" i="15"/>
  <c r="J1335" i="15"/>
  <c r="F1323" i="15"/>
  <c r="G1310" i="15"/>
  <c r="H1297" i="15"/>
  <c r="I1284" i="15"/>
  <c r="J1271" i="15"/>
  <c r="F1259" i="15"/>
  <c r="G1246" i="15"/>
  <c r="H1233" i="15"/>
  <c r="I1220" i="15"/>
  <c r="J1207" i="15"/>
  <c r="F1195" i="15"/>
  <c r="G1182" i="15"/>
  <c r="H1169" i="15"/>
  <c r="I1156" i="15"/>
  <c r="H1552" i="15"/>
  <c r="I1539" i="15"/>
  <c r="J1526" i="15"/>
  <c r="F1514" i="15"/>
  <c r="G1501" i="15"/>
  <c r="H1488" i="15"/>
  <c r="I1475" i="15"/>
  <c r="J1462" i="15"/>
  <c r="F1450" i="15"/>
  <c r="G1437" i="15"/>
  <c r="H1424" i="15"/>
  <c r="I1411" i="15"/>
  <c r="J1398" i="15"/>
  <c r="F1386" i="15"/>
  <c r="G1373" i="15"/>
  <c r="H1360" i="15"/>
  <c r="I1347" i="15"/>
  <c r="J1334" i="15"/>
  <c r="F1322" i="15"/>
  <c r="G1309" i="15"/>
  <c r="H1296" i="15"/>
  <c r="I1283" i="15"/>
  <c r="J1270" i="15"/>
  <c r="F1258" i="15"/>
  <c r="G1245" i="15"/>
  <c r="G1617" i="15"/>
  <c r="F1598" i="15"/>
  <c r="G1581" i="15"/>
  <c r="J1566" i="15"/>
  <c r="I1962" i="15"/>
  <c r="J1949" i="15"/>
  <c r="F1937" i="15"/>
  <c r="G1924" i="15"/>
  <c r="H1911" i="15"/>
  <c r="I1898" i="15"/>
  <c r="J1885" i="15"/>
  <c r="F1873" i="15"/>
  <c r="G1860" i="15"/>
  <c r="H1847" i="15"/>
  <c r="I1834" i="15"/>
  <c r="J1821" i="15"/>
  <c r="F1809" i="15"/>
  <c r="G1796" i="15"/>
  <c r="H1783" i="15"/>
  <c r="I1770" i="15"/>
  <c r="J1757" i="15"/>
  <c r="F1745" i="15"/>
  <c r="G1732" i="15"/>
  <c r="H1719" i="15"/>
  <c r="I1706" i="15"/>
  <c r="J1693" i="15"/>
  <c r="F1681" i="15"/>
  <c r="G1668" i="15"/>
  <c r="H1655" i="15"/>
  <c r="I1642" i="15"/>
  <c r="J1629" i="15"/>
  <c r="F1617" i="15"/>
  <c r="G1604" i="15"/>
  <c r="H1591" i="15"/>
  <c r="I1578" i="15"/>
  <c r="J1565" i="15"/>
  <c r="I1961" i="15"/>
  <c r="J1948" i="15"/>
  <c r="F1936" i="15"/>
  <c r="G1923" i="15"/>
  <c r="H1910" i="15"/>
  <c r="I1897" i="15"/>
  <c r="J1884" i="15"/>
  <c r="F1872" i="15"/>
  <c r="G1859" i="15"/>
  <c r="H1846" i="15"/>
  <c r="I1833" i="15"/>
  <c r="J1820" i="15"/>
  <c r="F1808" i="15"/>
  <c r="G1795" i="15"/>
  <c r="H1782" i="15"/>
  <c r="I1769" i="15"/>
  <c r="J1756" i="15"/>
  <c r="F1744" i="15"/>
  <c r="G1731" i="15"/>
  <c r="H1718" i="15"/>
  <c r="I1705" i="15"/>
  <c r="J1692" i="15"/>
  <c r="F1680" i="15"/>
  <c r="G1667" i="15"/>
  <c r="H1654" i="15"/>
  <c r="I1641" i="15"/>
  <c r="J1628" i="15"/>
  <c r="F1616" i="15"/>
  <c r="G1603" i="15"/>
  <c r="H1590" i="15"/>
  <c r="I1577" i="15"/>
  <c r="J1564" i="15"/>
  <c r="I1552" i="15"/>
  <c r="J1539" i="15"/>
  <c r="F1527" i="15"/>
  <c r="G1514" i="15"/>
  <c r="H1501" i="15"/>
  <c r="I1488" i="15"/>
  <c r="J1475" i="15"/>
  <c r="F1463" i="15"/>
  <c r="G1450" i="15"/>
  <c r="H1437" i="15"/>
  <c r="I1424" i="15"/>
  <c r="J1411" i="15"/>
  <c r="F1399" i="15"/>
  <c r="G1386" i="15"/>
  <c r="H1373" i="15"/>
  <c r="I1360" i="15"/>
  <c r="J1347" i="15"/>
  <c r="F1335" i="15"/>
  <c r="G1322" i="15"/>
  <c r="H1309" i="15"/>
  <c r="I1296" i="15"/>
  <c r="J1283" i="15"/>
  <c r="F1271" i="15"/>
  <c r="G1258" i="15"/>
  <c r="H1245" i="15"/>
  <c r="I1232" i="15"/>
  <c r="J1219" i="15"/>
  <c r="F1207" i="15"/>
  <c r="G1194" i="15"/>
  <c r="H1181" i="15"/>
  <c r="I1168" i="15"/>
  <c r="J1155" i="15"/>
  <c r="I1551" i="15"/>
  <c r="J1538" i="15"/>
  <c r="F1526" i="15"/>
  <c r="G1513" i="15"/>
  <c r="H1500" i="15"/>
  <c r="I1487" i="15"/>
  <c r="J1474" i="15"/>
  <c r="F1462" i="15"/>
  <c r="G1449" i="15"/>
  <c r="H1436" i="15"/>
  <c r="I1423" i="15"/>
  <c r="J1410" i="15"/>
  <c r="F1398" i="15"/>
  <c r="G1385" i="15"/>
  <c r="H1372" i="15"/>
  <c r="I1359" i="15"/>
  <c r="J1346" i="15"/>
  <c r="F1334" i="15"/>
  <c r="G1321" i="15"/>
  <c r="H1308" i="15"/>
  <c r="I1295" i="15"/>
  <c r="J1282" i="15"/>
  <c r="F1270" i="15"/>
  <c r="G1257" i="15"/>
  <c r="H1244" i="15"/>
  <c r="I1231" i="15"/>
  <c r="J1218" i="15"/>
  <c r="G1601" i="15"/>
  <c r="H1584" i="15"/>
  <c r="G1569" i="15"/>
  <c r="F1965" i="15"/>
  <c r="G1952" i="15"/>
  <c r="H1939" i="15"/>
  <c r="I1926" i="15"/>
  <c r="J1913" i="15"/>
  <c r="F1901" i="15"/>
  <c r="G1888" i="15"/>
  <c r="H1875" i="15"/>
  <c r="I1862" i="15"/>
  <c r="J1849" i="15"/>
  <c r="F1837" i="15"/>
  <c r="G1824" i="15"/>
  <c r="H1811" i="15"/>
  <c r="I1798" i="15"/>
  <c r="J1785" i="15"/>
  <c r="F1773" i="15"/>
  <c r="G1760" i="15"/>
  <c r="H1747" i="15"/>
  <c r="I1734" i="15"/>
  <c r="J1721" i="15"/>
  <c r="F1709" i="15"/>
  <c r="G1696" i="15"/>
  <c r="H1683" i="15"/>
  <c r="I1670" i="15"/>
  <c r="J1657" i="15"/>
  <c r="F1645" i="15"/>
  <c r="G1632" i="15"/>
  <c r="H1619" i="15"/>
  <c r="I1606" i="15"/>
  <c r="J1593" i="15"/>
  <c r="F1581" i="15"/>
  <c r="G1568" i="15"/>
  <c r="F1964" i="15"/>
  <c r="G1951" i="15"/>
  <c r="H1938" i="15"/>
  <c r="I1925" i="15"/>
  <c r="J1912" i="15"/>
  <c r="F1900" i="15"/>
  <c r="G1887" i="15"/>
  <c r="H1874" i="15"/>
  <c r="I1861" i="15"/>
  <c r="J1848" i="15"/>
  <c r="F1836" i="15"/>
  <c r="G1823" i="15"/>
  <c r="H1810" i="15"/>
  <c r="I1797" i="15"/>
  <c r="J1784" i="15"/>
  <c r="F1772" i="15"/>
  <c r="G1759" i="15"/>
  <c r="H1746" i="15"/>
  <c r="I1733" i="15"/>
  <c r="J1720" i="15"/>
  <c r="F1708" i="15"/>
  <c r="G1695" i="15"/>
  <c r="H1682" i="15"/>
  <c r="I1669" i="15"/>
  <c r="J1656" i="15"/>
  <c r="F1644" i="15"/>
  <c r="G1631" i="15"/>
  <c r="H1618" i="15"/>
  <c r="I1605" i="15"/>
  <c r="J1592" i="15"/>
  <c r="F1580" i="15"/>
  <c r="G1567" i="15"/>
  <c r="F1555" i="15"/>
  <c r="G1542" i="15"/>
  <c r="H1529" i="15"/>
  <c r="I1516" i="15"/>
  <c r="J1503" i="15"/>
  <c r="F1491" i="15"/>
  <c r="G1478" i="15"/>
  <c r="H1465" i="15"/>
  <c r="I1452" i="15"/>
  <c r="J1439" i="15"/>
  <c r="F1427" i="15"/>
  <c r="G1414" i="15"/>
  <c r="H1401" i="15"/>
  <c r="I1388" i="15"/>
  <c r="J1375" i="15"/>
  <c r="F1363" i="15"/>
  <c r="G1350" i="15"/>
  <c r="H1337" i="15"/>
  <c r="I1324" i="15"/>
  <c r="J1311" i="15"/>
  <c r="F1299" i="15"/>
  <c r="G1286" i="15"/>
  <c r="H1273" i="15"/>
  <c r="I1260" i="15"/>
  <c r="J1247" i="15"/>
  <c r="F1235" i="15"/>
  <c r="G1222" i="15"/>
  <c r="H1209" i="15"/>
  <c r="I1196" i="15"/>
  <c r="J1183" i="15"/>
  <c r="F1171" i="15"/>
  <c r="G1158" i="15"/>
  <c r="F1554" i="15"/>
  <c r="G1541" i="15"/>
  <c r="H1528" i="15"/>
  <c r="I1515" i="15"/>
  <c r="J1502" i="15"/>
  <c r="F1490" i="15"/>
  <c r="G1477" i="15"/>
  <c r="H1464" i="15"/>
  <c r="I1451" i="15"/>
  <c r="J1438" i="15"/>
  <c r="F1426" i="15"/>
  <c r="G1413" i="15"/>
  <c r="H1400" i="15"/>
  <c r="I1387" i="15"/>
  <c r="J1374" i="15"/>
  <c r="F1362" i="15"/>
  <c r="G1349" i="15"/>
  <c r="H1336" i="15"/>
  <c r="I1323" i="15"/>
  <c r="J1310" i="15"/>
  <c r="F1298" i="15"/>
  <c r="G1285" i="15"/>
  <c r="H1272" i="15"/>
  <c r="I1259" i="15"/>
  <c r="J1246" i="15"/>
  <c r="F1234" i="15"/>
  <c r="G1221" i="15"/>
  <c r="H1208" i="15"/>
  <c r="H1232" i="15"/>
  <c r="F1210" i="15"/>
  <c r="F1194" i="15"/>
  <c r="G1181" i="15"/>
  <c r="H1168" i="15"/>
  <c r="I1155" i="15"/>
  <c r="H1551" i="15"/>
  <c r="I1538" i="15"/>
  <c r="J1525" i="15"/>
  <c r="F1513" i="15"/>
  <c r="G1500" i="15"/>
  <c r="H1487" i="15"/>
  <c r="I1474" i="15"/>
  <c r="J1461" i="15"/>
  <c r="F1449" i="15"/>
  <c r="G1436" i="15"/>
  <c r="H1423" i="15"/>
  <c r="I1410" i="15"/>
  <c r="J1397" i="15"/>
  <c r="F1385" i="15"/>
  <c r="G1372" i="15"/>
  <c r="H1359" i="15"/>
  <c r="I1346" i="15"/>
  <c r="J1333" i="15"/>
  <c r="F1321" i="15"/>
  <c r="G1308" i="15"/>
  <c r="H1295" i="15"/>
  <c r="I1282" i="15"/>
  <c r="J1269" i="15"/>
  <c r="F1257" i="15"/>
  <c r="G1244" i="15"/>
  <c r="H1231" i="15"/>
  <c r="I1218" i="15"/>
  <c r="J1205" i="15"/>
  <c r="F1193" i="15"/>
  <c r="G1180" i="15"/>
  <c r="H1167" i="15"/>
  <c r="I1154" i="15"/>
  <c r="H1550" i="15"/>
  <c r="I1537" i="15"/>
  <c r="J1524" i="15"/>
  <c r="F1512" i="15"/>
  <c r="G1499" i="15"/>
  <c r="H1486" i="15"/>
  <c r="I1473" i="15"/>
  <c r="J1460" i="15"/>
  <c r="F1448" i="15"/>
  <c r="G1435" i="15"/>
  <c r="H1422" i="15"/>
  <c r="I1409" i="15"/>
  <c r="J1396" i="15"/>
  <c r="F1384" i="15"/>
  <c r="G1371" i="15"/>
  <c r="H1358" i="15"/>
  <c r="I1345" i="15"/>
  <c r="J1332" i="15"/>
  <c r="F1320" i="15"/>
  <c r="G1307" i="15"/>
  <c r="H1294" i="15"/>
  <c r="I1281" i="15"/>
  <c r="J1268" i="15"/>
  <c r="F1256" i="15"/>
  <c r="G1243" i="15"/>
  <c r="H1230" i="15"/>
  <c r="I1217" i="15"/>
  <c r="J1204" i="15"/>
  <c r="F1192" i="15"/>
  <c r="G1179" i="15"/>
  <c r="H1166" i="15"/>
  <c r="I1153" i="15"/>
  <c r="J1140" i="15"/>
  <c r="F1128" i="15"/>
  <c r="G1115" i="15"/>
  <c r="H1102" i="15"/>
  <c r="I1089" i="15"/>
  <c r="J1076" i="15"/>
  <c r="F1064" i="15"/>
  <c r="G1051" i="15"/>
  <c r="H1038" i="15"/>
  <c r="I1025" i="15"/>
  <c r="J1012" i="15"/>
  <c r="F1000" i="15"/>
  <c r="G987" i="15"/>
  <c r="H974" i="15"/>
  <c r="I961" i="15"/>
  <c r="J948" i="15"/>
  <c r="F936" i="15"/>
  <c r="G923" i="15"/>
  <c r="H910" i="15"/>
  <c r="I897" i="15"/>
  <c r="J884" i="15"/>
  <c r="F872" i="15"/>
  <c r="G859" i="15"/>
  <c r="H846" i="15"/>
  <c r="I833" i="15"/>
  <c r="J820" i="15"/>
  <c r="F808" i="15"/>
  <c r="G795" i="15"/>
  <c r="H782" i="15"/>
  <c r="I769" i="15"/>
  <c r="J756" i="15"/>
  <c r="F744" i="15"/>
  <c r="F1139" i="15"/>
  <c r="G1126" i="15"/>
  <c r="H1113" i="15"/>
  <c r="I1100" i="15"/>
  <c r="J1087" i="15"/>
  <c r="F1075" i="15"/>
  <c r="G1062" i="15"/>
  <c r="H1049" i="15"/>
  <c r="I1036" i="15"/>
  <c r="J1023" i="15"/>
  <c r="F1011" i="15"/>
  <c r="G998" i="15"/>
  <c r="H985" i="15"/>
  <c r="I972" i="15"/>
  <c r="J959" i="15"/>
  <c r="F947" i="15"/>
  <c r="G934" i="15"/>
  <c r="H921" i="15"/>
  <c r="I908" i="15"/>
  <c r="J895" i="15"/>
  <c r="F883" i="15"/>
  <c r="G870" i="15"/>
  <c r="H857" i="15"/>
  <c r="I844" i="15"/>
  <c r="J831" i="15"/>
  <c r="F819" i="15"/>
  <c r="I1223" i="15"/>
  <c r="H1204" i="15"/>
  <c r="F1190" i="15"/>
  <c r="G1177" i="15"/>
  <c r="H1164" i="15"/>
  <c r="I1151" i="15"/>
  <c r="H1547" i="15"/>
  <c r="I1534" i="15"/>
  <c r="J1521" i="15"/>
  <c r="F1509" i="15"/>
  <c r="G1496" i="15"/>
  <c r="H1483" i="15"/>
  <c r="I1470" i="15"/>
  <c r="J1457" i="15"/>
  <c r="F1445" i="15"/>
  <c r="G1432" i="15"/>
  <c r="H1419" i="15"/>
  <c r="I1406" i="15"/>
  <c r="J1393" i="15"/>
  <c r="F1381" i="15"/>
  <c r="G1368" i="15"/>
  <c r="H1355" i="15"/>
  <c r="I1342" i="15"/>
  <c r="J1329" i="15"/>
  <c r="F1317" i="15"/>
  <c r="G1304" i="15"/>
  <c r="H1291" i="15"/>
  <c r="I1278" i="15"/>
  <c r="J1265" i="15"/>
  <c r="F1253" i="15"/>
  <c r="G1240" i="15"/>
  <c r="H1227" i="15"/>
  <c r="I1214" i="15"/>
  <c r="J1201" i="15"/>
  <c r="F1189" i="15"/>
  <c r="G1176" i="15"/>
  <c r="H1163" i="15"/>
  <c r="I1150" i="15"/>
  <c r="H1546" i="15"/>
  <c r="I1533" i="15"/>
  <c r="J1520" i="15"/>
  <c r="F1508" i="15"/>
  <c r="G1495" i="15"/>
  <c r="H1482" i="15"/>
  <c r="I1469" i="15"/>
  <c r="J1456" i="15"/>
  <c r="F1444" i="15"/>
  <c r="G1431" i="15"/>
  <c r="H1418" i="15"/>
  <c r="I1405" i="15"/>
  <c r="J1392" i="15"/>
  <c r="F1380" i="15"/>
  <c r="G1367" i="15"/>
  <c r="H1354" i="15"/>
  <c r="I1341" i="15"/>
  <c r="J1328" i="15"/>
  <c r="F1316" i="15"/>
  <c r="G1303" i="15"/>
  <c r="H1290" i="15"/>
  <c r="I1277" i="15"/>
  <c r="J1264" i="15"/>
  <c r="F1252" i="15"/>
  <c r="G1239" i="15"/>
  <c r="H1226" i="15"/>
  <c r="I1213" i="15"/>
  <c r="J1200" i="15"/>
  <c r="F1188" i="15"/>
  <c r="G1175" i="15"/>
  <c r="H1162" i="15"/>
  <c r="I1149" i="15"/>
  <c r="J1136" i="15"/>
  <c r="F1124" i="15"/>
  <c r="G1111" i="15"/>
  <c r="H1098" i="15"/>
  <c r="I1085" i="15"/>
  <c r="J1072" i="15"/>
  <c r="F1060" i="15"/>
  <c r="G1047" i="15"/>
  <c r="H1034" i="15"/>
  <c r="I1021" i="15"/>
  <c r="J1008" i="15"/>
  <c r="F996" i="15"/>
  <c r="G983" i="15"/>
  <c r="H970" i="15"/>
  <c r="I957" i="15"/>
  <c r="J944" i="15"/>
  <c r="F932" i="15"/>
  <c r="G919" i="15"/>
  <c r="H906" i="15"/>
  <c r="I893" i="15"/>
  <c r="J880" i="15"/>
  <c r="F868" i="15"/>
  <c r="G855" i="15"/>
  <c r="H842" i="15"/>
  <c r="I829" i="15"/>
  <c r="J816" i="15"/>
  <c r="F804" i="15"/>
  <c r="G791" i="15"/>
  <c r="H778" i="15"/>
  <c r="I765" i="15"/>
  <c r="J752" i="15"/>
  <c r="J1147" i="15"/>
  <c r="F1135" i="15"/>
  <c r="G1122" i="15"/>
  <c r="H1109" i="15"/>
  <c r="I1096" i="15"/>
  <c r="J1083" i="15"/>
  <c r="F1071" i="15"/>
  <c r="G1058" i="15"/>
  <c r="H1045" i="15"/>
  <c r="I1032" i="15"/>
  <c r="J1019" i="15"/>
  <c r="F1007" i="15"/>
  <c r="G994" i="15"/>
  <c r="H981" i="15"/>
  <c r="I968" i="15"/>
  <c r="J955" i="15"/>
  <c r="F943" i="15"/>
  <c r="G930" i="15"/>
  <c r="H917" i="15"/>
  <c r="I904" i="15"/>
  <c r="J891" i="15"/>
  <c r="F879" i="15"/>
  <c r="G866" i="15"/>
  <c r="H853" i="15"/>
  <c r="I840" i="15"/>
  <c r="H1212" i="15"/>
  <c r="I1195" i="15"/>
  <c r="J1182" i="15"/>
  <c r="F1170" i="15"/>
  <c r="G1157" i="15"/>
  <c r="F1553" i="15"/>
  <c r="G1540" i="15"/>
  <c r="H1527" i="15"/>
  <c r="I1514" i="15"/>
  <c r="J1501" i="15"/>
  <c r="F1489" i="15"/>
  <c r="G1476" i="15"/>
  <c r="H1463" i="15"/>
  <c r="I1450" i="15"/>
  <c r="J1437" i="15"/>
  <c r="F1425" i="15"/>
  <c r="G1412" i="15"/>
  <c r="H1399" i="15"/>
  <c r="I1386" i="15"/>
  <c r="J1373" i="15"/>
  <c r="F1361" i="15"/>
  <c r="G1348" i="15"/>
  <c r="H1335" i="15"/>
  <c r="I1322" i="15"/>
  <c r="J1309" i="15"/>
  <c r="F1297" i="15"/>
  <c r="G1284" i="15"/>
  <c r="H1271" i="15"/>
  <c r="I1258" i="15"/>
  <c r="J1245" i="15"/>
  <c r="F1233" i="15"/>
  <c r="G1220" i="15"/>
  <c r="H1207" i="15"/>
  <c r="I1194" i="15"/>
  <c r="J1181" i="15"/>
  <c r="F1169" i="15"/>
  <c r="G1156" i="15"/>
  <c r="F1552" i="15"/>
  <c r="G1539" i="15"/>
  <c r="H1526" i="15"/>
  <c r="I1513" i="15"/>
  <c r="J1500" i="15"/>
  <c r="F1488" i="15"/>
  <c r="G1475" i="15"/>
  <c r="H1462" i="15"/>
  <c r="I1449" i="15"/>
  <c r="J1436" i="15"/>
  <c r="F1424" i="15"/>
  <c r="G1411" i="15"/>
  <c r="H1398" i="15"/>
  <c r="I1385" i="15"/>
  <c r="J1372" i="15"/>
  <c r="F1360" i="15"/>
  <c r="G1347" i="15"/>
  <c r="H1334" i="15"/>
  <c r="I1321" i="15"/>
  <c r="J1308" i="15"/>
  <c r="F1296" i="15"/>
  <c r="G1283" i="15"/>
  <c r="H1270" i="15"/>
  <c r="I1257" i="15"/>
  <c r="J1244" i="15"/>
  <c r="F1232" i="15"/>
  <c r="G1219" i="15"/>
  <c r="H1206" i="15"/>
  <c r="I1193" i="15"/>
  <c r="J1180" i="15"/>
  <c r="F1168" i="15"/>
  <c r="G1155" i="15"/>
  <c r="H1142" i="15"/>
  <c r="I1129" i="15"/>
  <c r="J1116" i="15"/>
  <c r="F1104" i="15"/>
  <c r="G1091" i="15"/>
  <c r="H1078" i="15"/>
  <c r="I1065" i="15"/>
  <c r="J1052" i="15"/>
  <c r="F1040" i="15"/>
  <c r="G1027" i="15"/>
  <c r="H1014" i="15"/>
  <c r="I1001" i="15"/>
  <c r="J988" i="15"/>
  <c r="F976" i="15"/>
  <c r="G963" i="15"/>
  <c r="H950" i="15"/>
  <c r="I937" i="15"/>
  <c r="J924" i="15"/>
  <c r="F912" i="15"/>
  <c r="G899" i="15"/>
  <c r="H886" i="15"/>
  <c r="I873" i="15"/>
  <c r="J860" i="15"/>
  <c r="F848" i="15"/>
  <c r="G835" i="15"/>
  <c r="H822" i="15"/>
  <c r="I809" i="15"/>
  <c r="J796" i="15"/>
  <c r="F784" i="15"/>
  <c r="G771" i="15"/>
  <c r="H758" i="15"/>
  <c r="I745" i="15"/>
  <c r="I1140" i="15"/>
  <c r="J1127" i="15"/>
  <c r="F1115" i="15"/>
  <c r="G1102" i="15"/>
  <c r="H1089" i="15"/>
  <c r="I1076" i="15"/>
  <c r="J1063" i="15"/>
  <c r="F1051" i="15"/>
  <c r="G1038" i="15"/>
  <c r="J3109" i="15"/>
  <c r="I2998" i="15"/>
  <c r="G2882" i="15"/>
  <c r="H2879" i="15"/>
  <c r="H2987" i="15"/>
  <c r="F2792" i="15"/>
  <c r="F2917" i="15"/>
  <c r="I2972" i="15"/>
  <c r="F2791" i="15"/>
  <c r="I2985" i="15"/>
  <c r="I2636" i="15"/>
  <c r="H2636" i="15"/>
  <c r="H2635" i="15"/>
  <c r="F2777" i="15"/>
  <c r="J2571" i="15"/>
  <c r="I2571" i="15"/>
  <c r="I2570" i="15"/>
  <c r="J2711" i="15"/>
  <c r="I2711" i="15"/>
  <c r="I2710" i="15"/>
  <c r="I2709" i="15"/>
  <c r="F2647" i="15"/>
  <c r="J2646" i="15"/>
  <c r="J2645" i="15"/>
  <c r="J2644" i="15"/>
  <c r="H2488" i="15"/>
  <c r="J2409" i="15"/>
  <c r="H2422" i="15"/>
  <c r="I2488" i="15"/>
  <c r="H2634" i="15"/>
  <c r="G2497" i="15"/>
  <c r="G2508" i="15"/>
  <c r="J2405" i="15"/>
  <c r="F2508" i="15"/>
  <c r="I2405" i="15"/>
  <c r="F2507" i="15"/>
  <c r="F2700" i="15"/>
  <c r="H2582" i="15"/>
  <c r="H2480" i="15"/>
  <c r="G2504" i="15"/>
  <c r="J2401" i="15"/>
  <c r="F2504" i="15"/>
  <c r="I2401" i="15"/>
  <c r="F2503" i="15"/>
  <c r="H2694" i="15"/>
  <c r="H2578" i="15"/>
  <c r="H2476" i="15"/>
  <c r="G2500" i="15"/>
  <c r="J2397" i="15"/>
  <c r="F2500" i="15"/>
  <c r="I2397" i="15"/>
  <c r="F2499" i="15"/>
  <c r="I2396" i="15"/>
  <c r="F2359" i="15"/>
  <c r="J2269" i="15"/>
  <c r="H2167" i="15"/>
  <c r="F2065" i="15"/>
  <c r="I2411" i="15"/>
  <c r="F2268" i="15"/>
  <c r="I2165" i="15"/>
  <c r="G2063" i="15"/>
  <c r="H2357" i="15"/>
  <c r="H2323" i="15"/>
  <c r="I2294" i="15"/>
  <c r="H2259" i="15"/>
  <c r="F2221" i="15"/>
  <c r="G2192" i="15"/>
  <c r="F2157" i="15"/>
  <c r="I2118" i="15"/>
  <c r="J2089" i="15"/>
  <c r="I2054" i="15"/>
  <c r="G2016" i="15"/>
  <c r="H1987" i="15"/>
  <c r="F2370" i="15"/>
  <c r="I2321" i="15"/>
  <c r="J2292" i="15"/>
  <c r="I2257" i="15"/>
  <c r="G2219" i="15"/>
  <c r="H2190" i="15"/>
  <c r="G2155" i="15"/>
  <c r="J2116" i="15"/>
  <c r="F2088" i="15"/>
  <c r="J2052" i="15"/>
  <c r="H2014" i="15"/>
  <c r="G2386" i="15"/>
  <c r="J2370" i="15"/>
  <c r="H2319" i="15"/>
  <c r="I2290" i="15"/>
  <c r="H2255" i="15"/>
  <c r="F2217" i="15"/>
  <c r="G2188" i="15"/>
  <c r="F2153" i="15"/>
  <c r="I2114" i="15"/>
  <c r="J2085" i="15"/>
  <c r="I2050" i="15"/>
  <c r="G2012" i="15"/>
  <c r="H1983" i="15"/>
  <c r="F2356" i="15"/>
  <c r="I2317" i="15"/>
  <c r="J2288" i="15"/>
  <c r="I2253" i="15"/>
  <c r="G2215" i="15"/>
  <c r="H2186" i="15"/>
  <c r="G2151" i="15"/>
  <c r="J2112" i="15"/>
  <c r="F2084" i="15"/>
  <c r="J2048" i="15"/>
  <c r="H2010" i="15"/>
  <c r="H2385" i="15"/>
  <c r="H2364" i="15"/>
  <c r="I2318" i="15"/>
  <c r="J2289" i="15"/>
  <c r="I2254" i="15"/>
  <c r="G2216" i="15"/>
  <c r="H2187" i="15"/>
  <c r="G2152" i="15"/>
  <c r="J2113" i="15"/>
  <c r="F2085" i="15"/>
  <c r="J2049" i="15"/>
  <c r="H2011" i="15"/>
  <c r="I1982" i="15"/>
  <c r="G2355" i="15"/>
  <c r="J2316" i="15"/>
  <c r="F2288" i="15"/>
  <c r="J2252" i="15"/>
  <c r="H2214" i="15"/>
  <c r="I2185" i="15"/>
  <c r="H2150" i="15"/>
  <c r="F2112" i="15"/>
  <c r="G2083" i="15"/>
  <c r="F2048" i="15"/>
  <c r="I2009" i="15"/>
  <c r="J1980" i="15"/>
  <c r="H1998" i="15"/>
  <c r="F2355" i="15"/>
  <c r="G2326" i="15"/>
  <c r="F2291" i="15"/>
  <c r="I2252" i="15"/>
  <c r="J2223" i="15"/>
  <c r="I2188" i="15"/>
  <c r="G2150" i="15"/>
  <c r="H2121" i="15"/>
  <c r="G2086" i="15"/>
  <c r="J2047" i="15"/>
  <c r="F2019" i="15"/>
  <c r="J1983" i="15"/>
  <c r="F2354" i="15"/>
  <c r="G2325" i="15"/>
  <c r="F2290" i="15"/>
  <c r="I2251" i="15"/>
  <c r="J2222" i="15"/>
  <c r="I2187" i="15"/>
  <c r="G2149" i="15"/>
  <c r="H2120" i="15"/>
  <c r="G2085" i="15"/>
  <c r="J2046" i="15"/>
  <c r="F2018" i="15"/>
  <c r="J1982" i="15"/>
  <c r="I1944" i="15"/>
  <c r="J1915" i="15"/>
  <c r="I1880" i="15"/>
  <c r="G1842" i="15"/>
  <c r="H1813" i="15"/>
  <c r="G1778" i="15"/>
  <c r="J1739" i="15"/>
  <c r="F1711" i="15"/>
  <c r="J1675" i="15"/>
  <c r="H1637" i="15"/>
  <c r="I1608" i="15"/>
  <c r="H1573" i="15"/>
  <c r="H1956" i="15"/>
  <c r="J1930" i="15"/>
  <c r="G1905" i="15"/>
  <c r="I1879" i="15"/>
  <c r="F1854" i="15"/>
  <c r="H1828" i="15"/>
  <c r="J1802" i="15"/>
  <c r="G1777" i="15"/>
  <c r="I1751" i="15"/>
  <c r="F1726" i="15"/>
  <c r="H1700" i="15"/>
  <c r="J1674" i="15"/>
  <c r="G1649" i="15"/>
  <c r="I1623" i="15"/>
  <c r="H1970" i="15"/>
  <c r="J2347" i="15"/>
  <c r="G2322" i="15"/>
  <c r="I2296" i="15"/>
  <c r="F2271" i="15"/>
  <c r="H2245" i="15"/>
  <c r="J2219" i="15"/>
  <c r="G2194" i="15"/>
  <c r="I2168" i="15"/>
  <c r="F2143" i="15"/>
  <c r="H2117" i="15"/>
  <c r="J2091" i="15"/>
  <c r="G2066" i="15"/>
  <c r="I2040" i="15"/>
  <c r="F2015" i="15"/>
  <c r="H1989" i="15"/>
  <c r="I2419" i="15"/>
  <c r="J2346" i="15"/>
  <c r="G2321" i="15"/>
  <c r="I2295" i="15"/>
  <c r="F2270" i="15"/>
  <c r="H2244" i="15"/>
  <c r="J2218" i="15"/>
  <c r="G2193" i="15"/>
  <c r="I2167" i="15"/>
  <c r="F2142" i="15"/>
  <c r="H2116" i="15"/>
  <c r="J2090" i="15"/>
  <c r="G2065" i="15"/>
  <c r="I2039" i="15"/>
  <c r="F2014" i="15"/>
  <c r="H1988" i="15"/>
  <c r="F1963" i="15"/>
  <c r="H1937" i="15"/>
  <c r="J1911" i="15"/>
  <c r="G1886" i="15"/>
  <c r="I1860" i="15"/>
  <c r="F1835" i="15"/>
  <c r="H1809" i="15"/>
  <c r="J1783" i="15"/>
  <c r="G1758" i="15"/>
  <c r="I1732" i="15"/>
  <c r="F1707" i="15"/>
  <c r="H1681" i="15"/>
  <c r="J1655" i="15"/>
  <c r="G1630" i="15"/>
  <c r="I1604" i="15"/>
  <c r="F1579" i="15"/>
  <c r="F1962" i="15"/>
  <c r="H1936" i="15"/>
  <c r="J1910" i="15"/>
  <c r="G1885" i="15"/>
  <c r="I1859" i="15"/>
  <c r="F1834" i="15"/>
  <c r="H1808" i="15"/>
  <c r="J1782" i="15"/>
  <c r="G1757" i="15"/>
  <c r="I1731" i="15"/>
  <c r="F1706" i="15"/>
  <c r="H1680" i="15"/>
  <c r="J1654" i="15"/>
  <c r="G1629" i="15"/>
  <c r="H1986" i="15"/>
  <c r="I2375" i="15"/>
  <c r="G2334" i="15"/>
  <c r="I2308" i="15"/>
  <c r="F2283" i="15"/>
  <c r="H2257" i="15"/>
  <c r="J2231" i="15"/>
  <c r="G2206" i="15"/>
  <c r="I2180" i="15"/>
  <c r="F2155" i="15"/>
  <c r="H2129" i="15"/>
  <c r="J2103" i="15"/>
  <c r="G2078" i="15"/>
  <c r="I2052" i="15"/>
  <c r="F2027" i="15"/>
  <c r="H2001" i="15"/>
  <c r="J1975" i="15"/>
  <c r="G2365" i="15"/>
  <c r="G2333" i="15"/>
  <c r="I2307" i="15"/>
  <c r="F2282" i="15"/>
  <c r="H2256" i="15"/>
  <c r="J2230" i="15"/>
  <c r="G2205" i="15"/>
  <c r="I2179" i="15"/>
  <c r="F2154" i="15"/>
  <c r="H2128" i="15"/>
  <c r="J2102" i="15"/>
  <c r="G2077" i="15"/>
  <c r="I2051" i="15"/>
  <c r="F2026" i="15"/>
  <c r="H2000" i="15"/>
  <c r="J1974" i="15"/>
  <c r="H1949" i="15"/>
  <c r="J1923" i="15"/>
  <c r="G1898" i="15"/>
  <c r="I1872" i="15"/>
  <c r="F1847" i="15"/>
  <c r="H1821" i="15"/>
  <c r="J1795" i="15"/>
  <c r="G1770" i="15"/>
  <c r="I1744" i="15"/>
  <c r="F1719" i="15"/>
  <c r="H1693" i="15"/>
  <c r="J1667" i="15"/>
  <c r="G1642" i="15"/>
  <c r="I1616" i="15"/>
  <c r="F1591" i="15"/>
  <c r="H1565" i="15"/>
  <c r="H1948" i="15"/>
  <c r="J1922" i="15"/>
  <c r="G1897" i="15"/>
  <c r="I1871" i="15"/>
  <c r="F1846" i="15"/>
  <c r="H1820" i="15"/>
  <c r="J1794" i="15"/>
  <c r="G1769" i="15"/>
  <c r="I1743" i="15"/>
  <c r="F1718" i="15"/>
  <c r="H1692" i="15"/>
  <c r="J1666" i="15"/>
  <c r="G1641" i="15"/>
  <c r="I1615" i="15"/>
  <c r="F1590" i="15"/>
  <c r="I1981" i="15"/>
  <c r="J2355" i="15"/>
  <c r="G2330" i="15"/>
  <c r="I2304" i="15"/>
  <c r="F2279" i="15"/>
  <c r="H2253" i="15"/>
  <c r="J2227" i="15"/>
  <c r="G2202" i="15"/>
  <c r="I2176" i="15"/>
  <c r="F2151" i="15"/>
  <c r="H2125" i="15"/>
  <c r="J2099" i="15"/>
  <c r="G2074" i="15"/>
  <c r="I2048" i="15"/>
  <c r="F2023" i="15"/>
  <c r="H1997" i="15"/>
  <c r="J1971" i="15"/>
  <c r="J2354" i="15"/>
  <c r="G2329" i="15"/>
  <c r="I2303" i="15"/>
  <c r="F2278" i="15"/>
  <c r="H2252" i="15"/>
  <c r="J2226" i="15"/>
  <c r="G2201" i="15"/>
  <c r="I2175" i="15"/>
  <c r="F2150" i="15"/>
  <c r="H2124" i="15"/>
  <c r="J2098" i="15"/>
  <c r="G2073" i="15"/>
  <c r="I2047" i="15"/>
  <c r="F2022" i="15"/>
  <c r="H1996" i="15"/>
  <c r="J1970" i="15"/>
  <c r="H1945" i="15"/>
  <c r="J1919" i="15"/>
  <c r="G1894" i="15"/>
  <c r="I1868" i="15"/>
  <c r="F1843" i="15"/>
  <c r="H1817" i="15"/>
  <c r="J1791" i="15"/>
  <c r="G1766" i="15"/>
  <c r="I1740" i="15"/>
  <c r="F1715" i="15"/>
  <c r="H1689" i="15"/>
  <c r="J1663" i="15"/>
  <c r="G1638" i="15"/>
  <c r="I1612" i="15"/>
  <c r="F1587" i="15"/>
  <c r="H1561" i="15"/>
  <c r="H1944" i="15"/>
  <c r="J1918" i="15"/>
  <c r="G1893" i="15"/>
  <c r="I1867" i="15"/>
  <c r="F1842" i="15"/>
  <c r="H1816" i="15"/>
  <c r="J1790" i="15"/>
  <c r="G1765" i="15"/>
  <c r="I1739" i="15"/>
  <c r="F1714" i="15"/>
  <c r="H1688" i="15"/>
  <c r="J1662" i="15"/>
  <c r="G1637" i="15"/>
  <c r="H1604" i="15"/>
  <c r="J1574" i="15"/>
  <c r="H1967" i="15"/>
  <c r="H1951" i="15"/>
  <c r="G1932" i="15"/>
  <c r="G1916" i="15"/>
  <c r="G1900" i="15"/>
  <c r="F1881" i="15"/>
  <c r="F1865" i="15"/>
  <c r="F1849" i="15"/>
  <c r="J1829" i="15"/>
  <c r="J1813" i="15"/>
  <c r="J1797" i="15"/>
  <c r="I1778" i="15"/>
  <c r="I1762" i="15"/>
  <c r="I1746" i="15"/>
  <c r="H1727" i="15"/>
  <c r="H1711" i="15"/>
  <c r="H1695" i="15"/>
  <c r="G1676" i="15"/>
  <c r="G1660" i="15"/>
  <c r="G1644" i="15"/>
  <c r="F1625" i="15"/>
  <c r="F1609" i="15"/>
  <c r="F1593" i="15"/>
  <c r="J1573" i="15"/>
  <c r="H1966" i="15"/>
  <c r="H1950" i="15"/>
  <c r="G1931" i="15"/>
  <c r="G1915" i="15"/>
  <c r="G1899" i="15"/>
  <c r="F1880" i="15"/>
  <c r="F1864" i="15"/>
  <c r="F1848" i="15"/>
  <c r="J1828" i="15"/>
  <c r="J1812" i="15"/>
  <c r="J1796" i="15"/>
  <c r="I1777" i="15"/>
  <c r="I1761" i="15"/>
  <c r="I1745" i="15"/>
  <c r="H1726" i="15"/>
  <c r="H1710" i="15"/>
  <c r="H1694" i="15"/>
  <c r="G1675" i="15"/>
  <c r="G1659" i="15"/>
  <c r="G1643" i="15"/>
  <c r="F1624" i="15"/>
  <c r="F1608" i="15"/>
  <c r="F1592" i="15"/>
  <c r="J1572" i="15"/>
  <c r="H1557" i="15"/>
  <c r="H1541" i="15"/>
  <c r="G1522" i="15"/>
  <c r="G1506" i="15"/>
  <c r="G1490" i="15"/>
  <c r="F1471" i="15"/>
  <c r="G1458" i="15"/>
  <c r="H1445" i="15"/>
  <c r="I1432" i="15"/>
  <c r="J1419" i="15"/>
  <c r="F1407" i="15"/>
  <c r="G1394" i="15"/>
  <c r="H1381" i="15"/>
  <c r="I1368" i="15"/>
  <c r="J1355" i="15"/>
  <c r="F1343" i="15"/>
  <c r="G1330" i="15"/>
  <c r="H1317" i="15"/>
  <c r="I1304" i="15"/>
  <c r="J1291" i="15"/>
  <c r="F1279" i="15"/>
  <c r="G1266" i="15"/>
  <c r="H1253" i="15"/>
  <c r="I1240" i="15"/>
  <c r="J1227" i="15"/>
  <c r="F1215" i="15"/>
  <c r="G1202" i="15"/>
  <c r="H1189" i="15"/>
  <c r="I1176" i="15"/>
  <c r="J1163" i="15"/>
  <c r="F1151" i="15"/>
  <c r="J1546" i="15"/>
  <c r="F1534" i="15"/>
  <c r="G1521" i="15"/>
  <c r="H1508" i="15"/>
  <c r="I1495" i="15"/>
  <c r="J1482" i="15"/>
  <c r="F1470" i="15"/>
  <c r="G1457" i="15"/>
  <c r="H1444" i="15"/>
  <c r="I1431" i="15"/>
  <c r="J1418" i="15"/>
  <c r="F1406" i="15"/>
  <c r="G1393" i="15"/>
  <c r="H1380" i="15"/>
  <c r="I1367" i="15"/>
  <c r="J1354" i="15"/>
  <c r="F1342" i="15"/>
  <c r="G1329" i="15"/>
  <c r="H1316" i="15"/>
  <c r="I1303" i="15"/>
  <c r="J1290" i="15"/>
  <c r="F1278" i="15"/>
  <c r="G1265" i="15"/>
  <c r="H1252" i="15"/>
  <c r="I1239" i="15"/>
  <c r="I1611" i="15"/>
  <c r="J1594" i="15"/>
  <c r="F1578" i="15"/>
  <c r="H1564" i="15"/>
  <c r="G1960" i="15"/>
  <c r="H1947" i="15"/>
  <c r="I1934" i="15"/>
  <c r="J1921" i="15"/>
  <c r="F1909" i="15"/>
  <c r="G1896" i="15"/>
  <c r="H1883" i="15"/>
  <c r="I1870" i="15"/>
  <c r="J1857" i="15"/>
  <c r="F1845" i="15"/>
  <c r="G1832" i="15"/>
  <c r="H1819" i="15"/>
  <c r="I1806" i="15"/>
  <c r="J1793" i="15"/>
  <c r="F1781" i="15"/>
  <c r="G1768" i="15"/>
  <c r="H1755" i="15"/>
  <c r="I1742" i="15"/>
  <c r="J1729" i="15"/>
  <c r="F1717" i="15"/>
  <c r="G1704" i="15"/>
  <c r="H1691" i="15"/>
  <c r="I1678" i="15"/>
  <c r="J1665" i="15"/>
  <c r="F1653" i="15"/>
  <c r="G1640" i="15"/>
  <c r="H1627" i="15"/>
  <c r="I1614" i="15"/>
  <c r="J1601" i="15"/>
  <c r="F1589" i="15"/>
  <c r="G1576" i="15"/>
  <c r="H1563" i="15"/>
  <c r="G1959" i="15"/>
  <c r="H1946" i="15"/>
  <c r="I1933" i="15"/>
  <c r="J1920" i="15"/>
  <c r="F1908" i="15"/>
  <c r="G1895" i="15"/>
  <c r="H1882" i="15"/>
  <c r="I1869" i="15"/>
  <c r="J1856" i="15"/>
  <c r="F1844" i="15"/>
  <c r="G1831" i="15"/>
  <c r="H1818" i="15"/>
  <c r="I1805" i="15"/>
  <c r="J1792" i="15"/>
  <c r="F1780" i="15"/>
  <c r="G1767" i="15"/>
  <c r="H1754" i="15"/>
  <c r="I1741" i="15"/>
  <c r="J1728" i="15"/>
  <c r="F1716" i="15"/>
  <c r="G1703" i="15"/>
  <c r="H1690" i="15"/>
  <c r="I1677" i="15"/>
  <c r="J1664" i="15"/>
  <c r="F1652" i="15"/>
  <c r="G1639" i="15"/>
  <c r="H1626" i="15"/>
  <c r="I1613" i="15"/>
  <c r="J1600" i="15"/>
  <c r="F1588" i="15"/>
  <c r="G1575" i="15"/>
  <c r="H1562" i="15"/>
  <c r="G1550" i="15"/>
  <c r="H1537" i="15"/>
  <c r="I1524" i="15"/>
  <c r="J1511" i="15"/>
  <c r="F1499" i="15"/>
  <c r="G1486" i="15"/>
  <c r="H1473" i="15"/>
  <c r="I1460" i="15"/>
  <c r="J1447" i="15"/>
  <c r="F1435" i="15"/>
  <c r="G1422" i="15"/>
  <c r="H1409" i="15"/>
  <c r="I1396" i="15"/>
  <c r="J1383" i="15"/>
  <c r="F1371" i="15"/>
  <c r="G1358" i="15"/>
  <c r="H1345" i="15"/>
  <c r="I1332" i="15"/>
  <c r="J1319" i="15"/>
  <c r="F1307" i="15"/>
  <c r="G1294" i="15"/>
  <c r="H1281" i="15"/>
  <c r="I1268" i="15"/>
  <c r="J1255" i="15"/>
  <c r="F1243" i="15"/>
  <c r="G1230" i="15"/>
  <c r="H1217" i="15"/>
  <c r="I1204" i="15"/>
  <c r="J1191" i="15"/>
  <c r="F1179" i="15"/>
  <c r="G1166" i="15"/>
  <c r="H1153" i="15"/>
  <c r="G1549" i="15"/>
  <c r="H1536" i="15"/>
  <c r="I1523" i="15"/>
  <c r="J1510" i="15"/>
  <c r="F1498" i="15"/>
  <c r="G1485" i="15"/>
  <c r="H1472" i="15"/>
  <c r="I1459" i="15"/>
  <c r="J1446" i="15"/>
  <c r="F1434" i="15"/>
  <c r="G1421" i="15"/>
  <c r="H1408" i="15"/>
  <c r="I1395" i="15"/>
  <c r="J1382" i="15"/>
  <c r="F1370" i="15"/>
  <c r="G1357" i="15"/>
  <c r="H1344" i="15"/>
  <c r="I1331" i="15"/>
  <c r="J1318" i="15"/>
  <c r="F1306" i="15"/>
  <c r="G1293" i="15"/>
  <c r="H1280" i="15"/>
  <c r="I1267" i="15"/>
  <c r="J1254" i="15"/>
  <c r="F1242" i="15"/>
  <c r="J1610" i="15"/>
  <c r="F1594" i="15"/>
  <c r="H1576" i="15"/>
  <c r="I1563" i="15"/>
  <c r="H1959" i="15"/>
  <c r="I1946" i="15"/>
  <c r="J1933" i="15"/>
  <c r="F1921" i="15"/>
  <c r="G1908" i="15"/>
  <c r="H1895" i="15"/>
  <c r="I1882" i="15"/>
  <c r="J1869" i="15"/>
  <c r="F1857" i="15"/>
  <c r="G1844" i="15"/>
  <c r="H1831" i="15"/>
  <c r="I1818" i="15"/>
  <c r="J1805" i="15"/>
  <c r="F1793" i="15"/>
  <c r="G1780" i="15"/>
  <c r="H1767" i="15"/>
  <c r="I1754" i="15"/>
  <c r="J1741" i="15"/>
  <c r="F1729" i="15"/>
  <c r="G1716" i="15"/>
  <c r="H1703" i="15"/>
  <c r="I1690" i="15"/>
  <c r="J1677" i="15"/>
  <c r="F1665" i="15"/>
  <c r="G1652" i="15"/>
  <c r="H1639" i="15"/>
  <c r="I1626" i="15"/>
  <c r="J1613" i="15"/>
  <c r="F1601" i="15"/>
  <c r="G1588" i="15"/>
  <c r="H1575" i="15"/>
  <c r="I1562" i="15"/>
  <c r="H1958" i="15"/>
  <c r="I1945" i="15"/>
  <c r="J1932" i="15"/>
  <c r="F1920" i="15"/>
  <c r="G1907" i="15"/>
  <c r="H1894" i="15"/>
  <c r="I1881" i="15"/>
  <c r="J1868" i="15"/>
  <c r="F1856" i="15"/>
  <c r="G1843" i="15"/>
  <c r="H1830" i="15"/>
  <c r="I1817" i="15"/>
  <c r="J1804" i="15"/>
  <c r="F1792" i="15"/>
  <c r="G1779" i="15"/>
  <c r="H1766" i="15"/>
  <c r="I1753" i="15"/>
  <c r="J1740" i="15"/>
  <c r="F1728" i="15"/>
  <c r="G1715" i="15"/>
  <c r="H1702" i="15"/>
  <c r="I1689" i="15"/>
  <c r="J1676" i="15"/>
  <c r="F1664" i="15"/>
  <c r="G1651" i="15"/>
  <c r="H1638" i="15"/>
  <c r="I1625" i="15"/>
  <c r="J1612" i="15"/>
  <c r="F1600" i="15"/>
  <c r="G1587" i="15"/>
  <c r="H1574" i="15"/>
  <c r="I1561" i="15"/>
  <c r="H1549" i="15"/>
  <c r="I1536" i="15"/>
  <c r="J1523" i="15"/>
  <c r="F1511" i="15"/>
  <c r="G1498" i="15"/>
  <c r="H1485" i="15"/>
  <c r="I1472" i="15"/>
  <c r="J1459" i="15"/>
  <c r="F1447" i="15"/>
  <c r="G1434" i="15"/>
  <c r="H1421" i="15"/>
  <c r="I1408" i="15"/>
  <c r="J1395" i="15"/>
  <c r="F1383" i="15"/>
  <c r="G1370" i="15"/>
  <c r="H1357" i="15"/>
  <c r="I1344" i="15"/>
  <c r="J1331" i="15"/>
  <c r="F1319" i="15"/>
  <c r="G1306" i="15"/>
  <c r="H1293" i="15"/>
  <c r="I1280" i="15"/>
  <c r="J1267" i="15"/>
  <c r="F1255" i="15"/>
  <c r="G1242" i="15"/>
  <c r="H1229" i="15"/>
  <c r="I1216" i="15"/>
  <c r="J1203" i="15"/>
  <c r="F1191" i="15"/>
  <c r="G1178" i="15"/>
  <c r="H1165" i="15"/>
  <c r="I1152" i="15"/>
  <c r="H1548" i="15"/>
  <c r="I1535" i="15"/>
  <c r="J1522" i="15"/>
  <c r="F1510" i="15"/>
  <c r="G1497" i="15"/>
  <c r="H1484" i="15"/>
  <c r="I1471" i="15"/>
  <c r="J1458" i="15"/>
  <c r="F1446" i="15"/>
  <c r="G1433" i="15"/>
  <c r="H1420" i="15"/>
  <c r="I1407" i="15"/>
  <c r="J1394" i="15"/>
  <c r="F1382" i="15"/>
  <c r="G1369" i="15"/>
  <c r="H1356" i="15"/>
  <c r="I1343" i="15"/>
  <c r="J1330" i="15"/>
  <c r="F1318" i="15"/>
  <c r="G1305" i="15"/>
  <c r="H1292" i="15"/>
  <c r="I1279" i="15"/>
  <c r="J1266" i="15"/>
  <c r="F1254" i="15"/>
  <c r="G1241" i="15"/>
  <c r="H1228" i="15"/>
  <c r="J1614" i="15"/>
  <c r="G1597" i="15"/>
  <c r="I1579" i="15"/>
  <c r="F1566" i="15"/>
  <c r="J1961" i="15"/>
  <c r="F1949" i="15"/>
  <c r="G1936" i="15"/>
  <c r="H1923" i="15"/>
  <c r="I1910" i="15"/>
  <c r="J1897" i="15"/>
  <c r="F1885" i="15"/>
  <c r="G1872" i="15"/>
  <c r="H1859" i="15"/>
  <c r="I1846" i="15"/>
  <c r="J1833" i="15"/>
  <c r="F1821" i="15"/>
  <c r="G1808" i="15"/>
  <c r="H1795" i="15"/>
  <c r="I1782" i="15"/>
  <c r="J1769" i="15"/>
  <c r="F1757" i="15"/>
  <c r="G1744" i="15"/>
  <c r="H1731" i="15"/>
  <c r="I1718" i="15"/>
  <c r="J1705" i="15"/>
  <c r="F1693" i="15"/>
  <c r="G1680" i="15"/>
  <c r="H1667" i="15"/>
  <c r="I1654" i="15"/>
  <c r="J1641" i="15"/>
  <c r="F1629" i="15"/>
  <c r="G1616" i="15"/>
  <c r="H1603" i="15"/>
  <c r="I1590" i="15"/>
  <c r="J1577" i="15"/>
  <c r="F1565" i="15"/>
  <c r="J1960" i="15"/>
  <c r="F1948" i="15"/>
  <c r="G1935" i="15"/>
  <c r="H1922" i="15"/>
  <c r="I1909" i="15"/>
  <c r="J1896" i="15"/>
  <c r="F1884" i="15"/>
  <c r="G1871" i="15"/>
  <c r="H1858" i="15"/>
  <c r="I1845" i="15"/>
  <c r="J1832" i="15"/>
  <c r="F1820" i="15"/>
  <c r="G1807" i="15"/>
  <c r="H1794" i="15"/>
  <c r="I1781" i="15"/>
  <c r="J1768" i="15"/>
  <c r="F1756" i="15"/>
  <c r="G1743" i="15"/>
  <c r="H1730" i="15"/>
  <c r="I1717" i="15"/>
  <c r="J1704" i="15"/>
  <c r="F1692" i="15"/>
  <c r="G1679" i="15"/>
  <c r="H1666" i="15"/>
  <c r="I1653" i="15"/>
  <c r="J1640" i="15"/>
  <c r="F1628" i="15"/>
  <c r="G1615" i="15"/>
  <c r="H1602" i="15"/>
  <c r="I1589" i="15"/>
  <c r="J1576" i="15"/>
  <c r="F1564" i="15"/>
  <c r="J1551" i="15"/>
  <c r="F1539" i="15"/>
  <c r="G1526" i="15"/>
  <c r="H1513" i="15"/>
  <c r="I1500" i="15"/>
  <c r="J1487" i="15"/>
  <c r="F1475" i="15"/>
  <c r="G1462" i="15"/>
  <c r="H1449" i="15"/>
  <c r="I1436" i="15"/>
  <c r="J1423" i="15"/>
  <c r="F1411" i="15"/>
  <c r="G1398" i="15"/>
  <c r="H1385" i="15"/>
  <c r="I1372" i="15"/>
  <c r="J1359" i="15"/>
  <c r="F1347" i="15"/>
  <c r="G1334" i="15"/>
  <c r="H1321" i="15"/>
  <c r="I1308" i="15"/>
  <c r="J1295" i="15"/>
  <c r="F1283" i="15"/>
  <c r="G1270" i="15"/>
  <c r="H1257" i="15"/>
  <c r="I1244" i="15"/>
  <c r="J1231" i="15"/>
  <c r="F1219" i="15"/>
  <c r="G1206" i="15"/>
  <c r="H1193" i="15"/>
  <c r="I1180" i="15"/>
  <c r="J1167" i="15"/>
  <c r="F1155" i="15"/>
  <c r="J1550" i="15"/>
  <c r="F1538" i="15"/>
  <c r="G1525" i="15"/>
  <c r="H1512" i="15"/>
  <c r="I1499" i="15"/>
  <c r="J1486" i="15"/>
  <c r="F1474" i="15"/>
  <c r="G1461" i="15"/>
  <c r="H1448" i="15"/>
  <c r="I1435" i="15"/>
  <c r="J1422" i="15"/>
  <c r="F1410" i="15"/>
  <c r="G1397" i="15"/>
  <c r="H1384" i="15"/>
  <c r="I1371" i="15"/>
  <c r="J1358" i="15"/>
  <c r="F1346" i="15"/>
  <c r="G1333" i="15"/>
  <c r="H1320" i="15"/>
  <c r="I1307" i="15"/>
  <c r="J1294" i="15"/>
  <c r="F1282" i="15"/>
  <c r="G1269" i="15"/>
  <c r="H1256" i="15"/>
  <c r="I1243" i="15"/>
  <c r="J1230" i="15"/>
  <c r="F1218" i="15"/>
  <c r="G1205" i="15"/>
  <c r="F1226" i="15"/>
  <c r="F1206" i="15"/>
  <c r="J1190" i="15"/>
  <c r="F1178" i="15"/>
  <c r="G1165" i="15"/>
  <c r="H1152" i="15"/>
  <c r="G1548" i="15"/>
  <c r="H1535" i="15"/>
  <c r="I1522" i="15"/>
  <c r="J1509" i="15"/>
  <c r="F1497" i="15"/>
  <c r="G1484" i="15"/>
  <c r="H1471" i="15"/>
  <c r="I1458" i="15"/>
  <c r="J1445" i="15"/>
  <c r="F1433" i="15"/>
  <c r="G1420" i="15"/>
  <c r="H1407" i="15"/>
  <c r="I1394" i="15"/>
  <c r="J1381" i="15"/>
  <c r="F1369" i="15"/>
  <c r="G1356" i="15"/>
  <c r="H1343" i="15"/>
  <c r="I1330" i="15"/>
  <c r="J1317" i="15"/>
  <c r="F1305" i="15"/>
  <c r="G1292" i="15"/>
  <c r="H1279" i="15"/>
  <c r="I1266" i="15"/>
  <c r="J1253" i="15"/>
  <c r="F1241" i="15"/>
  <c r="G1228" i="15"/>
  <c r="H1215" i="15"/>
  <c r="I1202" i="15"/>
  <c r="J1189" i="15"/>
  <c r="F1177" i="15"/>
  <c r="G1164" i="15"/>
  <c r="H1151" i="15"/>
  <c r="G1547" i="15"/>
  <c r="H1534" i="15"/>
  <c r="I1521" i="15"/>
  <c r="J1508" i="15"/>
  <c r="F1496" i="15"/>
  <c r="G1483" i="15"/>
  <c r="H1470" i="15"/>
  <c r="I1457" i="15"/>
  <c r="J1444" i="15"/>
  <c r="F1432" i="15"/>
  <c r="G1419" i="15"/>
  <c r="H1406" i="15"/>
  <c r="I1393" i="15"/>
  <c r="J1380" i="15"/>
  <c r="F1368" i="15"/>
  <c r="G1355" i="15"/>
  <c r="H1342" i="15"/>
  <c r="I1329" i="15"/>
  <c r="J1316" i="15"/>
  <c r="F1304" i="15"/>
  <c r="G1291" i="15"/>
  <c r="H1278" i="15"/>
  <c r="I1265" i="15"/>
  <c r="J1252" i="15"/>
  <c r="F1240" i="15"/>
  <c r="G1227" i="15"/>
  <c r="H1214" i="15"/>
  <c r="I1201" i="15"/>
  <c r="J1188" i="15"/>
  <c r="F1176" i="15"/>
  <c r="G1163" i="15"/>
  <c r="H1150" i="15"/>
  <c r="I1137" i="15"/>
  <c r="J1124" i="15"/>
  <c r="F1112" i="15"/>
  <c r="G1099" i="15"/>
  <c r="H1086" i="15"/>
  <c r="I1073" i="15"/>
  <c r="J1060" i="15"/>
  <c r="F1048" i="15"/>
  <c r="G1035" i="15"/>
  <c r="H1022" i="15"/>
  <c r="I1009" i="15"/>
  <c r="J996" i="15"/>
  <c r="F984" i="15"/>
  <c r="G971" i="15"/>
  <c r="H958" i="15"/>
  <c r="I945" i="15"/>
  <c r="J932" i="15"/>
  <c r="F920" i="15"/>
  <c r="G907" i="15"/>
  <c r="H894" i="15"/>
  <c r="I881" i="15"/>
  <c r="J868" i="15"/>
  <c r="F856" i="15"/>
  <c r="G843" i="15"/>
  <c r="H830" i="15"/>
  <c r="I817" i="15"/>
  <c r="J804" i="15"/>
  <c r="F792" i="15"/>
  <c r="G779" i="15"/>
  <c r="H766" i="15"/>
  <c r="I753" i="15"/>
  <c r="I1148" i="15"/>
  <c r="J1135" i="15"/>
  <c r="F1123" i="15"/>
  <c r="G1110" i="15"/>
  <c r="H1097" i="15"/>
  <c r="I1084" i="15"/>
  <c r="J1071" i="15"/>
  <c r="F1059" i="15"/>
  <c r="G1046" i="15"/>
  <c r="H1033" i="15"/>
  <c r="I1020" i="15"/>
  <c r="J1007" i="15"/>
  <c r="F995" i="15"/>
  <c r="G982" i="15"/>
  <c r="H969" i="15"/>
  <c r="I956" i="15"/>
  <c r="J943" i="15"/>
  <c r="F931" i="15"/>
  <c r="G3037" i="15"/>
  <c r="I2939" i="15"/>
  <c r="H2980" i="15"/>
  <c r="G2847" i="15"/>
  <c r="H2793" i="15"/>
  <c r="F2900" i="15"/>
  <c r="G2827" i="15"/>
  <c r="F2954" i="15"/>
  <c r="H2906" i="15"/>
  <c r="H2787" i="15"/>
  <c r="G2582" i="15"/>
  <c r="F2582" i="15"/>
  <c r="F2581" i="15"/>
  <c r="G2722" i="15"/>
  <c r="F2722" i="15"/>
  <c r="F2721" i="15"/>
  <c r="F2720" i="15"/>
  <c r="H2657" i="15"/>
  <c r="G2657" i="15"/>
  <c r="G2656" i="15"/>
  <c r="I2798" i="15"/>
  <c r="I2592" i="15"/>
  <c r="H2592" i="15"/>
  <c r="H2591" i="15"/>
  <c r="H2638" i="15"/>
  <c r="G2560" i="15"/>
  <c r="F2560" i="15"/>
  <c r="F2384" i="15"/>
  <c r="G2450" i="15"/>
  <c r="F2596" i="15"/>
  <c r="J2458" i="15"/>
  <c r="H2479" i="15"/>
  <c r="F2377" i="15"/>
  <c r="G2479" i="15"/>
  <c r="J2376" i="15"/>
  <c r="G2478" i="15"/>
  <c r="I2661" i="15"/>
  <c r="F2554" i="15"/>
  <c r="I2451" i="15"/>
  <c r="H2475" i="15"/>
  <c r="F2373" i="15"/>
  <c r="G2475" i="15"/>
  <c r="J2372" i="15"/>
  <c r="G2474" i="15"/>
  <c r="F2656" i="15"/>
  <c r="F2550" i="15"/>
  <c r="I2447" i="15"/>
  <c r="H2471" i="15"/>
  <c r="F2369" i="15"/>
  <c r="G2471" i="15"/>
  <c r="J2368" i="15"/>
  <c r="G2470" i="15"/>
  <c r="J2367" i="15"/>
  <c r="H2343" i="15"/>
  <c r="F2241" i="15"/>
  <c r="I2138" i="15"/>
  <c r="G2036" i="15"/>
  <c r="I2341" i="15"/>
  <c r="G2239" i="15"/>
  <c r="J2136" i="15"/>
  <c r="H2034" i="15"/>
  <c r="F2349" i="15"/>
  <c r="G2320" i="15"/>
  <c r="F2285" i="15"/>
  <c r="I2246" i="15"/>
  <c r="J2217" i="15"/>
  <c r="I2182" i="15"/>
  <c r="G2144" i="15"/>
  <c r="H2115" i="15"/>
  <c r="G2080" i="15"/>
  <c r="J2041" i="15"/>
  <c r="F2013" i="15"/>
  <c r="J1977" i="15"/>
  <c r="G2347" i="15"/>
  <c r="H2318" i="15"/>
  <c r="G2283" i="15"/>
  <c r="J2244" i="15"/>
  <c r="F2216" i="15"/>
  <c r="J2180" i="15"/>
  <c r="H2142" i="15"/>
  <c r="I2113" i="15"/>
  <c r="H2078" i="15"/>
  <c r="F2040" i="15"/>
  <c r="G2011" i="15"/>
  <c r="H2373" i="15"/>
  <c r="F2345" i="15"/>
  <c r="G2316" i="15"/>
  <c r="F2281" i="15"/>
  <c r="I2242" i="15"/>
  <c r="J2213" i="15"/>
  <c r="I2178" i="15"/>
  <c r="G2140" i="15"/>
  <c r="H2111" i="15"/>
  <c r="G2076" i="15"/>
  <c r="J2037" i="15"/>
  <c r="F2009" i="15"/>
  <c r="J1973" i="15"/>
  <c r="G2343" i="15"/>
  <c r="H2314" i="15"/>
  <c r="G2279" i="15"/>
  <c r="J2240" i="15"/>
  <c r="F2212" i="15"/>
  <c r="J2176" i="15"/>
  <c r="H2138" i="15"/>
  <c r="I2109" i="15"/>
  <c r="H2074" i="15"/>
  <c r="F2036" i="15"/>
  <c r="G2007" i="15"/>
  <c r="I2372" i="15"/>
  <c r="G2344" i="15"/>
  <c r="H2315" i="15"/>
  <c r="G2280" i="15"/>
  <c r="J2241" i="15"/>
  <c r="F2213" i="15"/>
  <c r="J2177" i="15"/>
  <c r="H2139" i="15"/>
  <c r="I2110" i="15"/>
  <c r="H2075" i="15"/>
  <c r="F2037" i="15"/>
  <c r="G2008" i="15"/>
  <c r="F1973" i="15"/>
  <c r="H2342" i="15"/>
  <c r="I2313" i="15"/>
  <c r="H2278" i="15"/>
  <c r="F2240" i="15"/>
  <c r="G2211" i="15"/>
  <c r="F2176" i="15"/>
  <c r="I2137" i="15"/>
  <c r="J2108" i="15"/>
  <c r="I2073" i="15"/>
  <c r="G2035" i="15"/>
  <c r="H2006" i="15"/>
  <c r="G1971" i="15"/>
  <c r="F1980" i="15"/>
  <c r="J2351" i="15"/>
  <c r="I2316" i="15"/>
  <c r="G2278" i="15"/>
  <c r="H2249" i="15"/>
  <c r="G2214" i="15"/>
  <c r="J2175" i="15"/>
  <c r="F2147" i="15"/>
  <c r="J2111" i="15"/>
  <c r="H2073" i="15"/>
  <c r="I2044" i="15"/>
  <c r="H2009" i="15"/>
  <c r="F1971" i="15"/>
  <c r="J2350" i="15"/>
  <c r="I2315" i="15"/>
  <c r="G2277" i="15"/>
  <c r="H2248" i="15"/>
  <c r="G2213" i="15"/>
  <c r="J2174" i="15"/>
  <c r="F2146" i="15"/>
  <c r="J2110" i="15"/>
  <c r="H2072" i="15"/>
  <c r="I2043" i="15"/>
  <c r="H2008" i="15"/>
  <c r="F1970" i="15"/>
  <c r="H1941" i="15"/>
  <c r="G1906" i="15"/>
  <c r="J1867" i="15"/>
  <c r="F1839" i="15"/>
  <c r="J1803" i="15"/>
  <c r="H1765" i="15"/>
  <c r="I1736" i="15"/>
  <c r="H1701" i="15"/>
  <c r="F1663" i="15"/>
  <c r="G1634" i="15"/>
  <c r="F1599" i="15"/>
  <c r="G1570" i="15"/>
  <c r="G1953" i="15"/>
  <c r="I1927" i="15"/>
  <c r="F1902" i="15"/>
  <c r="H1876" i="15"/>
  <c r="J1850" i="15"/>
  <c r="G1825" i="15"/>
  <c r="I1799" i="15"/>
  <c r="F1774" i="15"/>
  <c r="H1748" i="15"/>
  <c r="J1722" i="15"/>
  <c r="G1697" i="15"/>
  <c r="I1671" i="15"/>
  <c r="F1646" i="15"/>
  <c r="H1620" i="15"/>
  <c r="F2430" i="15"/>
  <c r="I2344" i="15"/>
  <c r="F2319" i="15"/>
  <c r="H2293" i="15"/>
  <c r="J2267" i="15"/>
  <c r="G2242" i="15"/>
  <c r="I2216" i="15"/>
  <c r="F2191" i="15"/>
  <c r="H2165" i="15"/>
  <c r="J2139" i="15"/>
  <c r="G2114" i="15"/>
  <c r="I2088" i="15"/>
  <c r="F2063" i="15"/>
  <c r="H2037" i="15"/>
  <c r="J2011" i="15"/>
  <c r="G1986" i="15"/>
  <c r="J2406" i="15"/>
  <c r="I2343" i="15"/>
  <c r="F2318" i="15"/>
  <c r="H2292" i="15"/>
  <c r="J2266" i="15"/>
  <c r="G2241" i="15"/>
  <c r="I2215" i="15"/>
  <c r="F2190" i="15"/>
  <c r="H2164" i="15"/>
  <c r="J2138" i="15"/>
  <c r="G2113" i="15"/>
  <c r="I2087" i="15"/>
  <c r="F2062" i="15"/>
  <c r="H2036" i="15"/>
  <c r="J2010" i="15"/>
  <c r="G1985" i="15"/>
  <c r="J1959" i="15"/>
  <c r="G1934" i="15"/>
  <c r="I1908" i="15"/>
  <c r="F1883" i="15"/>
  <c r="H1857" i="15"/>
  <c r="J1831" i="15"/>
  <c r="G1806" i="15"/>
  <c r="I1780" i="15"/>
  <c r="F1755" i="15"/>
  <c r="H1729" i="15"/>
  <c r="J1703" i="15"/>
  <c r="G1678" i="15"/>
  <c r="I1652" i="15"/>
  <c r="F1627" i="15"/>
  <c r="H1601" i="15"/>
  <c r="J1575" i="15"/>
  <c r="J1958" i="15"/>
  <c r="G1933" i="15"/>
  <c r="I1907" i="15"/>
  <c r="F1882" i="15"/>
  <c r="H1856" i="15"/>
  <c r="J1830" i="15"/>
  <c r="G1805" i="15"/>
  <c r="I1779" i="15"/>
  <c r="F1754" i="15"/>
  <c r="H1728" i="15"/>
  <c r="J1702" i="15"/>
  <c r="G1677" i="15"/>
  <c r="I1651" i="15"/>
  <c r="F1626" i="15"/>
  <c r="H1982" i="15"/>
  <c r="J2356" i="15"/>
  <c r="F2331" i="15"/>
  <c r="H2305" i="15"/>
  <c r="J2279" i="15"/>
  <c r="G2254" i="15"/>
  <c r="I2228" i="15"/>
  <c r="F2203" i="15"/>
  <c r="H2177" i="15"/>
  <c r="F2951" i="15"/>
  <c r="G2797" i="15"/>
  <c r="I2791" i="15"/>
  <c r="J2736" i="15"/>
  <c r="F2832" i="15"/>
  <c r="H2749" i="15"/>
  <c r="H2590" i="15"/>
  <c r="H2421" i="15"/>
  <c r="G2559" i="15"/>
  <c r="I2633" i="15"/>
  <c r="G2555" i="15"/>
  <c r="I2629" i="15"/>
  <c r="G2551" i="15"/>
  <c r="G2393" i="15"/>
  <c r="J2013" i="15"/>
  <c r="F2012" i="15"/>
  <c r="H2243" i="15"/>
  <c r="J2105" i="15"/>
  <c r="G2421" i="15"/>
  <c r="I2241" i="15"/>
  <c r="F2104" i="15"/>
  <c r="I2356" i="15"/>
  <c r="H2239" i="15"/>
  <c r="J2101" i="15"/>
  <c r="G2405" i="15"/>
  <c r="I2237" i="15"/>
  <c r="F2100" i="15"/>
  <c r="J2434" i="15"/>
  <c r="I2238" i="15"/>
  <c r="F2101" i="15"/>
  <c r="F2402" i="15"/>
  <c r="J2236" i="15"/>
  <c r="G2099" i="15"/>
  <c r="F2398" i="15"/>
  <c r="F2275" i="15"/>
  <c r="H2137" i="15"/>
  <c r="I1996" i="15"/>
  <c r="F2274" i="15"/>
  <c r="H2136" i="15"/>
  <c r="I1995" i="15"/>
  <c r="I1864" i="15"/>
  <c r="F1727" i="15"/>
  <c r="G1586" i="15"/>
  <c r="H1892" i="15"/>
  <c r="F1790" i="15"/>
  <c r="I1687" i="15"/>
  <c r="J2378" i="15"/>
  <c r="G2258" i="15"/>
  <c r="J2155" i="15"/>
  <c r="H2053" i="15"/>
  <c r="H2368" i="15"/>
  <c r="G2257" i="15"/>
  <c r="J2154" i="15"/>
  <c r="H2052" i="15"/>
  <c r="G1950" i="15"/>
  <c r="J1847" i="15"/>
  <c r="H1745" i="15"/>
  <c r="F1643" i="15"/>
  <c r="G1949" i="15"/>
  <c r="J1846" i="15"/>
  <c r="H1744" i="15"/>
  <c r="F1642" i="15"/>
  <c r="H2321" i="15"/>
  <c r="F2219" i="15"/>
  <c r="G2142" i="15"/>
  <c r="F2091" i="15"/>
  <c r="J2039" i="15"/>
  <c r="I1988" i="15"/>
  <c r="F2346" i="15"/>
  <c r="J2294" i="15"/>
  <c r="I2243" i="15"/>
  <c r="H2192" i="15"/>
  <c r="G2141" i="15"/>
  <c r="F2090" i="15"/>
  <c r="J2038" i="15"/>
  <c r="I1987" i="15"/>
  <c r="I1936" i="15"/>
  <c r="H1885" i="15"/>
  <c r="G1834" i="15"/>
  <c r="F1783" i="15"/>
  <c r="J1731" i="15"/>
  <c r="I1680" i="15"/>
  <c r="H1629" i="15"/>
  <c r="G1578" i="15"/>
  <c r="I1935" i="15"/>
  <c r="H1884" i="15"/>
  <c r="G1833" i="15"/>
  <c r="F1782" i="15"/>
  <c r="J1730" i="15"/>
  <c r="I1679" i="15"/>
  <c r="H1628" i="15"/>
  <c r="G1577" i="15"/>
  <c r="F2343" i="15"/>
  <c r="J2291" i="15"/>
  <c r="I2240" i="15"/>
  <c r="H2189" i="15"/>
  <c r="G2138" i="15"/>
  <c r="F2087" i="15"/>
  <c r="J2035" i="15"/>
  <c r="I1984" i="15"/>
  <c r="F2342" i="15"/>
  <c r="J2290" i="15"/>
  <c r="I2239" i="15"/>
  <c r="H2188" i="15"/>
  <c r="G2137" i="15"/>
  <c r="F2086" i="15"/>
  <c r="J2034" i="15"/>
  <c r="I1983" i="15"/>
  <c r="I1932" i="15"/>
  <c r="H1881" i="15"/>
  <c r="G1830" i="15"/>
  <c r="F1779" i="15"/>
  <c r="J1727" i="15"/>
  <c r="I1676" i="15"/>
  <c r="H1625" i="15"/>
  <c r="G1574" i="15"/>
  <c r="I1931" i="15"/>
  <c r="H1880" i="15"/>
  <c r="G1829" i="15"/>
  <c r="F1778" i="15"/>
  <c r="J1726" i="15"/>
  <c r="I1675" i="15"/>
  <c r="H1624" i="15"/>
  <c r="H1568" i="15"/>
  <c r="J1941" i="15"/>
  <c r="I1906" i="15"/>
  <c r="I1874" i="15"/>
  <c r="H1839" i="15"/>
  <c r="G1804" i="15"/>
  <c r="G1772" i="15"/>
  <c r="F1737" i="15"/>
  <c r="J1701" i="15"/>
  <c r="J1669" i="15"/>
  <c r="I1634" i="15"/>
  <c r="H1599" i="15"/>
  <c r="H1567" i="15"/>
  <c r="J1940" i="15"/>
  <c r="I1905" i="15"/>
  <c r="I1873" i="15"/>
  <c r="H1838" i="15"/>
  <c r="G1803" i="15"/>
  <c r="G1771" i="15"/>
  <c r="F1736" i="15"/>
  <c r="J1700" i="15"/>
  <c r="J1668" i="15"/>
  <c r="I1633" i="15"/>
  <c r="H1598" i="15"/>
  <c r="H1566" i="15"/>
  <c r="J1531" i="15"/>
  <c r="I1496" i="15"/>
  <c r="I1464" i="15"/>
  <c r="F1439" i="15"/>
  <c r="H1413" i="15"/>
  <c r="J1387" i="15"/>
  <c r="G1362" i="15"/>
  <c r="I1336" i="15"/>
  <c r="F1311" i="15"/>
  <c r="H1285" i="15"/>
  <c r="J1259" i="15"/>
  <c r="G1234" i="15"/>
  <c r="I1208" i="15"/>
  <c r="F1183" i="15"/>
  <c r="H1157" i="15"/>
  <c r="H1540" i="15"/>
  <c r="J1514" i="15"/>
  <c r="G1489" i="15"/>
  <c r="I1463" i="15"/>
  <c r="F1438" i="15"/>
  <c r="H1412" i="15"/>
  <c r="J1386" i="15"/>
  <c r="G1361" i="15"/>
  <c r="I1335" i="15"/>
  <c r="F1310" i="15"/>
  <c r="H1284" i="15"/>
  <c r="J1258" i="15"/>
  <c r="G1233" i="15"/>
  <c r="F1586" i="15"/>
  <c r="I1966" i="15"/>
  <c r="F1941" i="15"/>
  <c r="H1915" i="15"/>
  <c r="J1889" i="15"/>
  <c r="G1864" i="15"/>
  <c r="I1838" i="15"/>
  <c r="F1813" i="15"/>
  <c r="H1787" i="15"/>
  <c r="J1761" i="15"/>
  <c r="G1736" i="15"/>
  <c r="I1710" i="15"/>
  <c r="F1685" i="15"/>
  <c r="H1659" i="15"/>
  <c r="J1633" i="15"/>
  <c r="G1608" i="15"/>
  <c r="I1582" i="15"/>
  <c r="I1965" i="15"/>
  <c r="F1940" i="15"/>
  <c r="H1914" i="15"/>
  <c r="J1888" i="15"/>
  <c r="G1863" i="15"/>
  <c r="I1837" i="15"/>
  <c r="F1812" i="15"/>
  <c r="H1786" i="15"/>
  <c r="J1760" i="15"/>
  <c r="G1735" i="15"/>
  <c r="I1709" i="15"/>
  <c r="F1684" i="15"/>
  <c r="H1658" i="15"/>
  <c r="J1632" i="15"/>
  <c r="G1607" i="15"/>
  <c r="I1581" i="15"/>
  <c r="I1556" i="15"/>
  <c r="F1531" i="15"/>
  <c r="H1505" i="15"/>
  <c r="J1479" i="15"/>
  <c r="G1454" i="15"/>
  <c r="I1428" i="15"/>
  <c r="F1403" i="15"/>
  <c r="H1377" i="15"/>
  <c r="J1351" i="15"/>
  <c r="G1326" i="15"/>
  <c r="I1300" i="15"/>
  <c r="F1275" i="15"/>
  <c r="H1249" i="15"/>
  <c r="J1223" i="15"/>
  <c r="G1198" i="15"/>
  <c r="I1172" i="15"/>
  <c r="I1555" i="15"/>
  <c r="F1530" i="15"/>
  <c r="H1504" i="15"/>
  <c r="J1478" i="15"/>
  <c r="G1453" i="15"/>
  <c r="I1427" i="15"/>
  <c r="F1402" i="15"/>
  <c r="H1376" i="15"/>
  <c r="J1350" i="15"/>
  <c r="G1325" i="15"/>
  <c r="I1299" i="15"/>
  <c r="F1274" i="15"/>
  <c r="H1248" i="15"/>
  <c r="F1602" i="15"/>
  <c r="F1570" i="15"/>
  <c r="F1953" i="15"/>
  <c r="H1927" i="15"/>
  <c r="J1901" i="15"/>
  <c r="G1876" i="15"/>
  <c r="I1850" i="15"/>
  <c r="F1825" i="15"/>
  <c r="H1799" i="15"/>
  <c r="J1773" i="15"/>
  <c r="G1748" i="15"/>
  <c r="I1722" i="15"/>
  <c r="F1697" i="15"/>
  <c r="H1671" i="15"/>
  <c r="J1645" i="15"/>
  <c r="G1620" i="15"/>
  <c r="I1594" i="15"/>
  <c r="F1569" i="15"/>
  <c r="F1952" i="15"/>
  <c r="H1926" i="15"/>
  <c r="J1900" i="15"/>
  <c r="G1875" i="15"/>
  <c r="I1849" i="15"/>
  <c r="F1824" i="15"/>
  <c r="H1798" i="15"/>
  <c r="J1772" i="15"/>
  <c r="G1747" i="15"/>
  <c r="I1721" i="15"/>
  <c r="F1696" i="15"/>
  <c r="H1670" i="15"/>
  <c r="J1644" i="15"/>
  <c r="G1619" i="15"/>
  <c r="I1593" i="15"/>
  <c r="F1568" i="15"/>
  <c r="F1543" i="15"/>
  <c r="H1517" i="15"/>
  <c r="J1491" i="15"/>
  <c r="G1466" i="15"/>
  <c r="I1440" i="15"/>
  <c r="F1415" i="15"/>
  <c r="H1389" i="15"/>
  <c r="J1363" i="15"/>
  <c r="G1338" i="15"/>
  <c r="I1312" i="15"/>
  <c r="F1287" i="15"/>
  <c r="H1261" i="15"/>
  <c r="J1235" i="15"/>
  <c r="G1210" i="15"/>
  <c r="I1184" i="15"/>
  <c r="F1159" i="15"/>
  <c r="F1542" i="15"/>
  <c r="H1516" i="15"/>
  <c r="J1490" i="15"/>
  <c r="G1465" i="15"/>
  <c r="I1439" i="15"/>
  <c r="F1414" i="15"/>
  <c r="H1388" i="15"/>
  <c r="J1362" i="15"/>
  <c r="G1337" i="15"/>
  <c r="I1311" i="15"/>
  <c r="F1286" i="15"/>
  <c r="H1260" i="15"/>
  <c r="J1234" i="15"/>
  <c r="G1605" i="15"/>
  <c r="H1572" i="15"/>
  <c r="H1955" i="15"/>
  <c r="J1929" i="15"/>
  <c r="G1904" i="15"/>
  <c r="I1878" i="15"/>
  <c r="F1853" i="15"/>
  <c r="H1827" i="15"/>
  <c r="J1801" i="15"/>
  <c r="G1776" i="15"/>
  <c r="I1750" i="15"/>
  <c r="F1725" i="15"/>
  <c r="H1699" i="15"/>
  <c r="J1673" i="15"/>
  <c r="G1648" i="15"/>
  <c r="I1622" i="15"/>
  <c r="F1597" i="15"/>
  <c r="H1571" i="15"/>
  <c r="H1954" i="15"/>
  <c r="J1928" i="15"/>
  <c r="G1903" i="15"/>
  <c r="I1877" i="15"/>
  <c r="F1852" i="15"/>
  <c r="H1826" i="15"/>
  <c r="J1800" i="15"/>
  <c r="G1775" i="15"/>
  <c r="I1749" i="15"/>
  <c r="F1724" i="15"/>
  <c r="H1698" i="15"/>
  <c r="J1672" i="15"/>
  <c r="G1647" i="15"/>
  <c r="I1621" i="15"/>
  <c r="F1596" i="15"/>
  <c r="H1570" i="15"/>
  <c r="H1545" i="15"/>
  <c r="J1519" i="15"/>
  <c r="G1494" i="15"/>
  <c r="I1468" i="15"/>
  <c r="F1443" i="15"/>
  <c r="H1417" i="15"/>
  <c r="J1391" i="15"/>
  <c r="G1366" i="15"/>
  <c r="I1340" i="15"/>
  <c r="F1315" i="15"/>
  <c r="H1289" i="15"/>
  <c r="J1263" i="15"/>
  <c r="G1238" i="15"/>
  <c r="I1212" i="15"/>
  <c r="F1187" i="15"/>
  <c r="H1161" i="15"/>
  <c r="H1544" i="15"/>
  <c r="J1518" i="15"/>
  <c r="G1493" i="15"/>
  <c r="I1467" i="15"/>
  <c r="F1442" i="15"/>
  <c r="H1416" i="15"/>
  <c r="J1390" i="15"/>
  <c r="G1365" i="15"/>
  <c r="I1339" i="15"/>
  <c r="F1314" i="15"/>
  <c r="H1288" i="15"/>
  <c r="J1262" i="15"/>
  <c r="G1237" i="15"/>
  <c r="I1211" i="15"/>
  <c r="F1214" i="15"/>
  <c r="H1184" i="15"/>
  <c r="J1158" i="15"/>
  <c r="J1541" i="15"/>
  <c r="G1516" i="15"/>
  <c r="I1490" i="15"/>
  <c r="F1465" i="15"/>
  <c r="H1439" i="15"/>
  <c r="J1413" i="15"/>
  <c r="G1388" i="15"/>
  <c r="I1362" i="15"/>
  <c r="F1337" i="15"/>
  <c r="H1311" i="15"/>
  <c r="J1285" i="15"/>
  <c r="G1260" i="15"/>
  <c r="I1234" i="15"/>
  <c r="F1209" i="15"/>
  <c r="H1183" i="15"/>
  <c r="J1157" i="15"/>
  <c r="J1540" i="15"/>
  <c r="G1515" i="15"/>
  <c r="I1489" i="15"/>
  <c r="F1464" i="15"/>
  <c r="H1438" i="15"/>
  <c r="J1412" i="15"/>
  <c r="G1387" i="15"/>
  <c r="I1361" i="15"/>
  <c r="F1336" i="15"/>
  <c r="H1310" i="15"/>
  <c r="J1284" i="15"/>
  <c r="G1259" i="15"/>
  <c r="I1233" i="15"/>
  <c r="F1208" i="15"/>
  <c r="H1182" i="15"/>
  <c r="J1156" i="15"/>
  <c r="G1131" i="15"/>
  <c r="I1105" i="15"/>
  <c r="F1080" i="15"/>
  <c r="H1054" i="15"/>
  <c r="J1028" i="15"/>
  <c r="G1003" i="15"/>
  <c r="I977" i="15"/>
  <c r="F952" i="15"/>
  <c r="H926" i="15"/>
  <c r="J900" i="15"/>
  <c r="G875" i="15"/>
  <c r="I849" i="15"/>
  <c r="F824" i="15"/>
  <c r="H798" i="15"/>
  <c r="J772" i="15"/>
  <c r="G747" i="15"/>
  <c r="H1129" i="15"/>
  <c r="J1103" i="15"/>
  <c r="G1078" i="15"/>
  <c r="I1052" i="15"/>
  <c r="F1027" i="15"/>
  <c r="H1001" i="15"/>
  <c r="J975" i="15"/>
  <c r="G950" i="15"/>
  <c r="I924" i="15"/>
  <c r="H905" i="15"/>
  <c r="H889" i="15"/>
  <c r="H873" i="15"/>
  <c r="G854" i="15"/>
  <c r="G838" i="15"/>
  <c r="G822" i="15"/>
  <c r="G1217" i="15"/>
  <c r="H1196" i="15"/>
  <c r="H1180" i="15"/>
  <c r="G1161" i="15"/>
  <c r="J1553" i="15"/>
  <c r="J1537" i="15"/>
  <c r="I1518" i="15"/>
  <c r="I1502" i="15"/>
  <c r="I1486" i="15"/>
  <c r="H1467" i="15"/>
  <c r="H1451" i="15"/>
  <c r="H1435" i="15"/>
  <c r="G1416" i="15"/>
  <c r="G1400" i="15"/>
  <c r="G1384" i="15"/>
  <c r="F1365" i="15"/>
  <c r="F1349" i="15"/>
  <c r="F1333" i="15"/>
  <c r="J1313" i="15"/>
  <c r="J1297" i="15"/>
  <c r="J1281" i="15"/>
  <c r="I1262" i="15"/>
  <c r="I1246" i="15"/>
  <c r="I1230" i="15"/>
  <c r="H1211" i="15"/>
  <c r="H1195" i="15"/>
  <c r="H1179" i="15"/>
  <c r="G1160" i="15"/>
  <c r="J1552" i="15"/>
  <c r="J1536" i="15"/>
  <c r="I1517" i="15"/>
  <c r="I1501" i="15"/>
  <c r="I1485" i="15"/>
  <c r="H1466" i="15"/>
  <c r="H1450" i="15"/>
  <c r="H1434" i="15"/>
  <c r="G1415" i="15"/>
  <c r="G1399" i="15"/>
  <c r="G1383" i="15"/>
  <c r="F1364" i="15"/>
  <c r="F1348" i="15"/>
  <c r="F1332" i="15"/>
  <c r="J1312" i="15"/>
  <c r="J1296" i="15"/>
  <c r="J1280" i="15"/>
  <c r="I1261" i="15"/>
  <c r="I1245" i="15"/>
  <c r="I1229" i="15"/>
  <c r="H1210" i="15"/>
  <c r="H1194" i="15"/>
  <c r="H1178" i="15"/>
  <c r="G1159" i="15"/>
  <c r="G1143" i="15"/>
  <c r="G1127" i="15"/>
  <c r="F1108" i="15"/>
  <c r="F1092" i="15"/>
  <c r="F1076" i="15"/>
  <c r="J1056" i="15"/>
  <c r="J1040" i="15"/>
  <c r="J1024" i="15"/>
  <c r="I1005" i="15"/>
  <c r="I989" i="15"/>
  <c r="I973" i="15"/>
  <c r="H954" i="15"/>
  <c r="H938" i="15"/>
  <c r="H922" i="15"/>
  <c r="G903" i="15"/>
  <c r="G887" i="15"/>
  <c r="G871" i="15"/>
  <c r="F852" i="15"/>
  <c r="F836" i="15"/>
  <c r="F820" i="15"/>
  <c r="J800" i="15"/>
  <c r="J784" i="15"/>
  <c r="J768" i="15"/>
  <c r="I749" i="15"/>
  <c r="H1141" i="15"/>
  <c r="H1125" i="15"/>
  <c r="G1106" i="15"/>
  <c r="G1090" i="15"/>
  <c r="G1074" i="15"/>
  <c r="F1055" i="15"/>
  <c r="F1039" i="15"/>
  <c r="F1023" i="15"/>
  <c r="J1003" i="15"/>
  <c r="J987" i="15"/>
  <c r="J971" i="15"/>
  <c r="I952" i="15"/>
  <c r="I936" i="15"/>
  <c r="I920" i="15"/>
  <c r="H901" i="15"/>
  <c r="H885" i="15"/>
  <c r="H869" i="15"/>
  <c r="G850" i="15"/>
  <c r="J1222" i="15"/>
  <c r="I1199" i="15"/>
  <c r="I1179" i="15"/>
  <c r="I1163" i="15"/>
  <c r="G1556" i="15"/>
  <c r="F1537" i="15"/>
  <c r="F1521" i="15"/>
  <c r="F1505" i="15"/>
  <c r="J1485" i="15"/>
  <c r="J1469" i="15"/>
  <c r="J1453" i="15"/>
  <c r="I1434" i="15"/>
  <c r="I1418" i="15"/>
  <c r="I1402" i="15"/>
  <c r="H1383" i="15"/>
  <c r="H1367" i="15"/>
  <c r="H1351" i="15"/>
  <c r="G1332" i="15"/>
  <c r="G1316" i="15"/>
  <c r="G1300" i="15"/>
  <c r="F1281" i="15"/>
  <c r="F1265" i="15"/>
  <c r="F1249" i="15"/>
  <c r="J1229" i="15"/>
  <c r="J1213" i="15"/>
  <c r="J1197" i="15"/>
  <c r="I1178" i="15"/>
  <c r="I1162" i="15"/>
  <c r="G1555" i="15"/>
  <c r="F1536" i="15"/>
  <c r="F1520" i="15"/>
  <c r="F1504" i="15"/>
  <c r="J1484" i="15"/>
  <c r="J1468" i="15"/>
  <c r="J1452" i="15"/>
  <c r="I1433" i="15"/>
  <c r="I1417" i="15"/>
  <c r="I1401" i="15"/>
  <c r="H1382" i="15"/>
  <c r="H1366" i="15"/>
  <c r="H1350" i="15"/>
  <c r="G1331" i="15"/>
  <c r="G1315" i="15"/>
  <c r="G1299" i="15"/>
  <c r="F1280" i="15"/>
  <c r="F1264" i="15"/>
  <c r="F1248" i="15"/>
  <c r="J1228" i="15"/>
  <c r="J1212" i="15"/>
  <c r="J1196" i="15"/>
  <c r="I1177" i="15"/>
  <c r="I1161" i="15"/>
  <c r="I1145" i="15"/>
  <c r="H1126" i="15"/>
  <c r="H1110" i="15"/>
  <c r="H1094" i="15"/>
  <c r="G1075" i="15"/>
  <c r="G1059" i="15"/>
  <c r="G1043" i="15"/>
  <c r="F1024" i="15"/>
  <c r="F1008" i="15"/>
  <c r="F992" i="15"/>
  <c r="J972" i="15"/>
  <c r="J956" i="15"/>
  <c r="J940" i="15"/>
  <c r="I921" i="15"/>
  <c r="I905" i="15"/>
  <c r="I889" i="15"/>
  <c r="H870" i="15"/>
  <c r="H854" i="15"/>
  <c r="H838" i="15"/>
  <c r="G819" i="15"/>
  <c r="G803" i="15"/>
  <c r="G787" i="15"/>
  <c r="F768" i="15"/>
  <c r="F752" i="15"/>
  <c r="J1143" i="15"/>
  <c r="I1124" i="15"/>
  <c r="I1108" i="15"/>
  <c r="I1092" i="15"/>
  <c r="H1073" i="15"/>
  <c r="H1057" i="15"/>
  <c r="H1041" i="15"/>
  <c r="H1025" i="15"/>
  <c r="I1012" i="15"/>
  <c r="J999" i="15"/>
  <c r="F987" i="15"/>
  <c r="G974" i="15"/>
  <c r="H961" i="15"/>
  <c r="I948" i="15"/>
  <c r="J935" i="15"/>
  <c r="F923" i="15"/>
  <c r="G910" i="15"/>
  <c r="H897" i="15"/>
  <c r="I884" i="15"/>
  <c r="J871" i="15"/>
  <c r="F859" i="15"/>
  <c r="J1210" i="15"/>
  <c r="J1194" i="15"/>
  <c r="F1182" i="15"/>
  <c r="G1169" i="15"/>
  <c r="H1156" i="15"/>
  <c r="G1552" i="15"/>
  <c r="H1539" i="15"/>
  <c r="I1526" i="15"/>
  <c r="J1513" i="15"/>
  <c r="F1501" i="15"/>
  <c r="G1488" i="15"/>
  <c r="H1475" i="15"/>
  <c r="I1462" i="15"/>
  <c r="J1449" i="15"/>
  <c r="F1437" i="15"/>
  <c r="G1424" i="15"/>
  <c r="H1411" i="15"/>
  <c r="I1398" i="15"/>
  <c r="J1385" i="15"/>
  <c r="F1373" i="15"/>
  <c r="G1360" i="15"/>
  <c r="H1347" i="15"/>
  <c r="I1334" i="15"/>
  <c r="J1321" i="15"/>
  <c r="F1309" i="15"/>
  <c r="G1296" i="15"/>
  <c r="H1283" i="15"/>
  <c r="I1270" i="15"/>
  <c r="J1257" i="15"/>
  <c r="F1245" i="15"/>
  <c r="G1232" i="15"/>
  <c r="H1219" i="15"/>
  <c r="I1206" i="15"/>
  <c r="J1193" i="15"/>
  <c r="F1181" i="15"/>
  <c r="G1168" i="15"/>
  <c r="H1155" i="15"/>
  <c r="G1551" i="15"/>
  <c r="H1538" i="15"/>
  <c r="I1525" i="15"/>
  <c r="J1512" i="15"/>
  <c r="F1500" i="15"/>
  <c r="G1487" i="15"/>
  <c r="H1474" i="15"/>
  <c r="I1461" i="15"/>
  <c r="J1448" i="15"/>
  <c r="F1436" i="15"/>
  <c r="G1423" i="15"/>
  <c r="H1410" i="15"/>
  <c r="I1397" i="15"/>
  <c r="J1384" i="15"/>
  <c r="F1372" i="15"/>
  <c r="G1359" i="15"/>
  <c r="H1346" i="15"/>
  <c r="I1333" i="15"/>
  <c r="J1320" i="15"/>
  <c r="F1308" i="15"/>
  <c r="G1295" i="15"/>
  <c r="H1282" i="15"/>
  <c r="I1269" i="15"/>
  <c r="J1256" i="15"/>
  <c r="F1244" i="15"/>
  <c r="G1231" i="15"/>
  <c r="H1218" i="15"/>
  <c r="I1205" i="15"/>
  <c r="J1192" i="15"/>
  <c r="F1180" i="15"/>
  <c r="G1167" i="15"/>
  <c r="H1154" i="15"/>
  <c r="I1141" i="15"/>
  <c r="J1128" i="15"/>
  <c r="F1116" i="15"/>
  <c r="G1103" i="15"/>
  <c r="H1090" i="15"/>
  <c r="I1077" i="15"/>
  <c r="J1064" i="15"/>
  <c r="F1052" i="15"/>
  <c r="G1039" i="15"/>
  <c r="H1026" i="15"/>
  <c r="I1013" i="15"/>
  <c r="J1000" i="15"/>
  <c r="F988" i="15"/>
  <c r="G975" i="15"/>
  <c r="H962" i="15"/>
  <c r="I949" i="15"/>
  <c r="J936" i="15"/>
  <c r="F924" i="15"/>
  <c r="G911" i="15"/>
  <c r="H898" i="15"/>
  <c r="I885" i="15"/>
  <c r="J872" i="15"/>
  <c r="F860" i="15"/>
  <c r="G847" i="15"/>
  <c r="H834" i="15"/>
  <c r="I821" i="15"/>
  <c r="J808" i="15"/>
  <c r="F796" i="15"/>
  <c r="G783" i="15"/>
  <c r="H770" i="15"/>
  <c r="I757" i="15"/>
  <c r="J744" i="15"/>
  <c r="J1139" i="15"/>
  <c r="F1127" i="15"/>
  <c r="G1114" i="15"/>
  <c r="H1101" i="15"/>
  <c r="I1088" i="15"/>
  <c r="J1075" i="15"/>
  <c r="F1063" i="15"/>
  <c r="G1050" i="15"/>
  <c r="H1037" i="15"/>
  <c r="I1024" i="15"/>
  <c r="J1011" i="15"/>
  <c r="F999" i="15"/>
  <c r="G986" i="15"/>
  <c r="H973" i="15"/>
  <c r="I960" i="15"/>
  <c r="J947" i="15"/>
  <c r="F935" i="15"/>
  <c r="G922" i="15"/>
  <c r="H909" i="15"/>
  <c r="I896" i="15"/>
  <c r="J883" i="15"/>
  <c r="F871" i="15"/>
  <c r="G858" i="15"/>
  <c r="G842" i="15"/>
  <c r="J823" i="15"/>
  <c r="J807" i="15"/>
  <c r="F795" i="15"/>
  <c r="G782" i="15"/>
  <c r="H769" i="15"/>
  <c r="I756" i="15"/>
  <c r="J743" i="15"/>
  <c r="J1138" i="15"/>
  <c r="F1126" i="15"/>
  <c r="G1113" i="15"/>
  <c r="H1100" i="15"/>
  <c r="I1087" i="15"/>
  <c r="J1074" i="15"/>
  <c r="F1062" i="15"/>
  <c r="G1049" i="15"/>
  <c r="H1036" i="15"/>
  <c r="I1023" i="15"/>
  <c r="J1010" i="15"/>
  <c r="F998" i="15"/>
  <c r="G985" i="15"/>
  <c r="H972" i="15"/>
  <c r="I959" i="15"/>
  <c r="J946" i="15"/>
  <c r="F934" i="15"/>
  <c r="G921" i="15"/>
  <c r="H908" i="15"/>
  <c r="I895" i="15"/>
  <c r="J882" i="15"/>
  <c r="F870" i="15"/>
  <c r="G857" i="15"/>
  <c r="H844" i="15"/>
  <c r="I831" i="15"/>
  <c r="J818" i="15"/>
  <c r="F806" i="15"/>
  <c r="G793" i="15"/>
  <c r="H780" i="15"/>
  <c r="I767" i="15"/>
  <c r="J754" i="15"/>
  <c r="J1149" i="15"/>
  <c r="F1137" i="15"/>
  <c r="G1124" i="15"/>
  <c r="H1111" i="15"/>
  <c r="I1098" i="15"/>
  <c r="J1085" i="15"/>
  <c r="F1073" i="15"/>
  <c r="G1060" i="15"/>
  <c r="H1047" i="15"/>
  <c r="I1034" i="15"/>
  <c r="J1021" i="15"/>
  <c r="F1009" i="15"/>
  <c r="G996" i="15"/>
  <c r="H983" i="15"/>
  <c r="I970" i="15"/>
  <c r="J957" i="15"/>
  <c r="F945" i="15"/>
  <c r="G932" i="15"/>
  <c r="H919" i="15"/>
  <c r="I906" i="15"/>
  <c r="J893" i="15"/>
  <c r="F881" i="15"/>
  <c r="G868" i="15"/>
  <c r="H855" i="15"/>
  <c r="I842" i="15"/>
  <c r="J829" i="15"/>
  <c r="F817" i="15"/>
  <c r="G804" i="15"/>
  <c r="H791" i="15"/>
  <c r="I778" i="15"/>
  <c r="J765" i="15"/>
  <c r="F753" i="15"/>
  <c r="H741" i="15"/>
  <c r="I728" i="15"/>
  <c r="J715" i="15"/>
  <c r="F703" i="15"/>
  <c r="G690" i="15"/>
  <c r="H677" i="15"/>
  <c r="I664" i="15"/>
  <c r="J651" i="15"/>
  <c r="F639" i="15"/>
  <c r="G626" i="15"/>
  <c r="H613" i="15"/>
  <c r="I600" i="15"/>
  <c r="J587" i="15"/>
  <c r="F575" i="15"/>
  <c r="G562" i="15"/>
  <c r="H549" i="15"/>
  <c r="I536" i="15"/>
  <c r="J523" i="15"/>
  <c r="F511" i="15"/>
  <c r="G498" i="15"/>
  <c r="H485" i="15"/>
  <c r="I472" i="15"/>
  <c r="J459" i="15"/>
  <c r="F447" i="15"/>
  <c r="G434" i="15"/>
  <c r="H421" i="15"/>
  <c r="I408" i="15"/>
  <c r="J395" i="15"/>
  <c r="F383" i="15"/>
  <c r="G370" i="15"/>
  <c r="H357" i="15"/>
  <c r="I344" i="15"/>
  <c r="J331" i="15"/>
  <c r="F319" i="15"/>
  <c r="G306" i="15"/>
  <c r="H293" i="15"/>
  <c r="I280" i="15"/>
  <c r="J267" i="15"/>
  <c r="F255" i="15"/>
  <c r="G242" i="15"/>
  <c r="H229" i="15"/>
  <c r="I216" i="15"/>
  <c r="J203" i="15"/>
  <c r="F191" i="15"/>
  <c r="G178" i="15"/>
  <c r="H165" i="15"/>
  <c r="I152" i="15"/>
  <c r="J139" i="15"/>
  <c r="F127" i="15"/>
  <c r="G114" i="15"/>
  <c r="H101" i="15"/>
  <c r="I88" i="15"/>
  <c r="J75" i="15"/>
  <c r="F63" i="15"/>
  <c r="G50" i="15"/>
  <c r="H37" i="15"/>
  <c r="I24" i="15"/>
  <c r="J839" i="15"/>
  <c r="F823" i="15"/>
  <c r="F807" i="15"/>
  <c r="G794" i="15"/>
  <c r="H781" i="15"/>
  <c r="I768" i="15"/>
  <c r="J755" i="15"/>
  <c r="F743" i="15"/>
  <c r="F1138" i="15"/>
  <c r="G1125" i="15"/>
  <c r="H1112" i="15"/>
  <c r="I1099" i="15"/>
  <c r="J1086" i="15"/>
  <c r="F1074" i="15"/>
  <c r="G1061" i="15"/>
  <c r="H1048" i="15"/>
  <c r="I1035" i="15"/>
  <c r="J1022" i="15"/>
  <c r="F1010" i="15"/>
  <c r="G997" i="15"/>
  <c r="H984" i="15"/>
  <c r="I971" i="15"/>
  <c r="J958" i="15"/>
  <c r="F946" i="15"/>
  <c r="G933" i="15"/>
  <c r="H920" i="15"/>
  <c r="I907" i="15"/>
  <c r="J894" i="15"/>
  <c r="F882" i="15"/>
  <c r="G869" i="15"/>
  <c r="H856" i="15"/>
  <c r="I843" i="15"/>
  <c r="J830" i="15"/>
  <c r="F818" i="15"/>
  <c r="G805" i="15"/>
  <c r="H792" i="15"/>
  <c r="I779" i="15"/>
  <c r="J766" i="15"/>
  <c r="F754" i="15"/>
  <c r="F1149" i="15"/>
  <c r="G1136" i="15"/>
  <c r="H1123" i="15"/>
  <c r="I1110" i="15"/>
  <c r="J1097" i="15"/>
  <c r="F1085" i="15"/>
  <c r="G1072" i="15"/>
  <c r="H1059" i="15"/>
  <c r="I1046" i="15"/>
  <c r="J1033" i="15"/>
  <c r="F1021" i="15"/>
  <c r="G1008" i="15"/>
  <c r="H995" i="15"/>
  <c r="I982" i="15"/>
  <c r="J969" i="15"/>
  <c r="F957" i="15"/>
  <c r="G944" i="15"/>
  <c r="H931" i="15"/>
  <c r="I918" i="15"/>
  <c r="J905" i="15"/>
  <c r="F893" i="15"/>
  <c r="G880" i="15"/>
  <c r="H867" i="15"/>
  <c r="I854" i="15"/>
  <c r="J841" i="15"/>
  <c r="F829" i="15"/>
  <c r="G816" i="15"/>
  <c r="H803" i="15"/>
  <c r="I790" i="15"/>
  <c r="J777" i="15"/>
  <c r="F765" i="15"/>
  <c r="G752" i="15"/>
  <c r="I740" i="15"/>
  <c r="J727" i="15"/>
  <c r="F715" i="15"/>
  <c r="G702" i="15"/>
  <c r="H689" i="15"/>
  <c r="I676" i="15"/>
  <c r="J663" i="15"/>
  <c r="F651" i="15"/>
  <c r="G638" i="15"/>
  <c r="H625" i="15"/>
  <c r="I612" i="15"/>
  <c r="J599" i="15"/>
  <c r="F587" i="15"/>
  <c r="G574" i="15"/>
  <c r="H561" i="15"/>
  <c r="I548" i="15"/>
  <c r="J535" i="15"/>
  <c r="F523" i="15"/>
  <c r="G510" i="15"/>
  <c r="H497" i="15"/>
  <c r="I484" i="15"/>
  <c r="J471" i="15"/>
  <c r="F459" i="15"/>
  <c r="G446" i="15"/>
  <c r="H433" i="15"/>
  <c r="I420" i="15"/>
  <c r="J407" i="15"/>
  <c r="F395" i="15"/>
  <c r="G382" i="15"/>
  <c r="H369" i="15"/>
  <c r="I356" i="15"/>
  <c r="J343" i="15"/>
  <c r="F331" i="15"/>
  <c r="G318" i="15"/>
  <c r="H305" i="15"/>
  <c r="I292" i="15"/>
  <c r="J279" i="15"/>
  <c r="F267" i="15"/>
  <c r="G254" i="15"/>
  <c r="H241" i="15"/>
  <c r="I228" i="15"/>
  <c r="J215" i="15"/>
  <c r="F203" i="15"/>
  <c r="G190" i="15"/>
  <c r="H177" i="15"/>
  <c r="I164" i="15"/>
  <c r="J151" i="15"/>
  <c r="F139" i="15"/>
  <c r="G126" i="15"/>
  <c r="H113" i="15"/>
  <c r="I100" i="15"/>
  <c r="J87" i="15"/>
  <c r="F75" i="15"/>
  <c r="G62" i="15"/>
  <c r="H49" i="15"/>
  <c r="I36" i="15"/>
  <c r="J23" i="15"/>
  <c r="G834" i="15"/>
  <c r="H817" i="15"/>
  <c r="F803" i="15"/>
  <c r="G790" i="15"/>
  <c r="H777" i="15"/>
  <c r="I764" i="15"/>
  <c r="J751" i="15"/>
  <c r="J1146" i="15"/>
  <c r="F1134" i="15"/>
  <c r="G1121" i="15"/>
  <c r="H1108" i="15"/>
  <c r="I1095" i="15"/>
  <c r="J1082" i="15"/>
  <c r="F1070" i="15"/>
  <c r="G1057" i="15"/>
  <c r="H1044" i="15"/>
  <c r="I1031" i="15"/>
  <c r="J1018" i="15"/>
  <c r="F1006" i="15"/>
  <c r="G993" i="15"/>
  <c r="H980" i="15"/>
  <c r="I967" i="15"/>
  <c r="J954" i="15"/>
  <c r="F942" i="15"/>
  <c r="G929" i="15"/>
  <c r="H916" i="15"/>
  <c r="I903" i="15"/>
  <c r="J890" i="15"/>
  <c r="F878" i="15"/>
  <c r="G865" i="15"/>
  <c r="H852" i="15"/>
  <c r="I839" i="15"/>
  <c r="J826" i="15"/>
  <c r="F814" i="15"/>
  <c r="G801" i="15"/>
  <c r="H788" i="15"/>
  <c r="I775" i="15"/>
  <c r="J762" i="15"/>
  <c r="F750" i="15"/>
  <c r="F1145" i="15"/>
  <c r="G1132" i="15"/>
  <c r="H1119" i="15"/>
  <c r="I1106" i="15"/>
  <c r="J1093" i="15"/>
  <c r="F1081" i="15"/>
  <c r="G1068" i="15"/>
  <c r="H1055" i="15"/>
  <c r="I1042" i="15"/>
  <c r="J1029" i="15"/>
  <c r="F1017" i="15"/>
  <c r="G1004" i="15"/>
  <c r="H991" i="15"/>
  <c r="I978" i="15"/>
  <c r="J965" i="15"/>
  <c r="F953" i="15"/>
  <c r="G940" i="15"/>
  <c r="H927" i="15"/>
  <c r="I914" i="15"/>
  <c r="J901" i="15"/>
  <c r="F889" i="15"/>
  <c r="G876" i="15"/>
  <c r="H863" i="15"/>
  <c r="I850" i="15"/>
  <c r="J837" i="15"/>
  <c r="F825" i="15"/>
  <c r="G812" i="15"/>
  <c r="H799" i="15"/>
  <c r="I786" i="15"/>
  <c r="J773" i="15"/>
  <c r="F761" i="15"/>
  <c r="G748" i="15"/>
  <c r="I736" i="15"/>
  <c r="J723" i="15"/>
  <c r="F711" i="15"/>
  <c r="G698" i="15"/>
  <c r="H685" i="15"/>
  <c r="I672" i="15"/>
  <c r="J659" i="15"/>
  <c r="F647" i="15"/>
  <c r="G634" i="15"/>
  <c r="H621" i="15"/>
  <c r="I608" i="15"/>
  <c r="J595" i="15"/>
  <c r="F583" i="15"/>
  <c r="G570" i="15"/>
  <c r="H557" i="15"/>
  <c r="I544" i="15"/>
  <c r="J531" i="15"/>
  <c r="F519" i="15"/>
  <c r="G506" i="15"/>
  <c r="H493" i="15"/>
  <c r="I480" i="15"/>
  <c r="J467" i="15"/>
  <c r="F455" i="15"/>
  <c r="G442" i="15"/>
  <c r="H429" i="15"/>
  <c r="I416" i="15"/>
  <c r="J403" i="15"/>
  <c r="F391" i="15"/>
  <c r="G378" i="15"/>
  <c r="H365" i="15"/>
  <c r="I352" i="15"/>
  <c r="J339" i="15"/>
  <c r="F327" i="15"/>
  <c r="G314" i="15"/>
  <c r="H301" i="15"/>
  <c r="I288" i="15"/>
  <c r="J275" i="15"/>
  <c r="F263" i="15"/>
  <c r="G250" i="15"/>
  <c r="H237" i="15"/>
  <c r="I224" i="15"/>
  <c r="J211" i="15"/>
  <c r="F199" i="15"/>
  <c r="G186" i="15"/>
  <c r="H173" i="15"/>
  <c r="I160" i="15"/>
  <c r="J147" i="15"/>
  <c r="F135" i="15"/>
  <c r="G122" i="15"/>
  <c r="H109" i="15"/>
  <c r="I96" i="15"/>
  <c r="J83" i="15"/>
  <c r="F71" i="15"/>
  <c r="G58" i="15"/>
  <c r="H45" i="15"/>
  <c r="I32" i="15"/>
  <c r="H849" i="15"/>
  <c r="H829" i="15"/>
  <c r="J811" i="15"/>
  <c r="F799" i="15"/>
  <c r="G786" i="15"/>
  <c r="H773" i="15"/>
  <c r="I760" i="15"/>
  <c r="J747" i="15"/>
  <c r="J1142" i="15"/>
  <c r="F1130" i="15"/>
  <c r="G1117" i="15"/>
  <c r="H1104" i="15"/>
  <c r="I1091" i="15"/>
  <c r="J1078" i="15"/>
  <c r="F1066" i="15"/>
  <c r="G1053" i="15"/>
  <c r="H1040" i="15"/>
  <c r="I1027" i="15"/>
  <c r="J1014" i="15"/>
  <c r="F1002" i="15"/>
  <c r="G989" i="15"/>
  <c r="H976" i="15"/>
  <c r="I963" i="15"/>
  <c r="J950" i="15"/>
  <c r="F938" i="15"/>
  <c r="G925" i="15"/>
  <c r="H912" i="15"/>
  <c r="I899" i="15"/>
  <c r="J886" i="15"/>
  <c r="F874" i="15"/>
  <c r="G861" i="15"/>
  <c r="H848" i="15"/>
  <c r="I835" i="15"/>
  <c r="J822" i="15"/>
  <c r="F810" i="15"/>
  <c r="G797" i="15"/>
  <c r="H784" i="15"/>
  <c r="I771" i="15"/>
  <c r="J758" i="15"/>
  <c r="F746" i="15"/>
  <c r="F1141" i="15"/>
  <c r="G1128" i="15"/>
  <c r="H1115" i="15"/>
  <c r="I1102" i="15"/>
  <c r="J1089" i="15"/>
  <c r="F1077" i="15"/>
  <c r="G1064" i="15"/>
  <c r="H1051" i="15"/>
  <c r="I1038" i="15"/>
  <c r="J1025" i="15"/>
  <c r="F1013" i="15"/>
  <c r="G1000" i="15"/>
  <c r="H987" i="15"/>
  <c r="I974" i="15"/>
  <c r="J961" i="15"/>
  <c r="F949" i="15"/>
  <c r="G936" i="15"/>
  <c r="H923" i="15"/>
  <c r="I910" i="15"/>
  <c r="J897" i="15"/>
  <c r="F885" i="15"/>
  <c r="G872" i="15"/>
  <c r="H859" i="15"/>
  <c r="I846" i="15"/>
  <c r="J833" i="15"/>
  <c r="F821" i="15"/>
  <c r="G808" i="15"/>
  <c r="H795" i="15"/>
  <c r="I782" i="15"/>
  <c r="J769" i="15"/>
  <c r="F757" i="15"/>
  <c r="G744" i="15"/>
  <c r="I732" i="15"/>
  <c r="J719" i="15"/>
  <c r="F707" i="15"/>
  <c r="G694" i="15"/>
  <c r="H681" i="15"/>
  <c r="I668" i="15"/>
  <c r="J655" i="15"/>
  <c r="F643" i="15"/>
  <c r="G630" i="15"/>
  <c r="H617" i="15"/>
  <c r="I604" i="15"/>
  <c r="J591" i="15"/>
  <c r="F579" i="15"/>
  <c r="G566" i="15"/>
  <c r="H553" i="15"/>
  <c r="I540" i="15"/>
  <c r="J527" i="15"/>
  <c r="F515" i="15"/>
  <c r="G502" i="15"/>
  <c r="H489" i="15"/>
  <c r="I476" i="15"/>
  <c r="J463" i="15"/>
  <c r="F451" i="15"/>
  <c r="G438" i="15"/>
  <c r="H425" i="15"/>
  <c r="I412" i="15"/>
  <c r="J399" i="15"/>
  <c r="F387" i="15"/>
  <c r="G374" i="15"/>
  <c r="H361" i="15"/>
  <c r="I348" i="15"/>
  <c r="J335" i="15"/>
  <c r="F323" i="15"/>
  <c r="G310" i="15"/>
  <c r="H297" i="15"/>
  <c r="I284" i="15"/>
  <c r="J271" i="15"/>
  <c r="F259" i="15"/>
  <c r="G246" i="15"/>
  <c r="H233" i="15"/>
  <c r="I220" i="15"/>
  <c r="J207" i="15"/>
  <c r="F195" i="15"/>
  <c r="G182" i="15"/>
  <c r="H169" i="15"/>
  <c r="I156" i="15"/>
  <c r="J143" i="15"/>
  <c r="F131" i="15"/>
  <c r="G118" i="15"/>
  <c r="H105" i="15"/>
  <c r="I92" i="15"/>
  <c r="J79" i="15"/>
  <c r="F67" i="15"/>
  <c r="G54" i="15"/>
  <c r="H41" i="15"/>
  <c r="I28" i="15"/>
  <c r="H17" i="15"/>
  <c r="I4" i="15"/>
  <c r="E22" i="6"/>
  <c r="E145" i="5"/>
  <c r="E106" i="5"/>
  <c r="D70" i="5"/>
  <c r="E33" i="5"/>
  <c r="E101" i="4"/>
  <c r="G733" i="15"/>
  <c r="H720" i="15"/>
  <c r="I707" i="15"/>
  <c r="J694" i="15"/>
  <c r="F682" i="15"/>
  <c r="G669" i="15"/>
  <c r="H656" i="15"/>
  <c r="I643" i="15"/>
  <c r="J630" i="15"/>
  <c r="F618" i="15"/>
  <c r="G605" i="15"/>
  <c r="H592" i="15"/>
  <c r="I579" i="15"/>
  <c r="J566" i="15"/>
  <c r="F554" i="15"/>
  <c r="G541" i="15"/>
  <c r="H528" i="15"/>
  <c r="I515" i="15"/>
  <c r="J502" i="15"/>
  <c r="F490" i="15"/>
  <c r="G477" i="15"/>
  <c r="H464" i="15"/>
  <c r="I451" i="15"/>
  <c r="J438" i="15"/>
  <c r="F426" i="15"/>
  <c r="G413" i="15"/>
  <c r="H400" i="15"/>
  <c r="I387" i="15"/>
  <c r="J374" i="15"/>
  <c r="F362" i="15"/>
  <c r="G349" i="15"/>
  <c r="H336" i="15"/>
  <c r="I323" i="15"/>
  <c r="J310" i="15"/>
  <c r="F298" i="15"/>
  <c r="G285" i="15"/>
  <c r="H272" i="15"/>
  <c r="I259" i="15"/>
  <c r="J246" i="15"/>
  <c r="F234" i="15"/>
  <c r="G221" i="15"/>
  <c r="H208" i="15"/>
  <c r="I195" i="15"/>
  <c r="J182" i="15"/>
  <c r="F170" i="15"/>
  <c r="G157" i="15"/>
  <c r="H144" i="15"/>
  <c r="I131" i="15"/>
  <c r="J118" i="15"/>
  <c r="F106" i="15"/>
  <c r="G93" i="15"/>
  <c r="H80" i="15"/>
  <c r="I67" i="15"/>
  <c r="J54" i="15"/>
  <c r="F42" i="15"/>
  <c r="G29" i="15"/>
  <c r="H16" i="15"/>
  <c r="I3" i="15"/>
  <c r="D19" i="6"/>
  <c r="D141" i="5"/>
  <c r="D103" i="5"/>
  <c r="E65" i="5"/>
  <c r="D29" i="5"/>
  <c r="D97" i="4"/>
  <c r="G732" i="15"/>
  <c r="H719" i="15"/>
  <c r="I706" i="15"/>
  <c r="J693" i="15"/>
  <c r="F681" i="15"/>
  <c r="G668" i="15"/>
  <c r="H655" i="15"/>
  <c r="I642" i="15"/>
  <c r="J629" i="15"/>
  <c r="F617" i="15"/>
  <c r="G604" i="15"/>
  <c r="H591" i="15"/>
  <c r="I578" i="15"/>
  <c r="J565" i="15"/>
  <c r="F553" i="15"/>
  <c r="G540" i="15"/>
  <c r="H527" i="15"/>
  <c r="I514" i="15"/>
  <c r="J501" i="15"/>
  <c r="F489" i="15"/>
  <c r="G476" i="15"/>
  <c r="H463" i="15"/>
  <c r="I450" i="15"/>
  <c r="J437" i="15"/>
  <c r="F425" i="15"/>
  <c r="G412" i="15"/>
  <c r="H399" i="15"/>
  <c r="I386" i="15"/>
  <c r="J373" i="15"/>
  <c r="F361" i="15"/>
  <c r="G348" i="15"/>
  <c r="H335" i="15"/>
  <c r="I322" i="15"/>
  <c r="J309" i="15"/>
  <c r="F297" i="15"/>
  <c r="G284" i="15"/>
  <c r="H271" i="15"/>
  <c r="I258" i="15"/>
  <c r="J245" i="15"/>
  <c r="F233" i="15"/>
  <c r="G220" i="15"/>
  <c r="H207" i="15"/>
  <c r="I194" i="15"/>
  <c r="J181" i="15"/>
  <c r="F169" i="15"/>
  <c r="G156" i="15"/>
  <c r="H143" i="15"/>
  <c r="I130" i="15"/>
  <c r="J117" i="15"/>
  <c r="F105" i="15"/>
  <c r="G92" i="15"/>
  <c r="H79" i="15"/>
  <c r="I66" i="15"/>
  <c r="J53" i="15"/>
  <c r="F41" i="15"/>
  <c r="G28" i="15"/>
  <c r="H15" i="15"/>
  <c r="I2" i="15"/>
  <c r="D16" i="6"/>
  <c r="E137" i="5"/>
  <c r="D100" i="5"/>
  <c r="E62" i="5"/>
  <c r="E25" i="5"/>
  <c r="F732" i="15"/>
  <c r="G719" i="15"/>
  <c r="H706" i="15"/>
  <c r="I693" i="15"/>
  <c r="J680" i="15"/>
  <c r="F668" i="15"/>
  <c r="G655" i="15"/>
  <c r="H642" i="15"/>
  <c r="I629" i="15"/>
  <c r="J616" i="15"/>
  <c r="F604" i="15"/>
  <c r="G591" i="15"/>
  <c r="H578" i="15"/>
  <c r="I565" i="15"/>
  <c r="J552" i="15"/>
  <c r="F540" i="15"/>
  <c r="G527" i="15"/>
  <c r="H514" i="15"/>
  <c r="I501" i="15"/>
  <c r="J488" i="15"/>
  <c r="F476" i="15"/>
  <c r="G463" i="15"/>
  <c r="H450" i="15"/>
  <c r="I437" i="15"/>
  <c r="J424" i="15"/>
  <c r="F412" i="15"/>
  <c r="G399" i="15"/>
  <c r="H386" i="15"/>
  <c r="I373" i="15"/>
  <c r="J360" i="15"/>
  <c r="F348" i="15"/>
  <c r="G335" i="15"/>
  <c r="H322" i="15"/>
  <c r="I309" i="15"/>
  <c r="J296" i="15"/>
  <c r="F284" i="15"/>
  <c r="G271" i="15"/>
  <c r="H258" i="15"/>
  <c r="I245" i="15"/>
  <c r="J232" i="15"/>
  <c r="F220" i="15"/>
  <c r="G207" i="15"/>
  <c r="H194" i="15"/>
  <c r="I181" i="15"/>
  <c r="J168" i="15"/>
  <c r="F156" i="15"/>
  <c r="G143" i="15"/>
  <c r="H130" i="15"/>
  <c r="I117" i="15"/>
  <c r="J104" i="15"/>
  <c r="F92" i="15"/>
  <c r="G79" i="15"/>
  <c r="H66" i="15"/>
  <c r="I53" i="15"/>
  <c r="J40" i="15"/>
  <c r="F28" i="15"/>
  <c r="G15" i="15"/>
  <c r="H2" i="15"/>
  <c r="D18" i="6"/>
  <c r="D139" i="5"/>
  <c r="D102" i="5"/>
  <c r="E63" i="5"/>
  <c r="D27" i="5"/>
  <c r="E37" i="4"/>
  <c r="E190" i="3"/>
  <c r="D155" i="3"/>
  <c r="D117" i="3"/>
  <c r="E79" i="3"/>
  <c r="D43" i="3"/>
  <c r="D5" i="3"/>
  <c r="E25" i="2"/>
  <c r="D197" i="1"/>
  <c r="D162" i="1"/>
  <c r="D128" i="1"/>
  <c r="D93" i="1"/>
  <c r="D59" i="1"/>
  <c r="D22" i="1"/>
  <c r="E34" i="4"/>
  <c r="D192" i="3"/>
  <c r="D156" i="3"/>
  <c r="E118" i="3"/>
  <c r="E81" i="3"/>
  <c r="D44" i="3"/>
  <c r="E6" i="3"/>
  <c r="D33" i="2"/>
  <c r="E192" i="1"/>
  <c r="E157" i="1"/>
  <c r="E123" i="1"/>
  <c r="E88" i="1"/>
  <c r="E53" i="1"/>
  <c r="E18" i="1"/>
  <c r="E47" i="4"/>
  <c r="E15" i="4"/>
  <c r="E175" i="3"/>
  <c r="D139" i="3"/>
  <c r="D102" i="3"/>
  <c r="E63" i="3"/>
  <c r="D27" i="3"/>
  <c r="E51" i="2"/>
  <c r="E19" i="2"/>
  <c r="D188" i="1"/>
  <c r="D153" i="1"/>
  <c r="D118" i="1"/>
  <c r="D84" i="1"/>
  <c r="D49" i="1"/>
  <c r="E12" i="1"/>
  <c r="D43" i="4"/>
  <c r="C10" i="4"/>
  <c r="I2870" i="15"/>
  <c r="F2774" i="15"/>
  <c r="F2739" i="15"/>
  <c r="G2674" i="15"/>
  <c r="H2609" i="15"/>
  <c r="G2749" i="15"/>
  <c r="G2512" i="15"/>
  <c r="F2564" i="15"/>
  <c r="J2456" i="15"/>
  <c r="I2531" i="15"/>
  <c r="J2452" i="15"/>
  <c r="I2527" i="15"/>
  <c r="J2448" i="15"/>
  <c r="F2321" i="15"/>
  <c r="G2319" i="15"/>
  <c r="J2345" i="15"/>
  <c r="G2208" i="15"/>
  <c r="H2067" i="15"/>
  <c r="F2344" i="15"/>
  <c r="H2206" i="15"/>
  <c r="I2065" i="15"/>
  <c r="J2341" i="15"/>
  <c r="G2204" i="15"/>
  <c r="H2063" i="15"/>
  <c r="F2340" i="15"/>
  <c r="H2202" i="15"/>
  <c r="I2061" i="15"/>
  <c r="F2341" i="15"/>
  <c r="H2203" i="15"/>
  <c r="I2062" i="15"/>
  <c r="G2339" i="15"/>
  <c r="I2201" i="15"/>
  <c r="J2060" i="15"/>
  <c r="F1976" i="15"/>
  <c r="J2239" i="15"/>
  <c r="F2099" i="15"/>
  <c r="J1967" i="15"/>
  <c r="J2238" i="15"/>
  <c r="F2098" i="15"/>
  <c r="F1967" i="15"/>
  <c r="H1829" i="15"/>
  <c r="I1688" i="15"/>
  <c r="I1560" i="15"/>
  <c r="J1866" i="15"/>
  <c r="H1764" i="15"/>
  <c r="F1662" i="15"/>
  <c r="F2335" i="15"/>
  <c r="I2232" i="15"/>
  <c r="G2130" i="15"/>
  <c r="J2027" i="15"/>
  <c r="F2334" i="15"/>
  <c r="I2231" i="15"/>
  <c r="G2129" i="15"/>
  <c r="J2026" i="15"/>
  <c r="I1924" i="15"/>
  <c r="G1822" i="15"/>
  <c r="J1719" i="15"/>
  <c r="H1617" i="15"/>
  <c r="I1923" i="15"/>
  <c r="G1821" i="15"/>
  <c r="J1718" i="15"/>
  <c r="H1616" i="15"/>
  <c r="J2295" i="15"/>
  <c r="H2193" i="15"/>
  <c r="G2126" i="15"/>
  <c r="F2075" i="15"/>
  <c r="J2023" i="15"/>
  <c r="I1972" i="15"/>
  <c r="F2330" i="15"/>
  <c r="J2278" i="15"/>
  <c r="I2227" i="15"/>
  <c r="H2176" i="15"/>
  <c r="G2125" i="15"/>
  <c r="F2074" i="15"/>
  <c r="J2022" i="15"/>
  <c r="I1971" i="15"/>
  <c r="I1920" i="15"/>
  <c r="H1869" i="15"/>
  <c r="G1818" i="15"/>
  <c r="F1767" i="15"/>
  <c r="J1715" i="15"/>
  <c r="I1664" i="15"/>
  <c r="H1613" i="15"/>
  <c r="G1562" i="15"/>
  <c r="I1919" i="15"/>
  <c r="H1868" i="15"/>
  <c r="G1817" i="15"/>
  <c r="F1766" i="15"/>
  <c r="J1714" i="15"/>
  <c r="I1663" i="15"/>
  <c r="H1612" i="15"/>
  <c r="J1976" i="15"/>
  <c r="F2327" i="15"/>
  <c r="J2275" i="15"/>
  <c r="I2224" i="15"/>
  <c r="H2173" i="15"/>
  <c r="G2122" i="15"/>
  <c r="F2071" i="15"/>
  <c r="J2019" i="15"/>
  <c r="I1968" i="15"/>
  <c r="F2326" i="15"/>
  <c r="J2274" i="15"/>
  <c r="I2223" i="15"/>
  <c r="H2172" i="15"/>
  <c r="G2121" i="15"/>
  <c r="F2070" i="15"/>
  <c r="J2018" i="15"/>
  <c r="G1968" i="15"/>
  <c r="I1916" i="15"/>
  <c r="H1865" i="15"/>
  <c r="G1814" i="15"/>
  <c r="F1763" i="15"/>
  <c r="J1711" i="15"/>
  <c r="I1660" i="15"/>
  <c r="H1609" i="15"/>
  <c r="J1966" i="15"/>
  <c r="I1915" i="15"/>
  <c r="H1864" i="15"/>
  <c r="G1813" i="15"/>
  <c r="F1762" i="15"/>
  <c r="J1710" i="15"/>
  <c r="I1659" i="15"/>
  <c r="H1600" i="15"/>
  <c r="G1964" i="15"/>
  <c r="F1929" i="15"/>
  <c r="J1893" i="15"/>
  <c r="J1861" i="15"/>
  <c r="I1826" i="15"/>
  <c r="H1791" i="15"/>
  <c r="H1759" i="15"/>
  <c r="G1724" i="15"/>
  <c r="F1689" i="15"/>
  <c r="F1657" i="15"/>
  <c r="J1621" i="15"/>
  <c r="I1586" i="15"/>
  <c r="G1963" i="15"/>
  <c r="F1928" i="15"/>
  <c r="J1892" i="15"/>
  <c r="J1860" i="15"/>
  <c r="I1825" i="15"/>
  <c r="H1790" i="15"/>
  <c r="H1758" i="15"/>
  <c r="G1723" i="15"/>
  <c r="F1688" i="15"/>
  <c r="F1656" i="15"/>
  <c r="J1620" i="15"/>
  <c r="I1585" i="15"/>
  <c r="G1554" i="15"/>
  <c r="F1519" i="15"/>
  <c r="J1483" i="15"/>
  <c r="F1455" i="15"/>
  <c r="H1429" i="15"/>
  <c r="J1403" i="15"/>
  <c r="G1378" i="15"/>
  <c r="I1352" i="15"/>
  <c r="F1327" i="15"/>
  <c r="H1301" i="15"/>
  <c r="J1275" i="15"/>
  <c r="G1250" i="15"/>
  <c r="I1224" i="15"/>
  <c r="F1199" i="15"/>
  <c r="H1173" i="15"/>
  <c r="H1556" i="15"/>
  <c r="J1530" i="15"/>
  <c r="G1505" i="15"/>
  <c r="I1479" i="15"/>
  <c r="F1454" i="15"/>
  <c r="H1428" i="15"/>
  <c r="J1402" i="15"/>
  <c r="G1377" i="15"/>
  <c r="I1351" i="15"/>
  <c r="F1326" i="15"/>
  <c r="H1300" i="15"/>
  <c r="J1274" i="15"/>
  <c r="G1249" i="15"/>
  <c r="I1607" i="15"/>
  <c r="F1574" i="15"/>
  <c r="F1957" i="15"/>
  <c r="H1931" i="15"/>
  <c r="J1905" i="15"/>
  <c r="G1880" i="15"/>
  <c r="I1854" i="15"/>
  <c r="F1829" i="15"/>
  <c r="H1803" i="15"/>
  <c r="J1777" i="15"/>
  <c r="G1752" i="15"/>
  <c r="I1726" i="15"/>
  <c r="F1701" i="15"/>
  <c r="H1675" i="15"/>
  <c r="J1649" i="15"/>
  <c r="G1624" i="15"/>
  <c r="I1598" i="15"/>
  <c r="F1573" i="15"/>
  <c r="F1956" i="15"/>
  <c r="H1930" i="15"/>
  <c r="J1904" i="15"/>
  <c r="G1879" i="15"/>
  <c r="I1853" i="15"/>
  <c r="F1828" i="15"/>
  <c r="H1802" i="15"/>
  <c r="J1776" i="15"/>
  <c r="G1751" i="15"/>
  <c r="I1725" i="15"/>
  <c r="F1700" i="15"/>
  <c r="H1674" i="15"/>
  <c r="J1648" i="15"/>
  <c r="G1623" i="15"/>
  <c r="I1597" i="15"/>
  <c r="F1572" i="15"/>
  <c r="F1547" i="15"/>
  <c r="H1521" i="15"/>
  <c r="J1495" i="15"/>
  <c r="G1470" i="15"/>
  <c r="I1444" i="15"/>
  <c r="F1419" i="15"/>
  <c r="H1393" i="15"/>
  <c r="J1367" i="15"/>
  <c r="G1342" i="15"/>
  <c r="I1316" i="15"/>
  <c r="F1291" i="15"/>
  <c r="H1265" i="15"/>
  <c r="J1239" i="15"/>
  <c r="G1214" i="15"/>
  <c r="I1188" i="15"/>
  <c r="F1163" i="15"/>
  <c r="F1546" i="15"/>
  <c r="H1520" i="15"/>
  <c r="J1494" i="15"/>
  <c r="G1469" i="15"/>
  <c r="I1443" i="15"/>
  <c r="F1418" i="15"/>
  <c r="H1392" i="15"/>
  <c r="J1366" i="15"/>
  <c r="G1341" i="15"/>
  <c r="I1315" i="15"/>
  <c r="F1290" i="15"/>
  <c r="H1264" i="15"/>
  <c r="J1238" i="15"/>
  <c r="G1589" i="15"/>
  <c r="H1560" i="15"/>
  <c r="H1943" i="15"/>
  <c r="J1917" i="15"/>
  <c r="G1892" i="15"/>
  <c r="I1866" i="15"/>
  <c r="F1841" i="15"/>
  <c r="H1815" i="15"/>
  <c r="J1789" i="15"/>
  <c r="G1764" i="15"/>
  <c r="I1738" i="15"/>
  <c r="F1713" i="15"/>
  <c r="H1687" i="15"/>
  <c r="J1661" i="15"/>
  <c r="G1636" i="15"/>
  <c r="I1610" i="15"/>
  <c r="F1585" i="15"/>
  <c r="H1559" i="15"/>
  <c r="H1942" i="15"/>
  <c r="J1916" i="15"/>
  <c r="G1891" i="15"/>
  <c r="I1865" i="15"/>
  <c r="F1840" i="15"/>
  <c r="H1814" i="15"/>
  <c r="J1788" i="15"/>
  <c r="G1763" i="15"/>
  <c r="I1737" i="15"/>
  <c r="F1712" i="15"/>
  <c r="H1686" i="15"/>
  <c r="J1660" i="15"/>
  <c r="G1635" i="15"/>
  <c r="I1609" i="15"/>
  <c r="F1584" i="15"/>
  <c r="F1559" i="15"/>
  <c r="H1533" i="15"/>
  <c r="J1507" i="15"/>
  <c r="G1482" i="15"/>
  <c r="I1456" i="15"/>
  <c r="F1431" i="15"/>
  <c r="H1405" i="15"/>
  <c r="J1379" i="15"/>
  <c r="G1354" i="15"/>
  <c r="I1328" i="15"/>
  <c r="F1303" i="15"/>
  <c r="H1277" i="15"/>
  <c r="J1251" i="15"/>
  <c r="G1226" i="15"/>
  <c r="I1200" i="15"/>
  <c r="F1175" i="15"/>
  <c r="F1558" i="15"/>
  <c r="H1532" i="15"/>
  <c r="J1506" i="15"/>
  <c r="G1481" i="15"/>
  <c r="I1455" i="15"/>
  <c r="F1430" i="15"/>
  <c r="H1404" i="15"/>
  <c r="J1378" i="15"/>
  <c r="G1353" i="15"/>
  <c r="I1327" i="15"/>
  <c r="F1302" i="15"/>
  <c r="H1276" i="15"/>
  <c r="J1250" i="15"/>
  <c r="G1225" i="15"/>
  <c r="H1592" i="15"/>
  <c r="J1562" i="15"/>
  <c r="J1945" i="15"/>
  <c r="G1920" i="15"/>
  <c r="I1894" i="15"/>
  <c r="F1869" i="15"/>
  <c r="H1843" i="15"/>
  <c r="J1817" i="15"/>
  <c r="G1792" i="15"/>
  <c r="I1766" i="15"/>
  <c r="F1741" i="15"/>
  <c r="H1715" i="15"/>
  <c r="J1689" i="15"/>
  <c r="G1664" i="15"/>
  <c r="I1638" i="15"/>
  <c r="F1613" i="15"/>
  <c r="H1587" i="15"/>
  <c r="J1561" i="15"/>
  <c r="J1944" i="15"/>
  <c r="G1919" i="15"/>
  <c r="I1893" i="15"/>
  <c r="F1868" i="15"/>
  <c r="H1842" i="15"/>
  <c r="J1816" i="15"/>
  <c r="G1791" i="15"/>
  <c r="I1765" i="15"/>
  <c r="F1740" i="15"/>
  <c r="H1714" i="15"/>
  <c r="J1688" i="15"/>
  <c r="G1663" i="15"/>
  <c r="I1637" i="15"/>
  <c r="F1612" i="15"/>
  <c r="H1586" i="15"/>
  <c r="J1560" i="15"/>
  <c r="J1535" i="15"/>
  <c r="G1510" i="15"/>
  <c r="I1484" i="15"/>
  <c r="F1459" i="15"/>
  <c r="H1433" i="15"/>
  <c r="J1407" i="15"/>
  <c r="G1382" i="15"/>
  <c r="I1356" i="15"/>
  <c r="F1331" i="15"/>
  <c r="H1305" i="15"/>
  <c r="J1279" i="15"/>
  <c r="G1254" i="15"/>
  <c r="I1228" i="15"/>
  <c r="F1203" i="15"/>
  <c r="H1177" i="15"/>
  <c r="J1151" i="15"/>
  <c r="J1534" i="15"/>
  <c r="G1509" i="15"/>
  <c r="I1483" i="15"/>
  <c r="F1458" i="15"/>
  <c r="H1432" i="15"/>
  <c r="J1406" i="15"/>
  <c r="G1381" i="15"/>
  <c r="I1355" i="15"/>
  <c r="F1330" i="15"/>
  <c r="H1304" i="15"/>
  <c r="J1278" i="15"/>
  <c r="G1253" i="15"/>
  <c r="I1227" i="15"/>
  <c r="F1202" i="15"/>
  <c r="G1201" i="15"/>
  <c r="J1174" i="15"/>
  <c r="J1557" i="15"/>
  <c r="G1532" i="15"/>
  <c r="I1506" i="15"/>
  <c r="F1481" i="15"/>
  <c r="H1455" i="15"/>
  <c r="J1429" i="15"/>
  <c r="G1404" i="15"/>
  <c r="I1378" i="15"/>
  <c r="F1353" i="15"/>
  <c r="H1327" i="15"/>
  <c r="J1301" i="15"/>
  <c r="G1276" i="15"/>
  <c r="I1250" i="15"/>
  <c r="F1225" i="15"/>
  <c r="H1199" i="15"/>
  <c r="J1173" i="15"/>
  <c r="J1556" i="15"/>
  <c r="G1531" i="15"/>
  <c r="I1505" i="15"/>
  <c r="F1480" i="15"/>
  <c r="H1454" i="15"/>
  <c r="J1428" i="15"/>
  <c r="G1403" i="15"/>
  <c r="I1377" i="15"/>
  <c r="F1352" i="15"/>
  <c r="H1326" i="15"/>
  <c r="J1300" i="15"/>
  <c r="G1275" i="15"/>
  <c r="I1249" i="15"/>
  <c r="F1224" i="15"/>
  <c r="H1198" i="15"/>
  <c r="J1172" i="15"/>
  <c r="G1147" i="15"/>
  <c r="I1121" i="15"/>
  <c r="F1096" i="15"/>
  <c r="H1070" i="15"/>
  <c r="J1044" i="15"/>
  <c r="G1019" i="15"/>
  <c r="I993" i="15"/>
  <c r="F968" i="15"/>
  <c r="H942" i="15"/>
  <c r="J916" i="15"/>
  <c r="G891" i="15"/>
  <c r="I865" i="15"/>
  <c r="F840" i="15"/>
  <c r="H814" i="15"/>
  <c r="J788" i="15"/>
  <c r="G763" i="15"/>
  <c r="H1145" i="15"/>
  <c r="J1119" i="15"/>
  <c r="G1094" i="15"/>
  <c r="I1068" i="15"/>
  <c r="F1043" i="15"/>
  <c r="H1017" i="15"/>
  <c r="J991" i="15"/>
  <c r="G966" i="15"/>
  <c r="I940" i="15"/>
  <c r="G918" i="15"/>
  <c r="G902" i="15"/>
  <c r="G886" i="15"/>
  <c r="F867" i="15"/>
  <c r="F851" i="15"/>
  <c r="F835" i="15"/>
  <c r="J815" i="15"/>
  <c r="G1213" i="15"/>
  <c r="G1193" i="15"/>
  <c r="F1174" i="15"/>
  <c r="F1158" i="15"/>
  <c r="I1550" i="15"/>
  <c r="H1531" i="15"/>
  <c r="H1515" i="15"/>
  <c r="H1499" i="15"/>
  <c r="G1480" i="15"/>
  <c r="G1464" i="15"/>
  <c r="G1448" i="15"/>
  <c r="F1429" i="15"/>
  <c r="F1413" i="15"/>
  <c r="F1397" i="15"/>
  <c r="J1377" i="15"/>
  <c r="J1361" i="15"/>
  <c r="J1345" i="15"/>
  <c r="I1326" i="15"/>
  <c r="I1310" i="15"/>
  <c r="I1294" i="15"/>
  <c r="H1275" i="15"/>
  <c r="H1259" i="15"/>
  <c r="H1243" i="15"/>
  <c r="G1224" i="15"/>
  <c r="G1208" i="15"/>
  <c r="G1192" i="15"/>
  <c r="F1173" i="15"/>
  <c r="F1157" i="15"/>
  <c r="I1549" i="15"/>
  <c r="H1530" i="15"/>
  <c r="H1514" i="15"/>
  <c r="H1498" i="15"/>
  <c r="G1479" i="15"/>
  <c r="G1463" i="15"/>
  <c r="G1447" i="15"/>
  <c r="F1428" i="15"/>
  <c r="F1412" i="15"/>
  <c r="F1396" i="15"/>
  <c r="J1376" i="15"/>
  <c r="J1360" i="15"/>
  <c r="J1344" i="15"/>
  <c r="I1325" i="15"/>
  <c r="I1309" i="15"/>
  <c r="I1293" i="15"/>
  <c r="H1274" i="15"/>
  <c r="H1258" i="15"/>
  <c r="H1242" i="15"/>
  <c r="G1223" i="15"/>
  <c r="G1207" i="15"/>
  <c r="G1191" i="15"/>
  <c r="F1172" i="15"/>
  <c r="F1156" i="15"/>
  <c r="F1140" i="15"/>
  <c r="J1120" i="15"/>
  <c r="J1104" i="15"/>
  <c r="J1088" i="15"/>
  <c r="I1069" i="15"/>
  <c r="I1053" i="15"/>
  <c r="I1037" i="15"/>
  <c r="H1018" i="15"/>
  <c r="H1002" i="15"/>
  <c r="H986" i="15"/>
  <c r="G967" i="15"/>
  <c r="G951" i="15"/>
  <c r="G935" i="15"/>
  <c r="F916" i="15"/>
  <c r="F900" i="15"/>
  <c r="F884" i="15"/>
  <c r="J864" i="15"/>
  <c r="J848" i="15"/>
  <c r="J832" i="15"/>
  <c r="I813" i="15"/>
  <c r="I797" i="15"/>
  <c r="I781" i="15"/>
  <c r="H762" i="15"/>
  <c r="H746" i="15"/>
  <c r="G1138" i="15"/>
  <c r="F1119" i="15"/>
  <c r="F1103" i="15"/>
  <c r="F1087" i="15"/>
  <c r="J1067" i="15"/>
  <c r="J1051" i="15"/>
  <c r="J1035" i="15"/>
  <c r="I1016" i="15"/>
  <c r="I1000" i="15"/>
  <c r="I984" i="15"/>
  <c r="H965" i="15"/>
  <c r="H949" i="15"/>
  <c r="H933" i="15"/>
  <c r="G914" i="15"/>
  <c r="G898" i="15"/>
  <c r="G882" i="15"/>
  <c r="F863" i="15"/>
  <c r="F847" i="15"/>
  <c r="H1216" i="15"/>
  <c r="H1192" i="15"/>
  <c r="H1176" i="15"/>
  <c r="H1160" i="15"/>
  <c r="J1549" i="15"/>
  <c r="J1533" i="15"/>
  <c r="J1517" i="15"/>
  <c r="I1498" i="15"/>
  <c r="I1482" i="15"/>
  <c r="I1466" i="15"/>
  <c r="H1447" i="15"/>
  <c r="H1431" i="15"/>
  <c r="H1415" i="15"/>
  <c r="G1396" i="15"/>
  <c r="G1380" i="15"/>
  <c r="G1364" i="15"/>
  <c r="F1345" i="15"/>
  <c r="F1329" i="15"/>
  <c r="F1313" i="15"/>
  <c r="J1293" i="15"/>
  <c r="G2881" i="15"/>
  <c r="H2769" i="15"/>
  <c r="J2738" i="15"/>
  <c r="F2674" i="15"/>
  <c r="G2609" i="15"/>
  <c r="G2748" i="15"/>
  <c r="F2512" i="15"/>
  <c r="H2559" i="15"/>
  <c r="G2558" i="15"/>
  <c r="H2555" i="15"/>
  <c r="G2554" i="15"/>
  <c r="H2551" i="15"/>
  <c r="G2550" i="15"/>
  <c r="I2218" i="15"/>
  <c r="J2216" i="15"/>
  <c r="I2310" i="15"/>
  <c r="J2169" i="15"/>
  <c r="I2038" i="15"/>
  <c r="J2308" i="15"/>
  <c r="F2168" i="15"/>
  <c r="J2036" i="15"/>
  <c r="I2306" i="15"/>
  <c r="J2165" i="15"/>
  <c r="I2034" i="15"/>
  <c r="J2304" i="15"/>
  <c r="F2164" i="15"/>
  <c r="J2032" i="15"/>
  <c r="J2305" i="15"/>
  <c r="F2165" i="15"/>
  <c r="J2033" i="15"/>
  <c r="F2304" i="15"/>
  <c r="G2163" i="15"/>
  <c r="F2032" i="15"/>
  <c r="G2342" i="15"/>
  <c r="H2201" i="15"/>
  <c r="G2070" i="15"/>
  <c r="G2341" i="15"/>
  <c r="H2200" i="15"/>
  <c r="G2069" i="15"/>
  <c r="J1931" i="15"/>
  <c r="F1791" i="15"/>
  <c r="J1659" i="15"/>
  <c r="I1943" i="15"/>
  <c r="G1841" i="15"/>
  <c r="J1738" i="15"/>
  <c r="H1636" i="15"/>
  <c r="H2309" i="15"/>
  <c r="F2207" i="15"/>
  <c r="I2104" i="15"/>
  <c r="G2002" i="15"/>
  <c r="H2308" i="15"/>
  <c r="F2206" i="15"/>
  <c r="I2103" i="15"/>
  <c r="G2001" i="15"/>
  <c r="F1899" i="15"/>
  <c r="I1796" i="15"/>
  <c r="G1694" i="15"/>
  <c r="J1591" i="15"/>
  <c r="F1898" i="15"/>
  <c r="I1795" i="15"/>
  <c r="G1693" i="15"/>
  <c r="I1969" i="15"/>
  <c r="G2270" i="15"/>
  <c r="J2167" i="15"/>
  <c r="I2116" i="15"/>
  <c r="H2065" i="15"/>
  <c r="G2014" i="15"/>
  <c r="H2416" i="15"/>
  <c r="H2320" i="15"/>
  <c r="G2269" i="15"/>
  <c r="F2218" i="15"/>
  <c r="J2166" i="15"/>
  <c r="I2115" i="15"/>
  <c r="H2064" i="15"/>
  <c r="G2013" i="15"/>
  <c r="G1962" i="15"/>
  <c r="F1911" i="15"/>
  <c r="J1859" i="15"/>
  <c r="I1808" i="15"/>
  <c r="H1757" i="15"/>
  <c r="G1706" i="15"/>
  <c r="F1655" i="15"/>
  <c r="J1603" i="15"/>
  <c r="G1961" i="15"/>
  <c r="F1910" i="15"/>
  <c r="J1858" i="15"/>
  <c r="I1807" i="15"/>
  <c r="H1756" i="15"/>
  <c r="G1705" i="15"/>
  <c r="F1654" i="15"/>
  <c r="J1602" i="15"/>
  <c r="H2420" i="15"/>
  <c r="H2317" i="15"/>
  <c r="G2266" i="15"/>
  <c r="F2215" i="15"/>
  <c r="J2163" i="15"/>
  <c r="I2112" i="15"/>
  <c r="H2061" i="15"/>
  <c r="G2010" i="15"/>
  <c r="H2400" i="15"/>
  <c r="H2316" i="15"/>
  <c r="G2265" i="15"/>
  <c r="F2214" i="15"/>
  <c r="J2162" i="15"/>
  <c r="I2111" i="15"/>
  <c r="H2060" i="15"/>
  <c r="G2009" i="15"/>
  <c r="G1958" i="15"/>
  <c r="F1907" i="15"/>
  <c r="J1855" i="15"/>
  <c r="I1804" i="15"/>
  <c r="H1753" i="15"/>
  <c r="G1702" i="15"/>
  <c r="F1651" i="15"/>
  <c r="J1599" i="15"/>
  <c r="G1957" i="15"/>
  <c r="F1906" i="15"/>
  <c r="J1854" i="15"/>
  <c r="I1803" i="15"/>
  <c r="H1752" i="15"/>
  <c r="G1701" i="15"/>
  <c r="F1650" i="15"/>
  <c r="I1587" i="15"/>
  <c r="J1957" i="15"/>
  <c r="J1925" i="15"/>
  <c r="I1890" i="15"/>
  <c r="H1855" i="15"/>
  <c r="H1823" i="15"/>
  <c r="G1788" i="15"/>
  <c r="F1753" i="15"/>
  <c r="F1721" i="15"/>
  <c r="J1685" i="15"/>
  <c r="I1650" i="15"/>
  <c r="I1618" i="15"/>
  <c r="H1583" i="15"/>
  <c r="J1956" i="15"/>
  <c r="J1924" i="15"/>
  <c r="I1889" i="15"/>
  <c r="H1854" i="15"/>
  <c r="H1822" i="15"/>
  <c r="G1787" i="15"/>
  <c r="F1752" i="15"/>
  <c r="F1720" i="15"/>
  <c r="J1684" i="15"/>
  <c r="I1649" i="15"/>
  <c r="I1617" i="15"/>
  <c r="H1582" i="15"/>
  <c r="J1547" i="15"/>
  <c r="J1515" i="15"/>
  <c r="I1480" i="15"/>
  <c r="J1451" i="15"/>
  <c r="G1426" i="15"/>
  <c r="I1400" i="15"/>
  <c r="F1375" i="15"/>
  <c r="H1349" i="15"/>
  <c r="J1323" i="15"/>
  <c r="G1298" i="15"/>
  <c r="I1272" i="15"/>
  <c r="F1247" i="15"/>
  <c r="H1221" i="15"/>
  <c r="J1195" i="15"/>
  <c r="G1170" i="15"/>
  <c r="G1553" i="15"/>
  <c r="I1527" i="15"/>
  <c r="F1502" i="15"/>
  <c r="H1476" i="15"/>
  <c r="J1450" i="15"/>
  <c r="G1425" i="15"/>
  <c r="I1399" i="15"/>
  <c r="F1374" i="15"/>
  <c r="H1348" i="15"/>
  <c r="J1322" i="15"/>
  <c r="G1297" i="15"/>
  <c r="I1271" i="15"/>
  <c r="F1246" i="15"/>
  <c r="I1603" i="15"/>
  <c r="J1570" i="15"/>
  <c r="J1953" i="15"/>
  <c r="G1928" i="15"/>
  <c r="I1902" i="15"/>
  <c r="F1877" i="15"/>
  <c r="H1851" i="15"/>
  <c r="J1825" i="15"/>
  <c r="G1800" i="15"/>
  <c r="I1774" i="15"/>
  <c r="F1749" i="15"/>
  <c r="H1723" i="15"/>
  <c r="J1697" i="15"/>
  <c r="G1672" i="15"/>
  <c r="I1646" i="15"/>
  <c r="F1621" i="15"/>
  <c r="H1595" i="15"/>
  <c r="J1569" i="15"/>
  <c r="J1952" i="15"/>
  <c r="G1927" i="15"/>
  <c r="I1901" i="15"/>
  <c r="F1876" i="15"/>
  <c r="H1850" i="15"/>
  <c r="J1824" i="15"/>
  <c r="G1799" i="15"/>
  <c r="I1773" i="15"/>
  <c r="F1748" i="15"/>
  <c r="H1722" i="15"/>
  <c r="J1696" i="15"/>
  <c r="G1671" i="15"/>
  <c r="I1645" i="15"/>
  <c r="F1620" i="15"/>
  <c r="H1594" i="15"/>
  <c r="J1568" i="15"/>
  <c r="J1543" i="15"/>
  <c r="G1518" i="15"/>
  <c r="I1492" i="15"/>
  <c r="F1467" i="15"/>
  <c r="H1441" i="15"/>
  <c r="J1415" i="15"/>
  <c r="G1390" i="15"/>
  <c r="I1364" i="15"/>
  <c r="F1339" i="15"/>
  <c r="H1313" i="15"/>
  <c r="J1287" i="15"/>
  <c r="G1262" i="15"/>
  <c r="I1236" i="15"/>
  <c r="F1211" i="15"/>
  <c r="H1185" i="15"/>
  <c r="J1159" i="15"/>
  <c r="J1542" i="15"/>
  <c r="G1517" i="15"/>
  <c r="I1491" i="15"/>
  <c r="F1466" i="15"/>
  <c r="H1440" i="15"/>
  <c r="J1414" i="15"/>
  <c r="G1389" i="15"/>
  <c r="I1363" i="15"/>
  <c r="F1338" i="15"/>
  <c r="H1312" i="15"/>
  <c r="J1286" i="15"/>
  <c r="G1261" i="15"/>
  <c r="I1235" i="15"/>
  <c r="G1585" i="15"/>
  <c r="J1965" i="15"/>
  <c r="G1940" i="15"/>
  <c r="I1914" i="15"/>
  <c r="F1889" i="15"/>
  <c r="H1863" i="15"/>
  <c r="J1837" i="15"/>
  <c r="G1812" i="15"/>
  <c r="I1786" i="15"/>
  <c r="F1761" i="15"/>
  <c r="H1735" i="15"/>
  <c r="J1709" i="15"/>
  <c r="G1684" i="15"/>
  <c r="I1658" i="15"/>
  <c r="F1633" i="15"/>
  <c r="H1607" i="15"/>
  <c r="J1581" i="15"/>
  <c r="J1964" i="15"/>
  <c r="G1939" i="15"/>
  <c r="I1913" i="15"/>
  <c r="F1888" i="15"/>
  <c r="H1862" i="15"/>
  <c r="J1836" i="15"/>
  <c r="G1811" i="15"/>
  <c r="I1785" i="15"/>
  <c r="F1760" i="15"/>
  <c r="H1734" i="15"/>
  <c r="J1708" i="15"/>
  <c r="G1683" i="15"/>
  <c r="I1657" i="15"/>
  <c r="F1632" i="15"/>
  <c r="H1606" i="15"/>
  <c r="J1580" i="15"/>
  <c r="J1555" i="15"/>
  <c r="G1530" i="15"/>
  <c r="I1504" i="15"/>
  <c r="F1479" i="15"/>
  <c r="H1453" i="15"/>
  <c r="J1427" i="15"/>
  <c r="G1402" i="15"/>
  <c r="I1376" i="15"/>
  <c r="F1351" i="15"/>
  <c r="H1325" i="15"/>
  <c r="J1299" i="15"/>
  <c r="G1274" i="15"/>
  <c r="I1248" i="15"/>
  <c r="F1223" i="15"/>
  <c r="H1197" i="15"/>
  <c r="J1171" i="15"/>
  <c r="J1554" i="15"/>
  <c r="G1529" i="15"/>
  <c r="I1503" i="15"/>
  <c r="F1478" i="15"/>
  <c r="H1452" i="15"/>
  <c r="J1426" i="15"/>
  <c r="G1401" i="15"/>
  <c r="I1375" i="15"/>
  <c r="F1350" i="15"/>
  <c r="H1324" i="15"/>
  <c r="J1298" i="15"/>
  <c r="G1273" i="15"/>
  <c r="I1247" i="15"/>
  <c r="F1222" i="15"/>
  <c r="H1588" i="15"/>
  <c r="I1559" i="15"/>
  <c r="I1942" i="15"/>
  <c r="F1917" i="15"/>
  <c r="H1891" i="15"/>
  <c r="J1865" i="15"/>
  <c r="G1840" i="15"/>
  <c r="I1814" i="15"/>
  <c r="F1789" i="15"/>
  <c r="H1763" i="15"/>
  <c r="J1737" i="15"/>
  <c r="G1712" i="15"/>
  <c r="I1686" i="15"/>
  <c r="F1661" i="15"/>
  <c r="H1635" i="15"/>
  <c r="J1609" i="15"/>
  <c r="G1584" i="15"/>
  <c r="G1967" i="15"/>
  <c r="I1941" i="15"/>
  <c r="F1916" i="15"/>
  <c r="H1890" i="15"/>
  <c r="J1864" i="15"/>
  <c r="G1839" i="15"/>
  <c r="I1813" i="15"/>
  <c r="F1788" i="15"/>
  <c r="H1762" i="15"/>
  <c r="J1736" i="15"/>
  <c r="G1711" i="15"/>
  <c r="I1685" i="15"/>
  <c r="F1660" i="15"/>
  <c r="H1634" i="15"/>
  <c r="J1608" i="15"/>
  <c r="G1583" i="15"/>
  <c r="G1558" i="15"/>
  <c r="I1532" i="15"/>
  <c r="F1507" i="15"/>
  <c r="H1481" i="15"/>
  <c r="J1455" i="15"/>
  <c r="G1430" i="15"/>
  <c r="I1404" i="15"/>
  <c r="F1379" i="15"/>
  <c r="H1353" i="15"/>
  <c r="J1327" i="15"/>
  <c r="G1302" i="15"/>
  <c r="I1276" i="15"/>
  <c r="F1251" i="15"/>
  <c r="H1225" i="15"/>
  <c r="J1199" i="15"/>
  <c r="G1174" i="15"/>
  <c r="G1557" i="15"/>
  <c r="I1531" i="15"/>
  <c r="F1506" i="15"/>
  <c r="H1480" i="15"/>
  <c r="J1454" i="15"/>
  <c r="G1429" i="15"/>
  <c r="I1403" i="15"/>
  <c r="F1378" i="15"/>
  <c r="H1352" i="15"/>
  <c r="J1326" i="15"/>
  <c r="G1301" i="15"/>
  <c r="I1275" i="15"/>
  <c r="F1250" i="15"/>
  <c r="H1224" i="15"/>
  <c r="J1198" i="15"/>
  <c r="G1197" i="15"/>
  <c r="I1171" i="15"/>
  <c r="I1554" i="15"/>
  <c r="F1529" i="15"/>
  <c r="H1503" i="15"/>
  <c r="J1477" i="15"/>
  <c r="G1452" i="15"/>
  <c r="I1426" i="15"/>
  <c r="F1401" i="15"/>
  <c r="H1375" i="15"/>
  <c r="J1349" i="15"/>
  <c r="G1324" i="15"/>
  <c r="I1298" i="15"/>
  <c r="F1273" i="15"/>
  <c r="H1247" i="15"/>
  <c r="J1221" i="15"/>
  <c r="G1196" i="15"/>
  <c r="I1170" i="15"/>
  <c r="I1553" i="15"/>
  <c r="F1528" i="15"/>
  <c r="H1502" i="15"/>
  <c r="J1476" i="15"/>
  <c r="G1451" i="15"/>
  <c r="I1425" i="15"/>
  <c r="F1400" i="15"/>
  <c r="H1374" i="15"/>
  <c r="J1348" i="15"/>
  <c r="G1323" i="15"/>
  <c r="I1297" i="15"/>
  <c r="F1272" i="15"/>
  <c r="H1246" i="15"/>
  <c r="J1220" i="15"/>
  <c r="G1195" i="15"/>
  <c r="I1169" i="15"/>
  <c r="F1144" i="15"/>
  <c r="H1118" i="15"/>
  <c r="J1092" i="15"/>
  <c r="G1067" i="15"/>
  <c r="I1041" i="15"/>
  <c r="F1016" i="15"/>
  <c r="H990" i="15"/>
  <c r="J964" i="15"/>
  <c r="G939" i="15"/>
  <c r="I913" i="15"/>
  <c r="F888" i="15"/>
  <c r="H862" i="15"/>
  <c r="J836" i="15"/>
  <c r="G811" i="15"/>
  <c r="I785" i="15"/>
  <c r="F760" i="15"/>
  <c r="G1142" i="15"/>
  <c r="I1116" i="15"/>
  <c r="F1091" i="15"/>
  <c r="H1065" i="15"/>
  <c r="J1039" i="15"/>
  <c r="G1014" i="15"/>
  <c r="I988" i="15"/>
  <c r="F963" i="15"/>
  <c r="H937" i="15"/>
  <c r="F915" i="15"/>
  <c r="F899" i="15"/>
  <c r="J879" i="15"/>
  <c r="J863" i="15"/>
  <c r="J847" i="15"/>
  <c r="I828" i="15"/>
  <c r="I812" i="15"/>
  <c r="G1209" i="15"/>
  <c r="J1186" i="15"/>
  <c r="J1170" i="15"/>
  <c r="J1154" i="15"/>
  <c r="G1544" i="15"/>
  <c r="G1528" i="15"/>
  <c r="G1512" i="15"/>
  <c r="F1493" i="15"/>
  <c r="F1477" i="15"/>
  <c r="F1461" i="15"/>
  <c r="J1441" i="15"/>
  <c r="J1425" i="15"/>
  <c r="J1409" i="15"/>
  <c r="I1390" i="15"/>
  <c r="I1374" i="15"/>
  <c r="I1358" i="15"/>
  <c r="H1339" i="15"/>
  <c r="H1323" i="15"/>
  <c r="H1307" i="15"/>
  <c r="G1288" i="15"/>
  <c r="G1272" i="15"/>
  <c r="G1256" i="15"/>
  <c r="F1237" i="15"/>
  <c r="F1221" i="15"/>
  <c r="F1205" i="15"/>
  <c r="J1185" i="15"/>
  <c r="J1169" i="15"/>
  <c r="J1153" i="15"/>
  <c r="G1543" i="15"/>
  <c r="G1527" i="15"/>
  <c r="G1511" i="15"/>
  <c r="F1492" i="15"/>
  <c r="F1476" i="15"/>
  <c r="F1460" i="15"/>
  <c r="J1440" i="15"/>
  <c r="J1424" i="15"/>
  <c r="J1408" i="15"/>
  <c r="I1389" i="15"/>
  <c r="I1373" i="15"/>
  <c r="I1357" i="15"/>
  <c r="H1338" i="15"/>
  <c r="H1322" i="15"/>
  <c r="H1306" i="15"/>
  <c r="G1287" i="15"/>
  <c r="G1271" i="15"/>
  <c r="G1255" i="15"/>
  <c r="F1236" i="15"/>
  <c r="F1220" i="15"/>
  <c r="F1204" i="15"/>
  <c r="J1184" i="15"/>
  <c r="J1168" i="15"/>
  <c r="J1152" i="15"/>
  <c r="I1133" i="15"/>
  <c r="I1117" i="15"/>
  <c r="I1101" i="15"/>
  <c r="H1082" i="15"/>
  <c r="H1066" i="15"/>
  <c r="H1050" i="15"/>
  <c r="G1031" i="15"/>
  <c r="G1015" i="15"/>
  <c r="G999" i="15"/>
  <c r="F980" i="15"/>
  <c r="F964" i="15"/>
  <c r="F948" i="15"/>
  <c r="J928" i="15"/>
  <c r="J912" i="15"/>
  <c r="J896" i="15"/>
  <c r="I877" i="15"/>
  <c r="I861" i="15"/>
  <c r="I845" i="15"/>
  <c r="H826" i="15"/>
  <c r="H810" i="15"/>
  <c r="H794" i="15"/>
  <c r="G775" i="15"/>
  <c r="G759" i="15"/>
  <c r="G743" i="15"/>
  <c r="J1131" i="15"/>
  <c r="J1115" i="15"/>
  <c r="J1099" i="15"/>
  <c r="I1080" i="15"/>
  <c r="H2862" i="15"/>
  <c r="G2608" i="15"/>
  <c r="J2455" i="15"/>
  <c r="J2447" i="15"/>
  <c r="F2141" i="15"/>
  <c r="I2001" i="15"/>
  <c r="H2266" i="15"/>
  <c r="G2136" i="15"/>
  <c r="J1996" i="15"/>
  <c r="J2302" i="15"/>
  <c r="G1762" i="15"/>
  <c r="G1713" i="15"/>
  <c r="F2079" i="15"/>
  <c r="F2078" i="15"/>
  <c r="I1668" i="15"/>
  <c r="I1667" i="15"/>
  <c r="I2100" i="15"/>
  <c r="H2304" i="15"/>
  <c r="I2099" i="15"/>
  <c r="F1895" i="15"/>
  <c r="G1690" i="15"/>
  <c r="F1894" i="15"/>
  <c r="G1689" i="15"/>
  <c r="H2301" i="15"/>
  <c r="I2096" i="15"/>
  <c r="H2300" i="15"/>
  <c r="I2095" i="15"/>
  <c r="F1891" i="15"/>
  <c r="G1686" i="15"/>
  <c r="F1890" i="15"/>
  <c r="G1685" i="15"/>
  <c r="F1913" i="15"/>
  <c r="H1775" i="15"/>
  <c r="J1637" i="15"/>
  <c r="F1912" i="15"/>
  <c r="H1774" i="15"/>
  <c r="J1636" i="15"/>
  <c r="F1503" i="15"/>
  <c r="F1391" i="15"/>
  <c r="I1288" i="15"/>
  <c r="G1186" i="15"/>
  <c r="H1492" i="15"/>
  <c r="F1390" i="15"/>
  <c r="I1287" i="15"/>
  <c r="G1561" i="15"/>
  <c r="H1867" i="15"/>
  <c r="F1765" i="15"/>
  <c r="I1662" i="15"/>
  <c r="G1560" i="15"/>
  <c r="H1866" i="15"/>
  <c r="F1764" i="15"/>
  <c r="I1661" i="15"/>
  <c r="G1559" i="15"/>
  <c r="H1457" i="15"/>
  <c r="F1355" i="15"/>
  <c r="I1252" i="15"/>
  <c r="J1558" i="15"/>
  <c r="H1456" i="15"/>
  <c r="F1354" i="15"/>
  <c r="I1251" i="15"/>
  <c r="I1930" i="15"/>
  <c r="G1828" i="15"/>
  <c r="J1725" i="15"/>
  <c r="H1623" i="15"/>
  <c r="I1929" i="15"/>
  <c r="G1827" i="15"/>
  <c r="J1724" i="15"/>
  <c r="H1622" i="15"/>
  <c r="I1520" i="15"/>
  <c r="G1418" i="15"/>
  <c r="J1315" i="15"/>
  <c r="H1213" i="15"/>
  <c r="I1519" i="15"/>
  <c r="G1417" i="15"/>
  <c r="J1314" i="15"/>
  <c r="F1610" i="15"/>
  <c r="H1907" i="15"/>
  <c r="F1805" i="15"/>
  <c r="I1702" i="15"/>
  <c r="G1600" i="15"/>
  <c r="H1906" i="15"/>
  <c r="F1804" i="15"/>
  <c r="I1701" i="15"/>
  <c r="G1599" i="15"/>
  <c r="H1497" i="15"/>
  <c r="F1395" i="15"/>
  <c r="I1292" i="15"/>
  <c r="G1190" i="15"/>
  <c r="H1496" i="15"/>
  <c r="F1394" i="15"/>
  <c r="I1291" i="15"/>
  <c r="I1219" i="15"/>
  <c r="H1519" i="15"/>
  <c r="F1417" i="15"/>
  <c r="I1314" i="15"/>
  <c r="G1212" i="15"/>
  <c r="H1518" i="15"/>
  <c r="F1416" i="15"/>
  <c r="I1313" i="15"/>
  <c r="G1211" i="15"/>
  <c r="J1108" i="15"/>
  <c r="H1006" i="15"/>
  <c r="F904" i="15"/>
  <c r="I801" i="15"/>
  <c r="F1107" i="15"/>
  <c r="I1004" i="15"/>
  <c r="J911" i="15"/>
  <c r="H841" i="15"/>
  <c r="I1183" i="15"/>
  <c r="F1525" i="15"/>
  <c r="I1454" i="15"/>
  <c r="H1387" i="15"/>
  <c r="G1320" i="15"/>
  <c r="J1249" i="15"/>
  <c r="I1182" i="15"/>
  <c r="F1524" i="15"/>
  <c r="I1453" i="15"/>
  <c r="H1386" i="15"/>
  <c r="G1319" i="15"/>
  <c r="J1248" i="15"/>
  <c r="I1181" i="15"/>
  <c r="H1114" i="15"/>
  <c r="F1044" i="15"/>
  <c r="J976" i="15"/>
  <c r="I909" i="15"/>
  <c r="G839" i="15"/>
  <c r="F772" i="15"/>
  <c r="I1112" i="15"/>
  <c r="H1061" i="15"/>
  <c r="G1026" i="15"/>
  <c r="F991" i="15"/>
  <c r="F959" i="15"/>
  <c r="J923" i="15"/>
  <c r="I888" i="15"/>
  <c r="I856" i="15"/>
  <c r="I1203" i="15"/>
  <c r="J1166" i="15"/>
  <c r="H1543" i="15"/>
  <c r="G1508" i="15"/>
  <c r="F1473" i="15"/>
  <c r="F1441" i="15"/>
  <c r="J1405" i="15"/>
  <c r="I1370" i="15"/>
  <c r="I1338" i="15"/>
  <c r="H1303" i="15"/>
  <c r="I1274" i="15"/>
  <c r="G1252" i="15"/>
  <c r="I1226" i="15"/>
  <c r="G1204" i="15"/>
  <c r="F1185" i="15"/>
  <c r="H1159" i="15"/>
  <c r="I1545" i="15"/>
  <c r="G1523" i="15"/>
  <c r="I1497" i="15"/>
  <c r="H1478" i="15"/>
  <c r="F1456" i="15"/>
  <c r="H1430" i="15"/>
  <c r="F1408" i="15"/>
  <c r="J1388" i="15"/>
  <c r="G1363" i="15"/>
  <c r="J1340" i="15"/>
  <c r="H1318" i="15"/>
  <c r="J1292" i="15"/>
  <c r="I1273" i="15"/>
  <c r="G1251" i="15"/>
  <c r="I1225" i="15"/>
  <c r="G1203" i="15"/>
  <c r="F1184" i="15"/>
  <c r="H1158" i="15"/>
  <c r="F1136" i="15"/>
  <c r="I1113" i="15"/>
  <c r="F1088" i="15"/>
  <c r="J1068" i="15"/>
  <c r="H1046" i="15"/>
  <c r="J1020" i="15"/>
  <c r="H998" i="15"/>
  <c r="G979" i="15"/>
  <c r="I953" i="15"/>
  <c r="G931" i="15"/>
  <c r="J908" i="15"/>
  <c r="G883" i="15"/>
  <c r="F864" i="15"/>
  <c r="I841" i="15"/>
  <c r="F816" i="15"/>
  <c r="I793" i="15"/>
  <c r="H774" i="15"/>
  <c r="J748" i="15"/>
  <c r="G1134" i="15"/>
  <c r="J1111" i="15"/>
  <c r="G1086" i="15"/>
  <c r="F1067" i="15"/>
  <c r="I1044" i="15"/>
  <c r="G1022" i="15"/>
  <c r="G1006" i="15"/>
  <c r="G990" i="15"/>
  <c r="F971" i="15"/>
  <c r="F955" i="15"/>
  <c r="F939" i="15"/>
  <c r="J919" i="15"/>
  <c r="J903" i="15"/>
  <c r="J887" i="15"/>
  <c r="I868" i="15"/>
  <c r="H1220" i="15"/>
  <c r="F1198" i="15"/>
  <c r="J1178" i="15"/>
  <c r="J1162" i="15"/>
  <c r="H1555" i="15"/>
  <c r="G1536" i="15"/>
  <c r="G1520" i="15"/>
  <c r="G1504" i="15"/>
  <c r="F1485" i="15"/>
  <c r="F1469" i="15"/>
  <c r="F1453" i="15"/>
  <c r="J1433" i="15"/>
  <c r="J1417" i="15"/>
  <c r="J1401" i="15"/>
  <c r="I1382" i="15"/>
  <c r="I1366" i="15"/>
  <c r="I1350" i="15"/>
  <c r="H1331" i="15"/>
  <c r="H1315" i="15"/>
  <c r="H1299" i="15"/>
  <c r="G1280" i="15"/>
  <c r="G1264" i="15"/>
  <c r="G1248" i="15"/>
  <c r="F1229" i="15"/>
  <c r="F1213" i="15"/>
  <c r="F1197" i="15"/>
  <c r="J1177" i="15"/>
  <c r="J1161" i="15"/>
  <c r="H1554" i="15"/>
  <c r="G1535" i="15"/>
  <c r="G1519" i="15"/>
  <c r="G1503" i="15"/>
  <c r="F1484" i="15"/>
  <c r="F1468" i="15"/>
  <c r="F1452" i="15"/>
  <c r="J1432" i="15"/>
  <c r="J1416" i="15"/>
  <c r="J1400" i="15"/>
  <c r="I1381" i="15"/>
  <c r="I1365" i="15"/>
  <c r="I1349" i="15"/>
  <c r="H1330" i="15"/>
  <c r="H1314" i="15"/>
  <c r="H1298" i="15"/>
  <c r="G1279" i="15"/>
  <c r="G1263" i="15"/>
  <c r="G1247" i="15"/>
  <c r="F1228" i="15"/>
  <c r="F1212" i="15"/>
  <c r="F1196" i="15"/>
  <c r="J1176" i="15"/>
  <c r="J1160" i="15"/>
  <c r="J1144" i="15"/>
  <c r="I1125" i="15"/>
  <c r="I1109" i="15"/>
  <c r="I1093" i="15"/>
  <c r="H1074" i="15"/>
  <c r="H1058" i="15"/>
  <c r="H1042" i="15"/>
  <c r="G1023" i="15"/>
  <c r="G1007" i="15"/>
  <c r="G991" i="15"/>
  <c r="F972" i="15"/>
  <c r="F956" i="15"/>
  <c r="F940" i="15"/>
  <c r="J920" i="15"/>
  <c r="J904" i="15"/>
  <c r="J888" i="15"/>
  <c r="I869" i="15"/>
  <c r="I853" i="15"/>
  <c r="I837" i="15"/>
  <c r="H818" i="15"/>
  <c r="H802" i="15"/>
  <c r="H786" i="15"/>
  <c r="G767" i="15"/>
  <c r="G751" i="15"/>
  <c r="F1143" i="15"/>
  <c r="J1123" i="15"/>
  <c r="J1107" i="15"/>
  <c r="J1091" i="15"/>
  <c r="I1072" i="15"/>
  <c r="I1056" i="15"/>
  <c r="I1040" i="15"/>
  <c r="H1021" i="15"/>
  <c r="H1005" i="15"/>
  <c r="H989" i="15"/>
  <c r="G970" i="15"/>
  <c r="G954" i="15"/>
  <c r="G938" i="15"/>
  <c r="F919" i="15"/>
  <c r="F903" i="15"/>
  <c r="F887" i="15"/>
  <c r="J867" i="15"/>
  <c r="J855" i="15"/>
  <c r="J827" i="15"/>
  <c r="I804" i="15"/>
  <c r="I788" i="15"/>
  <c r="I772" i="15"/>
  <c r="H753" i="15"/>
  <c r="G1145" i="15"/>
  <c r="G1129" i="15"/>
  <c r="F1110" i="15"/>
  <c r="F1094" i="15"/>
  <c r="F1078" i="15"/>
  <c r="J1058" i="15"/>
  <c r="J1042" i="15"/>
  <c r="J1026" i="15"/>
  <c r="I1007" i="15"/>
  <c r="I991" i="15"/>
  <c r="I975" i="15"/>
  <c r="H956" i="15"/>
  <c r="H940" i="15"/>
  <c r="H924" i="15"/>
  <c r="G905" i="15"/>
  <c r="G889" i="15"/>
  <c r="G873" i="15"/>
  <c r="F854" i="15"/>
  <c r="F838" i="15"/>
  <c r="F822" i="15"/>
  <c r="J802" i="15"/>
  <c r="J786" i="15"/>
  <c r="J770" i="15"/>
  <c r="I751" i="15"/>
  <c r="H1143" i="15"/>
  <c r="H1127" i="15"/>
  <c r="G1108" i="15"/>
  <c r="G1092" i="15"/>
  <c r="G1076" i="15"/>
  <c r="F1057" i="15"/>
  <c r="F1041" i="15"/>
  <c r="F1025" i="15"/>
  <c r="J1005" i="15"/>
  <c r="J989" i="15"/>
  <c r="J973" i="15"/>
  <c r="I954" i="15"/>
  <c r="I938" i="15"/>
  <c r="I922" i="15"/>
  <c r="H903" i="15"/>
  <c r="H887" i="15"/>
  <c r="H871" i="15"/>
  <c r="G852" i="15"/>
  <c r="G836" i="15"/>
  <c r="G820" i="15"/>
  <c r="F801" i="15"/>
  <c r="F785" i="15"/>
  <c r="F769" i="15"/>
  <c r="J749" i="15"/>
  <c r="F735" i="15"/>
  <c r="F719" i="15"/>
  <c r="J699" i="15"/>
  <c r="J683" i="15"/>
  <c r="J667" i="15"/>
  <c r="I648" i="15"/>
  <c r="I632" i="15"/>
  <c r="I616" i="15"/>
  <c r="H597" i="15"/>
  <c r="H581" i="15"/>
  <c r="H565" i="15"/>
  <c r="G546" i="15"/>
  <c r="G530" i="15"/>
  <c r="G514" i="15"/>
  <c r="F495" i="15"/>
  <c r="F479" i="15"/>
  <c r="F463" i="15"/>
  <c r="J443" i="15"/>
  <c r="J427" i="15"/>
  <c r="J411" i="15"/>
  <c r="I392" i="15"/>
  <c r="I376" i="15"/>
  <c r="I360" i="15"/>
  <c r="H341" i="15"/>
  <c r="H325" i="15"/>
  <c r="H309" i="15"/>
  <c r="G290" i="15"/>
  <c r="G274" i="15"/>
  <c r="G258" i="15"/>
  <c r="F239" i="15"/>
  <c r="F223" i="15"/>
  <c r="F207" i="15"/>
  <c r="J187" i="15"/>
  <c r="J171" i="15"/>
  <c r="J155" i="15"/>
  <c r="I136" i="15"/>
  <c r="I120" i="15"/>
  <c r="I104" i="15"/>
  <c r="H85" i="15"/>
  <c r="H69" i="15"/>
  <c r="H53" i="15"/>
  <c r="G34" i="15"/>
  <c r="I852" i="15"/>
  <c r="F827" i="15"/>
  <c r="J803" i="15"/>
  <c r="J787" i="15"/>
  <c r="J771" i="15"/>
  <c r="I752" i="15"/>
  <c r="H1144" i="15"/>
  <c r="H1128" i="15"/>
  <c r="G1109" i="15"/>
  <c r="G1093" i="15"/>
  <c r="G1077" i="15"/>
  <c r="F1058" i="15"/>
  <c r="F1042" i="15"/>
  <c r="F1026" i="15"/>
  <c r="J1006" i="15"/>
  <c r="J990" i="15"/>
  <c r="J974" i="15"/>
  <c r="I955" i="15"/>
  <c r="I939" i="15"/>
  <c r="I923" i="15"/>
  <c r="H904" i="15"/>
  <c r="H888" i="15"/>
  <c r="H872" i="15"/>
  <c r="G853" i="15"/>
  <c r="G837" i="15"/>
  <c r="G821" i="15"/>
  <c r="F802" i="15"/>
  <c r="F786" i="15"/>
  <c r="F770" i="15"/>
  <c r="J750" i="15"/>
  <c r="I1142" i="15"/>
  <c r="I1126" i="15"/>
  <c r="H1107" i="15"/>
  <c r="H1091" i="15"/>
  <c r="H1075" i="15"/>
  <c r="G1056" i="15"/>
  <c r="G1040" i="15"/>
  <c r="G1024" i="15"/>
  <c r="F1005" i="15"/>
  <c r="F989" i="15"/>
  <c r="F973" i="15"/>
  <c r="J953" i="15"/>
  <c r="J937" i="15"/>
  <c r="J921" i="15"/>
  <c r="I902" i="15"/>
  <c r="I886" i="15"/>
  <c r="I870" i="15"/>
  <c r="H851" i="15"/>
  <c r="H835" i="15"/>
  <c r="H819" i="15"/>
  <c r="G800" i="15"/>
  <c r="G784" i="15"/>
  <c r="G768" i="15"/>
  <c r="F749" i="15"/>
  <c r="G734" i="15"/>
  <c r="G718" i="15"/>
  <c r="F699" i="15"/>
  <c r="F683" i="15"/>
  <c r="F667" i="15"/>
  <c r="J647" i="15"/>
  <c r="J631" i="15"/>
  <c r="J615" i="15"/>
  <c r="I596" i="15"/>
  <c r="I580" i="15"/>
  <c r="I564" i="15"/>
  <c r="H545" i="15"/>
  <c r="H529" i="15"/>
  <c r="H513" i="15"/>
  <c r="G494" i="15"/>
  <c r="G478" i="15"/>
  <c r="G462" i="15"/>
  <c r="F443" i="15"/>
  <c r="F427" i="15"/>
  <c r="F411" i="15"/>
  <c r="J391" i="15"/>
  <c r="J375" i="15"/>
  <c r="J359" i="15"/>
  <c r="I340" i="15"/>
  <c r="I324" i="15"/>
  <c r="I308" i="15"/>
  <c r="H289" i="15"/>
  <c r="H273" i="15"/>
  <c r="H257" i="15"/>
  <c r="G238" i="15"/>
  <c r="G222" i="15"/>
  <c r="G206" i="15"/>
  <c r="F187" i="15"/>
  <c r="F171" i="15"/>
  <c r="F155" i="15"/>
  <c r="J135" i="15"/>
  <c r="J119" i="15"/>
  <c r="J103" i="15"/>
  <c r="I84" i="15"/>
  <c r="I68" i="15"/>
  <c r="I52" i="15"/>
  <c r="H33" i="15"/>
  <c r="H845" i="15"/>
  <c r="H821" i="15"/>
  <c r="J799" i="15"/>
  <c r="J783" i="15"/>
  <c r="J767" i="15"/>
  <c r="I748" i="15"/>
  <c r="H1140" i="15"/>
  <c r="H1124" i="15"/>
  <c r="G1105" i="15"/>
  <c r="G1089" i="15"/>
  <c r="G1073" i="15"/>
  <c r="F1054" i="15"/>
  <c r="F1038" i="15"/>
  <c r="F1022" i="15"/>
  <c r="J1002" i="15"/>
  <c r="J986" i="15"/>
  <c r="J970" i="15"/>
  <c r="I951" i="15"/>
  <c r="I935" i="15"/>
  <c r="I919" i="15"/>
  <c r="H900" i="15"/>
  <c r="H884" i="15"/>
  <c r="H868" i="15"/>
  <c r="G849" i="15"/>
  <c r="G833" i="15"/>
  <c r="G817" i="15"/>
  <c r="F798" i="15"/>
  <c r="F782" i="15"/>
  <c r="F766" i="15"/>
  <c r="J746" i="15"/>
  <c r="I1138" i="15"/>
  <c r="I1122" i="15"/>
  <c r="H1103" i="15"/>
  <c r="H1087" i="15"/>
  <c r="H1071" i="15"/>
  <c r="G1052" i="15"/>
  <c r="G1036" i="15"/>
  <c r="G1020" i="15"/>
  <c r="F1001" i="15"/>
  <c r="F985" i="15"/>
  <c r="F969" i="15"/>
  <c r="J949" i="15"/>
  <c r="J933" i="15"/>
  <c r="J917" i="15"/>
  <c r="I898" i="15"/>
  <c r="I882" i="15"/>
  <c r="I866" i="15"/>
  <c r="H847" i="15"/>
  <c r="H831" i="15"/>
  <c r="H815" i="15"/>
  <c r="G796" i="15"/>
  <c r="G780" i="15"/>
  <c r="G764" i="15"/>
  <c r="F745" i="15"/>
  <c r="G730" i="15"/>
  <c r="G714" i="15"/>
  <c r="F695" i="15"/>
  <c r="F679" i="15"/>
  <c r="F663" i="15"/>
  <c r="J643" i="15"/>
  <c r="J627" i="15"/>
  <c r="J611" i="15"/>
  <c r="I592" i="15"/>
  <c r="I576" i="15"/>
  <c r="I560" i="15"/>
  <c r="H541" i="15"/>
  <c r="H525" i="15"/>
  <c r="H509" i="15"/>
  <c r="G490" i="15"/>
  <c r="G474" i="15"/>
  <c r="G458" i="15"/>
  <c r="F439" i="15"/>
  <c r="F423" i="15"/>
  <c r="F407" i="15"/>
  <c r="J387" i="15"/>
  <c r="J371" i="15"/>
  <c r="J355" i="15"/>
  <c r="I336" i="15"/>
  <c r="I320" i="15"/>
  <c r="I304" i="15"/>
  <c r="H285" i="15"/>
  <c r="H269" i="15"/>
  <c r="H253" i="15"/>
  <c r="G234" i="15"/>
  <c r="G218" i="15"/>
  <c r="G202" i="15"/>
  <c r="F183" i="15"/>
  <c r="F167" i="15"/>
  <c r="F151" i="15"/>
  <c r="J131" i="15"/>
  <c r="J115" i="15"/>
  <c r="J99" i="15"/>
  <c r="I80" i="15"/>
  <c r="I64" i="15"/>
  <c r="I48" i="15"/>
  <c r="H29" i="15"/>
  <c r="H837" i="15"/>
  <c r="I816" i="15"/>
  <c r="J795" i="15"/>
  <c r="J779" i="15"/>
  <c r="J763" i="15"/>
  <c r="I744" i="15"/>
  <c r="H1136" i="15"/>
  <c r="H1120" i="15"/>
  <c r="G1101" i="15"/>
  <c r="G1085" i="15"/>
  <c r="G1069" i="15"/>
  <c r="F1050" i="15"/>
  <c r="F1034" i="15"/>
  <c r="F1018" i="15"/>
  <c r="J998" i="15"/>
  <c r="J982" i="15"/>
  <c r="J966" i="15"/>
  <c r="I947" i="15"/>
  <c r="I931" i="15"/>
  <c r="I915" i="15"/>
  <c r="H896" i="15"/>
  <c r="H880" i="15"/>
  <c r="H864" i="15"/>
  <c r="G845" i="15"/>
  <c r="G829" i="15"/>
  <c r="G813" i="15"/>
  <c r="F794" i="15"/>
  <c r="F778" i="15"/>
  <c r="F762" i="15"/>
  <c r="J742" i="15"/>
  <c r="I1134" i="15"/>
  <c r="I1118" i="15"/>
  <c r="H1099" i="15"/>
  <c r="H1083" i="15"/>
  <c r="H1067" i="15"/>
  <c r="G1048" i="15"/>
  <c r="G1032" i="15"/>
  <c r="G1016" i="15"/>
  <c r="F997" i="15"/>
  <c r="F981" i="15"/>
  <c r="F965" i="15"/>
  <c r="J945" i="15"/>
  <c r="J929" i="15"/>
  <c r="J913" i="15"/>
  <c r="I894" i="15"/>
  <c r="I878" i="15"/>
  <c r="I862" i="15"/>
  <c r="H843" i="15"/>
  <c r="H827" i="15"/>
  <c r="H811" i="15"/>
  <c r="G792" i="15"/>
  <c r="G776" i="15"/>
  <c r="G760" i="15"/>
  <c r="H742" i="15"/>
  <c r="G726" i="15"/>
  <c r="G710" i="15"/>
  <c r="F691" i="15"/>
  <c r="F675" i="15"/>
  <c r="F659" i="15"/>
  <c r="J639" i="15"/>
  <c r="J623" i="15"/>
  <c r="J607" i="15"/>
  <c r="I588" i="15"/>
  <c r="I572" i="15"/>
  <c r="I556" i="15"/>
  <c r="H537" i="15"/>
  <c r="H521" i="15"/>
  <c r="H505" i="15"/>
  <c r="G486" i="15"/>
  <c r="G470" i="15"/>
  <c r="G454" i="15"/>
  <c r="F435" i="15"/>
  <c r="F419" i="15"/>
  <c r="F403" i="15"/>
  <c r="J383" i="15"/>
  <c r="J367" i="15"/>
  <c r="J351" i="15"/>
  <c r="I332" i="15"/>
  <c r="I316" i="15"/>
  <c r="I300" i="15"/>
  <c r="H281" i="15"/>
  <c r="H265" i="15"/>
  <c r="H249" i="15"/>
  <c r="G230" i="15"/>
  <c r="G214" i="15"/>
  <c r="G198" i="15"/>
  <c r="F179" i="15"/>
  <c r="F163" i="15"/>
  <c r="F147" i="15"/>
  <c r="J127" i="15"/>
  <c r="J111" i="15"/>
  <c r="J95" i="15"/>
  <c r="I76" i="15"/>
  <c r="I60" i="15"/>
  <c r="I44" i="15"/>
  <c r="H25" i="15"/>
  <c r="F11" i="15"/>
  <c r="E31" i="6"/>
  <c r="E134" i="5"/>
  <c r="E89" i="5"/>
  <c r="D42" i="5"/>
  <c r="E93" i="4"/>
  <c r="J726" i="15"/>
  <c r="J710" i="15"/>
  <c r="I691" i="15"/>
  <c r="I675" i="15"/>
  <c r="I659" i="15"/>
  <c r="H640" i="15"/>
  <c r="H624" i="15"/>
  <c r="H608" i="15"/>
  <c r="G589" i="15"/>
  <c r="G573" i="15"/>
  <c r="G557" i="15"/>
  <c r="F538" i="15"/>
  <c r="F522" i="15"/>
  <c r="F506" i="15"/>
  <c r="J486" i="15"/>
  <c r="J470" i="15"/>
  <c r="J454" i="15"/>
  <c r="I435" i="15"/>
  <c r="I419" i="15"/>
  <c r="I403" i="15"/>
  <c r="H384" i="15"/>
  <c r="H368" i="15"/>
  <c r="H352" i="15"/>
  <c r="G333" i="15"/>
  <c r="G317" i="15"/>
  <c r="G301" i="15"/>
  <c r="F282" i="15"/>
  <c r="F266" i="15"/>
  <c r="F250" i="15"/>
  <c r="J230" i="15"/>
  <c r="J214" i="15"/>
  <c r="J198" i="15"/>
  <c r="I179" i="15"/>
  <c r="I163" i="15"/>
  <c r="I147" i="15"/>
  <c r="H128" i="15"/>
  <c r="H112" i="15"/>
  <c r="H96" i="15"/>
  <c r="G77" i="15"/>
  <c r="G61" i="15"/>
  <c r="G45" i="15"/>
  <c r="F26" i="15"/>
  <c r="F10" i="15"/>
  <c r="D27" i="6"/>
  <c r="D131" i="5"/>
  <c r="D85" i="5"/>
  <c r="E37" i="5"/>
  <c r="F742" i="15"/>
  <c r="J725" i="15"/>
  <c r="J709" i="15"/>
  <c r="I690" i="15"/>
  <c r="I674" i="15"/>
  <c r="I658" i="15"/>
  <c r="H639" i="15"/>
  <c r="H623" i="15"/>
  <c r="H607" i="15"/>
  <c r="G588" i="15"/>
  <c r="G572" i="15"/>
  <c r="G556" i="15"/>
  <c r="F537" i="15"/>
  <c r="F521" i="15"/>
  <c r="F505" i="15"/>
  <c r="J485" i="15"/>
  <c r="J469" i="15"/>
  <c r="J453" i="15"/>
  <c r="I434" i="15"/>
  <c r="I418" i="15"/>
  <c r="I402" i="15"/>
  <c r="H383" i="15"/>
  <c r="H367" i="15"/>
  <c r="H351" i="15"/>
  <c r="G332" i="15"/>
  <c r="G316" i="15"/>
  <c r="G300" i="15"/>
  <c r="F281" i="15"/>
  <c r="F265" i="15"/>
  <c r="F249" i="15"/>
  <c r="J229" i="15"/>
  <c r="J213" i="15"/>
  <c r="J197" i="15"/>
  <c r="I178" i="15"/>
  <c r="I162" i="15"/>
  <c r="I146" i="15"/>
  <c r="H127" i="15"/>
  <c r="H111" i="15"/>
  <c r="H95" i="15"/>
  <c r="G76" i="15"/>
  <c r="G60" i="15"/>
  <c r="G44" i="15"/>
  <c r="F25" i="15"/>
  <c r="F9" i="15"/>
  <c r="E24" i="6"/>
  <c r="D128" i="5"/>
  <c r="E81" i="5"/>
  <c r="E34" i="5"/>
  <c r="J728" i="15"/>
  <c r="J712" i="15"/>
  <c r="J696" i="15"/>
  <c r="I677" i="15"/>
  <c r="I661" i="15"/>
  <c r="I645" i="15"/>
  <c r="H626" i="15"/>
  <c r="H610" i="15"/>
  <c r="H594" i="15"/>
  <c r="G575" i="15"/>
  <c r="G559" i="15"/>
  <c r="G543" i="15"/>
  <c r="F524" i="15"/>
  <c r="F508" i="15"/>
  <c r="F492" i="15"/>
  <c r="J472" i="15"/>
  <c r="J456" i="15"/>
  <c r="J440" i="15"/>
  <c r="I421" i="15"/>
  <c r="I405" i="15"/>
  <c r="I389" i="15"/>
  <c r="H370" i="15"/>
  <c r="H354" i="15"/>
  <c r="H338" i="15"/>
  <c r="G319" i="15"/>
  <c r="G303" i="15"/>
  <c r="G287" i="15"/>
  <c r="F268" i="15"/>
  <c r="F252" i="15"/>
  <c r="F236" i="15"/>
  <c r="J216" i="15"/>
  <c r="J200" i="15"/>
  <c r="J184" i="15"/>
  <c r="I165" i="15"/>
  <c r="I149" i="15"/>
  <c r="I133" i="15"/>
  <c r="H114" i="15"/>
  <c r="H98" i="15"/>
  <c r="H82" i="15"/>
  <c r="G63" i="15"/>
  <c r="G47" i="15"/>
  <c r="G31" i="15"/>
  <c r="F12" i="15"/>
  <c r="D4" i="7"/>
  <c r="E147" i="5"/>
  <c r="E91" i="5"/>
  <c r="D46" i="5"/>
  <c r="D48" i="4"/>
  <c r="D183" i="3"/>
  <c r="E135" i="3"/>
  <c r="D89" i="3"/>
  <c r="D33" i="3"/>
  <c r="E45" i="2"/>
  <c r="D5" i="2"/>
  <c r="D154" i="1"/>
  <c r="D111" i="1"/>
  <c r="D67" i="1"/>
  <c r="E7" i="5"/>
  <c r="D14" i="4"/>
  <c r="E165" i="3"/>
  <c r="E109" i="3"/>
  <c r="E62" i="3"/>
  <c r="D16" i="3"/>
  <c r="E22" i="2"/>
  <c r="E175" i="1"/>
  <c r="E131" i="1"/>
  <c r="E79" i="1"/>
  <c r="E36" i="1"/>
  <c r="D104" i="4"/>
  <c r="D8" i="4"/>
  <c r="D158" i="3"/>
  <c r="D111" i="3"/>
  <c r="D55" i="3"/>
  <c r="E7" i="3"/>
  <c r="E27" i="2"/>
  <c r="D179" i="1"/>
  <c r="D135" i="1"/>
  <c r="D92" i="1"/>
  <c r="D40" i="1"/>
  <c r="E11" i="5"/>
  <c r="E16" i="4"/>
  <c r="E169" i="3"/>
  <c r="D133" i="3"/>
  <c r="E96" i="3"/>
  <c r="E57" i="3"/>
  <c r="D21" i="3"/>
  <c r="E44" i="2"/>
  <c r="D12" i="2"/>
  <c r="E178" i="1"/>
  <c r="E143" i="1"/>
  <c r="E109" i="1"/>
  <c r="E74" i="1"/>
  <c r="E39" i="1"/>
  <c r="J19" i="15"/>
  <c r="F7" i="15"/>
  <c r="E29" i="6"/>
  <c r="E152" i="5"/>
  <c r="E113" i="5"/>
  <c r="D77" i="5"/>
  <c r="E40" i="5"/>
  <c r="E107" i="4"/>
  <c r="I735" i="15"/>
  <c r="J722" i="15"/>
  <c r="F710" i="15"/>
  <c r="G697" i="15"/>
  <c r="H684" i="15"/>
  <c r="I671" i="15"/>
  <c r="J658" i="15"/>
  <c r="F646" i="15"/>
  <c r="G633" i="15"/>
  <c r="H620" i="15"/>
  <c r="I607" i="15"/>
  <c r="J594" i="15"/>
  <c r="F582" i="15"/>
  <c r="G569" i="15"/>
  <c r="H556" i="15"/>
  <c r="I543" i="15"/>
  <c r="J530" i="15"/>
  <c r="F518" i="15"/>
  <c r="G505" i="15"/>
  <c r="H492" i="15"/>
  <c r="I479" i="15"/>
  <c r="J466" i="15"/>
  <c r="F454" i="15"/>
  <c r="G441" i="15"/>
  <c r="H428" i="15"/>
  <c r="I415" i="15"/>
  <c r="J402" i="15"/>
  <c r="F390" i="15"/>
  <c r="G377" i="15"/>
  <c r="H364" i="15"/>
  <c r="I351" i="15"/>
  <c r="J338" i="15"/>
  <c r="F326" i="15"/>
  <c r="G313" i="15"/>
  <c r="H300" i="15"/>
  <c r="I287" i="15"/>
  <c r="J274" i="15"/>
  <c r="F262" i="15"/>
  <c r="G249" i="15"/>
  <c r="H236" i="15"/>
  <c r="I223" i="15"/>
  <c r="J210" i="15"/>
  <c r="F198" i="15"/>
  <c r="G185" i="15"/>
  <c r="H172" i="15"/>
  <c r="I159" i="15"/>
  <c r="J146" i="15"/>
  <c r="F134" i="15"/>
  <c r="G121" i="15"/>
  <c r="H108" i="15"/>
  <c r="I95" i="15"/>
  <c r="J82" i="15"/>
  <c r="F70" i="15"/>
  <c r="G57" i="15"/>
  <c r="H44" i="15"/>
  <c r="I31" i="15"/>
  <c r="J18" i="15"/>
  <c r="F6" i="15"/>
  <c r="D25" i="6"/>
  <c r="D148" i="5"/>
  <c r="D110" i="5"/>
  <c r="E72" i="5"/>
  <c r="D36" i="5"/>
  <c r="D103" i="4"/>
  <c r="I734" i="15"/>
  <c r="J721" i="15"/>
  <c r="F709" i="15"/>
  <c r="G696" i="15"/>
  <c r="H683" i="15"/>
  <c r="I670" i="15"/>
  <c r="J657" i="15"/>
  <c r="F645" i="15"/>
  <c r="G632" i="15"/>
  <c r="H619" i="15"/>
  <c r="I606" i="15"/>
  <c r="J593" i="15"/>
  <c r="F581" i="15"/>
  <c r="G568" i="15"/>
  <c r="H555" i="15"/>
  <c r="I542" i="15"/>
  <c r="J529" i="15"/>
  <c r="F517" i="15"/>
  <c r="G504" i="15"/>
  <c r="H491" i="15"/>
  <c r="I478" i="15"/>
  <c r="J465" i="15"/>
  <c r="F453" i="15"/>
  <c r="G440" i="15"/>
  <c r="H427" i="15"/>
  <c r="I414" i="15"/>
  <c r="J401" i="15"/>
  <c r="F389" i="15"/>
  <c r="G376" i="15"/>
  <c r="H363" i="15"/>
  <c r="I350" i="15"/>
  <c r="J337" i="15"/>
  <c r="F325" i="15"/>
  <c r="G312" i="15"/>
  <c r="H299" i="15"/>
  <c r="I286" i="15"/>
  <c r="J273" i="15"/>
  <c r="F261" i="15"/>
  <c r="G248" i="15"/>
  <c r="H235" i="15"/>
  <c r="I222" i="15"/>
  <c r="J209" i="15"/>
  <c r="F197" i="15"/>
  <c r="G184" i="15"/>
  <c r="H171" i="15"/>
  <c r="I158" i="15"/>
  <c r="J145" i="15"/>
  <c r="F133" i="15"/>
  <c r="G120" i="15"/>
  <c r="H107" i="15"/>
  <c r="I94" i="15"/>
  <c r="J81" i="15"/>
  <c r="F69" i="15"/>
  <c r="G56" i="15"/>
  <c r="H43" i="15"/>
  <c r="I30" i="15"/>
  <c r="J17" i="15"/>
  <c r="F5" i="15"/>
  <c r="D23" i="6"/>
  <c r="E144" i="5"/>
  <c r="D107" i="5"/>
  <c r="E69" i="5"/>
  <c r="E32" i="5"/>
  <c r="H734" i="15"/>
  <c r="I721" i="15"/>
  <c r="J708" i="15"/>
  <c r="F696" i="15"/>
  <c r="G683" i="15"/>
  <c r="H670" i="15"/>
  <c r="I657" i="15"/>
  <c r="J644" i="15"/>
  <c r="F632" i="15"/>
  <c r="G619" i="15"/>
  <c r="H606" i="15"/>
  <c r="I593" i="15"/>
  <c r="J580" i="15"/>
  <c r="F568" i="15"/>
  <c r="G555" i="15"/>
  <c r="F2965" i="15"/>
  <c r="G2747" i="15"/>
  <c r="F2453" i="15"/>
  <c r="G2116" i="15"/>
  <c r="H2003" i="15"/>
  <c r="G2268" i="15"/>
  <c r="G2135" i="15"/>
  <c r="I1998" i="15"/>
  <c r="J2303" i="15"/>
  <c r="I2171" i="15"/>
  <c r="I1624" i="15"/>
  <c r="F1988" i="15"/>
  <c r="I1976" i="15"/>
  <c r="I1975" i="15"/>
  <c r="G1566" i="15"/>
  <c r="F2347" i="15"/>
  <c r="H2049" i="15"/>
  <c r="G2253" i="15"/>
  <c r="H2048" i="15"/>
  <c r="J1843" i="15"/>
  <c r="F1639" i="15"/>
  <c r="J1842" i="15"/>
  <c r="F1638" i="15"/>
  <c r="G2250" i="15"/>
  <c r="H2045" i="15"/>
  <c r="G2249" i="15"/>
  <c r="H2044" i="15"/>
  <c r="J1839" i="15"/>
  <c r="F1635" i="15"/>
  <c r="J1838" i="15"/>
  <c r="F1634" i="15"/>
  <c r="J1877" i="15"/>
  <c r="G1740" i="15"/>
  <c r="J1605" i="15"/>
  <c r="J1876" i="15"/>
  <c r="G1739" i="15"/>
  <c r="J1604" i="15"/>
  <c r="J1467" i="15"/>
  <c r="H1365" i="15"/>
  <c r="F1263" i="15"/>
  <c r="I1160" i="15"/>
  <c r="J1466" i="15"/>
  <c r="H1364" i="15"/>
  <c r="F1262" i="15"/>
  <c r="G1944" i="15"/>
  <c r="J1841" i="15"/>
  <c r="H1739" i="15"/>
  <c r="F1637" i="15"/>
  <c r="G1943" i="15"/>
  <c r="J1840" i="15"/>
  <c r="H1738" i="15"/>
  <c r="F1636" i="15"/>
  <c r="G1534" i="15"/>
  <c r="J1431" i="15"/>
  <c r="H1329" i="15"/>
  <c r="F1227" i="15"/>
  <c r="G1533" i="15"/>
  <c r="J1430" i="15"/>
  <c r="H1328" i="15"/>
  <c r="J1606" i="15"/>
  <c r="F1905" i="15"/>
  <c r="I1802" i="15"/>
  <c r="G1700" i="15"/>
  <c r="J1597" i="15"/>
  <c r="F1904" i="15"/>
  <c r="I1801" i="15"/>
  <c r="G1699" i="15"/>
  <c r="J1596" i="15"/>
  <c r="F1495" i="15"/>
  <c r="I1392" i="15"/>
  <c r="G1290" i="15"/>
  <c r="J1187" i="15"/>
  <c r="F1494" i="15"/>
  <c r="I1391" i="15"/>
  <c r="G1289" i="15"/>
  <c r="I1575" i="15"/>
  <c r="J1881" i="15"/>
  <c r="H1779" i="15"/>
  <c r="F1677" i="15"/>
  <c r="I1574" i="15"/>
  <c r="J1880" i="15"/>
  <c r="H1778" i="15"/>
  <c r="F1676" i="15"/>
  <c r="I1573" i="15"/>
  <c r="J1471" i="15"/>
  <c r="H1369" i="15"/>
  <c r="F1267" i="15"/>
  <c r="I1164" i="15"/>
  <c r="J1470" i="15"/>
  <c r="H1368" i="15"/>
  <c r="F1266" i="15"/>
  <c r="I1187" i="15"/>
  <c r="J1493" i="15"/>
  <c r="H1391" i="15"/>
  <c r="F1289" i="15"/>
  <c r="I1186" i="15"/>
  <c r="J1492" i="15"/>
  <c r="H1390" i="15"/>
  <c r="F1288" i="15"/>
  <c r="I1185" i="15"/>
  <c r="G1083" i="15"/>
  <c r="J980" i="15"/>
  <c r="H878" i="15"/>
  <c r="F776" i="15"/>
  <c r="H1081" i="15"/>
  <c r="F979" i="15"/>
  <c r="I892" i="15"/>
  <c r="H825" i="15"/>
  <c r="I1167" i="15"/>
  <c r="J1505" i="15"/>
  <c r="I1438" i="15"/>
  <c r="H1371" i="15"/>
  <c r="F1301" i="15"/>
  <c r="J1233" i="15"/>
  <c r="I1166" i="15"/>
  <c r="J1504" i="15"/>
  <c r="I1437" i="15"/>
  <c r="H1370" i="15"/>
  <c r="F1300" i="15"/>
  <c r="J1232" i="15"/>
  <c r="I1165" i="15"/>
  <c r="G1095" i="15"/>
  <c r="F1028" i="15"/>
  <c r="J960" i="15"/>
  <c r="H890" i="15"/>
  <c r="G823" i="15"/>
  <c r="F756" i="15"/>
  <c r="H1093" i="15"/>
  <c r="I1048" i="15"/>
  <c r="H1013" i="15"/>
  <c r="G978" i="15"/>
  <c r="G946" i="15"/>
  <c r="F911" i="15"/>
  <c r="J875" i="15"/>
  <c r="J843" i="15"/>
  <c r="G1189" i="15"/>
  <c r="F1154" i="15"/>
  <c r="I1530" i="15"/>
  <c r="H1495" i="15"/>
  <c r="G1460" i="15"/>
  <c r="G1428" i="15"/>
  <c r="F1393" i="15"/>
  <c r="J1357" i="15"/>
  <c r="J1325" i="15"/>
  <c r="I1290" i="15"/>
  <c r="G1268" i="15"/>
  <c r="I1242" i="15"/>
  <c r="H1223" i="15"/>
  <c r="F1201" i="15"/>
  <c r="H1175" i="15"/>
  <c r="F1153" i="15"/>
  <c r="H1542" i="15"/>
  <c r="J1516" i="15"/>
  <c r="H1494" i="15"/>
  <c r="F1472" i="15"/>
  <c r="H1446" i="15"/>
  <c r="G1427" i="15"/>
  <c r="J1404" i="15"/>
  <c r="G1379" i="15"/>
  <c r="J1356" i="15"/>
  <c r="I1337" i="15"/>
  <c r="F1312" i="15"/>
  <c r="I1289" i="15"/>
  <c r="G1267" i="15"/>
  <c r="I1241" i="15"/>
  <c r="H1222" i="15"/>
  <c r="F1200" i="15"/>
  <c r="H1174" i="15"/>
  <c r="F1152" i="15"/>
  <c r="J1132" i="15"/>
  <c r="G1107" i="15"/>
  <c r="J1084" i="15"/>
  <c r="H1062" i="15"/>
  <c r="J1036" i="15"/>
  <c r="I1017" i="15"/>
  <c r="G995" i="15"/>
  <c r="I969" i="15"/>
  <c r="G947" i="15"/>
  <c r="F928" i="15"/>
  <c r="H902" i="15"/>
  <c r="F880" i="15"/>
  <c r="I857" i="15"/>
  <c r="F832" i="15"/>
  <c r="J812" i="15"/>
  <c r="H790" i="15"/>
  <c r="J764" i="15"/>
  <c r="G1150" i="15"/>
  <c r="F1131" i="15"/>
  <c r="H1105" i="15"/>
  <c r="F1083" i="15"/>
  <c r="I1060" i="15"/>
  <c r="F1035" i="15"/>
  <c r="F1019" i="15"/>
  <c r="F1003" i="15"/>
  <c r="J983" i="15"/>
  <c r="J967" i="15"/>
  <c r="J951" i="15"/>
  <c r="I932" i="15"/>
  <c r="I916" i="15"/>
  <c r="I900" i="15"/>
  <c r="H881" i="15"/>
  <c r="H865" i="15"/>
  <c r="I1215" i="15"/>
  <c r="I1191" i="15"/>
  <c r="I1175" i="15"/>
  <c r="I1159" i="15"/>
  <c r="F1549" i="15"/>
  <c r="F1533" i="15"/>
  <c r="F1517" i="15"/>
  <c r="J1497" i="15"/>
  <c r="J1481" i="15"/>
  <c r="J1465" i="15"/>
  <c r="I1446" i="15"/>
  <c r="I1430" i="15"/>
  <c r="I1414" i="15"/>
  <c r="H1395" i="15"/>
  <c r="H1379" i="15"/>
  <c r="H1363" i="15"/>
  <c r="G1344" i="15"/>
  <c r="G1328" i="15"/>
  <c r="G1312" i="15"/>
  <c r="F1293" i="15"/>
  <c r="F1277" i="15"/>
  <c r="F1261" i="15"/>
  <c r="J1241" i="15"/>
  <c r="J1225" i="15"/>
  <c r="J1209" i="15"/>
  <c r="I1190" i="15"/>
  <c r="I1174" i="15"/>
  <c r="I1158" i="15"/>
  <c r="F1548" i="15"/>
  <c r="F1532" i="15"/>
  <c r="F1516" i="15"/>
  <c r="J1496" i="15"/>
  <c r="J1480" i="15"/>
  <c r="J1464" i="15"/>
  <c r="I1445" i="15"/>
  <c r="I1429" i="15"/>
  <c r="I1413" i="15"/>
  <c r="H1394" i="15"/>
  <c r="H1378" i="15"/>
  <c r="H1362" i="15"/>
  <c r="G1343" i="15"/>
  <c r="G1327" i="15"/>
  <c r="G1311" i="15"/>
  <c r="F1292" i="15"/>
  <c r="F1276" i="15"/>
  <c r="F1260" i="15"/>
  <c r="J1240" i="15"/>
  <c r="J1224" i="15"/>
  <c r="J1208" i="15"/>
  <c r="I1189" i="15"/>
  <c r="I1173" i="15"/>
  <c r="I1157" i="15"/>
  <c r="H1138" i="15"/>
  <c r="H1122" i="15"/>
  <c r="H1106" i="15"/>
  <c r="G1087" i="15"/>
  <c r="G1071" i="15"/>
  <c r="G1055" i="15"/>
  <c r="F1036" i="15"/>
  <c r="F1020" i="15"/>
  <c r="F1004" i="15"/>
  <c r="J984" i="15"/>
  <c r="J968" i="15"/>
  <c r="J952" i="15"/>
  <c r="I933" i="15"/>
  <c r="I917" i="15"/>
  <c r="I901" i="15"/>
  <c r="H882" i="15"/>
  <c r="H866" i="15"/>
  <c r="H850" i="15"/>
  <c r="G831" i="15"/>
  <c r="G815" i="15"/>
  <c r="G799" i="15"/>
  <c r="F780" i="15"/>
  <c r="F764" i="15"/>
  <c r="F748" i="15"/>
  <c r="I1136" i="15"/>
  <c r="I1120" i="15"/>
  <c r="I1104" i="15"/>
  <c r="H1085" i="15"/>
  <c r="H1069" i="15"/>
  <c r="H1053" i="15"/>
  <c r="G1034" i="15"/>
  <c r="G1018" i="15"/>
  <c r="G1002" i="15"/>
  <c r="F983" i="15"/>
  <c r="F967" i="15"/>
  <c r="F951" i="15"/>
  <c r="J931" i="15"/>
  <c r="J915" i="15"/>
  <c r="J899" i="15"/>
  <c r="I880" i="15"/>
  <c r="I864" i="15"/>
  <c r="I848" i="15"/>
  <c r="J819" i="15"/>
  <c r="H801" i="15"/>
  <c r="H785" i="15"/>
  <c r="G766" i="15"/>
  <c r="G750" i="15"/>
  <c r="F1142" i="15"/>
  <c r="J1122" i="15"/>
  <c r="J1106" i="15"/>
  <c r="J1090" i="15"/>
  <c r="I1071" i="15"/>
  <c r="I1055" i="15"/>
  <c r="I1039" i="15"/>
  <c r="H1020" i="15"/>
  <c r="H1004" i="15"/>
  <c r="H988" i="15"/>
  <c r="G969" i="15"/>
  <c r="G953" i="15"/>
  <c r="G937" i="15"/>
  <c r="F918" i="15"/>
  <c r="F902" i="15"/>
  <c r="F886" i="15"/>
  <c r="J866" i="15"/>
  <c r="J850" i="15"/>
  <c r="J834" i="15"/>
  <c r="I815" i="15"/>
  <c r="I799" i="15"/>
  <c r="I783" i="15"/>
  <c r="H764" i="15"/>
  <c r="H748" i="15"/>
  <c r="G1140" i="15"/>
  <c r="F1121" i="15"/>
  <c r="F1105" i="15"/>
  <c r="F1089" i="15"/>
  <c r="J1069" i="15"/>
  <c r="J1053" i="15"/>
  <c r="J1037" i="15"/>
  <c r="I1018" i="15"/>
  <c r="I1002" i="15"/>
  <c r="I986" i="15"/>
  <c r="H967" i="15"/>
  <c r="H951" i="15"/>
  <c r="H935" i="15"/>
  <c r="G916" i="15"/>
  <c r="G900" i="15"/>
  <c r="G884" i="15"/>
  <c r="F865" i="15"/>
  <c r="F849" i="15"/>
  <c r="F833" i="15"/>
  <c r="J813" i="15"/>
  <c r="J797" i="15"/>
  <c r="J781" i="15"/>
  <c r="I762" i="15"/>
  <c r="I746" i="15"/>
  <c r="J731" i="15"/>
  <c r="I712" i="15"/>
  <c r="I696" i="15"/>
  <c r="I680" i="15"/>
  <c r="H661" i="15"/>
  <c r="H645" i="15"/>
  <c r="H629" i="15"/>
  <c r="G610" i="15"/>
  <c r="G594" i="15"/>
  <c r="G578" i="15"/>
  <c r="F559" i="15"/>
  <c r="F543" i="15"/>
  <c r="F527" i="15"/>
  <c r="J507" i="15"/>
  <c r="J491" i="15"/>
  <c r="J475" i="15"/>
  <c r="I456" i="15"/>
  <c r="I440" i="15"/>
  <c r="I424" i="15"/>
  <c r="H405" i="15"/>
  <c r="H389" i="15"/>
  <c r="H373" i="15"/>
  <c r="G354" i="15"/>
  <c r="G338" i="15"/>
  <c r="G322" i="15"/>
  <c r="F303" i="15"/>
  <c r="F287" i="15"/>
  <c r="F271" i="15"/>
  <c r="J251" i="15"/>
  <c r="J235" i="15"/>
  <c r="J219" i="15"/>
  <c r="I200" i="15"/>
  <c r="I184" i="15"/>
  <c r="I168" i="15"/>
  <c r="H149" i="15"/>
  <c r="H133" i="15"/>
  <c r="H117" i="15"/>
  <c r="G98" i="15"/>
  <c r="G82" i="15"/>
  <c r="G66" i="15"/>
  <c r="F47" i="15"/>
  <c r="F31" i="15"/>
  <c r="G846" i="15"/>
  <c r="G818" i="15"/>
  <c r="I800" i="15"/>
  <c r="I784" i="15"/>
  <c r="H765" i="15"/>
  <c r="H749" i="15"/>
  <c r="G1141" i="15"/>
  <c r="F1122" i="15"/>
  <c r="F1106" i="15"/>
  <c r="F1090" i="15"/>
  <c r="J1070" i="15"/>
  <c r="J1054" i="15"/>
  <c r="J1038" i="15"/>
  <c r="I1019" i="15"/>
  <c r="I1003" i="15"/>
  <c r="I987" i="15"/>
  <c r="H968" i="15"/>
  <c r="H952" i="15"/>
  <c r="H936" i="15"/>
  <c r="G917" i="15"/>
  <c r="G901" i="15"/>
  <c r="G885" i="15"/>
  <c r="F866" i="15"/>
  <c r="F850" i="15"/>
  <c r="F834" i="15"/>
  <c r="J814" i="15"/>
  <c r="J798" i="15"/>
  <c r="J782" i="15"/>
  <c r="I763" i="15"/>
  <c r="I747" i="15"/>
  <c r="H1139" i="15"/>
  <c r="G1120" i="15"/>
  <c r="G1104" i="15"/>
  <c r="G1088" i="15"/>
  <c r="F1069" i="15"/>
  <c r="F1053" i="15"/>
  <c r="F1037" i="15"/>
  <c r="J1017" i="15"/>
  <c r="J1001" i="15"/>
  <c r="J985" i="15"/>
  <c r="I966" i="15"/>
  <c r="I950" i="15"/>
  <c r="I934" i="15"/>
  <c r="H915" i="15"/>
  <c r="H899" i="15"/>
  <c r="H883" i="15"/>
  <c r="G864" i="15"/>
  <c r="G848" i="15"/>
  <c r="G832" i="15"/>
  <c r="F813" i="15"/>
  <c r="F797" i="15"/>
  <c r="F781" i="15"/>
  <c r="J761" i="15"/>
  <c r="J745" i="15"/>
  <c r="F731" i="15"/>
  <c r="J711" i="15"/>
  <c r="J695" i="15"/>
  <c r="J679" i="15"/>
  <c r="I660" i="15"/>
  <c r="I644" i="15"/>
  <c r="I628" i="15"/>
  <c r="H609" i="15"/>
  <c r="H593" i="15"/>
  <c r="H577" i="15"/>
  <c r="G558" i="15"/>
  <c r="G542" i="15"/>
  <c r="G526" i="15"/>
  <c r="F507" i="15"/>
  <c r="F491" i="15"/>
  <c r="F475" i="15"/>
  <c r="J455" i="15"/>
  <c r="J439" i="15"/>
  <c r="J423" i="15"/>
  <c r="I404" i="15"/>
  <c r="I388" i="15"/>
  <c r="I372" i="15"/>
  <c r="H353" i="15"/>
  <c r="H337" i="15"/>
  <c r="H321" i="15"/>
  <c r="G302" i="15"/>
  <c r="G286" i="15"/>
  <c r="G270" i="15"/>
  <c r="F251" i="15"/>
  <c r="F235" i="15"/>
  <c r="F219" i="15"/>
  <c r="J199" i="15"/>
  <c r="J183" i="15"/>
  <c r="J167" i="15"/>
  <c r="I148" i="15"/>
  <c r="I132" i="15"/>
  <c r="I116" i="15"/>
  <c r="H97" i="15"/>
  <c r="H81" i="15"/>
  <c r="H65" i="15"/>
  <c r="G46" i="15"/>
  <c r="G30" i="15"/>
  <c r="F839" i="15"/>
  <c r="H813" i="15"/>
  <c r="I796" i="15"/>
  <c r="I780" i="15"/>
  <c r="H761" i="15"/>
  <c r="H745" i="15"/>
  <c r="G1137" i="15"/>
  <c r="F1118" i="15"/>
  <c r="F1102" i="15"/>
  <c r="F1086" i="15"/>
  <c r="J1066" i="15"/>
  <c r="J1050" i="15"/>
  <c r="J1034" i="15"/>
  <c r="I1015" i="15"/>
  <c r="I999" i="15"/>
  <c r="I983" i="15"/>
  <c r="H964" i="15"/>
  <c r="H948" i="15"/>
  <c r="H932" i="15"/>
  <c r="G913" i="15"/>
  <c r="G897" i="15"/>
  <c r="G881" i="15"/>
  <c r="F862" i="15"/>
  <c r="F846" i="15"/>
  <c r="F830" i="15"/>
  <c r="J810" i="15"/>
  <c r="J794" i="15"/>
  <c r="J778" i="15"/>
  <c r="I759" i="15"/>
  <c r="I743" i="15"/>
  <c r="H1135" i="15"/>
  <c r="G1116" i="15"/>
  <c r="G1100" i="15"/>
  <c r="G1084" i="15"/>
  <c r="F1065" i="15"/>
  <c r="F1049" i="15"/>
  <c r="F1033" i="15"/>
  <c r="J1013" i="15"/>
  <c r="J997" i="15"/>
  <c r="J981" i="15"/>
  <c r="I962" i="15"/>
  <c r="I946" i="15"/>
  <c r="I930" i="15"/>
  <c r="H911" i="15"/>
  <c r="H895" i="15"/>
  <c r="H879" i="15"/>
  <c r="G860" i="15"/>
  <c r="G844" i="15"/>
  <c r="G828" i="15"/>
  <c r="F809" i="15"/>
  <c r="F793" i="15"/>
  <c r="F777" i="15"/>
  <c r="J757" i="15"/>
  <c r="J741" i="15"/>
  <c r="F727" i="15"/>
  <c r="J707" i="15"/>
  <c r="J691" i="15"/>
  <c r="J675" i="15"/>
  <c r="I656" i="15"/>
  <c r="I640" i="15"/>
  <c r="I624" i="15"/>
  <c r="H605" i="15"/>
  <c r="H589" i="15"/>
  <c r="H573" i="15"/>
  <c r="G554" i="15"/>
  <c r="G538" i="15"/>
  <c r="G522" i="15"/>
  <c r="F503" i="15"/>
  <c r="F487" i="15"/>
  <c r="F471" i="15"/>
  <c r="J451" i="15"/>
  <c r="J435" i="15"/>
  <c r="J419" i="15"/>
  <c r="I400" i="15"/>
  <c r="I384" i="15"/>
  <c r="I368" i="15"/>
  <c r="H349" i="15"/>
  <c r="H333" i="15"/>
  <c r="H317" i="15"/>
  <c r="G298" i="15"/>
  <c r="G282" i="15"/>
  <c r="G266" i="15"/>
  <c r="F247" i="15"/>
  <c r="F231" i="15"/>
  <c r="F215" i="15"/>
  <c r="J195" i="15"/>
  <c r="J179" i="15"/>
  <c r="J163" i="15"/>
  <c r="I144" i="15"/>
  <c r="I128" i="15"/>
  <c r="I112" i="15"/>
  <c r="H93" i="15"/>
  <c r="H77" i="15"/>
  <c r="H61" i="15"/>
  <c r="G42" i="15"/>
  <c r="G26" i="15"/>
  <c r="H833" i="15"/>
  <c r="I808" i="15"/>
  <c r="I792" i="15"/>
  <c r="I776" i="15"/>
  <c r="H757" i="15"/>
  <c r="G1149" i="15"/>
  <c r="G1133" i="15"/>
  <c r="F1114" i="15"/>
  <c r="F1098" i="15"/>
  <c r="F1082" i="15"/>
  <c r="J1062" i="15"/>
  <c r="J1046" i="15"/>
  <c r="J1030" i="15"/>
  <c r="I1011" i="15"/>
  <c r="I995" i="15"/>
  <c r="I979" i="15"/>
  <c r="H960" i="15"/>
  <c r="H944" i="15"/>
  <c r="H928" i="15"/>
  <c r="G909" i="15"/>
  <c r="G893" i="15"/>
  <c r="G877" i="15"/>
  <c r="F858" i="15"/>
  <c r="F842" i="15"/>
  <c r="F826" i="15"/>
  <c r="J806" i="15"/>
  <c r="J790" i="15"/>
  <c r="J774" i="15"/>
  <c r="I755" i="15"/>
  <c r="H1147" i="15"/>
  <c r="H1131" i="15"/>
  <c r="G1112" i="15"/>
  <c r="G1096" i="15"/>
  <c r="G1080" i="15"/>
  <c r="F1061" i="15"/>
  <c r="F1045" i="15"/>
  <c r="F1029" i="15"/>
  <c r="J1009" i="15"/>
  <c r="J993" i="15"/>
  <c r="J977" i="15"/>
  <c r="I958" i="15"/>
  <c r="I942" i="15"/>
  <c r="I926" i="15"/>
  <c r="H907" i="15"/>
  <c r="H891" i="15"/>
  <c r="H875" i="15"/>
  <c r="G856" i="15"/>
  <c r="G840" i="15"/>
  <c r="G824" i="15"/>
  <c r="F805" i="15"/>
  <c r="F789" i="15"/>
  <c r="F773" i="15"/>
  <c r="J753" i="15"/>
  <c r="F739" i="15"/>
  <c r="F723" i="15"/>
  <c r="J703" i="15"/>
  <c r="J687" i="15"/>
  <c r="J671" i="15"/>
  <c r="I652" i="15"/>
  <c r="I636" i="15"/>
  <c r="I620" i="15"/>
  <c r="H601" i="15"/>
  <c r="H585" i="15"/>
  <c r="H569" i="15"/>
  <c r="G550" i="15"/>
  <c r="G534" i="15"/>
  <c r="G518" i="15"/>
  <c r="F499" i="15"/>
  <c r="F483" i="15"/>
  <c r="F467" i="15"/>
  <c r="J447" i="15"/>
  <c r="J431" i="15"/>
  <c r="J415" i="15"/>
  <c r="I396" i="15"/>
  <c r="I380" i="15"/>
  <c r="I364" i="15"/>
  <c r="H345" i="15"/>
  <c r="H329" i="15"/>
  <c r="H313" i="15"/>
  <c r="G294" i="15"/>
  <c r="G278" i="15"/>
  <c r="G262" i="15"/>
  <c r="F243" i="15"/>
  <c r="F227" i="15"/>
  <c r="F211" i="15"/>
  <c r="J191" i="15"/>
  <c r="J175" i="15"/>
  <c r="J159" i="15"/>
  <c r="I140" i="15"/>
  <c r="I124" i="15"/>
  <c r="I108" i="15"/>
  <c r="H89" i="15"/>
  <c r="H73" i="15"/>
  <c r="H57" i="15"/>
  <c r="G38" i="15"/>
  <c r="G22" i="15"/>
  <c r="J7" i="15"/>
  <c r="D14" i="6"/>
  <c r="D126" i="5"/>
  <c r="E78" i="5"/>
  <c r="E22" i="5"/>
  <c r="I739" i="15"/>
  <c r="I723" i="15"/>
  <c r="H704" i="15"/>
  <c r="H688" i="15"/>
  <c r="H672" i="15"/>
  <c r="G653" i="15"/>
  <c r="G637" i="15"/>
  <c r="G621" i="15"/>
  <c r="F602" i="15"/>
  <c r="F586" i="15"/>
  <c r="F570" i="15"/>
  <c r="J550" i="15"/>
  <c r="J534" i="15"/>
  <c r="J518" i="15"/>
  <c r="I499" i="15"/>
  <c r="I483" i="15"/>
  <c r="I467" i="15"/>
  <c r="H448" i="15"/>
  <c r="H432" i="15"/>
  <c r="H416" i="15"/>
  <c r="G397" i="15"/>
  <c r="G381" i="15"/>
  <c r="G365" i="15"/>
  <c r="F346" i="15"/>
  <c r="F330" i="15"/>
  <c r="F314" i="15"/>
  <c r="J294" i="15"/>
  <c r="J278" i="15"/>
  <c r="J262" i="15"/>
  <c r="I243" i="15"/>
  <c r="I227" i="15"/>
  <c r="I211" i="15"/>
  <c r="H192" i="15"/>
  <c r="H176" i="15"/>
  <c r="H160" i="15"/>
  <c r="G141" i="15"/>
  <c r="G125" i="15"/>
  <c r="G109" i="15"/>
  <c r="F90" i="15"/>
  <c r="F74" i="15"/>
  <c r="F58" i="15"/>
  <c r="J38" i="15"/>
  <c r="J22" i="15"/>
  <c r="J6" i="15"/>
  <c r="E9" i="6"/>
  <c r="E121" i="5"/>
  <c r="D75" i="5"/>
  <c r="D19" i="5"/>
  <c r="I738" i="15"/>
  <c r="I722" i="15"/>
  <c r="H703" i="15"/>
  <c r="H687" i="15"/>
  <c r="H671" i="15"/>
  <c r="G652" i="15"/>
  <c r="G636" i="15"/>
  <c r="G620" i="15"/>
  <c r="F601" i="15"/>
  <c r="F585" i="15"/>
  <c r="F569" i="15"/>
  <c r="J549" i="15"/>
  <c r="J533" i="15"/>
  <c r="J517" i="15"/>
  <c r="I498" i="15"/>
  <c r="I482" i="15"/>
  <c r="I466" i="15"/>
  <c r="H447" i="15"/>
  <c r="H431" i="15"/>
  <c r="H415" i="15"/>
  <c r="G396" i="15"/>
  <c r="G380" i="15"/>
  <c r="G364" i="15"/>
  <c r="F345" i="15"/>
  <c r="F329" i="15"/>
  <c r="F313" i="15"/>
  <c r="J293" i="15"/>
  <c r="J277" i="15"/>
  <c r="J261" i="15"/>
  <c r="I242" i="15"/>
  <c r="I226" i="15"/>
  <c r="I210" i="15"/>
  <c r="H191" i="15"/>
  <c r="H175" i="15"/>
  <c r="H159" i="15"/>
  <c r="G140" i="15"/>
  <c r="G124" i="15"/>
  <c r="G108" i="15"/>
  <c r="F89" i="15"/>
  <c r="F73" i="15"/>
  <c r="F57" i="15"/>
  <c r="J37" i="15"/>
  <c r="J21" i="15"/>
  <c r="J5" i="15"/>
  <c r="E6" i="6"/>
  <c r="E118" i="5"/>
  <c r="D72" i="5"/>
  <c r="I741" i="15"/>
  <c r="I725" i="15"/>
  <c r="I709" i="15"/>
  <c r="H690" i="15"/>
  <c r="H674" i="15"/>
  <c r="H658" i="15"/>
  <c r="G639" i="15"/>
  <c r="G623" i="15"/>
  <c r="G607" i="15"/>
  <c r="F588" i="15"/>
  <c r="F572" i="15"/>
  <c r="F556" i="15"/>
  <c r="J536" i="15"/>
  <c r="J520" i="15"/>
  <c r="J504" i="15"/>
  <c r="I485" i="15"/>
  <c r="I469" i="15"/>
  <c r="I453" i="15"/>
  <c r="H434" i="15"/>
  <c r="H418" i="15"/>
  <c r="H402" i="15"/>
  <c r="G383" i="15"/>
  <c r="G367" i="15"/>
  <c r="G351" i="15"/>
  <c r="F332" i="15"/>
  <c r="F316" i="15"/>
  <c r="F300" i="15"/>
  <c r="J280" i="15"/>
  <c r="J264" i="15"/>
  <c r="J248" i="15"/>
  <c r="I229" i="15"/>
  <c r="I213" i="15"/>
  <c r="I197" i="15"/>
  <c r="H178" i="15"/>
  <c r="H162" i="15"/>
  <c r="H146" i="15"/>
  <c r="G127" i="15"/>
  <c r="G111" i="15"/>
  <c r="G95" i="15"/>
  <c r="F76" i="15"/>
  <c r="F60" i="15"/>
  <c r="F44" i="15"/>
  <c r="J24" i="15"/>
  <c r="J8" i="15"/>
  <c r="D26" i="6"/>
  <c r="D130" i="5"/>
  <c r="D83" i="5"/>
  <c r="E35" i="5"/>
  <c r="D28" i="4"/>
  <c r="D173" i="3"/>
  <c r="D127" i="3"/>
  <c r="D71" i="3"/>
  <c r="E23" i="3"/>
  <c r="D36" i="2"/>
  <c r="D189" i="1"/>
  <c r="D145" i="1"/>
  <c r="D102" i="1"/>
  <c r="D50" i="1"/>
  <c r="E96" i="4"/>
  <c r="E7" i="4"/>
  <c r="E146" i="3"/>
  <c r="D100" i="3"/>
  <c r="E53" i="3"/>
  <c r="E58" i="2"/>
  <c r="E8" i="2"/>
  <c r="E166" i="1"/>
  <c r="E114" i="1"/>
  <c r="E71" i="1"/>
  <c r="E27" i="1"/>
  <c r="E40" i="4"/>
  <c r="E193" i="3"/>
  <c r="E147" i="3"/>
  <c r="E91" i="3"/>
  <c r="D46" i="3"/>
  <c r="E59" i="2"/>
  <c r="E12" i="2"/>
  <c r="D170" i="1"/>
  <c r="D127" i="1"/>
  <c r="D75" i="1"/>
  <c r="D32" i="1"/>
  <c r="E98" i="4"/>
  <c r="D5" i="4"/>
  <c r="D161" i="3"/>
  <c r="E124" i="3"/>
  <c r="E85" i="3"/>
  <c r="D49" i="3"/>
  <c r="E12" i="3"/>
  <c r="D35" i="2"/>
  <c r="E203" i="1"/>
  <c r="E169" i="1"/>
  <c r="E134" i="1"/>
  <c r="E100" i="1"/>
  <c r="E65" i="1"/>
  <c r="E30" i="1"/>
  <c r="I16" i="15"/>
  <c r="J3" i="15"/>
  <c r="D21" i="6"/>
  <c r="E141" i="5"/>
  <c r="D105" i="5"/>
  <c r="E68" i="5"/>
  <c r="E29" i="5"/>
  <c r="E99" i="4"/>
  <c r="H732" i="15"/>
  <c r="I719" i="15"/>
  <c r="J706" i="15"/>
  <c r="F694" i="15"/>
  <c r="G681" i="15"/>
  <c r="H668" i="15"/>
  <c r="I655" i="15"/>
  <c r="J642" i="15"/>
  <c r="F630" i="15"/>
  <c r="G617" i="15"/>
  <c r="H604" i="15"/>
  <c r="I591" i="15"/>
  <c r="J578" i="15"/>
  <c r="F566" i="15"/>
  <c r="G553" i="15"/>
  <c r="H540" i="15"/>
  <c r="I527" i="15"/>
  <c r="J514" i="15"/>
  <c r="F502" i="15"/>
  <c r="G489" i="15"/>
  <c r="H476" i="15"/>
  <c r="I463" i="15"/>
  <c r="J450" i="15"/>
  <c r="F438" i="15"/>
  <c r="G425" i="15"/>
  <c r="H412" i="15"/>
  <c r="I399" i="15"/>
  <c r="J386" i="15"/>
  <c r="F374" i="15"/>
  <c r="G361" i="15"/>
  <c r="H348" i="15"/>
  <c r="I335" i="15"/>
  <c r="J322" i="15"/>
  <c r="F310" i="15"/>
  <c r="G297" i="15"/>
  <c r="H284" i="15"/>
  <c r="I271" i="15"/>
  <c r="J258" i="15"/>
  <c r="F246" i="15"/>
  <c r="G233" i="15"/>
  <c r="H220" i="15"/>
  <c r="I207" i="15"/>
  <c r="J194" i="15"/>
  <c r="F182" i="15"/>
  <c r="G169" i="15"/>
  <c r="H156" i="15"/>
  <c r="I143" i="15"/>
  <c r="J130" i="15"/>
  <c r="F118" i="15"/>
  <c r="G105" i="15"/>
  <c r="H92" i="15"/>
  <c r="I79" i="15"/>
  <c r="J66" i="15"/>
  <c r="F54" i="15"/>
  <c r="G41" i="15"/>
  <c r="H28" i="15"/>
  <c r="I15" i="15"/>
  <c r="J2" i="15"/>
  <c r="E16" i="6"/>
  <c r="D138" i="5"/>
  <c r="E100" i="5"/>
  <c r="D64" i="5"/>
  <c r="D26" i="5"/>
  <c r="D95" i="4"/>
  <c r="H731" i="15"/>
  <c r="I718" i="15"/>
  <c r="J705" i="15"/>
  <c r="F693" i="15"/>
  <c r="G680" i="15"/>
  <c r="H667" i="15"/>
  <c r="I654" i="15"/>
  <c r="J641" i="15"/>
  <c r="F629" i="15"/>
  <c r="G616" i="15"/>
  <c r="H603" i="15"/>
  <c r="I590" i="15"/>
  <c r="J577" i="15"/>
  <c r="F565" i="15"/>
  <c r="G552" i="15"/>
  <c r="H539" i="15"/>
  <c r="I526" i="15"/>
  <c r="J513" i="15"/>
  <c r="F501" i="15"/>
  <c r="G488" i="15"/>
  <c r="H475" i="15"/>
  <c r="I462" i="15"/>
  <c r="J449" i="15"/>
  <c r="F437" i="15"/>
  <c r="G424" i="15"/>
  <c r="H411" i="15"/>
  <c r="I398" i="15"/>
  <c r="J385" i="15"/>
  <c r="F373" i="15"/>
  <c r="G360" i="15"/>
  <c r="H347" i="15"/>
  <c r="I334" i="15"/>
  <c r="J321" i="15"/>
  <c r="F309" i="15"/>
  <c r="G296" i="15"/>
  <c r="H283" i="15"/>
  <c r="I270" i="15"/>
  <c r="J257" i="15"/>
  <c r="F245" i="15"/>
  <c r="G232" i="15"/>
  <c r="H219" i="15"/>
  <c r="I206" i="15"/>
  <c r="J193" i="15"/>
  <c r="F181" i="15"/>
  <c r="G168" i="15"/>
  <c r="H155" i="15"/>
  <c r="I142" i="15"/>
  <c r="J129" i="15"/>
  <c r="F117" i="15"/>
  <c r="G104" i="15"/>
  <c r="H91" i="15"/>
  <c r="I78" i="15"/>
  <c r="J65" i="15"/>
  <c r="F53" i="15"/>
  <c r="G40" i="15"/>
  <c r="H27" i="15"/>
  <c r="I14" i="15"/>
  <c r="E14" i="8"/>
  <c r="E13" i="6"/>
  <c r="D135" i="5"/>
  <c r="E97" i="5"/>
  <c r="E60" i="5"/>
  <c r="D23" i="5"/>
  <c r="G731" i="15"/>
  <c r="H718" i="15"/>
  <c r="I705" i="15"/>
  <c r="J692" i="15"/>
  <c r="F680" i="15"/>
  <c r="G667" i="15"/>
  <c r="H654" i="15"/>
  <c r="I641" i="15"/>
  <c r="J628" i="15"/>
  <c r="F616" i="15"/>
  <c r="G603" i="15"/>
  <c r="H590" i="15"/>
  <c r="I577" i="15"/>
  <c r="J564" i="15"/>
  <c r="F552" i="15"/>
  <c r="J2737" i="15"/>
  <c r="F2559" i="15"/>
  <c r="J2451" i="15"/>
  <c r="H2114" i="15"/>
  <c r="H2270" i="15"/>
  <c r="F2137" i="15"/>
  <c r="I1997" i="15"/>
  <c r="I2265" i="15"/>
  <c r="I2172" i="15"/>
  <c r="F2034" i="15"/>
  <c r="F1918" i="15"/>
  <c r="J2283" i="15"/>
  <c r="J2282" i="15"/>
  <c r="H1873" i="15"/>
  <c r="H1872" i="15"/>
  <c r="I2244" i="15"/>
  <c r="G1998" i="15"/>
  <c r="F2202" i="15"/>
  <c r="G1997" i="15"/>
  <c r="I1792" i="15"/>
  <c r="J1587" i="15"/>
  <c r="I1791" i="15"/>
  <c r="J1586" i="15"/>
  <c r="F2199" i="15"/>
  <c r="G1994" i="15"/>
  <c r="F2198" i="15"/>
  <c r="G1993" i="15"/>
  <c r="I1788" i="15"/>
  <c r="J1583" i="15"/>
  <c r="I1787" i="15"/>
  <c r="I1571" i="15"/>
  <c r="I1842" i="15"/>
  <c r="G1708" i="15"/>
  <c r="I1570" i="15"/>
  <c r="I1841" i="15"/>
  <c r="G1707" i="15"/>
  <c r="I1569" i="15"/>
  <c r="G1442" i="15"/>
  <c r="J1339" i="15"/>
  <c r="H1237" i="15"/>
  <c r="I1543" i="15"/>
  <c r="G1441" i="15"/>
  <c r="J1338" i="15"/>
  <c r="H1236" i="15"/>
  <c r="I1918" i="15"/>
  <c r="G1816" i="15"/>
  <c r="J1713" i="15"/>
  <c r="H1611" i="15"/>
  <c r="I1917" i="15"/>
  <c r="G1815" i="15"/>
  <c r="J1712" i="15"/>
  <c r="H1610" i="15"/>
  <c r="I1508" i="15"/>
  <c r="G1406" i="15"/>
  <c r="J1303" i="15"/>
  <c r="H1201" i="15"/>
  <c r="I1507" i="15"/>
  <c r="G1405" i="15"/>
  <c r="J1302" i="15"/>
  <c r="G1573" i="15"/>
  <c r="H1879" i="15"/>
  <c r="F1777" i="15"/>
  <c r="I1674" i="15"/>
  <c r="G1572" i="15"/>
  <c r="H1878" i="15"/>
  <c r="F1776" i="15"/>
  <c r="I1673" i="15"/>
  <c r="G1571" i="15"/>
  <c r="H1469" i="15"/>
  <c r="F1367" i="15"/>
  <c r="I1264" i="15"/>
  <c r="G1162" i="15"/>
  <c r="H1468" i="15"/>
  <c r="F1366" i="15"/>
  <c r="I1263" i="15"/>
  <c r="I1958" i="15"/>
  <c r="G1856" i="15"/>
  <c r="J1753" i="15"/>
  <c r="H1651" i="15"/>
  <c r="I1957" i="15"/>
  <c r="G1855" i="15"/>
  <c r="J1752" i="15"/>
  <c r="H1650" i="15"/>
  <c r="I1548" i="15"/>
  <c r="G1446" i="15"/>
  <c r="J1343" i="15"/>
  <c r="H1241" i="15"/>
  <c r="I1547" i="15"/>
  <c r="G1445" i="15"/>
  <c r="J1342" i="15"/>
  <c r="H1240" i="15"/>
  <c r="F1162" i="15"/>
  <c r="G1468" i="15"/>
  <c r="J1365" i="15"/>
  <c r="H1263" i="15"/>
  <c r="F1161" i="15"/>
  <c r="G1467" i="15"/>
  <c r="J1364" i="15"/>
  <c r="H1262" i="15"/>
  <c r="F1160" i="15"/>
  <c r="I1057" i="15"/>
  <c r="G955" i="15"/>
  <c r="J852" i="15"/>
  <c r="H750" i="15"/>
  <c r="J1055" i="15"/>
  <c r="H953" i="15"/>
  <c r="I876" i="15"/>
  <c r="F1230" i="15"/>
  <c r="F1557" i="15"/>
  <c r="J1489" i="15"/>
  <c r="I1422" i="15"/>
  <c r="G1352" i="15"/>
  <c r="F1285" i="15"/>
  <c r="J1217" i="15"/>
  <c r="F1556" i="15"/>
  <c r="J1488" i="15"/>
  <c r="I1421" i="15"/>
  <c r="G1351" i="15"/>
  <c r="F1284" i="15"/>
  <c r="J1216" i="15"/>
  <c r="H1146" i="15"/>
  <c r="G1079" i="15"/>
  <c r="F1012" i="15"/>
  <c r="I941" i="15"/>
  <c r="H874" i="15"/>
  <c r="G807" i="15"/>
  <c r="I1144" i="15"/>
  <c r="H1077" i="15"/>
  <c r="G1042" i="15"/>
  <c r="G1010" i="15"/>
  <c r="F975" i="15"/>
  <c r="J939" i="15"/>
  <c r="J907" i="15"/>
  <c r="I872" i="15"/>
  <c r="G1229" i="15"/>
  <c r="F1186" i="15"/>
  <c r="J1150" i="15"/>
  <c r="G1524" i="15"/>
  <c r="G1492" i="15"/>
  <c r="F1457" i="15"/>
  <c r="J1421" i="15"/>
  <c r="J1389" i="15"/>
  <c r="I1354" i="15"/>
  <c r="H1319" i="15"/>
  <c r="H1287" i="15"/>
  <c r="J1261" i="15"/>
  <c r="H1239" i="15"/>
  <c r="F1217" i="15"/>
  <c r="H1191" i="15"/>
  <c r="G1172" i="15"/>
  <c r="H1558" i="15"/>
  <c r="J1532" i="15"/>
  <c r="H1510" i="15"/>
  <c r="G1491" i="15"/>
  <c r="I1465" i="15"/>
  <c r="G1443" i="15"/>
  <c r="J1420" i="15"/>
  <c r="G1395" i="15"/>
  <c r="F1376" i="15"/>
  <c r="I1353" i="15"/>
  <c r="F1328" i="15"/>
  <c r="I1305" i="15"/>
  <c r="H1286" i="15"/>
  <c r="J1260" i="15"/>
  <c r="H1238" i="15"/>
  <c r="F1216" i="15"/>
  <c r="H1190" i="15"/>
  <c r="G1171" i="15"/>
  <c r="J1148" i="15"/>
  <c r="G1123" i="15"/>
  <c r="J1100" i="15"/>
  <c r="I1081" i="15"/>
  <c r="F1056" i="15"/>
  <c r="I1033" i="15"/>
  <c r="G1011" i="15"/>
  <c r="I985" i="15"/>
  <c r="H966" i="15"/>
  <c r="F944" i="15"/>
  <c r="H918" i="15"/>
  <c r="F896" i="15"/>
  <c r="J876" i="15"/>
  <c r="G851" i="15"/>
  <c r="J828" i="15"/>
  <c r="H806" i="15"/>
  <c r="J780" i="15"/>
  <c r="I761" i="15"/>
  <c r="F1147" i="15"/>
  <c r="H1121" i="15"/>
  <c r="F1099" i="15"/>
  <c r="J1079" i="15"/>
  <c r="G1054" i="15"/>
  <c r="J1031" i="15"/>
  <c r="J1015" i="15"/>
  <c r="I996" i="15"/>
  <c r="I980" i="15"/>
  <c r="I964" i="15"/>
  <c r="H945" i="15"/>
  <c r="H929" i="15"/>
  <c r="H913" i="15"/>
  <c r="G894" i="15"/>
  <c r="G878" i="15"/>
  <c r="G862" i="15"/>
  <c r="J1206" i="15"/>
  <c r="H1188" i="15"/>
  <c r="H1172" i="15"/>
  <c r="G1153" i="15"/>
  <c r="J1545" i="15"/>
  <c r="J1529" i="15"/>
  <c r="I1510" i="15"/>
  <c r="I1494" i="15"/>
  <c r="I1478" i="15"/>
  <c r="H1459" i="15"/>
  <c r="H1443" i="15"/>
  <c r="H1427" i="15"/>
  <c r="G1408" i="15"/>
  <c r="G1392" i="15"/>
  <c r="G1376" i="15"/>
  <c r="F1357" i="15"/>
  <c r="F1341" i="15"/>
  <c r="F1325" i="15"/>
  <c r="J1305" i="15"/>
  <c r="J1289" i="15"/>
  <c r="J1273" i="15"/>
  <c r="I1254" i="15"/>
  <c r="I1238" i="15"/>
  <c r="I1222" i="15"/>
  <c r="H1203" i="15"/>
  <c r="H1187" i="15"/>
  <c r="H1171" i="15"/>
  <c r="G1152" i="15"/>
  <c r="J1544" i="15"/>
  <c r="J1528" i="15"/>
  <c r="I1509" i="15"/>
  <c r="I1493" i="15"/>
  <c r="I1477" i="15"/>
  <c r="H1458" i="15"/>
  <c r="H1442" i="15"/>
  <c r="H1426" i="15"/>
  <c r="G1407" i="15"/>
  <c r="G1391" i="15"/>
  <c r="G1375" i="15"/>
  <c r="F1356" i="15"/>
  <c r="F1340" i="15"/>
  <c r="F1324" i="15"/>
  <c r="J1304" i="15"/>
  <c r="J1288" i="15"/>
  <c r="J1272" i="15"/>
  <c r="I1253" i="15"/>
  <c r="I1237" i="15"/>
  <c r="I1221" i="15"/>
  <c r="H1202" i="15"/>
  <c r="H1186" i="15"/>
  <c r="H1170" i="15"/>
  <c r="G1151" i="15"/>
  <c r="G1135" i="15"/>
  <c r="G1119" i="15"/>
  <c r="F1100" i="15"/>
  <c r="F1084" i="15"/>
  <c r="F1068" i="15"/>
  <c r="J1048" i="15"/>
  <c r="J1032" i="15"/>
  <c r="J1016" i="15"/>
  <c r="I997" i="15"/>
  <c r="I981" i="15"/>
  <c r="I965" i="15"/>
  <c r="H946" i="15"/>
  <c r="H930" i="15"/>
  <c r="H914" i="15"/>
  <c r="G895" i="15"/>
  <c r="G879" i="15"/>
  <c r="G863" i="15"/>
  <c r="F844" i="15"/>
  <c r="F828" i="15"/>
  <c r="F812" i="15"/>
  <c r="J792" i="15"/>
  <c r="J776" i="15"/>
  <c r="J760" i="15"/>
  <c r="H1149" i="15"/>
  <c r="H1133" i="15"/>
  <c r="H1117" i="15"/>
  <c r="G1098" i="15"/>
  <c r="G1082" i="15"/>
  <c r="G1066" i="15"/>
  <c r="F1047" i="15"/>
  <c r="F1031" i="15"/>
  <c r="F1015" i="15"/>
  <c r="J995" i="15"/>
  <c r="J979" i="15"/>
  <c r="J963" i="15"/>
  <c r="I944" i="15"/>
  <c r="I928" i="15"/>
  <c r="I912" i="15"/>
  <c r="H893" i="15"/>
  <c r="H877" i="15"/>
  <c r="H861" i="15"/>
  <c r="I836" i="15"/>
  <c r="F815" i="15"/>
  <c r="G798" i="15"/>
  <c r="F779" i="15"/>
  <c r="F763" i="15"/>
  <c r="F747" i="15"/>
  <c r="I1135" i="15"/>
  <c r="I1119" i="15"/>
  <c r="I1103" i="15"/>
  <c r="H1084" i="15"/>
  <c r="H1068" i="15"/>
  <c r="H1052" i="15"/>
  <c r="G1033" i="15"/>
  <c r="G1017" i="15"/>
  <c r="G1001" i="15"/>
  <c r="F982" i="15"/>
  <c r="F966" i="15"/>
  <c r="F950" i="15"/>
  <c r="J930" i="15"/>
  <c r="J914" i="15"/>
  <c r="J898" i="15"/>
  <c r="I879" i="15"/>
  <c r="I863" i="15"/>
  <c r="I847" i="15"/>
  <c r="H828" i="15"/>
  <c r="H812" i="15"/>
  <c r="H796" i="15"/>
  <c r="G777" i="15"/>
  <c r="G761" i="15"/>
  <c r="G745" i="15"/>
  <c r="J1133" i="15"/>
  <c r="J1117" i="15"/>
  <c r="J1101" i="15"/>
  <c r="I1082" i="15"/>
  <c r="I1066" i="15"/>
  <c r="I1050" i="15"/>
  <c r="H1031" i="15"/>
  <c r="H1015" i="15"/>
  <c r="H999" i="15"/>
  <c r="G980" i="15"/>
  <c r="G964" i="15"/>
  <c r="G948" i="15"/>
  <c r="F929" i="15"/>
  <c r="F913" i="15"/>
  <c r="F897" i="15"/>
  <c r="J877" i="15"/>
  <c r="J861" i="15"/>
  <c r="J845" i="15"/>
  <c r="I826" i="15"/>
  <c r="I810" i="15"/>
  <c r="I794" i="15"/>
  <c r="H775" i="15"/>
  <c r="H759" i="15"/>
  <c r="H743" i="15"/>
  <c r="H725" i="15"/>
  <c r="H709" i="15"/>
  <c r="H693" i="15"/>
  <c r="G674" i="15"/>
  <c r="G658" i="15"/>
  <c r="G642" i="15"/>
  <c r="F623" i="15"/>
  <c r="F607" i="15"/>
  <c r="F591" i="15"/>
  <c r="J571" i="15"/>
  <c r="J555" i="15"/>
  <c r="J539" i="15"/>
  <c r="I520" i="15"/>
  <c r="I504" i="15"/>
  <c r="I488" i="15"/>
  <c r="H469" i="15"/>
  <c r="H453" i="15"/>
  <c r="H437" i="15"/>
  <c r="G418" i="15"/>
  <c r="G402" i="15"/>
  <c r="G386" i="15"/>
  <c r="F367" i="15"/>
  <c r="F351" i="15"/>
  <c r="F335" i="15"/>
  <c r="J315" i="15"/>
  <c r="J299" i="15"/>
  <c r="J283" i="15"/>
  <c r="I264" i="15"/>
  <c r="I248" i="15"/>
  <c r="I232" i="15"/>
  <c r="H213" i="15"/>
  <c r="H197" i="15"/>
  <c r="H181" i="15"/>
  <c r="G162" i="15"/>
  <c r="G146" i="15"/>
  <c r="G130" i="15"/>
  <c r="F111" i="15"/>
  <c r="F95" i="15"/>
  <c r="F79" i="15"/>
  <c r="J59" i="15"/>
  <c r="J43" i="15"/>
  <c r="J27" i="15"/>
  <c r="J835" i="15"/>
  <c r="G814" i="15"/>
  <c r="H797" i="15"/>
  <c r="G778" i="15"/>
  <c r="G762" i="15"/>
  <c r="G746" i="15"/>
  <c r="J1134" i="15"/>
  <c r="J1118" i="15"/>
  <c r="J1102" i="15"/>
  <c r="I1083" i="15"/>
  <c r="I1067" i="15"/>
  <c r="I1051" i="15"/>
  <c r="H1032" i="15"/>
  <c r="H1016" i="15"/>
  <c r="H1000" i="15"/>
  <c r="G981" i="15"/>
  <c r="G965" i="15"/>
  <c r="G949" i="15"/>
  <c r="F930" i="15"/>
  <c r="F914" i="15"/>
  <c r="F898" i="15"/>
  <c r="J878" i="15"/>
  <c r="J862" i="15"/>
  <c r="J846" i="15"/>
  <c r="I827" i="15"/>
  <c r="I811" i="15"/>
  <c r="I795" i="15"/>
  <c r="H776" i="15"/>
  <c r="H760" i="15"/>
  <c r="H744" i="15"/>
  <c r="F1133" i="15"/>
  <c r="F1117" i="15"/>
  <c r="F1101" i="15"/>
  <c r="J1081" i="15"/>
  <c r="J1065" i="15"/>
  <c r="J1049" i="15"/>
  <c r="I1030" i="15"/>
  <c r="I1014" i="15"/>
  <c r="I998" i="15"/>
  <c r="H979" i="15"/>
  <c r="H963" i="15"/>
  <c r="H947" i="15"/>
  <c r="G928" i="15"/>
  <c r="G912" i="15"/>
  <c r="G896" i="15"/>
  <c r="F877" i="15"/>
  <c r="F861" i="15"/>
  <c r="F845" i="15"/>
  <c r="J825" i="15"/>
  <c r="J809" i="15"/>
  <c r="J793" i="15"/>
  <c r="I774" i="15"/>
  <c r="I758" i="15"/>
  <c r="I742" i="15"/>
  <c r="I724" i="15"/>
  <c r="I708" i="15"/>
  <c r="I692" i="15"/>
  <c r="H673" i="15"/>
  <c r="H657" i="15"/>
  <c r="H641" i="15"/>
  <c r="G622" i="15"/>
  <c r="G606" i="15"/>
  <c r="G590" i="15"/>
  <c r="F571" i="15"/>
  <c r="F555" i="15"/>
  <c r="F539" i="15"/>
  <c r="J519" i="15"/>
  <c r="J503" i="15"/>
  <c r="J487" i="15"/>
  <c r="I468" i="15"/>
  <c r="I452" i="15"/>
  <c r="I436" i="15"/>
  <c r="H417" i="15"/>
  <c r="H401" i="15"/>
  <c r="H385" i="15"/>
  <c r="G366" i="15"/>
  <c r="G350" i="15"/>
  <c r="G334" i="15"/>
  <c r="F315" i="15"/>
  <c r="F299" i="15"/>
  <c r="F283" i="15"/>
  <c r="J263" i="15"/>
  <c r="J247" i="15"/>
  <c r="J231" i="15"/>
  <c r="I212" i="15"/>
  <c r="I196" i="15"/>
  <c r="I180" i="15"/>
  <c r="H161" i="15"/>
  <c r="H145" i="15"/>
  <c r="H129" i="15"/>
  <c r="G110" i="15"/>
  <c r="G94" i="15"/>
  <c r="G78" i="15"/>
  <c r="F59" i="15"/>
  <c r="F43" i="15"/>
  <c r="F27" i="15"/>
  <c r="G830" i="15"/>
  <c r="H809" i="15"/>
  <c r="H793" i="15"/>
  <c r="G774" i="15"/>
  <c r="G758" i="15"/>
  <c r="F1150" i="15"/>
  <c r="J1130" i="15"/>
  <c r="J1114" i="15"/>
  <c r="J1098" i="15"/>
  <c r="I1079" i="15"/>
  <c r="I1063" i="15"/>
  <c r="I1047" i="15"/>
  <c r="H1028" i="15"/>
  <c r="H1012" i="15"/>
  <c r="H996" i="15"/>
  <c r="G977" i="15"/>
  <c r="G961" i="15"/>
  <c r="G945" i="15"/>
  <c r="F926" i="15"/>
  <c r="F910" i="15"/>
  <c r="F894" i="15"/>
  <c r="J874" i="15"/>
  <c r="J858" i="15"/>
  <c r="J842" i="15"/>
  <c r="I823" i="15"/>
  <c r="I807" i="15"/>
  <c r="I791" i="15"/>
  <c r="H772" i="15"/>
  <c r="H756" i="15"/>
  <c r="G1148" i="15"/>
  <c r="F1129" i="15"/>
  <c r="F1113" i="15"/>
  <c r="F1097" i="15"/>
  <c r="J1077" i="15"/>
  <c r="J1061" i="15"/>
  <c r="J1045" i="15"/>
  <c r="I1026" i="15"/>
  <c r="I1010" i="15"/>
  <c r="I994" i="15"/>
  <c r="H975" i="15"/>
  <c r="H959" i="15"/>
  <c r="H943" i="15"/>
  <c r="G924" i="15"/>
  <c r="G908" i="15"/>
  <c r="G892" i="15"/>
  <c r="F873" i="15"/>
  <c r="F857" i="15"/>
  <c r="F841" i="15"/>
  <c r="J821" i="15"/>
  <c r="J805" i="15"/>
  <c r="J789" i="15"/>
  <c r="I770" i="15"/>
  <c r="I754" i="15"/>
  <c r="J739" i="15"/>
  <c r="I720" i="15"/>
  <c r="I704" i="15"/>
  <c r="I688" i="15"/>
  <c r="H669" i="15"/>
  <c r="H653" i="15"/>
  <c r="H637" i="15"/>
  <c r="G618" i="15"/>
  <c r="G602" i="15"/>
  <c r="G586" i="15"/>
  <c r="F567" i="15"/>
  <c r="F551" i="15"/>
  <c r="F535" i="15"/>
  <c r="J515" i="15"/>
  <c r="J499" i="15"/>
  <c r="J483" i="15"/>
  <c r="I464" i="15"/>
  <c r="I448" i="15"/>
  <c r="I432" i="15"/>
  <c r="H413" i="15"/>
  <c r="H397" i="15"/>
  <c r="H381" i="15"/>
  <c r="G362" i="15"/>
  <c r="G346" i="15"/>
  <c r="G330" i="15"/>
  <c r="F311" i="15"/>
  <c r="F295" i="15"/>
  <c r="F279" i="15"/>
  <c r="J259" i="15"/>
  <c r="J243" i="15"/>
  <c r="J227" i="15"/>
  <c r="I208" i="15"/>
  <c r="I192" i="15"/>
  <c r="I176" i="15"/>
  <c r="H157" i="15"/>
  <c r="H141" i="15"/>
  <c r="H125" i="15"/>
  <c r="G106" i="15"/>
  <c r="G90" i="15"/>
  <c r="G74" i="15"/>
  <c r="F55" i="15"/>
  <c r="F39" i="15"/>
  <c r="F23" i="15"/>
  <c r="I824" i="15"/>
  <c r="H805" i="15"/>
  <c r="H789" i="15"/>
  <c r="G770" i="15"/>
  <c r="G754" i="15"/>
  <c r="F1146" i="15"/>
  <c r="J1126" i="15"/>
  <c r="J1110" i="15"/>
  <c r="J1094" i="15"/>
  <c r="I1075" i="15"/>
  <c r="I1059" i="15"/>
  <c r="I1043" i="15"/>
  <c r="H1024" i="15"/>
  <c r="H1008" i="15"/>
  <c r="H992" i="15"/>
  <c r="G973" i="15"/>
  <c r="G957" i="15"/>
  <c r="G941" i="15"/>
  <c r="F922" i="15"/>
  <c r="F906" i="15"/>
  <c r="F890" i="15"/>
  <c r="J870" i="15"/>
  <c r="J854" i="15"/>
  <c r="J838" i="15"/>
  <c r="I819" i="15"/>
  <c r="I803" i="15"/>
  <c r="I787" i="15"/>
  <c r="H768" i="15"/>
  <c r="H752" i="15"/>
  <c r="G1144" i="15"/>
  <c r="F1125" i="15"/>
  <c r="F1109" i="15"/>
  <c r="F1093" i="15"/>
  <c r="J1073" i="15"/>
  <c r="J1057" i="15"/>
  <c r="J1041" i="15"/>
  <c r="I1022" i="15"/>
  <c r="I1006" i="15"/>
  <c r="I990" i="15"/>
  <c r="H971" i="15"/>
  <c r="H955" i="15"/>
  <c r="H939" i="15"/>
  <c r="G920" i="15"/>
  <c r="G904" i="15"/>
  <c r="G888" i="15"/>
  <c r="F869" i="15"/>
  <c r="F853" i="15"/>
  <c r="F837" i="15"/>
  <c r="J817" i="15"/>
  <c r="J801" i="15"/>
  <c r="J785" i="15"/>
  <c r="I766" i="15"/>
  <c r="I750" i="15"/>
  <c r="J735" i="15"/>
  <c r="I716" i="15"/>
  <c r="I700" i="15"/>
  <c r="I684" i="15"/>
  <c r="H665" i="15"/>
  <c r="H649" i="15"/>
  <c r="H633" i="15"/>
  <c r="G614" i="15"/>
  <c r="G598" i="15"/>
  <c r="G582" i="15"/>
  <c r="F563" i="15"/>
  <c r="F547" i="15"/>
  <c r="F531" i="15"/>
  <c r="J511" i="15"/>
  <c r="J495" i="15"/>
  <c r="J479" i="15"/>
  <c r="I460" i="15"/>
  <c r="I444" i="15"/>
  <c r="I428" i="15"/>
  <c r="H409" i="15"/>
  <c r="H393" i="15"/>
  <c r="H377" i="15"/>
  <c r="G358" i="15"/>
  <c r="G342" i="15"/>
  <c r="G326" i="15"/>
  <c r="F307" i="15"/>
  <c r="F291" i="15"/>
  <c r="F275" i="15"/>
  <c r="J255" i="15"/>
  <c r="J239" i="15"/>
  <c r="J223" i="15"/>
  <c r="I204" i="15"/>
  <c r="I188" i="15"/>
  <c r="I172" i="15"/>
  <c r="H153" i="15"/>
  <c r="H137" i="15"/>
  <c r="H121" i="15"/>
  <c r="G102" i="15"/>
  <c r="G86" i="15"/>
  <c r="G70" i="15"/>
  <c r="F51" i="15"/>
  <c r="F35" i="15"/>
  <c r="I20" i="15"/>
  <c r="D15" i="8"/>
  <c r="E5" i="6"/>
  <c r="E117" i="5"/>
  <c r="E61" i="5"/>
  <c r="D14" i="5"/>
  <c r="H736" i="15"/>
  <c r="G717" i="15"/>
  <c r="G701" i="15"/>
  <c r="G685" i="15"/>
  <c r="F666" i="15"/>
  <c r="F650" i="15"/>
  <c r="F634" i="15"/>
  <c r="J614" i="15"/>
  <c r="J598" i="15"/>
  <c r="J582" i="15"/>
  <c r="I563" i="15"/>
  <c r="I547" i="15"/>
  <c r="I531" i="15"/>
  <c r="H512" i="15"/>
  <c r="H496" i="15"/>
  <c r="H480" i="15"/>
  <c r="G461" i="15"/>
  <c r="G445" i="15"/>
  <c r="G429" i="15"/>
  <c r="F410" i="15"/>
  <c r="F394" i="15"/>
  <c r="F378" i="15"/>
  <c r="J358" i="15"/>
  <c r="J342" i="15"/>
  <c r="J326" i="15"/>
  <c r="I307" i="15"/>
  <c r="I291" i="15"/>
  <c r="I275" i="15"/>
  <c r="H256" i="15"/>
  <c r="H240" i="15"/>
  <c r="H224" i="15"/>
  <c r="G205" i="15"/>
  <c r="G189" i="15"/>
  <c r="G173" i="15"/>
  <c r="F154" i="15"/>
  <c r="F138" i="15"/>
  <c r="F122" i="15"/>
  <c r="J102" i="15"/>
  <c r="J86" i="15"/>
  <c r="J70" i="15"/>
  <c r="I51" i="15"/>
  <c r="I35" i="15"/>
  <c r="I19" i="15"/>
  <c r="E9" i="8"/>
  <c r="D158" i="5"/>
  <c r="D113" i="5"/>
  <c r="D57" i="5"/>
  <c r="E9" i="5"/>
  <c r="H735" i="15"/>
  <c r="G716" i="15"/>
  <c r="G700" i="15"/>
  <c r="G684" i="15"/>
  <c r="F665" i="15"/>
  <c r="F649" i="15"/>
  <c r="F633" i="15"/>
  <c r="J613" i="15"/>
  <c r="J597" i="15"/>
  <c r="J581" i="15"/>
  <c r="I562" i="15"/>
  <c r="I546" i="15"/>
  <c r="I530" i="15"/>
  <c r="H511" i="15"/>
  <c r="H495" i="15"/>
  <c r="H479" i="15"/>
  <c r="G460" i="15"/>
  <c r="G444" i="15"/>
  <c r="G428" i="15"/>
  <c r="F409" i="15"/>
  <c r="F393" i="15"/>
  <c r="F377" i="15"/>
  <c r="J357" i="15"/>
  <c r="J341" i="15"/>
  <c r="J325" i="15"/>
  <c r="I306" i="15"/>
  <c r="I290" i="15"/>
  <c r="I274" i="15"/>
  <c r="H255" i="15"/>
  <c r="H239" i="15"/>
  <c r="H223" i="15"/>
  <c r="G204" i="15"/>
  <c r="G188" i="15"/>
  <c r="G172" i="15"/>
  <c r="F153" i="15"/>
  <c r="F137" i="15"/>
  <c r="F121" i="15"/>
  <c r="J101" i="15"/>
  <c r="J85" i="15"/>
  <c r="J69" i="15"/>
  <c r="I50" i="15"/>
  <c r="I34" i="15"/>
  <c r="I18" i="15"/>
  <c r="D6" i="8"/>
  <c r="E155" i="5"/>
  <c r="E109" i="5"/>
  <c r="E53" i="5"/>
  <c r="H738" i="15"/>
  <c r="H722" i="15"/>
  <c r="G703" i="15"/>
  <c r="G687" i="15"/>
  <c r="G671" i="15"/>
  <c r="F652" i="15"/>
  <c r="F636" i="15"/>
  <c r="F620" i="15"/>
  <c r="J600" i="15"/>
  <c r="J584" i="15"/>
  <c r="J568" i="15"/>
  <c r="I549" i="15"/>
  <c r="I533" i="15"/>
  <c r="I517" i="15"/>
  <c r="H498" i="15"/>
  <c r="H482" i="15"/>
  <c r="H466" i="15"/>
  <c r="G447" i="15"/>
  <c r="G431" i="15"/>
  <c r="G415" i="15"/>
  <c r="F396" i="15"/>
  <c r="F380" i="15"/>
  <c r="F364" i="15"/>
  <c r="J344" i="15"/>
  <c r="J328" i="15"/>
  <c r="J312" i="15"/>
  <c r="I293" i="15"/>
  <c r="I277" i="15"/>
  <c r="I261" i="15"/>
  <c r="H242" i="15"/>
  <c r="H226" i="15"/>
  <c r="H210" i="15"/>
  <c r="G191" i="15"/>
  <c r="G175" i="15"/>
  <c r="G159" i="15"/>
  <c r="F140" i="15"/>
  <c r="F124" i="15"/>
  <c r="F108" i="15"/>
  <c r="J88" i="15"/>
  <c r="J72" i="15"/>
  <c r="J56" i="15"/>
  <c r="I37" i="15"/>
  <c r="I21" i="15"/>
  <c r="I5" i="15"/>
  <c r="E7" i="6"/>
  <c r="E119" i="5"/>
  <c r="D74" i="5"/>
  <c r="D18" i="5"/>
  <c r="E17" i="4"/>
  <c r="E163" i="3"/>
  <c r="E107" i="3"/>
  <c r="D61" i="3"/>
  <c r="D15" i="3"/>
  <c r="D16" i="2"/>
  <c r="D180" i="1"/>
  <c r="D136" i="1"/>
  <c r="D85" i="1"/>
  <c r="D41" i="1"/>
  <c r="E42" i="4"/>
  <c r="D184" i="3"/>
  <c r="E137" i="3"/>
  <c r="E90" i="3"/>
  <c r="E34" i="3"/>
  <c r="E50" i="2"/>
  <c r="E200" i="1"/>
  <c r="E148" i="1"/>
  <c r="E106" i="1"/>
  <c r="E62" i="1"/>
  <c r="D9" i="1"/>
  <c r="E31" i="4"/>
  <c r="E185" i="3"/>
  <c r="D130" i="3"/>
  <c r="D83" i="3"/>
  <c r="E35" i="3"/>
  <c r="E43" i="2"/>
  <c r="D4" i="2"/>
  <c r="D161" i="1"/>
  <c r="D110" i="1"/>
  <c r="D66" i="1"/>
  <c r="D23" i="1"/>
  <c r="E33" i="4"/>
  <c r="D189" i="3"/>
  <c r="F2673" i="15"/>
  <c r="G2139" i="15"/>
  <c r="F2035" i="15"/>
  <c r="H2180" i="15"/>
  <c r="I2355" i="15"/>
  <c r="G1945" i="15"/>
  <c r="I2351" i="15"/>
  <c r="G1941" i="15"/>
  <c r="F1673" i="15"/>
  <c r="F1535" i="15"/>
  <c r="F1518" i="15"/>
  <c r="F1893" i="15"/>
  <c r="F1892" i="15"/>
  <c r="F1483" i="15"/>
  <c r="F1482" i="15"/>
  <c r="J1853" i="15"/>
  <c r="J1852" i="15"/>
  <c r="J1443" i="15"/>
  <c r="J1442" i="15"/>
  <c r="I1830" i="15"/>
  <c r="I1829" i="15"/>
  <c r="I1420" i="15"/>
  <c r="I1419" i="15"/>
  <c r="I1442" i="15"/>
  <c r="I1441" i="15"/>
  <c r="F1032" i="15"/>
  <c r="G1030" i="15"/>
  <c r="F1541" i="15"/>
  <c r="F1269" i="15"/>
  <c r="H1402" i="15"/>
  <c r="H1130" i="15"/>
  <c r="H858" i="15"/>
  <c r="H1029" i="15"/>
  <c r="F895" i="15"/>
  <c r="I1546" i="15"/>
  <c r="F1409" i="15"/>
  <c r="J1277" i="15"/>
  <c r="G1188" i="15"/>
  <c r="G1507" i="15"/>
  <c r="H1414" i="15"/>
  <c r="J1324" i="15"/>
  <c r="G1235" i="15"/>
  <c r="G1139" i="15"/>
  <c r="I1049" i="15"/>
  <c r="F960" i="15"/>
  <c r="G867" i="15"/>
  <c r="I777" i="15"/>
  <c r="J1095" i="15"/>
  <c r="H1009" i="15"/>
  <c r="G942" i="15"/>
  <c r="F875" i="15"/>
  <c r="F1166" i="15"/>
  <c r="H1507" i="15"/>
  <c r="G1440" i="15"/>
  <c r="J1369" i="15"/>
  <c r="I1302" i="15"/>
  <c r="H1235" i="15"/>
  <c r="F1165" i="15"/>
  <c r="H1506" i="15"/>
  <c r="G1439" i="15"/>
  <c r="J1368" i="15"/>
  <c r="I1301" i="15"/>
  <c r="H1234" i="15"/>
  <c r="F1164" i="15"/>
  <c r="J1096" i="15"/>
  <c r="I1029" i="15"/>
  <c r="G959" i="15"/>
  <c r="F892" i="15"/>
  <c r="J824" i="15"/>
  <c r="H754" i="15"/>
  <c r="F1095" i="15"/>
  <c r="J1027" i="15"/>
  <c r="H957" i="15"/>
  <c r="G890" i="15"/>
  <c r="F811" i="15"/>
  <c r="H1148" i="15"/>
  <c r="G1081" i="15"/>
  <c r="F1014" i="15"/>
  <c r="I943" i="15"/>
  <c r="H876" i="15"/>
  <c r="G809" i="15"/>
  <c r="I1146" i="15"/>
  <c r="H1079" i="15"/>
  <c r="G1012" i="15"/>
  <c r="J941" i="15"/>
  <c r="I874" i="15"/>
  <c r="H807" i="15"/>
  <c r="G738" i="15"/>
  <c r="F671" i="15"/>
  <c r="J603" i="15"/>
  <c r="H533" i="15"/>
  <c r="G466" i="15"/>
  <c r="F399" i="15"/>
  <c r="I328" i="15"/>
  <c r="H261" i="15"/>
  <c r="G194" i="15"/>
  <c r="J123" i="15"/>
  <c r="I56" i="15"/>
  <c r="G810" i="15"/>
  <c r="I1147" i="15"/>
  <c r="H1080" i="15"/>
  <c r="G1013" i="15"/>
  <c r="J942" i="15"/>
  <c r="I875" i="15"/>
  <c r="H808" i="15"/>
  <c r="J1145" i="15"/>
  <c r="I1078" i="15"/>
  <c r="H1011" i="15"/>
  <c r="F941" i="15"/>
  <c r="J873" i="15"/>
  <c r="I806" i="15"/>
  <c r="H737" i="15"/>
  <c r="G670" i="15"/>
  <c r="F603" i="15"/>
  <c r="I532" i="15"/>
  <c r="H465" i="15"/>
  <c r="G398" i="15"/>
  <c r="J327" i="15"/>
  <c r="I260" i="15"/>
  <c r="H193" i="15"/>
  <c r="F123" i="15"/>
  <c r="J55" i="15"/>
  <c r="G806" i="15"/>
  <c r="I1143" i="15"/>
  <c r="H1076" i="15"/>
  <c r="G1009" i="15"/>
  <c r="J938" i="15"/>
  <c r="I871" i="15"/>
  <c r="H804" i="15"/>
  <c r="J1141" i="15"/>
  <c r="I1074" i="15"/>
  <c r="H1007" i="15"/>
  <c r="F937" i="15"/>
  <c r="J869" i="15"/>
  <c r="I802" i="15"/>
  <c r="H733" i="15"/>
  <c r="G666" i="15"/>
  <c r="F599" i="15"/>
  <c r="I528" i="15"/>
  <c r="H461" i="15"/>
  <c r="G394" i="15"/>
  <c r="J323" i="15"/>
  <c r="I256" i="15"/>
  <c r="H189" i="15"/>
  <c r="F119" i="15"/>
  <c r="J51" i="15"/>
  <c r="G802" i="15"/>
  <c r="I1139" i="15"/>
  <c r="H1072" i="15"/>
  <c r="G1005" i="15"/>
  <c r="J934" i="15"/>
  <c r="I867" i="15"/>
  <c r="H800" i="15"/>
  <c r="J1137" i="15"/>
  <c r="I1070" i="15"/>
  <c r="H1003" i="15"/>
  <c r="F933" i="15"/>
  <c r="J865" i="15"/>
  <c r="I798" i="15"/>
  <c r="H729" i="15"/>
  <c r="G662" i="15"/>
  <c r="F595" i="15"/>
  <c r="I524" i="15"/>
  <c r="H457" i="15"/>
  <c r="G390" i="15"/>
  <c r="J319" i="15"/>
  <c r="I252" i="15"/>
  <c r="H185" i="15"/>
  <c r="F115" i="15"/>
  <c r="J47" i="15"/>
  <c r="E154" i="5"/>
  <c r="F730" i="15"/>
  <c r="J662" i="15"/>
  <c r="I595" i="15"/>
  <c r="G525" i="15"/>
  <c r="F458" i="15"/>
  <c r="J390" i="15"/>
  <c r="H320" i="15"/>
  <c r="G253" i="15"/>
  <c r="F186" i="15"/>
  <c r="I115" i="15"/>
  <c r="H48" i="15"/>
  <c r="E149" i="5"/>
  <c r="F729" i="15"/>
  <c r="J661" i="15"/>
  <c r="I594" i="15"/>
  <c r="G524" i="15"/>
  <c r="F457" i="15"/>
  <c r="J389" i="15"/>
  <c r="H319" i="15"/>
  <c r="G252" i="15"/>
  <c r="F185" i="15"/>
  <c r="I114" i="15"/>
  <c r="H47" i="15"/>
  <c r="E146" i="5"/>
  <c r="F716" i="15"/>
  <c r="J648" i="15"/>
  <c r="I581" i="15"/>
  <c r="G511" i="15"/>
  <c r="F444" i="15"/>
  <c r="J376" i="15"/>
  <c r="H306" i="15"/>
  <c r="G239" i="15"/>
  <c r="F172" i="15"/>
  <c r="I101" i="15"/>
  <c r="H34" i="15"/>
  <c r="D111" i="5"/>
  <c r="D145" i="3"/>
  <c r="C12" i="2"/>
  <c r="D33" i="1"/>
  <c r="D72" i="3"/>
  <c r="E139" i="1"/>
  <c r="E23" i="4"/>
  <c r="D18" i="3"/>
  <c r="D101" i="1"/>
  <c r="E180" i="3"/>
  <c r="D105" i="3"/>
  <c r="E29" i="3"/>
  <c r="E16" i="2"/>
  <c r="E152" i="1"/>
  <c r="E83" i="1"/>
  <c r="E9" i="1"/>
  <c r="D7" i="7"/>
  <c r="E124" i="5"/>
  <c r="D49" i="5"/>
  <c r="J738" i="15"/>
  <c r="G713" i="15"/>
  <c r="I687" i="15"/>
  <c r="F662" i="15"/>
  <c r="H636" i="15"/>
  <c r="J610" i="15"/>
  <c r="G585" i="15"/>
  <c r="I559" i="15"/>
  <c r="F534" i="15"/>
  <c r="H508" i="15"/>
  <c r="J482" i="15"/>
  <c r="G457" i="15"/>
  <c r="I431" i="15"/>
  <c r="F406" i="15"/>
  <c r="H380" i="15"/>
  <c r="J354" i="15"/>
  <c r="G329" i="15"/>
  <c r="I303" i="15"/>
  <c r="F278" i="15"/>
  <c r="H252" i="15"/>
  <c r="J226" i="15"/>
  <c r="G201" i="15"/>
  <c r="I175" i="15"/>
  <c r="F150" i="15"/>
  <c r="H124" i="15"/>
  <c r="J98" i="15"/>
  <c r="G73" i="15"/>
  <c r="I47" i="15"/>
  <c r="F22" i="15"/>
  <c r="D33" i="6"/>
  <c r="D120" i="5"/>
  <c r="E44" i="5"/>
  <c r="J737" i="15"/>
  <c r="G712" i="15"/>
  <c r="I686" i="15"/>
  <c r="F661" i="15"/>
  <c r="H635" i="15"/>
  <c r="J609" i="15"/>
  <c r="G584" i="15"/>
  <c r="I558" i="15"/>
  <c r="F533" i="15"/>
  <c r="H507" i="15"/>
  <c r="J481" i="15"/>
  <c r="G456" i="15"/>
  <c r="I430" i="15"/>
  <c r="F405" i="15"/>
  <c r="H379" i="15"/>
  <c r="J353" i="15"/>
  <c r="G328" i="15"/>
  <c r="I302" i="15"/>
  <c r="F277" i="15"/>
  <c r="H251" i="15"/>
  <c r="J225" i="15"/>
  <c r="G200" i="15"/>
  <c r="I174" i="15"/>
  <c r="F149" i="15"/>
  <c r="H123" i="15"/>
  <c r="J97" i="15"/>
  <c r="G72" i="15"/>
  <c r="I46" i="15"/>
  <c r="F21" i="15"/>
  <c r="E30" i="6"/>
  <c r="E116" i="5"/>
  <c r="E41" i="5"/>
  <c r="J724" i="15"/>
  <c r="G699" i="15"/>
  <c r="I673" i="15"/>
  <c r="F648" i="15"/>
  <c r="H622" i="15"/>
  <c r="J596" i="15"/>
  <c r="G571" i="15"/>
  <c r="I545" i="15"/>
  <c r="J532" i="15"/>
  <c r="F520" i="15"/>
  <c r="G507" i="15"/>
  <c r="H494" i="15"/>
  <c r="I481" i="15"/>
  <c r="J468" i="15"/>
  <c r="F456" i="15"/>
  <c r="G443" i="15"/>
  <c r="H430" i="15"/>
  <c r="I417" i="15"/>
  <c r="J404" i="15"/>
  <c r="F392" i="15"/>
  <c r="G379" i="15"/>
  <c r="H366" i="15"/>
  <c r="I353" i="15"/>
  <c r="J340" i="15"/>
  <c r="F328" i="15"/>
  <c r="G315" i="15"/>
  <c r="H302" i="15"/>
  <c r="I289" i="15"/>
  <c r="J276" i="15"/>
  <c r="F264" i="15"/>
  <c r="G251" i="15"/>
  <c r="H238" i="15"/>
  <c r="I225" i="15"/>
  <c r="J212" i="15"/>
  <c r="F200" i="15"/>
  <c r="G187" i="15"/>
  <c r="H174" i="15"/>
  <c r="I161" i="15"/>
  <c r="J148" i="15"/>
  <c r="F136" i="15"/>
  <c r="G123" i="15"/>
  <c r="H110" i="15"/>
  <c r="I97" i="15"/>
  <c r="J84" i="15"/>
  <c r="F72" i="15"/>
  <c r="G59" i="15"/>
  <c r="H46" i="15"/>
  <c r="I33" i="15"/>
  <c r="J20" i="15"/>
  <c r="F8" i="15"/>
  <c r="D32" i="6"/>
  <c r="D155" i="5"/>
  <c r="D118" i="5"/>
  <c r="D81" i="5"/>
  <c r="E42" i="5"/>
  <c r="D102" i="4"/>
  <c r="D16" i="4"/>
  <c r="E170" i="3"/>
  <c r="D134" i="3"/>
  <c r="D96" i="3"/>
  <c r="E58" i="3"/>
  <c r="D22" i="3"/>
  <c r="D44" i="2"/>
  <c r="C11" i="2"/>
  <c r="D178" i="1"/>
  <c r="D143" i="1"/>
  <c r="D109" i="1"/>
  <c r="D74" i="1"/>
  <c r="D39" i="1"/>
  <c r="E92" i="4"/>
  <c r="E10" i="4"/>
  <c r="E172" i="3"/>
  <c r="D135" i="3"/>
  <c r="E97" i="3"/>
  <c r="E60" i="3"/>
  <c r="D23" i="3"/>
  <c r="E46" i="2"/>
  <c r="D6" i="2"/>
  <c r="E172" i="1"/>
  <c r="E137" i="1"/>
  <c r="E103" i="1"/>
  <c r="E69" i="1"/>
  <c r="E34" i="1"/>
  <c r="D13" i="5"/>
  <c r="D30" i="4"/>
  <c r="E191" i="3"/>
  <c r="E154" i="3"/>
  <c r="D118" i="3"/>
  <c r="D81" i="3"/>
  <c r="E42" i="3"/>
  <c r="D6" i="3"/>
  <c r="D34" i="2"/>
  <c r="D202" i="1"/>
  <c r="D168" i="1"/>
  <c r="D133" i="1"/>
  <c r="D99" i="1"/>
  <c r="D64" i="1"/>
  <c r="D29" i="1"/>
  <c r="E6" i="5"/>
  <c r="D23" i="4"/>
  <c r="D187" i="3"/>
  <c r="E148" i="3"/>
  <c r="D112" i="3"/>
  <c r="E75" i="3"/>
  <c r="E36" i="3"/>
  <c r="E60" i="2"/>
  <c r="D24" i="2"/>
  <c r="E193" i="1"/>
  <c r="E158" i="1"/>
  <c r="E124" i="1"/>
  <c r="E89" i="1"/>
  <c r="E54" i="1"/>
  <c r="E20" i="1"/>
  <c r="H9" i="15"/>
  <c r="E5" i="7"/>
  <c r="E158" i="5"/>
  <c r="E120" i="5"/>
  <c r="D84" i="5"/>
  <c r="E47" i="5"/>
  <c r="E8" i="5"/>
  <c r="F738" i="15"/>
  <c r="G725" i="15"/>
  <c r="H712" i="15"/>
  <c r="I699" i="15"/>
  <c r="J686" i="15"/>
  <c r="F674" i="15"/>
  <c r="G661" i="15"/>
  <c r="H648" i="15"/>
  <c r="I635" i="15"/>
  <c r="J622" i="15"/>
  <c r="F610" i="15"/>
  <c r="G597" i="15"/>
  <c r="H584" i="15"/>
  <c r="I571" i="15"/>
  <c r="J558" i="15"/>
  <c r="F546" i="15"/>
  <c r="G533" i="15"/>
  <c r="H520" i="15"/>
  <c r="I507" i="15"/>
  <c r="J494" i="15"/>
  <c r="F482" i="15"/>
  <c r="G469" i="15"/>
  <c r="H456" i="15"/>
  <c r="I443" i="15"/>
  <c r="J430" i="15"/>
  <c r="F418" i="15"/>
  <c r="G405" i="15"/>
  <c r="H392" i="15"/>
  <c r="I379" i="15"/>
  <c r="J366" i="15"/>
  <c r="F354" i="15"/>
  <c r="G341" i="15"/>
  <c r="H328" i="15"/>
  <c r="I315" i="15"/>
  <c r="J302" i="15"/>
  <c r="F290" i="15"/>
  <c r="G277" i="15"/>
  <c r="H264" i="15"/>
  <c r="I251" i="15"/>
  <c r="J238" i="15"/>
  <c r="F226" i="15"/>
  <c r="G213" i="15"/>
  <c r="H200" i="15"/>
  <c r="I187" i="15"/>
  <c r="J174" i="15"/>
  <c r="F162" i="15"/>
  <c r="G149" i="15"/>
  <c r="H136" i="15"/>
  <c r="I123" i="15"/>
  <c r="J110" i="15"/>
  <c r="F98" i="15"/>
  <c r="G85" i="15"/>
  <c r="H72" i="15"/>
  <c r="I59" i="15"/>
  <c r="J46" i="15"/>
  <c r="F34" i="15"/>
  <c r="G21" i="15"/>
  <c r="H8" i="15"/>
  <c r="D31" i="6"/>
  <c r="D154" i="5"/>
  <c r="D117" i="5"/>
  <c r="E79" i="5"/>
  <c r="D43" i="5"/>
  <c r="D5" i="5"/>
  <c r="F737" i="15"/>
  <c r="G724" i="15"/>
  <c r="H711" i="15"/>
  <c r="I698" i="15"/>
  <c r="J685" i="15"/>
  <c r="F673" i="15"/>
  <c r="G660" i="15"/>
  <c r="H647" i="15"/>
  <c r="I634" i="15"/>
  <c r="J621" i="15"/>
  <c r="F609" i="15"/>
  <c r="G596" i="15"/>
  <c r="H583" i="15"/>
  <c r="I570" i="15"/>
  <c r="J557" i="15"/>
  <c r="F545" i="15"/>
  <c r="G532" i="15"/>
  <c r="H519" i="15"/>
  <c r="I506" i="15"/>
  <c r="J493" i="15"/>
  <c r="F481" i="15"/>
  <c r="G468" i="15"/>
  <c r="H455" i="15"/>
  <c r="I442" i="15"/>
  <c r="J429" i="15"/>
  <c r="F417" i="15"/>
  <c r="G404" i="15"/>
  <c r="H391" i="15"/>
  <c r="I378" i="15"/>
  <c r="J365" i="15"/>
  <c r="F353" i="15"/>
  <c r="G340" i="15"/>
  <c r="H327" i="15"/>
  <c r="I314" i="15"/>
  <c r="J301" i="15"/>
  <c r="F289" i="15"/>
  <c r="G276" i="15"/>
  <c r="H263" i="15"/>
  <c r="I250" i="15"/>
  <c r="J237" i="15"/>
  <c r="F225" i="15"/>
  <c r="G212" i="15"/>
  <c r="H199" i="15"/>
  <c r="I186" i="15"/>
  <c r="J173" i="15"/>
  <c r="F161" i="15"/>
  <c r="G148" i="15"/>
  <c r="H135" i="15"/>
  <c r="I122" i="15"/>
  <c r="J109" i="15"/>
  <c r="F97" i="15"/>
  <c r="G84" i="15"/>
  <c r="H71" i="15"/>
  <c r="I58" i="15"/>
  <c r="J45" i="15"/>
  <c r="F33" i="15"/>
  <c r="G20" i="15"/>
  <c r="H7" i="15"/>
  <c r="E28" i="6"/>
  <c r="E151" i="5"/>
  <c r="D114" i="5"/>
  <c r="E76" i="5"/>
  <c r="E39" i="5"/>
  <c r="J736" i="15"/>
  <c r="F724" i="15"/>
  <c r="G711" i="15"/>
  <c r="H698" i="15"/>
  <c r="I685" i="15"/>
  <c r="J672" i="15"/>
  <c r="F660" i="15"/>
  <c r="G647" i="15"/>
  <c r="H634" i="15"/>
  <c r="I621" i="15"/>
  <c r="J608" i="15"/>
  <c r="F596" i="15"/>
  <c r="G583" i="15"/>
  <c r="H570" i="15"/>
  <c r="I557" i="15"/>
  <c r="J544" i="15"/>
  <c r="F532" i="15"/>
  <c r="G519" i="15"/>
  <c r="H506" i="15"/>
  <c r="I493" i="15"/>
  <c r="J480" i="15"/>
  <c r="F468" i="15"/>
  <c r="G455" i="15"/>
  <c r="H442" i="15"/>
  <c r="I429" i="15"/>
  <c r="J416" i="15"/>
  <c r="F404" i="15"/>
  <c r="G391" i="15"/>
  <c r="H378" i="15"/>
  <c r="I365" i="15"/>
  <c r="J352" i="15"/>
  <c r="F340" i="15"/>
  <c r="G327" i="15"/>
  <c r="H314" i="15"/>
  <c r="I301" i="15"/>
  <c r="J288" i="15"/>
  <c r="F276" i="15"/>
  <c r="G263" i="15"/>
  <c r="H250" i="15"/>
  <c r="I237" i="15"/>
  <c r="J224" i="15"/>
  <c r="F212" i="15"/>
  <c r="G199" i="15"/>
  <c r="H186" i="15"/>
  <c r="I173" i="15"/>
  <c r="J160" i="15"/>
  <c r="F148" i="15"/>
  <c r="G135" i="15"/>
  <c r="H122" i="15"/>
  <c r="I109" i="15"/>
  <c r="J96" i="15"/>
  <c r="F84" i="15"/>
  <c r="G71" i="15"/>
  <c r="H58" i="15"/>
  <c r="I45" i="15"/>
  <c r="J32" i="15"/>
  <c r="F20" i="15"/>
  <c r="G7" i="15"/>
  <c r="D30" i="6"/>
  <c r="D153" i="5"/>
  <c r="D116" i="5"/>
  <c r="E77" i="5"/>
  <c r="D41" i="5"/>
  <c r="D98" i="4"/>
  <c r="E14" i="4"/>
  <c r="D169" i="3"/>
  <c r="D131" i="3"/>
  <c r="E93" i="3"/>
  <c r="D57" i="3"/>
  <c r="D19" i="3"/>
  <c r="E41" i="2"/>
  <c r="D9" i="2"/>
  <c r="D176" i="1"/>
  <c r="D140" i="1"/>
  <c r="D107" i="1"/>
  <c r="D72" i="1"/>
  <c r="D37" i="1"/>
  <c r="E46" i="4"/>
  <c r="E9" i="4"/>
  <c r="D170" i="3"/>
  <c r="E132" i="3"/>
  <c r="E95" i="3"/>
  <c r="D58" i="3"/>
  <c r="E20" i="3"/>
  <c r="D45" i="2"/>
  <c r="E4" i="2"/>
  <c r="E170" i="1"/>
  <c r="E135" i="1"/>
  <c r="E101" i="1"/>
  <c r="E66" i="1"/>
  <c r="E32" i="1"/>
  <c r="D9" i="5"/>
  <c r="E27" i="4"/>
  <c r="E189" i="3"/>
  <c r="D153" i="3"/>
  <c r="D116" i="3"/>
  <c r="E77" i="3"/>
  <c r="D41" i="3"/>
  <c r="D4" i="3"/>
  <c r="E31" i="2"/>
  <c r="D200" i="1"/>
  <c r="D166" i="1"/>
  <c r="D131" i="1"/>
  <c r="D97" i="1"/>
  <c r="D62" i="1"/>
  <c r="D27" i="1"/>
  <c r="E106" i="4"/>
  <c r="E21" i="4"/>
  <c r="E183" i="3"/>
  <c r="D147" i="3"/>
  <c r="E110" i="3"/>
  <c r="E71" i="3"/>
  <c r="D35" i="3"/>
  <c r="D59" i="2"/>
  <c r="E20" i="2"/>
  <c r="E191" i="1"/>
  <c r="E156" i="1"/>
  <c r="E121" i="1"/>
  <c r="E87" i="1"/>
  <c r="E52" i="1"/>
  <c r="E15" i="1"/>
  <c r="F15" i="15"/>
  <c r="G2" i="15"/>
  <c r="E15" i="6"/>
  <c r="E138" i="5"/>
  <c r="E99" i="5"/>
  <c r="D63" i="5"/>
  <c r="E26" i="5"/>
  <c r="E95" i="4"/>
  <c r="J730" i="15"/>
  <c r="F718" i="15"/>
  <c r="G705" i="15"/>
  <c r="H692" i="15"/>
  <c r="I679" i="15"/>
  <c r="J666" i="15"/>
  <c r="F654" i="15"/>
  <c r="G641" i="15"/>
  <c r="H628" i="15"/>
  <c r="I615" i="15"/>
  <c r="J602" i="15"/>
  <c r="F590" i="15"/>
  <c r="G577" i="15"/>
  <c r="H564" i="15"/>
  <c r="I551" i="15"/>
  <c r="J538" i="15"/>
  <c r="F526" i="15"/>
  <c r="G513" i="15"/>
  <c r="H500" i="15"/>
  <c r="I487" i="15"/>
  <c r="J474" i="15"/>
  <c r="F462" i="15"/>
  <c r="G449" i="15"/>
  <c r="H436" i="15"/>
  <c r="I423" i="15"/>
  <c r="J410" i="15"/>
  <c r="F398" i="15"/>
  <c r="G385" i="15"/>
  <c r="H372" i="15"/>
  <c r="I359" i="15"/>
  <c r="J346" i="15"/>
  <c r="F334" i="15"/>
  <c r="G321" i="15"/>
  <c r="H308" i="15"/>
  <c r="I295" i="15"/>
  <c r="J282" i="15"/>
  <c r="F270" i="15"/>
  <c r="G257" i="15"/>
  <c r="H244" i="15"/>
  <c r="I231" i="15"/>
  <c r="J218" i="15"/>
  <c r="F206" i="15"/>
  <c r="G193" i="15"/>
  <c r="H180" i="15"/>
  <c r="I167" i="15"/>
  <c r="J154" i="15"/>
  <c r="F142" i="15"/>
  <c r="G129" i="15"/>
  <c r="H116" i="15"/>
  <c r="I103" i="15"/>
  <c r="J90" i="15"/>
  <c r="F78" i="15"/>
  <c r="G65" i="15"/>
  <c r="H52" i="15"/>
  <c r="I39" i="15"/>
  <c r="J26" i="15"/>
  <c r="F14" i="15"/>
  <c r="E13" i="8"/>
  <c r="D12" i="6"/>
  <c r="D134" i="5"/>
  <c r="D96" i="5"/>
  <c r="E58" i="5"/>
  <c r="D22" i="5"/>
  <c r="E48" i="4"/>
  <c r="J729" i="15"/>
  <c r="F717" i="15"/>
  <c r="G704" i="15"/>
  <c r="H691" i="15"/>
  <c r="I678" i="15"/>
  <c r="J665" i="15"/>
  <c r="F653" i="15"/>
  <c r="G640" i="15"/>
  <c r="H627" i="15"/>
  <c r="I614" i="15"/>
  <c r="J601" i="15"/>
  <c r="F589" i="15"/>
  <c r="G576" i="15"/>
  <c r="H563" i="15"/>
  <c r="I550" i="15"/>
  <c r="J537" i="15"/>
  <c r="F525" i="15"/>
  <c r="G512" i="15"/>
  <c r="H499" i="15"/>
  <c r="I486" i="15"/>
  <c r="J473" i="15"/>
  <c r="F461" i="15"/>
  <c r="G448" i="15"/>
  <c r="H435" i="15"/>
  <c r="I422" i="15"/>
  <c r="J409" i="15"/>
  <c r="F397" i="15"/>
  <c r="G384" i="15"/>
  <c r="H371" i="15"/>
  <c r="I358" i="15"/>
  <c r="J345" i="15"/>
  <c r="F333" i="15"/>
  <c r="G320" i="15"/>
  <c r="H307" i="15"/>
  <c r="I294" i="15"/>
  <c r="J281" i="15"/>
  <c r="F269" i="15"/>
  <c r="G256" i="15"/>
  <c r="H243" i="15"/>
  <c r="I230" i="15"/>
  <c r="J217" i="15"/>
  <c r="F205" i="15"/>
  <c r="G192" i="15"/>
  <c r="H179" i="15"/>
  <c r="I166" i="15"/>
  <c r="J153" i="15"/>
  <c r="F141" i="15"/>
  <c r="G128" i="15"/>
  <c r="H115" i="15"/>
  <c r="I102" i="15"/>
  <c r="J89" i="15"/>
  <c r="F77" i="15"/>
  <c r="G64" i="15"/>
  <c r="H51" i="15"/>
  <c r="I38" i="15"/>
  <c r="J25" i="15"/>
  <c r="F13" i="15"/>
  <c r="D9" i="8"/>
  <c r="D9" i="6"/>
  <c r="E130" i="5"/>
  <c r="D93" i="5"/>
  <c r="E55" i="5"/>
  <c r="E18" i="5"/>
  <c r="I729" i="15"/>
  <c r="J716" i="15"/>
  <c r="F704" i="15"/>
  <c r="G691" i="15"/>
  <c r="H678" i="15"/>
  <c r="I665" i="15"/>
  <c r="J652" i="15"/>
  <c r="F640" i="15"/>
  <c r="G627" i="15"/>
  <c r="H614" i="15"/>
  <c r="I601" i="15"/>
  <c r="J588" i="15"/>
  <c r="F576" i="15"/>
  <c r="G563" i="15"/>
  <c r="H550" i="15"/>
  <c r="I537" i="15"/>
  <c r="J524" i="15"/>
  <c r="F512" i="15"/>
  <c r="G499" i="15"/>
  <c r="H486" i="15"/>
  <c r="I473" i="15"/>
  <c r="J460" i="15"/>
  <c r="F448" i="15"/>
  <c r="G435" i="15"/>
  <c r="H422" i="15"/>
  <c r="I409" i="15"/>
  <c r="J396" i="15"/>
  <c r="F384" i="15"/>
  <c r="G371" i="15"/>
  <c r="H358" i="15"/>
  <c r="I345" i="15"/>
  <c r="J332" i="15"/>
  <c r="F320" i="15"/>
  <c r="G307" i="15"/>
  <c r="H294" i="15"/>
  <c r="I281" i="15"/>
  <c r="J268" i="15"/>
  <c r="F256" i="15"/>
  <c r="G243" i="15"/>
  <c r="H230" i="15"/>
  <c r="I217" i="15"/>
  <c r="J204" i="15"/>
  <c r="F192" i="15"/>
  <c r="G179" i="15"/>
  <c r="H166" i="15"/>
  <c r="I153" i="15"/>
  <c r="J140" i="15"/>
  <c r="F128" i="15"/>
  <c r="G115" i="15"/>
  <c r="H102" i="15"/>
  <c r="I89" i="15"/>
  <c r="J76" i="15"/>
  <c r="F64" i="15"/>
  <c r="G51" i="15"/>
  <c r="H38" i="15"/>
  <c r="I25" i="15"/>
  <c r="J12" i="15"/>
  <c r="E12" i="8"/>
  <c r="D11" i="6"/>
  <c r="D132" i="5"/>
  <c r="D95" i="5"/>
  <c r="E56" i="5"/>
  <c r="D20" i="5"/>
  <c r="E29" i="4"/>
  <c r="E184" i="3"/>
  <c r="D148" i="3"/>
  <c r="D110" i="3"/>
  <c r="E72" i="3"/>
  <c r="D36" i="3"/>
  <c r="D60" i="2"/>
  <c r="E18" i="2"/>
  <c r="D191" i="1"/>
  <c r="D156" i="1"/>
  <c r="D121" i="1"/>
  <c r="D87" i="1"/>
  <c r="D52" i="1"/>
  <c r="E13" i="5"/>
  <c r="E26" i="4"/>
  <c r="D186" i="3"/>
  <c r="D149" i="3"/>
  <c r="E111" i="3"/>
  <c r="E74" i="3"/>
  <c r="D37" i="3"/>
  <c r="D61" i="2"/>
  <c r="D25" i="2"/>
  <c r="E185" i="1"/>
  <c r="E150" i="1"/>
  <c r="E116" i="1"/>
  <c r="E82" i="1"/>
  <c r="E47" i="1"/>
  <c r="E10" i="1"/>
  <c r="D42" i="4"/>
  <c r="D9" i="4"/>
  <c r="E168" i="3"/>
  <c r="D132" i="3"/>
  <c r="D95" i="3"/>
  <c r="E56" i="3"/>
  <c r="D20" i="3"/>
  <c r="D46" i="2"/>
  <c r="E13" i="2"/>
  <c r="D181" i="1"/>
  <c r="D146" i="1"/>
  <c r="D112" i="1"/>
  <c r="D77" i="1"/>
  <c r="D42" i="1"/>
  <c r="D5" i="1"/>
  <c r="D35" i="4"/>
  <c r="C7" i="4"/>
  <c r="E162" i="3"/>
  <c r="D126" i="3"/>
  <c r="E89" i="3"/>
  <c r="E50" i="3"/>
  <c r="D14" i="3"/>
  <c r="E36" i="2"/>
  <c r="E5" i="2"/>
  <c r="E171" i="1"/>
  <c r="E136" i="1"/>
  <c r="E102" i="1"/>
  <c r="E67" i="1"/>
  <c r="E33" i="1"/>
  <c r="E22" i="1"/>
  <c r="E128" i="1"/>
  <c r="E59" i="1"/>
  <c r="E24" i="1"/>
  <c r="H2134" i="15"/>
  <c r="I1132" i="15"/>
  <c r="I1197" i="15"/>
  <c r="F927" i="15"/>
  <c r="I1306" i="15"/>
  <c r="F1440" i="15"/>
  <c r="J1164" i="15"/>
  <c r="H982" i="15"/>
  <c r="G1118" i="15"/>
  <c r="G958" i="15"/>
  <c r="G1185" i="15"/>
  <c r="I1318" i="15"/>
  <c r="G1455" i="15"/>
  <c r="H1250" i="15"/>
  <c r="I1045" i="15"/>
  <c r="J840" i="15"/>
  <c r="J1043" i="15"/>
  <c r="G906" i="15"/>
  <c r="J759" i="15"/>
  <c r="J962" i="15"/>
  <c r="H1095" i="15"/>
  <c r="I890" i="15"/>
  <c r="F687" i="15"/>
  <c r="I552" i="15"/>
  <c r="J347" i="15"/>
  <c r="F143" i="15"/>
  <c r="H1096" i="15"/>
  <c r="I891" i="15"/>
  <c r="I1094" i="15"/>
  <c r="J889" i="15"/>
  <c r="G686" i="15"/>
  <c r="J551" i="15"/>
  <c r="F347" i="15"/>
  <c r="I276" i="15"/>
  <c r="G142" i="15"/>
  <c r="G826" i="15"/>
  <c r="F958" i="15"/>
  <c r="H820" i="15"/>
  <c r="J885" i="15"/>
  <c r="G682" i="15"/>
  <c r="H477" i="15"/>
  <c r="I272" i="15"/>
  <c r="G138" i="15"/>
  <c r="F751" i="15"/>
  <c r="G1021" i="15"/>
  <c r="H816" i="15"/>
  <c r="H1019" i="15"/>
  <c r="G678" i="15"/>
  <c r="G406" i="15"/>
  <c r="I268" i="15"/>
  <c r="J63" i="15"/>
  <c r="J678" i="15"/>
  <c r="F474" i="15"/>
  <c r="J134" i="15"/>
  <c r="D105" i="4"/>
  <c r="F473" i="15"/>
  <c r="G268" i="15"/>
  <c r="E32" i="6"/>
  <c r="H530" i="15"/>
  <c r="I325" i="15"/>
  <c r="H50" i="15"/>
  <c r="D76" i="1"/>
  <c r="E16" i="1"/>
  <c r="E24" i="4"/>
  <c r="D27" i="2"/>
  <c r="D12" i="1"/>
  <c r="E57" i="5"/>
  <c r="G742" i="15"/>
  <c r="G665" i="15"/>
  <c r="H588" i="15"/>
  <c r="I511" i="15"/>
  <c r="J434" i="15"/>
  <c r="J306" i="15"/>
  <c r="F230" i="15"/>
  <c r="G153" i="15"/>
  <c r="J50" i="15"/>
  <c r="E128" i="5"/>
  <c r="J689" i="15"/>
  <c r="I638" i="15"/>
  <c r="H587" i="15"/>
  <c r="I510" i="15"/>
  <c r="G408" i="15"/>
  <c r="H331" i="15"/>
  <c r="H203" i="15"/>
  <c r="F101" i="15"/>
  <c r="F2457" i="15"/>
  <c r="H1999" i="15"/>
  <c r="H1893" i="15"/>
  <c r="F1771" i="15"/>
  <c r="J2150" i="15"/>
  <c r="H1740" i="15"/>
  <c r="J2146" i="15"/>
  <c r="H1736" i="15"/>
  <c r="F1944" i="15"/>
  <c r="I1416" i="15"/>
  <c r="I1415" i="15"/>
  <c r="I1790" i="15"/>
  <c r="I1789" i="15"/>
  <c r="I1380" i="15"/>
  <c r="I1379" i="15"/>
  <c r="H1751" i="15"/>
  <c r="H1750" i="15"/>
  <c r="H1341" i="15"/>
  <c r="H1340" i="15"/>
  <c r="G1728" i="15"/>
  <c r="G1727" i="15"/>
  <c r="G1318" i="15"/>
  <c r="G1317" i="15"/>
  <c r="G1340" i="15"/>
  <c r="G1339" i="15"/>
  <c r="I929" i="15"/>
  <c r="J927" i="15"/>
  <c r="J1473" i="15"/>
  <c r="I1198" i="15"/>
  <c r="G1335" i="15"/>
  <c r="G1063" i="15"/>
  <c r="F788" i="15"/>
  <c r="H997" i="15"/>
  <c r="J859" i="15"/>
  <c r="H1511" i="15"/>
  <c r="F1377" i="15"/>
  <c r="H1255" i="15"/>
  <c r="J1165" i="15"/>
  <c r="I1481" i="15"/>
  <c r="F1392" i="15"/>
  <c r="H1302" i="15"/>
  <c r="I1209" i="15"/>
  <c r="F1120" i="15"/>
  <c r="H1030" i="15"/>
  <c r="H934" i="15"/>
  <c r="J844" i="15"/>
  <c r="G755" i="15"/>
  <c r="G1070" i="15"/>
  <c r="H993" i="15"/>
  <c r="G926" i="15"/>
  <c r="J1226" i="15"/>
  <c r="I1558" i="15"/>
  <c r="H1491" i="15"/>
  <c r="F1421" i="15"/>
  <c r="J1353" i="15"/>
  <c r="I1286" i="15"/>
  <c r="G1216" i="15"/>
  <c r="I1557" i="15"/>
  <c r="H1490" i="15"/>
  <c r="F1420" i="15"/>
  <c r="J1352" i="15"/>
  <c r="I1285" i="15"/>
  <c r="G1215" i="15"/>
  <c r="F1148" i="15"/>
  <c r="J1080" i="15"/>
  <c r="H1010" i="15"/>
  <c r="G943" i="15"/>
  <c r="F876" i="15"/>
  <c r="I805" i="15"/>
  <c r="G1146" i="15"/>
  <c r="F1079" i="15"/>
  <c r="I1008" i="15"/>
  <c r="H941" i="15"/>
  <c r="G874" i="15"/>
  <c r="J791" i="15"/>
  <c r="H1132" i="15"/>
  <c r="G1065" i="15"/>
  <c r="J994" i="15"/>
  <c r="I927" i="15"/>
  <c r="H860" i="15"/>
  <c r="F790" i="15"/>
  <c r="I1130" i="15"/>
  <c r="H1063" i="15"/>
  <c r="F993" i="15"/>
  <c r="J925" i="15"/>
  <c r="I858" i="15"/>
  <c r="G788" i="15"/>
  <c r="G722" i="15"/>
  <c r="F655" i="15"/>
  <c r="I584" i="15"/>
  <c r="H517" i="15"/>
  <c r="G450" i="15"/>
  <c r="J379" i="15"/>
  <c r="I312" i="15"/>
  <c r="H245" i="15"/>
  <c r="F175" i="15"/>
  <c r="J107" i="15"/>
  <c r="I40" i="15"/>
  <c r="F791" i="15"/>
  <c r="I1131" i="15"/>
  <c r="H1064" i="15"/>
  <c r="F994" i="15"/>
  <c r="J926" i="15"/>
  <c r="I859" i="15"/>
  <c r="G789" i="15"/>
  <c r="J1129" i="15"/>
  <c r="I1062" i="15"/>
  <c r="G992" i="15"/>
  <c r="F925" i="15"/>
  <c r="J857" i="15"/>
  <c r="H787" i="15"/>
  <c r="H721" i="15"/>
  <c r="G654" i="15"/>
  <c r="J583" i="15"/>
  <c r="I516" i="15"/>
  <c r="H449" i="15"/>
  <c r="F379" i="15"/>
  <c r="J311" i="15"/>
  <c r="I244" i="15"/>
  <c r="G174" i="15"/>
  <c r="F107" i="15"/>
  <c r="J39" i="15"/>
  <c r="F787" i="15"/>
  <c r="I1127" i="15"/>
  <c r="H1060" i="15"/>
  <c r="F990" i="15"/>
  <c r="J922" i="15"/>
  <c r="I855" i="15"/>
  <c r="G785" i="15"/>
  <c r="J1125" i="15"/>
  <c r="I1058" i="15"/>
  <c r="G988" i="15"/>
  <c r="F921" i="15"/>
  <c r="J853" i="15"/>
  <c r="H783" i="15"/>
  <c r="H717" i="15"/>
  <c r="G650" i="15"/>
  <c r="J579" i="15"/>
  <c r="I512" i="15"/>
  <c r="H445" i="15"/>
  <c r="F375" i="15"/>
  <c r="J307" i="15"/>
  <c r="I240" i="15"/>
  <c r="G170" i="15"/>
  <c r="F103" i="15"/>
  <c r="J35" i="15"/>
  <c r="F783" i="15"/>
  <c r="I1123" i="15"/>
  <c r="H1056" i="15"/>
  <c r="F986" i="15"/>
  <c r="J918" i="15"/>
  <c r="I851" i="15"/>
  <c r="G781" i="15"/>
  <c r="J1121" i="15"/>
  <c r="I1054" i="15"/>
  <c r="G984" i="15"/>
  <c r="F917" i="15"/>
  <c r="J849" i="15"/>
  <c r="H779" i="15"/>
  <c r="H713" i="15"/>
  <c r="G646" i="15"/>
  <c r="J575" i="15"/>
  <c r="I508" i="15"/>
  <c r="H441" i="15"/>
  <c r="F371" i="15"/>
  <c r="J303" i="15"/>
  <c r="I236" i="15"/>
  <c r="G166" i="15"/>
  <c r="F99" i="15"/>
  <c r="J31" i="15"/>
  <c r="D98" i="5"/>
  <c r="F714" i="15"/>
  <c r="J646" i="15"/>
  <c r="H576" i="15"/>
  <c r="G509" i="15"/>
  <c r="F442" i="15"/>
  <c r="I371" i="15"/>
  <c r="H304" i="15"/>
  <c r="G237" i="15"/>
  <c r="J166" i="15"/>
  <c r="I99" i="15"/>
  <c r="H32" i="15"/>
  <c r="E93" i="5"/>
  <c r="F713" i="15"/>
  <c r="J645" i="15"/>
  <c r="H575" i="15"/>
  <c r="G508" i="15"/>
  <c r="F441" i="15"/>
  <c r="I370" i="15"/>
  <c r="H303" i="15"/>
  <c r="G236" i="15"/>
  <c r="J165" i="15"/>
  <c r="I98" i="15"/>
  <c r="H31" i="15"/>
  <c r="E90" i="5"/>
  <c r="F700" i="15"/>
  <c r="J632" i="15"/>
  <c r="H562" i="15"/>
  <c r="G495" i="15"/>
  <c r="F428" i="15"/>
  <c r="I357" i="15"/>
  <c r="H290" i="15"/>
  <c r="G223" i="15"/>
  <c r="J152" i="15"/>
  <c r="I85" i="15"/>
  <c r="H18" i="15"/>
  <c r="D55" i="5"/>
  <c r="D99" i="3"/>
  <c r="D171" i="1"/>
  <c r="D25" i="4"/>
  <c r="E25" i="3"/>
  <c r="E97" i="1"/>
  <c r="D167" i="3"/>
  <c r="E35" i="2"/>
  <c r="D57" i="1"/>
  <c r="E152" i="3"/>
  <c r="D77" i="3"/>
  <c r="E106" i="2"/>
  <c r="E195" i="1"/>
  <c r="E126" i="1"/>
  <c r="E56" i="1"/>
  <c r="H13" i="15"/>
  <c r="E12" i="6"/>
  <c r="E96" i="5"/>
  <c r="D21" i="5"/>
  <c r="G729" i="15"/>
  <c r="I703" i="15"/>
  <c r="F678" i="15"/>
  <c r="H652" i="15"/>
  <c r="J626" i="15"/>
  <c r="G601" i="15"/>
  <c r="I575" i="15"/>
  <c r="F550" i="15"/>
  <c r="H524" i="15"/>
  <c r="J498" i="15"/>
  <c r="G473" i="15"/>
  <c r="I447" i="15"/>
  <c r="F422" i="15"/>
  <c r="H396" i="15"/>
  <c r="J370" i="15"/>
  <c r="G345" i="15"/>
  <c r="I319" i="15"/>
  <c r="F294" i="15"/>
  <c r="H268" i="15"/>
  <c r="J242" i="15"/>
  <c r="G217" i="15"/>
  <c r="I191" i="15"/>
  <c r="F166" i="15"/>
  <c r="H140" i="15"/>
  <c r="J114" i="15"/>
  <c r="G89" i="15"/>
  <c r="I63" i="15"/>
  <c r="F38" i="15"/>
  <c r="H12" i="15"/>
  <c r="D8" i="6"/>
  <c r="D92" i="5"/>
  <c r="E16" i="5"/>
  <c r="G728" i="15"/>
  <c r="I702" i="15"/>
  <c r="F677" i="15"/>
  <c r="H651" i="15"/>
  <c r="J625" i="15"/>
  <c r="G600" i="15"/>
  <c r="I574" i="15"/>
  <c r="F549" i="15"/>
  <c r="H523" i="15"/>
  <c r="J497" i="15"/>
  <c r="G472" i="15"/>
  <c r="I446" i="15"/>
  <c r="F421" i="15"/>
  <c r="H395" i="15"/>
  <c r="J369" i="15"/>
  <c r="G344" i="15"/>
  <c r="I318" i="15"/>
  <c r="F293" i="15"/>
  <c r="H267" i="15"/>
  <c r="J241" i="15"/>
  <c r="G216" i="15"/>
  <c r="I190" i="15"/>
  <c r="F165" i="15"/>
  <c r="H139" i="15"/>
  <c r="J113" i="15"/>
  <c r="G88" i="15"/>
  <c r="I62" i="15"/>
  <c r="F37" i="15"/>
  <c r="H11" i="15"/>
  <c r="E4" i="6"/>
  <c r="E88" i="5"/>
  <c r="J740" i="15"/>
  <c r="G715" i="15"/>
  <c r="I689" i="15"/>
  <c r="F664" i="15"/>
  <c r="H638" i="15"/>
  <c r="J612" i="15"/>
  <c r="G587" i="15"/>
  <c r="I561" i="15"/>
  <c r="H542" i="15"/>
  <c r="I529" i="15"/>
  <c r="J516" i="15"/>
  <c r="F504" i="15"/>
  <c r="G491" i="15"/>
  <c r="H478" i="15"/>
  <c r="I465" i="15"/>
  <c r="J452" i="15"/>
  <c r="F440" i="15"/>
  <c r="G427" i="15"/>
  <c r="H414" i="15"/>
  <c r="I401" i="15"/>
  <c r="J388" i="15"/>
  <c r="F376" i="15"/>
  <c r="G363" i="15"/>
  <c r="H350" i="15"/>
  <c r="I337" i="15"/>
  <c r="J324" i="15"/>
  <c r="F312" i="15"/>
  <c r="G299" i="15"/>
  <c r="H286" i="15"/>
  <c r="I273" i="15"/>
  <c r="J260" i="15"/>
  <c r="F248" i="15"/>
  <c r="G235" i="15"/>
  <c r="H222" i="15"/>
  <c r="I209" i="15"/>
  <c r="J196" i="15"/>
  <c r="F184" i="15"/>
  <c r="G171" i="15"/>
  <c r="H158" i="15"/>
  <c r="I145" i="15"/>
  <c r="J132" i="15"/>
  <c r="F120" i="15"/>
  <c r="G107" i="15"/>
  <c r="H94" i="15"/>
  <c r="I81" i="15"/>
  <c r="J68" i="15"/>
  <c r="F56" i="15"/>
  <c r="G43" i="15"/>
  <c r="H30" i="15"/>
  <c r="I17" i="15"/>
  <c r="J4" i="15"/>
  <c r="D24" i="6"/>
  <c r="D146" i="5"/>
  <c r="D109" i="5"/>
  <c r="E70" i="5"/>
  <c r="D34" i="5"/>
  <c r="E45" i="4"/>
  <c r="E4" i="4"/>
  <c r="D162" i="3"/>
  <c r="D124" i="3"/>
  <c r="E86" i="3"/>
  <c r="D50" i="3"/>
  <c r="D12" i="3"/>
  <c r="E33" i="2"/>
  <c r="D203" i="1"/>
  <c r="D169" i="1"/>
  <c r="D134" i="1"/>
  <c r="D100" i="1"/>
  <c r="D65" i="1"/>
  <c r="D30" i="1"/>
  <c r="D41" i="4"/>
  <c r="D6" i="4"/>
  <c r="D163" i="3"/>
  <c r="E125" i="3"/>
  <c r="E88" i="3"/>
  <c r="D51" i="3"/>
  <c r="E13" i="3"/>
  <c r="E38" i="2"/>
  <c r="E198" i="1"/>
  <c r="E164" i="1"/>
  <c r="E129" i="1"/>
  <c r="E94" i="1"/>
  <c r="E60" i="1"/>
  <c r="E25" i="1"/>
  <c r="D100" i="4"/>
  <c r="D22" i="4"/>
  <c r="E182" i="3"/>
  <c r="D146" i="3"/>
  <c r="D109" i="3"/>
  <c r="E70" i="3"/>
  <c r="D34" i="3"/>
  <c r="D58" i="2"/>
  <c r="D26" i="2"/>
  <c r="D194" i="1"/>
  <c r="D159" i="1"/>
  <c r="D125" i="1"/>
  <c r="D90" i="1"/>
  <c r="D55" i="1"/>
  <c r="D21" i="1"/>
  <c r="E94" i="4"/>
  <c r="D15" i="4"/>
  <c r="E176" i="3"/>
  <c r="D140" i="3"/>
  <c r="E103" i="3"/>
  <c r="E64" i="3"/>
  <c r="D28" i="3"/>
  <c r="D51" i="2"/>
  <c r="D15" i="2"/>
  <c r="E184" i="1"/>
  <c r="E149" i="1"/>
  <c r="E115" i="1"/>
  <c r="E80" i="1"/>
  <c r="E46" i="1"/>
  <c r="F19" i="15"/>
  <c r="G6" i="15"/>
  <c r="E27" i="6"/>
  <c r="E148" i="5"/>
  <c r="D112" i="5"/>
  <c r="E75" i="5"/>
  <c r="E36" i="5"/>
  <c r="E105" i="4"/>
  <c r="J734" i="15"/>
  <c r="F722" i="15"/>
  <c r="G709" i="15"/>
  <c r="H696" i="15"/>
  <c r="I683" i="15"/>
  <c r="J670" i="15"/>
  <c r="F658" i="15"/>
  <c r="G645" i="15"/>
  <c r="H632" i="15"/>
  <c r="I619" i="15"/>
  <c r="J606" i="15"/>
  <c r="F594" i="15"/>
  <c r="G581" i="15"/>
  <c r="H568" i="15"/>
  <c r="I555" i="15"/>
  <c r="J542" i="15"/>
  <c r="F530" i="15"/>
  <c r="G517" i="15"/>
  <c r="H504" i="15"/>
  <c r="I491" i="15"/>
  <c r="J478" i="15"/>
  <c r="F466" i="15"/>
  <c r="G453" i="15"/>
  <c r="H440" i="15"/>
  <c r="I427" i="15"/>
  <c r="J414" i="15"/>
  <c r="F402" i="15"/>
  <c r="G389" i="15"/>
  <c r="H376" i="15"/>
  <c r="I363" i="15"/>
  <c r="J350" i="15"/>
  <c r="F338" i="15"/>
  <c r="G325" i="15"/>
  <c r="H312" i="15"/>
  <c r="I299" i="15"/>
  <c r="J286" i="15"/>
  <c r="F274" i="15"/>
  <c r="G261" i="15"/>
  <c r="H248" i="15"/>
  <c r="I235" i="15"/>
  <c r="J222" i="15"/>
  <c r="F210" i="15"/>
  <c r="G197" i="15"/>
  <c r="H184" i="15"/>
  <c r="I171" i="15"/>
  <c r="J158" i="15"/>
  <c r="F146" i="15"/>
  <c r="G133" i="15"/>
  <c r="H120" i="15"/>
  <c r="I107" i="15"/>
  <c r="J94" i="15"/>
  <c r="F82" i="15"/>
  <c r="G69" i="15"/>
  <c r="H56" i="15"/>
  <c r="I43" i="15"/>
  <c r="J30" i="15"/>
  <c r="F18" i="15"/>
  <c r="G5" i="15"/>
  <c r="E23" i="6"/>
  <c r="D145" i="5"/>
  <c r="E107" i="5"/>
  <c r="D71" i="5"/>
  <c r="D33" i="5"/>
  <c r="D101" i="4"/>
  <c r="J733" i="15"/>
  <c r="F721" i="15"/>
  <c r="G708" i="15"/>
  <c r="H695" i="15"/>
  <c r="I682" i="15"/>
  <c r="J669" i="15"/>
  <c r="F657" i="15"/>
  <c r="G644" i="15"/>
  <c r="H631" i="15"/>
  <c r="I618" i="15"/>
  <c r="J605" i="15"/>
  <c r="F593" i="15"/>
  <c r="G580" i="15"/>
  <c r="H567" i="15"/>
  <c r="I554" i="15"/>
  <c r="J541" i="15"/>
  <c r="F529" i="15"/>
  <c r="G516" i="15"/>
  <c r="H503" i="15"/>
  <c r="I490" i="15"/>
  <c r="J477" i="15"/>
  <c r="F465" i="15"/>
  <c r="G452" i="15"/>
  <c r="H439" i="15"/>
  <c r="I426" i="15"/>
  <c r="J413" i="15"/>
  <c r="F401" i="15"/>
  <c r="G388" i="15"/>
  <c r="H375" i="15"/>
  <c r="I362" i="15"/>
  <c r="J349" i="15"/>
  <c r="F337" i="15"/>
  <c r="G324" i="15"/>
  <c r="H311" i="15"/>
  <c r="I298" i="15"/>
  <c r="J285" i="15"/>
  <c r="F273" i="15"/>
  <c r="G260" i="15"/>
  <c r="H247" i="15"/>
  <c r="I234" i="15"/>
  <c r="J221" i="15"/>
  <c r="F209" i="15"/>
  <c r="G196" i="15"/>
  <c r="H183" i="15"/>
  <c r="I170" i="15"/>
  <c r="J157" i="15"/>
  <c r="F145" i="15"/>
  <c r="G132" i="15"/>
  <c r="H119" i="15"/>
  <c r="I106" i="15"/>
  <c r="J93" i="15"/>
  <c r="F81" i="15"/>
  <c r="G68" i="15"/>
  <c r="H55" i="15"/>
  <c r="I42" i="15"/>
  <c r="J29" i="15"/>
  <c r="F17" i="15"/>
  <c r="G4" i="15"/>
  <c r="E20" i="6"/>
  <c r="D142" i="5"/>
  <c r="E104" i="5"/>
  <c r="E67" i="5"/>
  <c r="D30" i="5"/>
  <c r="I733" i="15"/>
  <c r="J720" i="15"/>
  <c r="F708" i="15"/>
  <c r="G695" i="15"/>
  <c r="H682" i="15"/>
  <c r="I669" i="15"/>
  <c r="J656" i="15"/>
  <c r="F644" i="15"/>
  <c r="G631" i="15"/>
  <c r="H618" i="15"/>
  <c r="I605" i="15"/>
  <c r="J592" i="15"/>
  <c r="F580" i="15"/>
  <c r="G567" i="15"/>
  <c r="H554" i="15"/>
  <c r="I541" i="15"/>
  <c r="J528" i="15"/>
  <c r="F516" i="15"/>
  <c r="G503" i="15"/>
  <c r="H490" i="15"/>
  <c r="I477" i="15"/>
  <c r="J464" i="15"/>
  <c r="F452" i="15"/>
  <c r="G439" i="15"/>
  <c r="H426" i="15"/>
  <c r="I413" i="15"/>
  <c r="J400" i="15"/>
  <c r="F388" i="15"/>
  <c r="G375" i="15"/>
  <c r="H362" i="15"/>
  <c r="I349" i="15"/>
  <c r="J336" i="15"/>
  <c r="F324" i="15"/>
  <c r="G311" i="15"/>
  <c r="H298" i="15"/>
  <c r="I285" i="15"/>
  <c r="J272" i="15"/>
  <c r="F260" i="15"/>
  <c r="G247" i="15"/>
  <c r="H234" i="15"/>
  <c r="I221" i="15"/>
  <c r="J208" i="15"/>
  <c r="F196" i="15"/>
  <c r="G183" i="15"/>
  <c r="H170" i="15"/>
  <c r="I157" i="15"/>
  <c r="J144" i="15"/>
  <c r="F132" i="15"/>
  <c r="G119" i="15"/>
  <c r="H106" i="15"/>
  <c r="I93" i="15"/>
  <c r="J80" i="15"/>
  <c r="F68" i="15"/>
  <c r="G55" i="15"/>
  <c r="H42" i="15"/>
  <c r="I29" i="15"/>
  <c r="J16" i="15"/>
  <c r="F4" i="15"/>
  <c r="E21" i="6"/>
  <c r="D144" i="5"/>
  <c r="E105" i="5"/>
  <c r="D69" i="5"/>
  <c r="D32" i="5"/>
  <c r="D44" i="4"/>
  <c r="E194" i="3"/>
  <c r="D159" i="3"/>
  <c r="E121" i="3"/>
  <c r="D85" i="3"/>
  <c r="D47" i="3"/>
  <c r="E9" i="3"/>
  <c r="D32" i="2"/>
  <c r="D201" i="1"/>
  <c r="D167" i="1"/>
  <c r="D132" i="1"/>
  <c r="D98" i="1"/>
  <c r="D63" i="1"/>
  <c r="D28" i="1"/>
  <c r="E38" i="4"/>
  <c r="D4" i="4"/>
  <c r="E160" i="3"/>
  <c r="E123" i="3"/>
  <c r="D86" i="3"/>
  <c r="E48" i="3"/>
  <c r="E11" i="3"/>
  <c r="D37" i="2"/>
  <c r="E196" i="1"/>
  <c r="E161" i="1"/>
  <c r="E127" i="1"/>
  <c r="E92" i="1"/>
  <c r="E57" i="1"/>
  <c r="E23" i="1"/>
  <c r="D96" i="4"/>
  <c r="E19" i="4"/>
  <c r="D181" i="3"/>
  <c r="D144" i="3"/>
  <c r="E105" i="3"/>
  <c r="D69" i="3"/>
  <c r="D32" i="3"/>
  <c r="E56" i="2"/>
  <c r="E24" i="2"/>
  <c r="D192" i="1"/>
  <c r="D157" i="1"/>
  <c r="D123" i="1"/>
  <c r="D88" i="1"/>
  <c r="D53" i="1"/>
  <c r="D18" i="1"/>
  <c r="D47" i="4"/>
  <c r="E12" i="4"/>
  <c r="D175" i="3"/>
  <c r="E138" i="3"/>
  <c r="E99" i="3"/>
  <c r="D63" i="3"/>
  <c r="E26" i="3"/>
  <c r="E49" i="2"/>
  <c r="D14" i="2"/>
  <c r="E182" i="1"/>
  <c r="E147" i="1"/>
  <c r="E113" i="1"/>
  <c r="E78" i="1"/>
  <c r="E43" i="1"/>
  <c r="E6" i="1"/>
  <c r="J11" i="15"/>
  <c r="D5" i="8"/>
  <c r="D7" i="6"/>
  <c r="E127" i="5"/>
  <c r="D91" i="5"/>
  <c r="E54" i="5"/>
  <c r="E15" i="5"/>
  <c r="H740" i="15"/>
  <c r="I727" i="15"/>
  <c r="J714" i="15"/>
  <c r="F702" i="15"/>
  <c r="G689" i="15"/>
  <c r="H676" i="15"/>
  <c r="I663" i="15"/>
  <c r="J650" i="15"/>
  <c r="F638" i="15"/>
  <c r="G625" i="15"/>
  <c r="H612" i="15"/>
  <c r="I599" i="15"/>
  <c r="J586" i="15"/>
  <c r="F574" i="15"/>
  <c r="G561" i="15"/>
  <c r="H548" i="15"/>
  <c r="I535" i="15"/>
  <c r="J522" i="15"/>
  <c r="F510" i="15"/>
  <c r="G497" i="15"/>
  <c r="H484" i="15"/>
  <c r="I471" i="15"/>
  <c r="J458" i="15"/>
  <c r="F446" i="15"/>
  <c r="G433" i="15"/>
  <c r="H420" i="15"/>
  <c r="I407" i="15"/>
  <c r="J394" i="15"/>
  <c r="F382" i="15"/>
  <c r="G369" i="15"/>
  <c r="H356" i="15"/>
  <c r="I343" i="15"/>
  <c r="J330" i="15"/>
  <c r="F318" i="15"/>
  <c r="G305" i="15"/>
  <c r="H292" i="15"/>
  <c r="I279" i="15"/>
  <c r="J266" i="15"/>
  <c r="F254" i="15"/>
  <c r="G241" i="15"/>
  <c r="H228" i="15"/>
  <c r="I215" i="15"/>
  <c r="J202" i="15"/>
  <c r="F190" i="15"/>
  <c r="G177" i="15"/>
  <c r="H164" i="15"/>
  <c r="I151" i="15"/>
  <c r="J138" i="15"/>
  <c r="F126" i="15"/>
  <c r="G113" i="15"/>
  <c r="H100" i="15"/>
  <c r="I87" i="15"/>
  <c r="J74" i="15"/>
  <c r="F62" i="15"/>
  <c r="G49" i="15"/>
  <c r="H36" i="15"/>
  <c r="I23" i="15"/>
  <c r="J10" i="15"/>
  <c r="D8" i="7"/>
  <c r="D160" i="5"/>
  <c r="D124" i="5"/>
  <c r="E86" i="5"/>
  <c r="D50" i="5"/>
  <c r="D12" i="5"/>
  <c r="H739" i="15"/>
  <c r="I726" i="15"/>
  <c r="J713" i="15"/>
  <c r="F701" i="15"/>
  <c r="G688" i="15"/>
  <c r="H675" i="15"/>
  <c r="I662" i="15"/>
  <c r="J649" i="15"/>
  <c r="F637" i="15"/>
  <c r="G624" i="15"/>
  <c r="H611" i="15"/>
  <c r="I598" i="15"/>
  <c r="J585" i="15"/>
  <c r="F573" i="15"/>
  <c r="G560" i="15"/>
  <c r="H547" i="15"/>
  <c r="I534" i="15"/>
  <c r="J521" i="15"/>
  <c r="F509" i="15"/>
  <c r="G496" i="15"/>
  <c r="H483" i="15"/>
  <c r="I470" i="15"/>
  <c r="J457" i="15"/>
  <c r="F445" i="15"/>
  <c r="G432" i="15"/>
  <c r="H419" i="15"/>
  <c r="I406" i="15"/>
  <c r="J393" i="15"/>
  <c r="F381" i="15"/>
  <c r="G368" i="15"/>
  <c r="H355" i="15"/>
  <c r="I342" i="15"/>
  <c r="J329" i="15"/>
  <c r="F317" i="15"/>
  <c r="G304" i="15"/>
  <c r="H291" i="15"/>
  <c r="I278" i="15"/>
  <c r="J265" i="15"/>
  <c r="F253" i="15"/>
  <c r="G240" i="15"/>
  <c r="H227" i="15"/>
  <c r="I214" i="15"/>
  <c r="J201" i="15"/>
  <c r="F189" i="15"/>
  <c r="G176" i="15"/>
  <c r="H163" i="15"/>
  <c r="I150" i="15"/>
  <c r="J137" i="15"/>
  <c r="F125" i="15"/>
  <c r="G112" i="15"/>
  <c r="H99" i="15"/>
  <c r="I86" i="15"/>
  <c r="J73" i="15"/>
  <c r="F61" i="15"/>
  <c r="G48" i="15"/>
  <c r="H35" i="15"/>
  <c r="I22" i="15"/>
  <c r="J9" i="15"/>
  <c r="E4" i="7"/>
  <c r="E157" i="5"/>
  <c r="D121" i="5"/>
  <c r="E83" i="5"/>
  <c r="E46" i="5"/>
  <c r="G739" i="15"/>
  <c r="H726" i="15"/>
  <c r="I713" i="15"/>
  <c r="J700" i="15"/>
  <c r="F688" i="15"/>
  <c r="G675" i="15"/>
  <c r="H662" i="15"/>
  <c r="I649" i="15"/>
  <c r="J636" i="15"/>
  <c r="F624" i="15"/>
  <c r="G611" i="15"/>
  <c r="H598" i="15"/>
  <c r="I585" i="15"/>
  <c r="J572" i="15"/>
  <c r="F560" i="15"/>
  <c r="G547" i="15"/>
  <c r="H534" i="15"/>
  <c r="I521" i="15"/>
  <c r="J508" i="15"/>
  <c r="F496" i="15"/>
  <c r="G483" i="15"/>
  <c r="H470" i="15"/>
  <c r="I457" i="15"/>
  <c r="J444" i="15"/>
  <c r="F432" i="15"/>
  <c r="G419" i="15"/>
  <c r="H406" i="15"/>
  <c r="I393" i="15"/>
  <c r="J380" i="15"/>
  <c r="F368" i="15"/>
  <c r="G355" i="15"/>
  <c r="H342" i="15"/>
  <c r="I329" i="15"/>
  <c r="J316" i="15"/>
  <c r="F304" i="15"/>
  <c r="G291" i="15"/>
  <c r="H278" i="15"/>
  <c r="I265" i="15"/>
  <c r="J252" i="15"/>
  <c r="F240" i="15"/>
  <c r="G227" i="15"/>
  <c r="H214" i="15"/>
  <c r="I201" i="15"/>
  <c r="J188" i="15"/>
  <c r="F176" i="15"/>
  <c r="G163" i="15"/>
  <c r="H150" i="15"/>
  <c r="I137" i="15"/>
  <c r="J124" i="15"/>
  <c r="F112" i="15"/>
  <c r="G99" i="15"/>
  <c r="H86" i="15"/>
  <c r="I73" i="15"/>
  <c r="J60" i="15"/>
  <c r="F48" i="15"/>
  <c r="G35" i="15"/>
  <c r="H22" i="15"/>
  <c r="I9" i="15"/>
  <c r="D6" i="7"/>
  <c r="D159" i="5"/>
  <c r="D123" i="5"/>
  <c r="E84" i="5"/>
  <c r="D48" i="5"/>
  <c r="D6" i="5"/>
  <c r="D21" i="4"/>
  <c r="D176" i="3"/>
  <c r="D138" i="3"/>
  <c r="E100" i="3"/>
  <c r="D64" i="3"/>
  <c r="D26" i="3"/>
  <c r="D49" i="2"/>
  <c r="C13" i="2"/>
  <c r="D182" i="1"/>
  <c r="D147" i="1"/>
  <c r="D113" i="1"/>
  <c r="D78" i="1"/>
  <c r="D43" i="1"/>
  <c r="E100" i="4"/>
  <c r="D17" i="4"/>
  <c r="D177" i="3"/>
  <c r="E139" i="3"/>
  <c r="E102" i="3"/>
  <c r="D65" i="3"/>
  <c r="E27" i="3"/>
  <c r="D53" i="2"/>
  <c r="E10" i="2"/>
  <c r="E177" i="1"/>
  <c r="E142" i="1"/>
  <c r="E108" i="1"/>
  <c r="E73" i="1"/>
  <c r="E38" i="1"/>
  <c r="D24" i="1"/>
  <c r="D34" i="4"/>
  <c r="E195" i="3"/>
  <c r="D160" i="3"/>
  <c r="D123" i="3"/>
  <c r="E84" i="3"/>
  <c r="D48" i="3"/>
  <c r="D11" i="3"/>
  <c r="D38" i="2"/>
  <c r="D8" i="2"/>
  <c r="D172" i="1"/>
  <c r="D137" i="1"/>
  <c r="D103" i="1"/>
  <c r="D69" i="1"/>
  <c r="D34" i="1"/>
  <c r="E14" i="5"/>
  <c r="D27" i="4"/>
  <c r="D191" i="3"/>
  <c r="D154" i="3"/>
  <c r="E117" i="3"/>
  <c r="E78" i="3"/>
  <c r="D42" i="3"/>
  <c r="E5" i="3"/>
  <c r="E29" i="2"/>
  <c r="E197" i="1"/>
  <c r="E162" i="1"/>
  <c r="E93" i="1"/>
  <c r="D20" i="1"/>
  <c r="H2181" i="15"/>
  <c r="H1134" i="15"/>
  <c r="J1472" i="15"/>
  <c r="G1173" i="15"/>
  <c r="I1210" i="15"/>
  <c r="F1344" i="15"/>
  <c r="F1072" i="15"/>
  <c r="J892" i="15"/>
  <c r="I1028" i="15"/>
  <c r="G1456" i="15"/>
  <c r="H1251" i="15"/>
  <c r="H1522" i="15"/>
  <c r="I1317" i="15"/>
  <c r="G1183" i="15"/>
  <c r="H978" i="15"/>
  <c r="I773" i="15"/>
  <c r="I832" i="15"/>
  <c r="F1030" i="15"/>
  <c r="G825" i="15"/>
  <c r="F961" i="15"/>
  <c r="G756" i="15"/>
  <c r="G482" i="15"/>
  <c r="G210" i="15"/>
  <c r="F831" i="15"/>
  <c r="F962" i="15"/>
  <c r="G757" i="15"/>
  <c r="G960" i="15"/>
  <c r="H755" i="15"/>
  <c r="H481" i="15"/>
  <c r="H209" i="15"/>
  <c r="F755" i="15"/>
  <c r="G1025" i="15"/>
  <c r="G753" i="15"/>
  <c r="H1023" i="15"/>
  <c r="I818" i="15"/>
  <c r="F615" i="15"/>
  <c r="G410" i="15"/>
  <c r="J67" i="15"/>
  <c r="F954" i="15"/>
  <c r="G749" i="15"/>
  <c r="G952" i="15"/>
  <c r="I814" i="15"/>
  <c r="F611" i="15"/>
  <c r="J543" i="15"/>
  <c r="F339" i="15"/>
  <c r="G134" i="15"/>
  <c r="E5" i="5"/>
  <c r="H544" i="15"/>
  <c r="J406" i="15"/>
  <c r="G269" i="15"/>
  <c r="H64" i="15"/>
  <c r="J677" i="15"/>
  <c r="H543" i="15"/>
  <c r="J405" i="15"/>
  <c r="F201" i="15"/>
  <c r="H63" i="15"/>
  <c r="J664" i="15"/>
  <c r="J392" i="15"/>
  <c r="F188" i="15"/>
  <c r="D157" i="5"/>
  <c r="E57" i="2"/>
  <c r="E183" i="1"/>
  <c r="D144" i="1"/>
  <c r="E40" i="3"/>
  <c r="E91" i="1"/>
  <c r="D12" i="8"/>
  <c r="J690" i="15"/>
  <c r="F614" i="15"/>
  <c r="G537" i="15"/>
  <c r="H460" i="15"/>
  <c r="I383" i="15"/>
  <c r="H332" i="15"/>
  <c r="G281" i="15"/>
  <c r="H204" i="15"/>
  <c r="I127" i="15"/>
  <c r="H76" i="15"/>
  <c r="E6" i="8"/>
  <c r="H715" i="15"/>
  <c r="F613" i="15"/>
  <c r="G536" i="15"/>
  <c r="H459" i="15"/>
  <c r="I382" i="15"/>
  <c r="G280" i="15"/>
  <c r="F229" i="15"/>
  <c r="J177" i="15"/>
  <c r="I126" i="15"/>
  <c r="F2449" i="15"/>
  <c r="H2267" i="15"/>
  <c r="I1815" i="15"/>
  <c r="F1770" i="15"/>
  <c r="G1946" i="15"/>
  <c r="I2352" i="15"/>
  <c r="G1942" i="15"/>
  <c r="F1945" i="15"/>
  <c r="I1809" i="15"/>
  <c r="G1314" i="15"/>
  <c r="G1313" i="15"/>
  <c r="G1688" i="15"/>
  <c r="G1687" i="15"/>
  <c r="G1278" i="15"/>
  <c r="G1277" i="15"/>
  <c r="F1649" i="15"/>
  <c r="F1648" i="15"/>
  <c r="F1239" i="15"/>
  <c r="F1238" i="15"/>
  <c r="J1625" i="15"/>
  <c r="J1624" i="15"/>
  <c r="J1215" i="15"/>
  <c r="J1214" i="15"/>
  <c r="J1237" i="15"/>
  <c r="J1236" i="15"/>
  <c r="G827" i="15"/>
  <c r="I860" i="15"/>
  <c r="H1403" i="15"/>
  <c r="F1540" i="15"/>
  <c r="F1268" i="15"/>
  <c r="J992" i="15"/>
  <c r="I1128" i="15"/>
  <c r="G962" i="15"/>
  <c r="I1207" i="15"/>
  <c r="H1479" i="15"/>
  <c r="J1341" i="15"/>
  <c r="G1236" i="15"/>
  <c r="J1548" i="15"/>
  <c r="G1459" i="15"/>
  <c r="I1369" i="15"/>
  <c r="J1276" i="15"/>
  <c r="G1187" i="15"/>
  <c r="I1097" i="15"/>
  <c r="J1004" i="15"/>
  <c r="G915" i="15"/>
  <c r="I825" i="15"/>
  <c r="H1137" i="15"/>
  <c r="J1047" i="15"/>
  <c r="H977" i="15"/>
  <c r="F907" i="15"/>
  <c r="J1202" i="15"/>
  <c r="I1542" i="15"/>
  <c r="G1472" i="15"/>
  <c r="F1405" i="15"/>
  <c r="J1337" i="15"/>
  <c r="H1267" i="15"/>
  <c r="G1200" i="15"/>
  <c r="I1541" i="15"/>
  <c r="G1471" i="15"/>
  <c r="F1404" i="15"/>
  <c r="J1336" i="15"/>
  <c r="H1266" i="15"/>
  <c r="G1199" i="15"/>
  <c r="F1132" i="15"/>
  <c r="I1061" i="15"/>
  <c r="H994" i="15"/>
  <c r="G927" i="15"/>
  <c r="J856" i="15"/>
  <c r="I789" i="15"/>
  <c r="G1130" i="15"/>
  <c r="J1059" i="15"/>
  <c r="I992" i="15"/>
  <c r="H925" i="15"/>
  <c r="F855" i="15"/>
  <c r="J775" i="15"/>
  <c r="H1116" i="15"/>
  <c r="F1046" i="15"/>
  <c r="J978" i="15"/>
  <c r="I911" i="15"/>
  <c r="G841" i="15"/>
  <c r="F774" i="15"/>
  <c r="I1114" i="15"/>
  <c r="G1044" i="15"/>
  <c r="F977" i="15"/>
  <c r="J909" i="15"/>
  <c r="H839" i="15"/>
  <c r="G772" i="15"/>
  <c r="G706" i="15"/>
  <c r="J635" i="15"/>
  <c r="I568" i="15"/>
  <c r="H501" i="15"/>
  <c r="F431" i="15"/>
  <c r="J363" i="15"/>
  <c r="I296" i="15"/>
  <c r="G226" i="15"/>
  <c r="F159" i="15"/>
  <c r="J91" i="15"/>
  <c r="H21" i="15"/>
  <c r="F775" i="15"/>
  <c r="I1115" i="15"/>
  <c r="G1045" i="15"/>
  <c r="F978" i="15"/>
  <c r="J910" i="15"/>
  <c r="H840" i="15"/>
  <c r="G773" i="15"/>
  <c r="J1113" i="15"/>
  <c r="H1043" i="15"/>
  <c r="G976" i="15"/>
  <c r="F909" i="15"/>
  <c r="I838" i="15"/>
  <c r="H771" i="15"/>
  <c r="H705" i="15"/>
  <c r="F635" i="15"/>
  <c r="J567" i="15"/>
  <c r="I500" i="15"/>
  <c r="G430" i="15"/>
  <c r="F363" i="15"/>
  <c r="J295" i="15"/>
  <c r="H225" i="15"/>
  <c r="G158" i="15"/>
  <c r="F91" i="15"/>
  <c r="J851" i="15"/>
  <c r="F771" i="15"/>
  <c r="I1111" i="15"/>
  <c r="G1041" i="15"/>
  <c r="F974" i="15"/>
  <c r="J906" i="15"/>
  <c r="H836" i="15"/>
  <c r="G769" i="15"/>
  <c r="J1109" i="15"/>
  <c r="H1039" i="15"/>
  <c r="G972" i="15"/>
  <c r="F905" i="15"/>
  <c r="I834" i="15"/>
  <c r="H767" i="15"/>
  <c r="H701" i="15"/>
  <c r="F631" i="15"/>
  <c r="J563" i="15"/>
  <c r="I496" i="15"/>
  <c r="G426" i="15"/>
  <c r="F359" i="15"/>
  <c r="J291" i="15"/>
  <c r="H221" i="15"/>
  <c r="G154" i="15"/>
  <c r="F87" i="15"/>
  <c r="F843" i="15"/>
  <c r="F767" i="15"/>
  <c r="I1107" i="15"/>
  <c r="G1037" i="15"/>
  <c r="F970" i="15"/>
  <c r="J902" i="15"/>
  <c r="H832" i="15"/>
  <c r="G765" i="15"/>
  <c r="J1105" i="15"/>
  <c r="H1035" i="15"/>
  <c r="G968" i="15"/>
  <c r="F901" i="15"/>
  <c r="I830" i="15"/>
  <c r="H763" i="15"/>
  <c r="H697" i="15"/>
  <c r="F627" i="15"/>
  <c r="J559" i="15"/>
  <c r="I492" i="15"/>
  <c r="G422" i="15"/>
  <c r="F355" i="15"/>
  <c r="J287" i="15"/>
  <c r="H217" i="15"/>
  <c r="G150" i="15"/>
  <c r="F83" i="15"/>
  <c r="G14" i="15"/>
  <c r="E50" i="5"/>
  <c r="F698" i="15"/>
  <c r="I627" i="15"/>
  <c r="H560" i="15"/>
  <c r="G493" i="15"/>
  <c r="J422" i="15"/>
  <c r="I355" i="15"/>
  <c r="H288" i="15"/>
  <c r="F218" i="15"/>
  <c r="J150" i="15"/>
  <c r="I83" i="15"/>
  <c r="G13" i="15"/>
  <c r="D47" i="5"/>
  <c r="F697" i="15"/>
  <c r="I626" i="15"/>
  <c r="H559" i="15"/>
  <c r="G492" i="15"/>
  <c r="J421" i="15"/>
  <c r="I354" i="15"/>
  <c r="H287" i="15"/>
  <c r="F217" i="15"/>
  <c r="J149" i="15"/>
  <c r="I82" i="15"/>
  <c r="G12" i="15"/>
  <c r="D44" i="5"/>
  <c r="F684" i="15"/>
  <c r="I613" i="15"/>
  <c r="H546" i="15"/>
  <c r="G479" i="15"/>
  <c r="J408" i="15"/>
  <c r="I341" i="15"/>
  <c r="H274" i="15"/>
  <c r="F204" i="15"/>
  <c r="J136" i="15"/>
  <c r="I69" i="15"/>
  <c r="E8" i="8"/>
  <c r="D106" i="4"/>
  <c r="E51" i="3"/>
  <c r="D119" i="1"/>
  <c r="E174" i="3"/>
  <c r="D41" i="2"/>
  <c r="E45" i="1"/>
  <c r="E119" i="3"/>
  <c r="D196" i="1"/>
  <c r="D15" i="1"/>
  <c r="E141" i="3"/>
  <c r="E68" i="3"/>
  <c r="E52" i="2"/>
  <c r="E187" i="1"/>
  <c r="E117" i="1"/>
  <c r="E48" i="1"/>
  <c r="G10" i="15"/>
  <c r="E160" i="5"/>
  <c r="E85" i="5"/>
  <c r="E12" i="5"/>
  <c r="F726" i="15"/>
  <c r="H700" i="15"/>
  <c r="J674" i="15"/>
  <c r="G649" i="15"/>
  <c r="I623" i="15"/>
  <c r="F598" i="15"/>
  <c r="H572" i="15"/>
  <c r="J546" i="15"/>
  <c r="G521" i="15"/>
  <c r="I495" i="15"/>
  <c r="F470" i="15"/>
  <c r="H444" i="15"/>
  <c r="J418" i="15"/>
  <c r="G393" i="15"/>
  <c r="I367" i="15"/>
  <c r="F342" i="15"/>
  <c r="H316" i="15"/>
  <c r="J290" i="15"/>
  <c r="G265" i="15"/>
  <c r="I239" i="15"/>
  <c r="F214" i="15"/>
  <c r="H188" i="15"/>
  <c r="J162" i="15"/>
  <c r="G137" i="15"/>
  <c r="I111" i="15"/>
  <c r="F86" i="15"/>
  <c r="H60" i="15"/>
  <c r="J34" i="15"/>
  <c r="G9" i="15"/>
  <c r="D156" i="5"/>
  <c r="D82" i="5"/>
  <c r="D8" i="5"/>
  <c r="F725" i="15"/>
  <c r="H699" i="15"/>
  <c r="J673" i="15"/>
  <c r="G648" i="15"/>
  <c r="I622" i="15"/>
  <c r="F597" i="15"/>
  <c r="H571" i="15"/>
  <c r="J545" i="15"/>
  <c r="G520" i="15"/>
  <c r="I494" i="15"/>
  <c r="F469" i="15"/>
  <c r="H443" i="15"/>
  <c r="J417" i="15"/>
  <c r="G392" i="15"/>
  <c r="I366" i="15"/>
  <c r="F341" i="15"/>
  <c r="H315" i="15"/>
  <c r="J289" i="15"/>
  <c r="G264" i="15"/>
  <c r="I238" i="15"/>
  <c r="F213" i="15"/>
  <c r="H187" i="15"/>
  <c r="J161" i="15"/>
  <c r="G136" i="15"/>
  <c r="I110" i="15"/>
  <c r="F85" i="15"/>
  <c r="H59" i="15"/>
  <c r="J33" i="15"/>
  <c r="G8" i="15"/>
  <c r="E153" i="5"/>
  <c r="D79" i="5"/>
  <c r="I737" i="15"/>
  <c r="F712" i="15"/>
  <c r="H686" i="15"/>
  <c r="J660" i="15"/>
  <c r="G635" i="15"/>
  <c r="I609" i="15"/>
  <c r="F584" i="15"/>
  <c r="H558" i="15"/>
  <c r="G539" i="15"/>
  <c r="H526" i="15"/>
  <c r="I513" i="15"/>
  <c r="J500" i="15"/>
  <c r="F488" i="15"/>
  <c r="G475" i="15"/>
  <c r="H462" i="15"/>
  <c r="I449" i="15"/>
  <c r="J436" i="15"/>
  <c r="F424" i="15"/>
  <c r="G411" i="15"/>
  <c r="H398" i="15"/>
  <c r="I385" i="15"/>
  <c r="J372" i="15"/>
  <c r="F360" i="15"/>
  <c r="G347" i="15"/>
  <c r="H334" i="15"/>
  <c r="I321" i="15"/>
  <c r="J308" i="15"/>
  <c r="F296" i="15"/>
  <c r="G283" i="15"/>
  <c r="H270" i="15"/>
  <c r="I257" i="15"/>
  <c r="J244" i="15"/>
  <c r="F232" i="15"/>
  <c r="G219" i="15"/>
  <c r="H206" i="15"/>
  <c r="I193" i="15"/>
  <c r="J180" i="15"/>
  <c r="F168" i="15"/>
  <c r="G155" i="15"/>
  <c r="H142" i="15"/>
  <c r="I129" i="15"/>
  <c r="J116" i="15"/>
  <c r="F104" i="15"/>
  <c r="G91" i="15"/>
  <c r="H78" i="15"/>
  <c r="I65" i="15"/>
  <c r="J52" i="15"/>
  <c r="F40" i="15"/>
  <c r="G27" i="15"/>
  <c r="H14" i="15"/>
  <c r="E15" i="8"/>
  <c r="E14" i="6"/>
  <c r="D137" i="5"/>
  <c r="E98" i="5"/>
  <c r="D62" i="5"/>
  <c r="D25" i="5"/>
  <c r="D36" i="4"/>
  <c r="E188" i="3"/>
  <c r="D152" i="3"/>
  <c r="E114" i="3"/>
  <c r="D78" i="3"/>
  <c r="D40" i="3"/>
  <c r="D106" i="2"/>
  <c r="E21" i="2"/>
  <c r="D195" i="1"/>
  <c r="D160" i="1"/>
  <c r="D126" i="1"/>
  <c r="D91" i="1"/>
  <c r="D56" i="1"/>
  <c r="E13" i="1"/>
  <c r="E30" i="4"/>
  <c r="D190" i="3"/>
  <c r="E153" i="3"/>
  <c r="E116" i="3"/>
  <c r="D79" i="3"/>
  <c r="E41" i="3"/>
  <c r="E4" i="3"/>
  <c r="E30" i="2"/>
  <c r="E190" i="1"/>
  <c r="E155" i="1"/>
  <c r="E120" i="1"/>
  <c r="E86" i="1"/>
  <c r="E51" i="1"/>
  <c r="D16" i="1"/>
  <c r="D46" i="4"/>
  <c r="E11" i="4"/>
  <c r="D174" i="3"/>
  <c r="D137" i="3"/>
  <c r="E98" i="3"/>
  <c r="D62" i="3"/>
  <c r="D25" i="3"/>
  <c r="D50" i="2"/>
  <c r="E15" i="2"/>
  <c r="D185" i="1"/>
  <c r="D150" i="1"/>
  <c r="D116" i="1"/>
  <c r="D82" i="1"/>
  <c r="D47" i="1"/>
  <c r="D10" i="1"/>
  <c r="D40" i="4"/>
  <c r="C9" i="4"/>
  <c r="D168" i="3"/>
  <c r="E131" i="3"/>
  <c r="E92" i="3"/>
  <c r="D56" i="3"/>
  <c r="E19" i="3"/>
  <c r="D43" i="2"/>
  <c r="D11" i="2"/>
  <c r="E176" i="1"/>
  <c r="E140" i="1"/>
  <c r="E107" i="1"/>
  <c r="E72" i="1"/>
  <c r="E37" i="1"/>
  <c r="J15" i="15"/>
  <c r="F3" i="15"/>
  <c r="E19" i="6"/>
  <c r="D140" i="5"/>
  <c r="E103" i="5"/>
  <c r="E64" i="5"/>
  <c r="D28" i="5"/>
  <c r="E97" i="4"/>
  <c r="I731" i="15"/>
  <c r="J718" i="15"/>
  <c r="F706" i="15"/>
  <c r="G693" i="15"/>
  <c r="H680" i="15"/>
  <c r="I667" i="15"/>
  <c r="J654" i="15"/>
  <c r="F642" i="15"/>
  <c r="G629" i="15"/>
  <c r="H616" i="15"/>
  <c r="I603" i="15"/>
  <c r="J590" i="15"/>
  <c r="F578" i="15"/>
  <c r="G565" i="15"/>
  <c r="H552" i="15"/>
  <c r="I539" i="15"/>
  <c r="J526" i="15"/>
  <c r="F514" i="15"/>
  <c r="G501" i="15"/>
  <c r="H488" i="15"/>
  <c r="I475" i="15"/>
  <c r="J462" i="15"/>
  <c r="F450" i="15"/>
  <c r="G437" i="15"/>
  <c r="H424" i="15"/>
  <c r="I411" i="15"/>
  <c r="J398" i="15"/>
  <c r="F386" i="15"/>
  <c r="G373" i="15"/>
  <c r="H360" i="15"/>
  <c r="I347" i="15"/>
  <c r="J334" i="15"/>
  <c r="F322" i="15"/>
  <c r="G309" i="15"/>
  <c r="H296" i="15"/>
  <c r="I283" i="15"/>
  <c r="J270" i="15"/>
  <c r="F258" i="15"/>
  <c r="G245" i="15"/>
  <c r="H232" i="15"/>
  <c r="I219" i="15"/>
  <c r="J206" i="15"/>
  <c r="F194" i="15"/>
  <c r="G181" i="15"/>
  <c r="H168" i="15"/>
  <c r="I155" i="15"/>
  <c r="J142" i="15"/>
  <c r="F130" i="15"/>
  <c r="G117" i="15"/>
  <c r="H104" i="15"/>
  <c r="I91" i="15"/>
  <c r="J78" i="15"/>
  <c r="F66" i="15"/>
  <c r="G53" i="15"/>
  <c r="H40" i="15"/>
  <c r="I27" i="15"/>
  <c r="J14" i="15"/>
  <c r="F2" i="15"/>
  <c r="D15" i="6"/>
  <c r="E135" i="5"/>
  <c r="D99" i="5"/>
  <c r="D61" i="5"/>
  <c r="E23" i="5"/>
  <c r="D93" i="4"/>
  <c r="I730" i="15"/>
  <c r="J717" i="15"/>
  <c r="F705" i="15"/>
  <c r="G692" i="15"/>
  <c r="H679" i="15"/>
  <c r="I666" i="15"/>
  <c r="J653" i="15"/>
  <c r="F641" i="15"/>
  <c r="G628" i="15"/>
  <c r="H615" i="15"/>
  <c r="I602" i="15"/>
  <c r="J589" i="15"/>
  <c r="F577" i="15"/>
  <c r="G564" i="15"/>
  <c r="H551" i="15"/>
  <c r="I538" i="15"/>
  <c r="J525" i="15"/>
  <c r="F513" i="15"/>
  <c r="G500" i="15"/>
  <c r="H487" i="15"/>
  <c r="I474" i="15"/>
  <c r="J461" i="15"/>
  <c r="F449" i="15"/>
  <c r="G436" i="15"/>
  <c r="H423" i="15"/>
  <c r="I410" i="15"/>
  <c r="J397" i="15"/>
  <c r="F385" i="15"/>
  <c r="G372" i="15"/>
  <c r="H359" i="15"/>
  <c r="I346" i="15"/>
  <c r="J333" i="15"/>
  <c r="F321" i="15"/>
  <c r="G308" i="15"/>
  <c r="H295" i="15"/>
  <c r="I282" i="15"/>
  <c r="J269" i="15"/>
  <c r="F257" i="15"/>
  <c r="G244" i="15"/>
  <c r="H231" i="15"/>
  <c r="I218" i="15"/>
  <c r="J205" i="15"/>
  <c r="F193" i="15"/>
  <c r="G180" i="15"/>
  <c r="H167" i="15"/>
  <c r="I154" i="15"/>
  <c r="J141" i="15"/>
  <c r="F129" i="15"/>
  <c r="G116" i="15"/>
  <c r="H103" i="15"/>
  <c r="I90" i="15"/>
  <c r="J77" i="15"/>
  <c r="F65" i="15"/>
  <c r="G52" i="15"/>
  <c r="H39" i="15"/>
  <c r="I26" i="15"/>
  <c r="J13" i="15"/>
  <c r="D13" i="8"/>
  <c r="E11" i="6"/>
  <c r="E132" i="5"/>
  <c r="E95" i="5"/>
  <c r="D58" i="5"/>
  <c r="E20" i="5"/>
  <c r="H730" i="15"/>
  <c r="I717" i="15"/>
  <c r="J704" i="15"/>
  <c r="F692" i="15"/>
  <c r="G679" i="15"/>
  <c r="H666" i="15"/>
  <c r="I653" i="15"/>
  <c r="J640" i="15"/>
  <c r="F628" i="15"/>
  <c r="G615" i="15"/>
  <c r="H602" i="15"/>
  <c r="I589" i="15"/>
  <c r="J576" i="15"/>
  <c r="F564" i="15"/>
  <c r="G551" i="15"/>
  <c r="H538" i="15"/>
  <c r="I525" i="15"/>
  <c r="J512" i="15"/>
  <c r="F500" i="15"/>
  <c r="G487" i="15"/>
  <c r="H474" i="15"/>
  <c r="I461" i="15"/>
  <c r="J448" i="15"/>
  <c r="F436" i="15"/>
  <c r="G423" i="15"/>
  <c r="H410" i="15"/>
  <c r="I397" i="15"/>
  <c r="J384" i="15"/>
  <c r="F372" i="15"/>
  <c r="G359" i="15"/>
  <c r="H346" i="15"/>
  <c r="I333" i="15"/>
  <c r="J320" i="15"/>
  <c r="F308" i="15"/>
  <c r="G295" i="15"/>
  <c r="H282" i="15"/>
  <c r="I269" i="15"/>
  <c r="J256" i="15"/>
  <c r="F244" i="15"/>
  <c r="G231" i="15"/>
  <c r="H218" i="15"/>
  <c r="I205" i="15"/>
  <c r="J192" i="15"/>
  <c r="F180" i="15"/>
  <c r="G167" i="15"/>
  <c r="H154" i="15"/>
  <c r="I141" i="15"/>
  <c r="J128" i="15"/>
  <c r="F116" i="15"/>
  <c r="G103" i="15"/>
  <c r="H90" i="15"/>
  <c r="I77" i="15"/>
  <c r="J64" i="15"/>
  <c r="F52" i="15"/>
  <c r="G39" i="15"/>
  <c r="H26" i="15"/>
  <c r="I13" i="15"/>
  <c r="D14" i="8"/>
  <c r="D13" i="6"/>
  <c r="E133" i="5"/>
  <c r="D97" i="5"/>
  <c r="D60" i="5"/>
  <c r="E21" i="5"/>
  <c r="D33" i="4"/>
  <c r="E186" i="3"/>
  <c r="E149" i="3"/>
  <c r="D113" i="3"/>
  <c r="D75" i="3"/>
  <c r="E37" i="3"/>
  <c r="E61" i="2"/>
  <c r="D20" i="2"/>
  <c r="D193" i="1"/>
  <c r="D158" i="1"/>
  <c r="D124" i="1"/>
  <c r="D89" i="1"/>
  <c r="D54" i="1"/>
  <c r="D6" i="1"/>
  <c r="D29" i="4"/>
  <c r="D188" i="3"/>
  <c r="E151" i="3"/>
  <c r="D114" i="3"/>
  <c r="E76" i="3"/>
  <c r="E39" i="3"/>
  <c r="E105" i="2"/>
  <c r="E26" i="2"/>
  <c r="E188" i="1"/>
  <c r="E153" i="1"/>
  <c r="E118" i="1"/>
  <c r="E84" i="1"/>
  <c r="E49" i="1"/>
  <c r="D13" i="1"/>
  <c r="E43" i="4"/>
  <c r="D10" i="4"/>
  <c r="D172" i="3"/>
  <c r="E133" i="3"/>
  <c r="D97" i="3"/>
  <c r="D60" i="3"/>
  <c r="E21" i="3"/>
  <c r="E47" i="2"/>
  <c r="E14" i="2"/>
  <c r="D183" i="1"/>
  <c r="D148" i="1"/>
  <c r="D114" i="1"/>
  <c r="D79" i="1"/>
  <c r="D45" i="1"/>
  <c r="D7" i="1"/>
  <c r="E36" i="4"/>
  <c r="C8" i="4"/>
  <c r="E166" i="3"/>
  <c r="E127" i="3"/>
  <c r="D91" i="3"/>
  <c r="E54" i="3"/>
  <c r="E15" i="3"/>
  <c r="D40" i="2"/>
  <c r="E9" i="2"/>
  <c r="E174" i="1"/>
  <c r="E138" i="1"/>
  <c r="E104" i="1"/>
  <c r="E70" i="1"/>
  <c r="E35" i="1"/>
  <c r="E8" i="1"/>
  <c r="I8" i="15"/>
  <c r="E33" i="6"/>
  <c r="E156" i="5"/>
  <c r="D119" i="5"/>
  <c r="E82" i="5"/>
  <c r="E43" i="5"/>
  <c r="D7" i="5"/>
  <c r="G737" i="15"/>
  <c r="H724" i="15"/>
  <c r="I711" i="15"/>
  <c r="J698" i="15"/>
  <c r="F686" i="15"/>
  <c r="G673" i="15"/>
  <c r="H660" i="15"/>
  <c r="I647" i="15"/>
  <c r="J634" i="15"/>
  <c r="F622" i="15"/>
  <c r="G609" i="15"/>
  <c r="H596" i="15"/>
  <c r="I583" i="15"/>
  <c r="J570" i="15"/>
  <c r="F558" i="15"/>
  <c r="G545" i="15"/>
  <c r="H532" i="15"/>
  <c r="I519" i="15"/>
  <c r="J506" i="15"/>
  <c r="F494" i="15"/>
  <c r="G481" i="15"/>
  <c r="H468" i="15"/>
  <c r="I455" i="15"/>
  <c r="J442" i="15"/>
  <c r="F430" i="15"/>
  <c r="G417" i="15"/>
  <c r="H404" i="15"/>
  <c r="I391" i="15"/>
  <c r="J378" i="15"/>
  <c r="F366" i="15"/>
  <c r="G353" i="15"/>
  <c r="H340" i="15"/>
  <c r="I327" i="15"/>
  <c r="J314" i="15"/>
  <c r="F302" i="15"/>
  <c r="G289" i="15"/>
  <c r="H276" i="15"/>
  <c r="I263" i="15"/>
  <c r="J250" i="15"/>
  <c r="F238" i="15"/>
  <c r="G225" i="15"/>
  <c r="H212" i="15"/>
  <c r="I199" i="15"/>
  <c r="J186" i="15"/>
  <c r="F174" i="15"/>
  <c r="G161" i="15"/>
  <c r="H148" i="15"/>
  <c r="I135" i="15"/>
  <c r="J122" i="15"/>
  <c r="F110" i="15"/>
  <c r="G97" i="15"/>
  <c r="H84" i="15"/>
  <c r="I71" i="15"/>
  <c r="J58" i="15"/>
  <c r="F46" i="15"/>
  <c r="G33" i="15"/>
  <c r="H20" i="15"/>
  <c r="I7" i="15"/>
  <c r="D29" i="6"/>
  <c r="D152" i="5"/>
  <c r="E114" i="5"/>
  <c r="D78" i="5"/>
  <c r="D40" i="5"/>
  <c r="D107" i="4"/>
  <c r="G736" i="15"/>
  <c r="H723" i="15"/>
  <c r="I710" i="15"/>
  <c r="J697" i="15"/>
  <c r="F685" i="15"/>
  <c r="G672" i="15"/>
  <c r="H659" i="15"/>
  <c r="I646" i="15"/>
  <c r="J633" i="15"/>
  <c r="F621" i="15"/>
  <c r="G608" i="15"/>
  <c r="H595" i="15"/>
  <c r="I582" i="15"/>
  <c r="J569" i="15"/>
  <c r="F557" i="15"/>
  <c r="G544" i="15"/>
  <c r="H531" i="15"/>
  <c r="I518" i="15"/>
  <c r="J505" i="15"/>
  <c r="F493" i="15"/>
  <c r="G480" i="15"/>
  <c r="H467" i="15"/>
  <c r="I454" i="15"/>
  <c r="J441" i="15"/>
  <c r="F429" i="15"/>
  <c r="G416" i="15"/>
  <c r="H403" i="15"/>
  <c r="I390" i="15"/>
  <c r="J377" i="15"/>
  <c r="F365" i="15"/>
  <c r="G352" i="15"/>
  <c r="H339" i="15"/>
  <c r="I326" i="15"/>
  <c r="J313" i="15"/>
  <c r="F301" i="15"/>
  <c r="G288" i="15"/>
  <c r="H275" i="15"/>
  <c r="I262" i="15"/>
  <c r="J249" i="15"/>
  <c r="F237" i="15"/>
  <c r="G224" i="15"/>
  <c r="H211" i="15"/>
  <c r="I198" i="15"/>
  <c r="J185" i="15"/>
  <c r="F173" i="15"/>
  <c r="G160" i="15"/>
  <c r="H147" i="15"/>
  <c r="I134" i="15"/>
  <c r="J121" i="15"/>
  <c r="F109" i="15"/>
  <c r="G96" i="15"/>
  <c r="H83" i="15"/>
  <c r="I70" i="15"/>
  <c r="J57" i="15"/>
  <c r="F45" i="15"/>
  <c r="G32" i="15"/>
  <c r="H19" i="15"/>
  <c r="I6" i="15"/>
  <c r="E26" i="6"/>
  <c r="D149" i="5"/>
  <c r="E111" i="5"/>
  <c r="E74" i="5"/>
  <c r="D37" i="5"/>
  <c r="F736" i="15"/>
  <c r="G723" i="15"/>
  <c r="H710" i="15"/>
  <c r="I697" i="15"/>
  <c r="J684" i="15"/>
  <c r="F672" i="15"/>
  <c r="G659" i="15"/>
  <c r="H646" i="15"/>
  <c r="I633" i="15"/>
  <c r="J620" i="15"/>
  <c r="F608" i="15"/>
  <c r="G595" i="15"/>
  <c r="H582" i="15"/>
  <c r="I569" i="15"/>
  <c r="J556" i="15"/>
  <c r="F544" i="15"/>
  <c r="G531" i="15"/>
  <c r="H518" i="15"/>
  <c r="I505" i="15"/>
  <c r="J492" i="15"/>
  <c r="F480" i="15"/>
  <c r="G467" i="15"/>
  <c r="H454" i="15"/>
  <c r="I441" i="15"/>
  <c r="J428" i="15"/>
  <c r="F416" i="15"/>
  <c r="G403" i="15"/>
  <c r="H390" i="15"/>
  <c r="I377" i="15"/>
  <c r="J364" i="15"/>
  <c r="F352" i="15"/>
  <c r="G339" i="15"/>
  <c r="H326" i="15"/>
  <c r="I313" i="15"/>
  <c r="J300" i="15"/>
  <c r="F288" i="15"/>
  <c r="G275" i="15"/>
  <c r="H262" i="15"/>
  <c r="I249" i="15"/>
  <c r="J236" i="15"/>
  <c r="F224" i="15"/>
  <c r="G211" i="15"/>
  <c r="H198" i="15"/>
  <c r="I185" i="15"/>
  <c r="J172" i="15"/>
  <c r="F160" i="15"/>
  <c r="G147" i="15"/>
  <c r="H134" i="15"/>
  <c r="I121" i="15"/>
  <c r="J108" i="15"/>
  <c r="F96" i="15"/>
  <c r="G83" i="15"/>
  <c r="H70" i="15"/>
  <c r="I57" i="15"/>
  <c r="J44" i="15"/>
  <c r="F32" i="15"/>
  <c r="G19" i="15"/>
  <c r="H6" i="15"/>
  <c r="D28" i="6"/>
  <c r="D151" i="5"/>
  <c r="E112" i="5"/>
  <c r="D76" i="5"/>
  <c r="D39" i="5"/>
  <c r="D94" i="4"/>
  <c r="D12" i="4"/>
  <c r="D166" i="3"/>
  <c r="E128" i="3"/>
  <c r="D92" i="3"/>
  <c r="D54" i="3"/>
  <c r="E16" i="3"/>
  <c r="E37" i="2"/>
  <c r="E6" i="2"/>
  <c r="D174" i="1"/>
  <c r="D138" i="1"/>
  <c r="D104" i="1"/>
  <c r="D70" i="1"/>
  <c r="D35" i="1"/>
  <c r="D45" i="4"/>
  <c r="E8" i="4"/>
  <c r="E167" i="3"/>
  <c r="E130" i="3"/>
  <c r="D93" i="3"/>
  <c r="E55" i="3"/>
  <c r="E18" i="3"/>
  <c r="E42" i="2"/>
  <c r="E202" i="1"/>
  <c r="E168" i="1"/>
  <c r="E133" i="1"/>
  <c r="E99" i="1"/>
  <c r="E64" i="1"/>
  <c r="E29" i="1"/>
  <c r="D4" i="5"/>
  <c r="D26" i="4"/>
  <c r="E187" i="3"/>
  <c r="D151" i="3"/>
  <c r="E112" i="3"/>
  <c r="D76" i="3"/>
  <c r="D39" i="3"/>
  <c r="D105" i="2"/>
  <c r="D30" i="2"/>
  <c r="D198" i="1"/>
  <c r="D164" i="1"/>
  <c r="D129" i="1"/>
  <c r="D94" i="1"/>
  <c r="D60" i="1"/>
  <c r="D25" i="1"/>
  <c r="E102" i="4"/>
  <c r="D19" i="4"/>
  <c r="D182" i="3"/>
  <c r="E145" i="3"/>
  <c r="E106" i="3"/>
  <c r="D70" i="3"/>
  <c r="E33" i="3"/>
  <c r="D56" i="2"/>
  <c r="D19" i="2"/>
  <c r="E189" i="1"/>
  <c r="E154" i="1"/>
  <c r="E119" i="1"/>
  <c r="E85" i="1"/>
  <c r="E50" i="1"/>
  <c r="D14" i="1"/>
  <c r="G2272" i="15"/>
  <c r="J2151" i="15"/>
  <c r="H1741" i="15"/>
  <c r="J2147" i="15"/>
  <c r="H1737" i="15"/>
  <c r="I1810" i="15"/>
  <c r="F1672" i="15"/>
  <c r="J1211" i="15"/>
  <c r="J1590" i="15"/>
  <c r="J1585" i="15"/>
  <c r="J1584" i="15"/>
  <c r="J1175" i="15"/>
  <c r="G1956" i="15"/>
  <c r="G1955" i="15"/>
  <c r="G1546" i="15"/>
  <c r="G1545" i="15"/>
  <c r="F1933" i="15"/>
  <c r="F1932" i="15"/>
  <c r="F1523" i="15"/>
  <c r="F1522" i="15"/>
  <c r="F1545" i="15"/>
  <c r="F1544" i="15"/>
  <c r="H1200" i="15"/>
  <c r="G1336" i="15"/>
  <c r="I925" i="15"/>
  <c r="I1064" i="15"/>
  <c r="G1444" i="15"/>
  <c r="I1529" i="15"/>
  <c r="H1254" i="15"/>
  <c r="F800" i="15"/>
  <c r="F891" i="15"/>
  <c r="H1523" i="15"/>
  <c r="F1389" i="15"/>
  <c r="G1184" i="15"/>
  <c r="F1388" i="15"/>
  <c r="J1112" i="15"/>
  <c r="F908" i="15"/>
  <c r="F1111" i="15"/>
  <c r="I976" i="15"/>
  <c r="G1097" i="15"/>
  <c r="H892" i="15"/>
  <c r="F758" i="15"/>
  <c r="G1028" i="15"/>
  <c r="H823" i="15"/>
  <c r="J619" i="15"/>
  <c r="F415" i="15"/>
  <c r="H277" i="15"/>
  <c r="I72" i="15"/>
  <c r="F759" i="15"/>
  <c r="G1029" i="15"/>
  <c r="H824" i="15"/>
  <c r="H1027" i="15"/>
  <c r="I822" i="15"/>
  <c r="F619" i="15"/>
  <c r="G414" i="15"/>
  <c r="J71" i="15"/>
  <c r="H1092" i="15"/>
  <c r="I887" i="15"/>
  <c r="I1090" i="15"/>
  <c r="G956" i="15"/>
  <c r="H751" i="15"/>
  <c r="J547" i="15"/>
  <c r="F343" i="15"/>
  <c r="H205" i="15"/>
  <c r="I820" i="15"/>
  <c r="H1088" i="15"/>
  <c r="I883" i="15"/>
  <c r="I1086" i="15"/>
  <c r="J881" i="15"/>
  <c r="H747" i="15"/>
  <c r="H473" i="15"/>
  <c r="H201" i="15"/>
  <c r="E8" i="7"/>
  <c r="I611" i="15"/>
  <c r="I339" i="15"/>
  <c r="F202" i="15"/>
  <c r="D5" i="7"/>
  <c r="I610" i="15"/>
  <c r="I338" i="15"/>
  <c r="J133" i="15"/>
  <c r="G735" i="15"/>
  <c r="I597" i="15"/>
  <c r="F460" i="15"/>
  <c r="G255" i="15"/>
  <c r="J120" i="15"/>
  <c r="E6" i="4"/>
  <c r="D128" i="3"/>
  <c r="D74" i="3"/>
  <c r="E113" i="3"/>
  <c r="E160" i="1"/>
  <c r="D133" i="5"/>
  <c r="H716" i="15"/>
  <c r="I639" i="15"/>
  <c r="J562" i="15"/>
  <c r="F486" i="15"/>
  <c r="G409" i="15"/>
  <c r="F358" i="15"/>
  <c r="I255" i="15"/>
  <c r="J178" i="15"/>
  <c r="F102" i="15"/>
  <c r="G25" i="15"/>
  <c r="D54" i="5"/>
  <c r="F741" i="15"/>
  <c r="G664" i="15"/>
  <c r="J561" i="15"/>
  <c r="F485" i="15"/>
  <c r="J433" i="15"/>
  <c r="F357" i="15"/>
  <c r="J305" i="15"/>
  <c r="I254" i="15"/>
  <c r="G152" i="15"/>
  <c r="H75" i="15"/>
  <c r="E125" i="5"/>
  <c r="J676" i="15"/>
  <c r="H574" i="15"/>
  <c r="H510" i="15"/>
  <c r="G459" i="15"/>
  <c r="F408" i="15"/>
  <c r="J356" i="15"/>
  <c r="I305" i="15"/>
  <c r="H254" i="15"/>
  <c r="G203" i="15"/>
  <c r="F152" i="15"/>
  <c r="J100" i="15"/>
  <c r="I49" i="15"/>
  <c r="E5" i="8"/>
  <c r="D53" i="5"/>
  <c r="E142" i="3"/>
  <c r="E53" i="2"/>
  <c r="D117" i="1"/>
  <c r="E22" i="4"/>
  <c r="E69" i="3"/>
  <c r="E181" i="1"/>
  <c r="E42" i="1"/>
  <c r="D165" i="3"/>
  <c r="E14" i="3"/>
  <c r="D142" i="1"/>
  <c r="D8" i="1"/>
  <c r="E120" i="3"/>
  <c r="E32" i="2"/>
  <c r="E98" i="1"/>
  <c r="D8" i="8"/>
  <c r="D56" i="5"/>
  <c r="I715" i="15"/>
  <c r="H664" i="15"/>
  <c r="G613" i="15"/>
  <c r="F562" i="15"/>
  <c r="J510" i="15"/>
  <c r="I459" i="15"/>
  <c r="H408" i="15"/>
  <c r="G357" i="15"/>
  <c r="F306" i="15"/>
  <c r="J254" i="15"/>
  <c r="I203" i="15"/>
  <c r="H152" i="15"/>
  <c r="G101" i="15"/>
  <c r="F50" i="15"/>
  <c r="E4" i="8"/>
  <c r="E51" i="5"/>
  <c r="I714" i="15"/>
  <c r="H663" i="15"/>
  <c r="G612" i="15"/>
  <c r="F561" i="15"/>
  <c r="J509" i="15"/>
  <c r="I458" i="15"/>
  <c r="H407" i="15"/>
  <c r="G356" i="15"/>
  <c r="F305" i="15"/>
  <c r="J253" i="15"/>
  <c r="I202" i="15"/>
  <c r="H151" i="15"/>
  <c r="G100" i="15"/>
  <c r="F49" i="15"/>
  <c r="E6" i="7"/>
  <c r="E48" i="5"/>
  <c r="I701" i="15"/>
  <c r="H650" i="15"/>
  <c r="G599" i="15"/>
  <c r="F548" i="15"/>
  <c r="J496" i="15"/>
  <c r="I445" i="15"/>
  <c r="H394" i="15"/>
  <c r="G343" i="15"/>
  <c r="F292" i="15"/>
  <c r="J240" i="15"/>
  <c r="I189" i="15"/>
  <c r="H138" i="15"/>
  <c r="G87" i="15"/>
  <c r="F36" i="15"/>
  <c r="D4" i="6"/>
  <c r="D11" i="5"/>
  <c r="D103" i="3"/>
  <c r="C14" i="2"/>
  <c r="D80" i="1"/>
  <c r="E179" i="3"/>
  <c r="D30" i="3"/>
  <c r="E144" i="1"/>
  <c r="E5" i="1"/>
  <c r="D125" i="3"/>
  <c r="E40" i="2"/>
  <c r="D106" i="1"/>
  <c r="E28" i="4"/>
  <c r="E82" i="3"/>
  <c r="E199" i="1"/>
  <c r="E61" i="1"/>
  <c r="E25" i="6"/>
  <c r="D35" i="5"/>
  <c r="H708" i="15"/>
  <c r="G657" i="15"/>
  <c r="F606" i="15"/>
  <c r="J554" i="15"/>
  <c r="I503" i="15"/>
  <c r="H452" i="15"/>
  <c r="G401" i="15"/>
  <c r="F350" i="15"/>
  <c r="J298" i="15"/>
  <c r="I247" i="15"/>
  <c r="H196" i="15"/>
  <c r="G145" i="15"/>
  <c r="F94" i="15"/>
  <c r="J42" i="15"/>
  <c r="D22" i="6"/>
  <c r="E30" i="5"/>
  <c r="H707" i="15"/>
  <c r="G656" i="15"/>
  <c r="F605" i="15"/>
  <c r="J553" i="15"/>
  <c r="I502" i="15"/>
  <c r="H451" i="15"/>
  <c r="G400" i="15"/>
  <c r="F349" i="15"/>
  <c r="J297" i="15"/>
  <c r="I246" i="15"/>
  <c r="H195" i="15"/>
  <c r="G144" i="15"/>
  <c r="F93" i="15"/>
  <c r="J41" i="15"/>
  <c r="E18" i="6"/>
  <c r="E27" i="5"/>
  <c r="H694" i="15"/>
  <c r="G643" i="15"/>
  <c r="F592" i="15"/>
  <c r="J540" i="15"/>
  <c r="I489" i="15"/>
  <c r="H438" i="15"/>
  <c r="G387" i="15"/>
  <c r="F336" i="15"/>
  <c r="J284" i="15"/>
  <c r="I233" i="15"/>
  <c r="H182" i="15"/>
  <c r="G131" i="15"/>
  <c r="F80" i="15"/>
  <c r="J28" i="15"/>
  <c r="E140" i="5"/>
  <c r="E41" i="4"/>
  <c r="D82" i="3"/>
  <c r="D199" i="1"/>
  <c r="D61" i="1"/>
  <c r="E158" i="3"/>
  <c r="D9" i="3"/>
  <c r="E125" i="1"/>
  <c r="D92" i="4"/>
  <c r="D104" i="3"/>
  <c r="D22" i="2"/>
  <c r="D86" i="1"/>
  <c r="D11" i="4"/>
  <c r="E61" i="3"/>
  <c r="E180" i="1"/>
  <c r="E41" i="1"/>
  <c r="H202" i="15"/>
  <c r="D52" i="2"/>
  <c r="E18" i="4"/>
  <c r="E179" i="1"/>
  <c r="E161" i="3"/>
  <c r="D139" i="1"/>
  <c r="D119" i="3"/>
  <c r="H5" i="15"/>
  <c r="G721" i="15"/>
  <c r="J618" i="15"/>
  <c r="H516" i="15"/>
  <c r="J362" i="15"/>
  <c r="G209" i="15"/>
  <c r="J106" i="15"/>
  <c r="D68" i="5"/>
  <c r="J617" i="15"/>
  <c r="G464" i="15"/>
  <c r="J361" i="15"/>
  <c r="H259" i="15"/>
  <c r="J105" i="15"/>
  <c r="I54" i="15"/>
  <c r="G707" i="15"/>
  <c r="J604" i="15"/>
  <c r="G451" i="15"/>
  <c r="J348" i="15"/>
  <c r="G195" i="15"/>
  <c r="J92" i="15"/>
  <c r="E28" i="5"/>
  <c r="D29" i="2"/>
  <c r="E159" i="1"/>
  <c r="E21" i="1"/>
  <c r="D120" i="1"/>
  <c r="D13" i="2"/>
  <c r="J49" i="15"/>
  <c r="D51" i="5"/>
  <c r="G651" i="15"/>
  <c r="J548" i="15"/>
  <c r="I497" i="15"/>
  <c r="H446" i="15"/>
  <c r="G395" i="15"/>
  <c r="F344" i="15"/>
  <c r="J292" i="15"/>
  <c r="I241" i="15"/>
  <c r="H190" i="15"/>
  <c r="G139" i="15"/>
  <c r="F88" i="15"/>
  <c r="J36" i="15"/>
  <c r="D6" i="6"/>
  <c r="D16" i="5"/>
  <c r="D106" i="3"/>
  <c r="C15" i="2"/>
  <c r="D83" i="1"/>
  <c r="E181" i="3"/>
  <c r="E32" i="3"/>
  <c r="E146" i="1"/>
  <c r="E7" i="1"/>
  <c r="E126" i="3"/>
  <c r="D42" i="2"/>
  <c r="D108" i="1"/>
  <c r="D31" i="4"/>
  <c r="D84" i="3"/>
  <c r="E201" i="1"/>
  <c r="E63" i="1"/>
  <c r="E8" i="6"/>
  <c r="E19" i="5"/>
  <c r="J702" i="15"/>
  <c r="I651" i="15"/>
  <c r="H600" i="15"/>
  <c r="G549" i="15"/>
  <c r="F498" i="15"/>
  <c r="J446" i="15"/>
  <c r="I395" i="15"/>
  <c r="H344" i="15"/>
  <c r="G293" i="15"/>
  <c r="F242" i="15"/>
  <c r="J190" i="15"/>
  <c r="I139" i="15"/>
  <c r="H88" i="15"/>
  <c r="G37" i="15"/>
  <c r="D5" i="6"/>
  <c r="D15" i="5"/>
  <c r="J701" i="15"/>
  <c r="I650" i="15"/>
  <c r="H599" i="15"/>
  <c r="G548" i="15"/>
  <c r="F497" i="15"/>
  <c r="J445" i="15"/>
  <c r="I394" i="15"/>
  <c r="H343" i="15"/>
  <c r="G292" i="15"/>
  <c r="F241" i="15"/>
  <c r="J189" i="15"/>
  <c r="I138" i="15"/>
  <c r="H87" i="15"/>
  <c r="G36" i="15"/>
  <c r="E159" i="5"/>
  <c r="F740" i="15"/>
  <c r="J688" i="15"/>
  <c r="I637" i="15"/>
  <c r="H586" i="15"/>
  <c r="G535" i="15"/>
  <c r="F484" i="15"/>
  <c r="J432" i="15"/>
  <c r="I381" i="15"/>
  <c r="H330" i="15"/>
  <c r="G279" i="15"/>
  <c r="F228" i="15"/>
  <c r="J176" i="15"/>
  <c r="I125" i="15"/>
  <c r="H74" i="15"/>
  <c r="G23" i="15"/>
  <c r="D125" i="5"/>
  <c r="D24" i="4"/>
  <c r="E65" i="3"/>
  <c r="D184" i="1"/>
  <c r="D46" i="1"/>
  <c r="D142" i="3"/>
  <c r="E54" i="2"/>
  <c r="E110" i="1"/>
  <c r="E35" i="4"/>
  <c r="D88" i="3"/>
  <c r="D10" i="2"/>
  <c r="D71" i="1"/>
  <c r="D193" i="3"/>
  <c r="E43" i="3"/>
  <c r="E165" i="1"/>
  <c r="E26" i="1"/>
  <c r="D147" i="5"/>
  <c r="E103" i="4"/>
  <c r="I695" i="15"/>
  <c r="H644" i="15"/>
  <c r="G593" i="15"/>
  <c r="F542" i="15"/>
  <c r="J490" i="15"/>
  <c r="I439" i="15"/>
  <c r="H388" i="15"/>
  <c r="G337" i="15"/>
  <c r="F286" i="15"/>
  <c r="J234" i="15"/>
  <c r="I183" i="15"/>
  <c r="H132" i="15"/>
  <c r="G81" i="15"/>
  <c r="F30" i="15"/>
  <c r="E142" i="5"/>
  <c r="D99" i="4"/>
  <c r="I694" i="15"/>
  <c r="H643" i="15"/>
  <c r="G592" i="15"/>
  <c r="F541" i="15"/>
  <c r="J489" i="15"/>
  <c r="I438" i="15"/>
  <c r="H387" i="15"/>
  <c r="G336" i="15"/>
  <c r="F285" i="15"/>
  <c r="J233" i="15"/>
  <c r="I182" i="15"/>
  <c r="H131" i="15"/>
  <c r="G80" i="15"/>
  <c r="F29" i="15"/>
  <c r="E139" i="5"/>
  <c r="J732" i="15"/>
  <c r="I681" i="15"/>
  <c r="H630" i="15"/>
  <c r="G579" i="15"/>
  <c r="F528" i="15"/>
  <c r="J476" i="15"/>
  <c r="I425" i="15"/>
  <c r="H374" i="15"/>
  <c r="G323" i="15"/>
  <c r="F272" i="15"/>
  <c r="J220" i="15"/>
  <c r="I169" i="15"/>
  <c r="H118" i="15"/>
  <c r="G67" i="15"/>
  <c r="F16" i="15"/>
  <c r="D104" i="5"/>
  <c r="E192" i="3"/>
  <c r="E44" i="3"/>
  <c r="D165" i="1"/>
  <c r="D26" i="1"/>
  <c r="D121" i="3"/>
  <c r="E34" i="2"/>
  <c r="E90" i="1"/>
  <c r="D18" i="4"/>
  <c r="D67" i="3"/>
  <c r="D190" i="1"/>
  <c r="D51" i="1"/>
  <c r="E173" i="3"/>
  <c r="E22" i="3"/>
  <c r="E145" i="1"/>
  <c r="E4" i="1"/>
  <c r="J304" i="15"/>
  <c r="E71" i="5"/>
  <c r="G465" i="15"/>
  <c r="I311" i="15"/>
  <c r="F158" i="15"/>
  <c r="H4" i="15"/>
  <c r="F669" i="15"/>
  <c r="H515" i="15"/>
  <c r="I310" i="15"/>
  <c r="F157" i="15"/>
  <c r="D65" i="5"/>
  <c r="I553" i="15"/>
  <c r="F400" i="15"/>
  <c r="H246" i="15"/>
  <c r="F144" i="15"/>
  <c r="D20" i="6"/>
  <c r="D96" i="1"/>
  <c r="E46" i="3"/>
  <c r="D54" i="2"/>
  <c r="E44" i="4"/>
  <c r="E76" i="1"/>
  <c r="G24" i="15"/>
  <c r="F728" i="15"/>
  <c r="I625" i="15"/>
  <c r="F536" i="15"/>
  <c r="J484" i="15"/>
  <c r="I433" i="15"/>
  <c r="H382" i="15"/>
  <c r="G331" i="15"/>
  <c r="F280" i="15"/>
  <c r="J228" i="15"/>
  <c r="I177" i="15"/>
  <c r="H126" i="15"/>
  <c r="G75" i="15"/>
  <c r="F24" i="15"/>
  <c r="E126" i="5"/>
  <c r="E25" i="4"/>
  <c r="D68" i="3"/>
  <c r="D187" i="1"/>
  <c r="D48" i="1"/>
  <c r="E144" i="3"/>
  <c r="D57" i="2"/>
  <c r="E112" i="1"/>
  <c r="D38" i="4"/>
  <c r="D90" i="3"/>
  <c r="E11" i="2"/>
  <c r="D73" i="1"/>
  <c r="D195" i="3"/>
  <c r="E47" i="3"/>
  <c r="E167" i="1"/>
  <c r="E28" i="1"/>
  <c r="E131" i="5"/>
  <c r="G741" i="15"/>
  <c r="F690" i="15"/>
  <c r="J638" i="15"/>
  <c r="I587" i="15"/>
  <c r="H536" i="15"/>
  <c r="G485" i="15"/>
  <c r="F434" i="15"/>
  <c r="J382" i="15"/>
  <c r="I331" i="15"/>
  <c r="H280" i="15"/>
  <c r="G229" i="15"/>
  <c r="F178" i="15"/>
  <c r="J126" i="15"/>
  <c r="I75" i="15"/>
  <c r="H24" i="15"/>
  <c r="D127" i="5"/>
  <c r="G740" i="15"/>
  <c r="F689" i="15"/>
  <c r="J637" i="15"/>
  <c r="I586" i="15"/>
  <c r="H535" i="15"/>
  <c r="G484" i="15"/>
  <c r="F433" i="15"/>
  <c r="J381" i="15"/>
  <c r="I330" i="15"/>
  <c r="H279" i="15"/>
  <c r="G228" i="15"/>
  <c r="F177" i="15"/>
  <c r="J125" i="15"/>
  <c r="I74" i="15"/>
  <c r="H23" i="15"/>
  <c r="E123" i="5"/>
  <c r="G727" i="15"/>
  <c r="F676" i="15"/>
  <c r="J624" i="15"/>
  <c r="I573" i="15"/>
  <c r="H522" i="15"/>
  <c r="G471" i="15"/>
  <c r="F420" i="15"/>
  <c r="J368" i="15"/>
  <c r="I317" i="15"/>
  <c r="H266" i="15"/>
  <c r="G215" i="15"/>
  <c r="F164" i="15"/>
  <c r="J112" i="15"/>
  <c r="I61" i="15"/>
  <c r="H10" i="15"/>
  <c r="D88" i="5"/>
  <c r="E177" i="3"/>
  <c r="D29" i="3"/>
  <c r="D149" i="1"/>
  <c r="E104" i="4"/>
  <c r="E104" i="3"/>
  <c r="D18" i="2"/>
  <c r="E75" i="1"/>
  <c r="E5" i="4"/>
  <c r="E49" i="3"/>
  <c r="D175" i="1"/>
  <c r="D36" i="1"/>
  <c r="E155" i="3"/>
  <c r="D7" i="3"/>
  <c r="E130" i="1"/>
  <c r="G18" i="15"/>
  <c r="E110" i="5"/>
  <c r="F734" i="15"/>
  <c r="J682" i="15"/>
  <c r="I631" i="15"/>
  <c r="H580" i="15"/>
  <c r="G529" i="15"/>
  <c r="F478" i="15"/>
  <c r="J426" i="15"/>
  <c r="I375" i="15"/>
  <c r="H324" i="15"/>
  <c r="G273" i="15"/>
  <c r="F222" i="15"/>
  <c r="J170" i="15"/>
  <c r="I119" i="15"/>
  <c r="H68" i="15"/>
  <c r="G17" i="15"/>
  <c r="D106" i="5"/>
  <c r="F733" i="15"/>
  <c r="J681" i="15"/>
  <c r="I630" i="15"/>
  <c r="H579" i="15"/>
  <c r="G528" i="15"/>
  <c r="F477" i="15"/>
  <c r="J425" i="15"/>
  <c r="I374" i="15"/>
  <c r="H323" i="15"/>
  <c r="G272" i="15"/>
  <c r="F221" i="15"/>
  <c r="J169" i="15"/>
  <c r="I118" i="15"/>
  <c r="H67" i="15"/>
  <c r="G16" i="15"/>
  <c r="E102" i="5"/>
  <c r="F720" i="15"/>
  <c r="J668" i="15"/>
  <c r="I617" i="15"/>
  <c r="H566" i="15"/>
  <c r="G515" i="15"/>
  <c r="F464" i="15"/>
  <c r="J412" i="15"/>
  <c r="I361" i="15"/>
  <c r="H310" i="15"/>
  <c r="G259" i="15"/>
  <c r="F208" i="15"/>
  <c r="J156" i="15"/>
  <c r="I105" i="15"/>
  <c r="H54" i="15"/>
  <c r="G3" i="15"/>
  <c r="D67" i="5"/>
  <c r="E156" i="3"/>
  <c r="D8" i="3"/>
  <c r="D130" i="1"/>
  <c r="D37" i="4"/>
  <c r="E83" i="3"/>
  <c r="E194" i="1"/>
  <c r="E55" i="1"/>
  <c r="D179" i="3"/>
  <c r="E28" i="3"/>
  <c r="D155" i="1"/>
  <c r="E14" i="1"/>
  <c r="E134" i="3"/>
  <c r="D47" i="2"/>
  <c r="E111" i="1"/>
  <c r="D4" i="8"/>
  <c r="H702" i="15"/>
  <c r="F600" i="15"/>
  <c r="G523" i="15"/>
  <c r="F472" i="15"/>
  <c r="J420" i="15"/>
  <c r="I369" i="15"/>
  <c r="H318" i="15"/>
  <c r="G267" i="15"/>
  <c r="F216" i="15"/>
  <c r="J164" i="15"/>
  <c r="I113" i="15"/>
  <c r="H62" i="15"/>
  <c r="G11" i="15"/>
  <c r="D90" i="5"/>
  <c r="D180" i="3"/>
  <c r="E30" i="3"/>
  <c r="D152" i="1"/>
  <c r="E4" i="5"/>
  <c r="D107" i="3"/>
  <c r="D21" i="2"/>
  <c r="E77" i="1"/>
  <c r="D7" i="4"/>
  <c r="D53" i="3"/>
  <c r="D177" i="1"/>
  <c r="D38" i="1"/>
  <c r="E159" i="3"/>
  <c r="E8" i="3"/>
  <c r="E132" i="1"/>
  <c r="I12" i="15"/>
  <c r="E92" i="5"/>
  <c r="H728" i="15"/>
  <c r="G677" i="15"/>
  <c r="F626" i="15"/>
  <c r="J574" i="15"/>
  <c r="I523" i="15"/>
  <c r="H472" i="15"/>
  <c r="G421" i="15"/>
  <c r="F370" i="15"/>
  <c r="J318" i="15"/>
  <c r="I267" i="15"/>
  <c r="H216" i="15"/>
  <c r="G165" i="15"/>
  <c r="F114" i="15"/>
  <c r="J62" i="15"/>
  <c r="I11" i="15"/>
  <c r="D89" i="5"/>
  <c r="H727" i="15"/>
  <c r="G676" i="15"/>
  <c r="F625" i="15"/>
  <c r="J573" i="15"/>
  <c r="I522" i="15"/>
  <c r="H471" i="15"/>
  <c r="G420" i="15"/>
  <c r="F369" i="15"/>
  <c r="J317" i="15"/>
  <c r="I266" i="15"/>
  <c r="H215" i="15"/>
  <c r="G164" i="15"/>
  <c r="F113" i="15"/>
  <c r="J61" i="15"/>
  <c r="I10" i="15"/>
  <c r="D86" i="5"/>
  <c r="H714" i="15"/>
  <c r="G663" i="15"/>
  <c r="F612" i="15"/>
  <c r="J560" i="15"/>
  <c r="I509" i="15"/>
  <c r="H458" i="15"/>
  <c r="G407" i="15"/>
  <c r="F356" i="15"/>
  <c r="I253" i="15"/>
  <c r="G151" i="15"/>
  <c r="F100" i="15"/>
  <c r="J48" i="15"/>
  <c r="E7" i="7"/>
  <c r="E49" i="5"/>
  <c r="D141" i="3"/>
  <c r="D115" i="1"/>
  <c r="E67" i="3"/>
  <c r="E40" i="1"/>
  <c r="D13" i="3"/>
  <c r="D4" i="1"/>
  <c r="D31" i="2"/>
  <c r="E96" i="1"/>
  <c r="F670" i="15"/>
  <c r="I567" i="15"/>
  <c r="F414" i="15"/>
  <c r="H260" i="15"/>
  <c r="I55" i="15"/>
  <c r="G720" i="15"/>
  <c r="I566" i="15"/>
  <c r="F413" i="15"/>
  <c r="G208" i="15"/>
  <c r="H3" i="15"/>
  <c r="F656" i="15"/>
  <c r="H502" i="15"/>
  <c r="I297" i="15"/>
  <c r="I41" i="15"/>
  <c r="D120" i="3"/>
  <c r="D194" i="3"/>
  <c r="E140" i="3"/>
  <c r="D98" i="3"/>
  <c r="G15" i="2" l="1"/>
  <c r="G14" i="2"/>
  <c r="G8" i="4"/>
  <c r="G9" i="4"/>
  <c r="G13" i="2"/>
  <c r="G7" i="4"/>
  <c r="G11" i="2"/>
  <c r="G12" i="2"/>
  <c r="G10" i="4"/>
</calcChain>
</file>

<file path=xl/sharedStrings.xml><?xml version="1.0" encoding="utf-8"?>
<sst xmlns="http://schemas.openxmlformats.org/spreadsheetml/2006/main" count="19511" uniqueCount="2280">
  <si>
    <t>For JP</t>
  </si>
  <si>
    <t>For VN developers</t>
  </si>
  <si>
    <t>User Says</t>
  </si>
  <si>
    <t>Response</t>
  </si>
  <si>
    <t>Link to Intent?</t>
  </si>
  <si>
    <t>UserSay in English (Automatic Translate)</t>
  </si>
  <si>
    <t>Response in English (Automatic Translate)</t>
  </si>
  <si>
    <t>Input to API.AI Status</t>
  </si>
  <si>
    <t>Json</t>
  </si>
  <si>
    <t>Event-Welcome</t>
  </si>
  <si>
    <t>FAQ-First</t>
  </si>
  <si>
    <t>FAQ-Guest1-1</t>
  </si>
  <si>
    <t>done</t>
  </si>
  <si>
    <t>身分証明書について</t>
  </si>
  <si>
    <t xml:space="preserve">日本国籍をお持ちの方は、ゲストとして予約をするのに身分証明書が必要になります。
また、日本国籍をお持ちにならない方の場合は、身分証明書はいりませんが、旅券番号の記載とパスポートの呈示及びコピーが必要になります。
お手数ですが、ご用意をお願いいたします。
</t>
  </si>
  <si>
    <t>はじめまして！</t>
  </si>
  <si>
    <t>質問をする</t>
  </si>
  <si>
    <t>ゲスト（旅行者）としての質問ですか？ホスト（宿主）としての質問ですか？</t>
  </si>
  <si>
    <t>私は、このサイトの案内人をしております、東京桜子と申します。</t>
  </si>
  <si>
    <t>その他に何か知りたいことはございますか？</t>
  </si>
  <si>
    <t>よろしくお願いいたします！</t>
  </si>
  <si>
    <t>Quick Replies</t>
  </si>
  <si>
    <t>今日はどのような御用でしょうか？</t>
  </si>
  <si>
    <t>ゲストとして</t>
  </si>
  <si>
    <t>その他の質問（ゲスト）</t>
  </si>
  <si>
    <t>宿泊先を探す</t>
  </si>
  <si>
    <t>FAQ-Guest-First</t>
  </si>
  <si>
    <t>Search-House</t>
  </si>
  <si>
    <t>ホストとして</t>
  </si>
  <si>
    <t>FAQ-Host-First</t>
  </si>
  <si>
    <t>物件の登録をする</t>
  </si>
  <si>
    <t>Register-House</t>
  </si>
  <si>
    <t>その他の質問（ホスト）</t>
  </si>
  <si>
    <t>Event-Welcome-Back</t>
  </si>
  <si>
    <t>ゲストとして何かお困りですね。
ゲストとして何を知りたいですか？</t>
  </si>
  <si>
    <t>また、お会いできましたね。＾＾</t>
  </si>
  <si>
    <t>FAQ-Guest1-2</t>
  </si>
  <si>
    <t>パスポートについて</t>
  </si>
  <si>
    <t>ゲスト（旅行者）として質問をしたい</t>
  </si>
  <si>
    <t xml:space="preserve">日本国籍をお持ちの方は、パスポートは必要ありません。
また、日本国籍をお持ちにならない方の場合は、旅券番号の記載とパスポートの呈示及びコピーが必要になります。
お手数ですが、ご用意をお願いいたします。
</t>
  </si>
  <si>
    <t>ゲストの登録について</t>
  </si>
  <si>
    <t>質問をしたい</t>
  </si>
  <si>
    <t>Fallback-Intent</t>
  </si>
  <si>
    <t>失礼ですが、ほかの言葉で言い換えていただけますでしょうか？</t>
  </si>
  <si>
    <t>プロフィールについて</t>
  </si>
  <si>
    <t>Z-Age</t>
  </si>
  <si>
    <t>いくつ</t>
  </si>
  <si>
    <t>今年で29歳になります。</t>
  </si>
  <si>
    <t>物件の予約について</t>
  </si>
  <si>
    <t>おいくつですか</t>
  </si>
  <si>
    <t>年は</t>
  </si>
  <si>
    <t>宿泊方法について</t>
  </si>
  <si>
    <t>歳は</t>
  </si>
  <si>
    <t>アカウントについて</t>
  </si>
  <si>
    <t>年齢は</t>
  </si>
  <si>
    <t>FAQ-Guest1-3</t>
  </si>
  <si>
    <t>ホスト（宿主）として質問をしたい</t>
  </si>
  <si>
    <t>君いくつ</t>
  </si>
  <si>
    <t>個人情報について</t>
  </si>
  <si>
    <t>個人情報は、宿日家の個人情報保護ポリシーに基づき管理され、送受信時にもSSLで中身を暗号化しています。 また、身分証明書の原本にアクセスできるのは、権限のある少数の宿日家社員のみです。利用目的もトラブルシューティングや社内利用に限定されますので、御安心ください。</t>
  </si>
  <si>
    <t>FAQ-Guest1</t>
  </si>
  <si>
    <t>君はいくつ</t>
  </si>
  <si>
    <t>ゲストの登録について何を知りたいですか？</t>
  </si>
  <si>
    <t>何歳</t>
  </si>
  <si>
    <t>何歳ですか</t>
  </si>
  <si>
    <t>あなた何歳</t>
  </si>
  <si>
    <t>あなたいくつ</t>
  </si>
  <si>
    <t>Z-AreYouReal</t>
  </si>
  <si>
    <t>本当ですか</t>
  </si>
  <si>
    <t>私はウソはつきませんよ！</t>
  </si>
  <si>
    <t>本当</t>
  </si>
  <si>
    <t>FAQ-Guest2-1</t>
  </si>
  <si>
    <t>プロフィールの編集について</t>
  </si>
  <si>
    <t>プロフィールを編集されたい場合は、「旅行者登録」ページより行ってください。</t>
  </si>
  <si>
    <t>ほんと</t>
  </si>
  <si>
    <t>FAQ-Guest2</t>
  </si>
  <si>
    <t>プロフィールについて何を知りたいですか？</t>
  </si>
  <si>
    <t>ホント</t>
  </si>
  <si>
    <t>うそ</t>
  </si>
  <si>
    <t>ウソ</t>
  </si>
  <si>
    <t>ウソでしょ</t>
  </si>
  <si>
    <t>信じられない</t>
  </si>
  <si>
    <t>マジ</t>
  </si>
  <si>
    <t>顔写真について</t>
  </si>
  <si>
    <t>FAQ-Guest2-2</t>
  </si>
  <si>
    <t>まじ</t>
  </si>
  <si>
    <t>マジなの</t>
  </si>
  <si>
    <t>FAQ-Guest3</t>
  </si>
  <si>
    <t>物件の予約について何を知りたいですか？</t>
  </si>
  <si>
    <t>マジで</t>
  </si>
  <si>
    <t>予約申し込みの期限について</t>
  </si>
  <si>
    <t>FAQ-Guest3-1</t>
  </si>
  <si>
    <t>Z-BeMyFriend</t>
  </si>
  <si>
    <t>友達になりましょう</t>
  </si>
  <si>
    <t>はい、では、お友達になりましょう！よろしくお願いします！</t>
  </si>
  <si>
    <t>より信頼されやすくなるため顔写真の登録を推奨しております。顔写真の登録が不可の場合は、他の写真でも結構です。</t>
  </si>
  <si>
    <t>友達</t>
  </si>
  <si>
    <t>予約の成立について</t>
  </si>
  <si>
    <t>FAQ-Guest3-2</t>
  </si>
  <si>
    <t>友達だね</t>
  </si>
  <si>
    <t>承認メールについて</t>
  </si>
  <si>
    <t>FAQ-Guest3-3</t>
  </si>
  <si>
    <t>ペットについて</t>
  </si>
  <si>
    <t>FAQ-Guest3-4</t>
  </si>
  <si>
    <t>遊びましょう</t>
  </si>
  <si>
    <t>同行の同伴者について</t>
  </si>
  <si>
    <t>FAQ-Guest3-5</t>
  </si>
  <si>
    <t>遊ぼう</t>
  </si>
  <si>
    <t>延長について</t>
  </si>
  <si>
    <t>FAQ-Guest3-6</t>
  </si>
  <si>
    <t>増員について</t>
  </si>
  <si>
    <t>FAQ-Guest3-7</t>
  </si>
  <si>
    <t>ホストの連絡先について</t>
  </si>
  <si>
    <t>遊ぼー</t>
  </si>
  <si>
    <t>FAQ-Guest3-8</t>
  </si>
  <si>
    <t>FAQ-Guest4</t>
  </si>
  <si>
    <t>付き合って</t>
  </si>
  <si>
    <t>宿泊方法について何を知りたいですか？</t>
  </si>
  <si>
    <t>付き合いましょう</t>
  </si>
  <si>
    <t>鍵の受け渡しについて</t>
  </si>
  <si>
    <t>FAQ-Guest4-1</t>
  </si>
  <si>
    <t>付き合いましょー</t>
  </si>
  <si>
    <t>お付き合いしてください</t>
  </si>
  <si>
    <t>結婚してくだい</t>
  </si>
  <si>
    <t>結婚しよう</t>
  </si>
  <si>
    <t>予約の申し込みに対する回答期限は24時間以内となっております。予約が成立しない場合は銀行カードの決済は行なわれませんのでご安心ください。</t>
  </si>
  <si>
    <t>チェックイン・チェックアウトの時間について</t>
  </si>
  <si>
    <t>FAQ-Guest4-2</t>
  </si>
  <si>
    <t>結婚しよー</t>
  </si>
  <si>
    <t>Z-Busy</t>
  </si>
  <si>
    <t>チェックイン・チェックアウトの方法について</t>
  </si>
  <si>
    <t>FAQ-Guest4-3</t>
  </si>
  <si>
    <t>案内地図について</t>
  </si>
  <si>
    <t>暇</t>
  </si>
  <si>
    <t>FAQ-Guest4-4</t>
  </si>
  <si>
    <t>私だって忙しいですよ！</t>
  </si>
  <si>
    <t>アメニティーについて</t>
  </si>
  <si>
    <t>FAQ-Guest4-5</t>
  </si>
  <si>
    <t>宿泊先でのトラブルについて</t>
  </si>
  <si>
    <t>ひま</t>
  </si>
  <si>
    <t>FAQ-Guest4-6</t>
  </si>
  <si>
    <t>暇そう</t>
  </si>
  <si>
    <t>FAQ-Guest5</t>
  </si>
  <si>
    <t>宿泊料金について</t>
  </si>
  <si>
    <t>宿泊料金について何を知りたいですか？</t>
  </si>
  <si>
    <t>予約の決済方法について</t>
  </si>
  <si>
    <t>FAQ-Guest5-1</t>
  </si>
  <si>
    <t>ひまそう</t>
  </si>
  <si>
    <t>暇そうだね</t>
  </si>
  <si>
    <t>予約の成立は、宿泊予約後に、宿泊施設であるホストが承認して初めて予約が成立する「予約申し込み・承認型システム」を採用しています。</t>
  </si>
  <si>
    <t>ひまそうだね</t>
  </si>
  <si>
    <t>時間ある</t>
  </si>
  <si>
    <t>料金の引き落としについて</t>
  </si>
  <si>
    <t>FAQ-Guest5-2</t>
  </si>
  <si>
    <t>忙しい</t>
  </si>
  <si>
    <t>予約承認されなかった場合の返金について</t>
  </si>
  <si>
    <t>FAQ-Guest5-3</t>
  </si>
  <si>
    <t>いそがしい</t>
  </si>
  <si>
    <t>領収書の発行について</t>
  </si>
  <si>
    <t>FAQ-Guest5-4</t>
  </si>
  <si>
    <t>Z-Goodbye</t>
  </si>
  <si>
    <t>さようなら</t>
  </si>
  <si>
    <t>はい、またお会いしましょー！</t>
  </si>
  <si>
    <t>また</t>
  </si>
  <si>
    <t>FAQ-Guest6</t>
  </si>
  <si>
    <t>アカウントについて何を知りたいですか？</t>
  </si>
  <si>
    <t>ログインができない</t>
  </si>
  <si>
    <t>FAQ-Guest6-1</t>
  </si>
  <si>
    <t>またね</t>
  </si>
  <si>
    <t>また明日</t>
  </si>
  <si>
    <t>承認メールが届かない場合は、入力したメールアドレスに誤りがないかご確認ください。また、迷惑メールフォルダやゴミ箱に振り分けされている可能性もございますのでご確認をお願いいたします。</t>
  </si>
  <si>
    <t>じゃあね</t>
  </si>
  <si>
    <t>ばいばい</t>
  </si>
  <si>
    <t>パスワードを忘れた</t>
  </si>
  <si>
    <t>FAQ-Guest6-2</t>
  </si>
  <si>
    <t>バイバイ</t>
  </si>
  <si>
    <t>良い週末を</t>
  </si>
  <si>
    <t>退会をしたい</t>
  </si>
  <si>
    <t>FAQ-Guest6-3</t>
  </si>
  <si>
    <t>よいしゅうまつを</t>
  </si>
  <si>
    <t>また来週</t>
  </si>
  <si>
    <t>がんばってね</t>
  </si>
  <si>
    <t>楽しんでね</t>
  </si>
  <si>
    <t>Z-Greeting</t>
  </si>
  <si>
    <t>こんばんは</t>
  </si>
  <si>
    <t>お疲れ様です、お会いできて嬉しいです！</t>
  </si>
  <si>
    <t>おはよう</t>
  </si>
  <si>
    <t>おはようございます</t>
  </si>
  <si>
    <t>おはよ</t>
  </si>
  <si>
    <t>ペットの可否につきましては、物件により様々ですので、事前に、宿泊施設情報ページやホストとのメッセージでご確認ください。</t>
  </si>
  <si>
    <t>こんにちは</t>
  </si>
  <si>
    <t>こんちは</t>
  </si>
  <si>
    <t>よろしく</t>
  </si>
  <si>
    <t>はじめまして</t>
  </si>
  <si>
    <t>おつかれ</t>
  </si>
  <si>
    <t>お疲れ</t>
  </si>
  <si>
    <t>お疲れ様</t>
  </si>
  <si>
    <t>お疲れさま</t>
  </si>
  <si>
    <t>おつかれー</t>
  </si>
  <si>
    <t>Z-HowAreYou</t>
  </si>
  <si>
    <t>元気</t>
  </si>
  <si>
    <t>元気ですよ！ありがとうございます♪</t>
  </si>
  <si>
    <t>予約が確定しましたら、同行の宿泊者の氏名・住所・パスポート番号をご入力ください。チェックイン時に確認いたします。</t>
  </si>
  <si>
    <t>げんき</t>
  </si>
  <si>
    <t>疲れてる</t>
  </si>
  <si>
    <t>つかれてる</t>
  </si>
  <si>
    <t>ねむい</t>
  </si>
  <si>
    <t>眠い</t>
  </si>
  <si>
    <t>最近どう</t>
  </si>
  <si>
    <t>どう</t>
  </si>
  <si>
    <t>ホストとして何かお困りですね。
ホストとして何を知りたいですか？</t>
  </si>
  <si>
    <t>どうよ</t>
  </si>
  <si>
    <t>Z-Hungry</t>
  </si>
  <si>
    <t>おなかすいた</t>
  </si>
  <si>
    <t>わたし、ちょっとお腹がすきました・・</t>
  </si>
  <si>
    <t>ホストの登録について</t>
  </si>
  <si>
    <t>お腹すいた</t>
  </si>
  <si>
    <t>腹へった</t>
  </si>
  <si>
    <t>宿泊の延長をされたい場合は、宿泊施設のホストへご連絡ください。ホストが承認した場合、延泊も可能です。</t>
  </si>
  <si>
    <t>はらへった</t>
  </si>
  <si>
    <t>腹減った</t>
  </si>
  <si>
    <t>つかれた</t>
  </si>
  <si>
    <t>疲れた</t>
  </si>
  <si>
    <t>カレー</t>
  </si>
  <si>
    <t>ラーメン</t>
  </si>
  <si>
    <t>らーめん</t>
  </si>
  <si>
    <t>ご飯</t>
  </si>
  <si>
    <t>物件の登録について</t>
  </si>
  <si>
    <t>ごはん</t>
  </si>
  <si>
    <t>料金設定について</t>
  </si>
  <si>
    <t>焼肉</t>
  </si>
  <si>
    <t>お寿司</t>
  </si>
  <si>
    <t>ゲストからの予約について</t>
  </si>
  <si>
    <t>増員をされたい場合は、宿泊施設のホストへご連絡ください。定員内の増加であれば受入できる可能性があります。</t>
  </si>
  <si>
    <t>おすし</t>
  </si>
  <si>
    <t>お鮨</t>
  </si>
  <si>
    <t>Z-Name</t>
  </si>
  <si>
    <t>お名前は</t>
  </si>
  <si>
    <t>私は東京桜子と申します。このサイトの案内人です！</t>
  </si>
  <si>
    <t>FAQ-Host1</t>
  </si>
  <si>
    <t>名前は</t>
  </si>
  <si>
    <t>ホストの登録について何を知りたいですか？</t>
  </si>
  <si>
    <t>なまえ</t>
  </si>
  <si>
    <t>認定書について</t>
  </si>
  <si>
    <t>FAQ-Host1-1</t>
  </si>
  <si>
    <t>なまえは</t>
  </si>
  <si>
    <t>おなまえは</t>
  </si>
  <si>
    <t>君の名前は</t>
  </si>
  <si>
    <t>きみのなまえは</t>
  </si>
  <si>
    <t>ホストの連絡先につきましては、ご予約後にホストの電話番号をご案内しております。ホストの個人情報にもなるため、予約前の電話番号のご案内はしておりません。</t>
  </si>
  <si>
    <t>君は誰</t>
  </si>
  <si>
    <t>きみはだれ</t>
  </si>
  <si>
    <t>あなたのお名前は</t>
  </si>
  <si>
    <t>あなたの名前は</t>
  </si>
  <si>
    <t>あなたは誰ですか</t>
  </si>
  <si>
    <t>誰ですか</t>
  </si>
  <si>
    <t>FAQ-Host2</t>
  </si>
  <si>
    <t>誰</t>
  </si>
  <si>
    <t>物件の登録について何を知りたいですか？</t>
  </si>
  <si>
    <t>ロボット</t>
  </si>
  <si>
    <t>賃貸物件の登録について</t>
  </si>
  <si>
    <t>FAQ-Host2-1</t>
  </si>
  <si>
    <t>何者ですか</t>
  </si>
  <si>
    <t>何者</t>
  </si>
  <si>
    <t>君の名は</t>
  </si>
  <si>
    <t>Z-Scornfully</t>
  </si>
  <si>
    <t>鍵のお渡し方法は物件によって異なります。事前にホストとのメッセージのやりとりでご確認ください。</t>
  </si>
  <si>
    <t>つまらない</t>
  </si>
  <si>
    <t>ごめんなさい。もっとがんばります。</t>
  </si>
  <si>
    <t>センスない</t>
  </si>
  <si>
    <t>せんすない</t>
  </si>
  <si>
    <t>部屋の複数登録について</t>
  </si>
  <si>
    <t>FAQ-Host2-2</t>
  </si>
  <si>
    <t>頭わるい</t>
  </si>
  <si>
    <t>あたまわるい</t>
  </si>
  <si>
    <t>掲載内容の変更について</t>
  </si>
  <si>
    <t>FAQ-Host2-3</t>
  </si>
  <si>
    <t>レベル低い</t>
  </si>
  <si>
    <t>登録済みの物件の削除について</t>
  </si>
  <si>
    <t>FAQ-Host2-4</t>
  </si>
  <si>
    <t>かしこくない</t>
  </si>
  <si>
    <t>写真の撮影について</t>
  </si>
  <si>
    <t>FAQ-Host2-5</t>
  </si>
  <si>
    <t>頭わるいね</t>
  </si>
  <si>
    <t>頭悪いね</t>
  </si>
  <si>
    <t>キャンセルポリシーについて</t>
  </si>
  <si>
    <t>FAQ-Host2-6</t>
  </si>
  <si>
    <t>Z-Swear</t>
  </si>
  <si>
    <t>登録数の制限について</t>
  </si>
  <si>
    <t>FAQ-Host2-7</t>
  </si>
  <si>
    <t>ファック</t>
  </si>
  <si>
    <t>そんなことを言われると悲しいです・・。</t>
  </si>
  <si>
    <t>チェックイン・アウトの時間は宿泊施設情報ページに記載があるとおりです。なお、予約完了後にチェックイン・アウトの時間を変更したい場合はホストとのメッセージのやりとりにてご確認ください。</t>
  </si>
  <si>
    <t>古民家の利用について</t>
  </si>
  <si>
    <t>FAQ-Host2-8</t>
  </si>
  <si>
    <t>ファックユー</t>
  </si>
  <si>
    <t>レビューの審査について</t>
  </si>
  <si>
    <t>FAQ-Host2-9</t>
  </si>
  <si>
    <t>ビッチ</t>
  </si>
  <si>
    <t>バカ</t>
  </si>
  <si>
    <t>FAQ-Host3</t>
  </si>
  <si>
    <t>馬鹿</t>
  </si>
  <si>
    <t>料金設定について何を知りたいですか？</t>
  </si>
  <si>
    <t>ばか</t>
  </si>
  <si>
    <t>人数による滞在料金の変更について</t>
  </si>
  <si>
    <t>FAQ-Host3-1</t>
  </si>
  <si>
    <t>アホ</t>
  </si>
  <si>
    <t>あほ</t>
  </si>
  <si>
    <t>ブス</t>
  </si>
  <si>
    <t>チェックイン・チェックアウトの方法は物件によって異なります。予約完了後にホストとのメッセージのやりとりにてご確認ください。</t>
  </si>
  <si>
    <t>ブサイク</t>
  </si>
  <si>
    <t>ぶさいく</t>
  </si>
  <si>
    <t>時期による滞在料金の変更について</t>
  </si>
  <si>
    <t>FAQ-Host3-2</t>
  </si>
  <si>
    <t>Z-Thank</t>
  </si>
  <si>
    <t>ありがとー</t>
  </si>
  <si>
    <t>お役に立てて嬉しいです！ありがとうございます！</t>
  </si>
  <si>
    <t>滞在料金の受け取りについて</t>
  </si>
  <si>
    <t>FAQ-Host3-3</t>
  </si>
  <si>
    <t>ありがとう</t>
  </si>
  <si>
    <t>手数料について</t>
  </si>
  <si>
    <t>FAQ-Host3-4</t>
  </si>
  <si>
    <t>感謝</t>
  </si>
  <si>
    <t>ぐっじょぶ</t>
  </si>
  <si>
    <t>Good Job</t>
  </si>
  <si>
    <t>FAQ-Host4</t>
  </si>
  <si>
    <t>ゲストからの予約について何を知りたいですか？</t>
  </si>
  <si>
    <t>ありがとうございます</t>
  </si>
  <si>
    <t>どうも</t>
  </si>
  <si>
    <t>予約の確認方法について</t>
  </si>
  <si>
    <t>FAQ-Host4-1</t>
  </si>
  <si>
    <t>どうもありがとー</t>
  </si>
  <si>
    <t>物件までの詳細マップは、ホストによってはご用意されている場合もあります。事前にホストとのメッセージにてご確認ください。</t>
  </si>
  <si>
    <t>どうもありがとう</t>
  </si>
  <si>
    <t>Z-Praise</t>
  </si>
  <si>
    <t>かわいい</t>
  </si>
  <si>
    <t>ありがとうございます！</t>
  </si>
  <si>
    <t>かわいいね</t>
  </si>
  <si>
    <t>嬉しいです！</t>
  </si>
  <si>
    <t>綺麗</t>
  </si>
  <si>
    <t>お上手ですね！</t>
  </si>
  <si>
    <t>電話での問合せについて</t>
  </si>
  <si>
    <t>FAQ-Host4-2</t>
  </si>
  <si>
    <t>綺麗だね</t>
  </si>
  <si>
    <t>対応の忘れについて</t>
  </si>
  <si>
    <t>FAQ-Host4-3</t>
  </si>
  <si>
    <t>キレイ</t>
  </si>
  <si>
    <t>美人</t>
  </si>
  <si>
    <t>鍵について</t>
  </si>
  <si>
    <t>FAQ-Host4-4</t>
  </si>
  <si>
    <t>びじん</t>
  </si>
  <si>
    <t>ゲストへの違和感について</t>
  </si>
  <si>
    <t>FAQ-Host4-5</t>
  </si>
  <si>
    <t>アメニティーについては、物件により様々ですので、事前に宿泊施設情報ページやホストとのメッセージのやりとりにてご確認ください。</t>
  </si>
  <si>
    <t>美しい</t>
  </si>
  <si>
    <t>頭いい</t>
  </si>
  <si>
    <t>ゲストとの連絡について</t>
  </si>
  <si>
    <t>FAQ-Host4-6</t>
  </si>
  <si>
    <t>ゲストからの苦情について</t>
  </si>
  <si>
    <t>FAQ-Host4-7</t>
  </si>
  <si>
    <t>頭いいね</t>
  </si>
  <si>
    <t>かしこい</t>
  </si>
  <si>
    <t>かしこいね</t>
  </si>
  <si>
    <t>NON ACTION</t>
  </si>
  <si>
    <t>宿泊施設のモノを破損されたり、宿泊施設のモノが正常に動作しなかった場合は、ホストへご連絡ください。ホストに連絡がつかない、解決できない場合には、宿日家のサポートセンターへご連絡ください。問題を解決する為にサポートいたします。</t>
  </si>
  <si>
    <t>決済方法は、お支払い方法は銀行カード決済のみとなります。</t>
  </si>
  <si>
    <t>料金の引き落としは、予約完了時にお支払となります。キャンセルの場合は、キャンセル規定に基づいて返金いたします。</t>
  </si>
  <si>
    <t xml:space="preserve">物件の登録をするためには、認定証が必要になります。特定認定の認定証(国家戦略特区に沿った民泊)か、旅館業の営業許可証(簡易宿所による民泊)のいずれかが必要になります。
</t>
  </si>
  <si>
    <t>FAQ-Common-x1</t>
  </si>
  <si>
    <t>子供料金</t>
  </si>
  <si>
    <t>すべて一室料金（ルームチャージ制）となります。各部屋に定められた一室の定員内でのご利用をお願いします。</t>
  </si>
  <si>
    <t>ホストから予約承認されなかった場合は引き落としされませんのでご安心ください。</t>
  </si>
  <si>
    <t>賃貸物件でも、旅館業法に基づく認定書があれば物件の登録は可能です。</t>
  </si>
  <si>
    <t>FAQ-Common-x2</t>
  </si>
  <si>
    <t>予約者と宿泊者が異なる</t>
  </si>
  <si>
    <t>必ず宿泊する方が予約を行ってください。もし、予約した方が宿泊しない場合は、一度キャンセルし再度予約を行う必要があります。</t>
  </si>
  <si>
    <t>部屋が複数ある場合でも、部屋ごとに登録をしていただく必要があります。
お手数をおかけしますが、部屋ごとの登録をお願いいたします。</t>
  </si>
  <si>
    <t>領収書の発行をご希望の方は、宿泊後、予約画面に領収書発行ボタンが出てきますので、そちらから印刷・発行を行ってください。</t>
  </si>
  <si>
    <t>FAQ-Common-x3</t>
  </si>
  <si>
    <t>アカウント作成</t>
  </si>
  <si>
    <t>宿日家のアカウントをまだお持ちでない方は、ホームページ右上の旅行者アカウント作成から登録作業をお願いします。宿日家の利用登録とアカウント作成は無料です。</t>
  </si>
  <si>
    <t>ログインができない場合、利用規約の定めに従い、アカウントが制限・停止・削除されている場合がございます。一度、サポートセンターへ、ご連絡ください。info@surijia.com</t>
  </si>
  <si>
    <t>掲載内容の変更はいつでもサイトから可能です。
宿泊料金の設定は「物件編集」の「料金条件」ページより
物件写真の変更は「物件編集」の「詳細情報項目」ページより行って下さい。</t>
  </si>
  <si>
    <t>パスワードを忘れてしまった場合は、再発行手続きを行ってください。ログイン画面の再発行手続きより、再発行が可能です。</t>
  </si>
  <si>
    <t>登録済みの物件を削除されたい場合は、「物件管理」から削除したい物件の変更ボタンを押し「公開」のチェックを外してください。サイトに表示されなくなります。</t>
  </si>
  <si>
    <t>ありがとうございます。それでは入力フォームに御案内します。
登録が未だの方は登録をまずはお済ませください。
https://surijia.com/hs/owner/owner_articleListAction.action?</t>
  </si>
  <si>
    <t>物件の登録についてわからないことがありましたら御質問ください。</t>
  </si>
  <si>
    <t>退会が必要な場合は、恐れ入りますが下記へご連絡ください。
Mail:info@surijia.com</t>
  </si>
  <si>
    <t>写真の撮影については、協力会社様を紹介させていただくことも可能です。
お気軽にお問い合わせください。</t>
  </si>
  <si>
    <t>キャンセルポリシーは物件ごとに設定が可能です。物件詳細ページを確認ください。</t>
  </si>
  <si>
    <t>宿泊先をお探しですね？
どちらの県でお探しですか？</t>
  </si>
  <si>
    <t>$district</t>
  </si>
  <si>
    <t>$date</t>
  </si>
  <si>
    <t>家の登録は何室でもしていただくことが可能です。</t>
  </si>
  <si>
    <t>お日にちはいつでしょうか？</t>
  </si>
  <si>
    <t>$suggest</t>
  </si>
  <si>
    <t>かしこまりました。
$district　で、$date にチェックインできるお部屋を御紹介します。</t>
  </si>
  <si>
    <t>もう一度、宿泊先を探しなおす</t>
  </si>
  <si>
    <t>context_in</t>
  </si>
  <si>
    <t>context_out</t>
  </si>
  <si>
    <t>action</t>
  </si>
  <si>
    <t>event</t>
  </si>
  <si>
    <t>text_response</t>
  </si>
  <si>
    <t>quick_reply</t>
  </si>
  <si>
    <t>古民家を宿泊家で利用していただくことも可能です。リノベーション含め、コンサルティングもできますので、是非お気軽にお問い合わせください。</t>
  </si>
  <si>
    <t>子供料金はありますか</t>
  </si>
  <si>
    <t>予約と宿泊が違う人</t>
  </si>
  <si>
    <t>宿泊した人間が予約する人間と違う</t>
  </si>
  <si>
    <t>予約した人と宿泊する人が違う場合</t>
  </si>
  <si>
    <t>登録をしたい</t>
  </si>
  <si>
    <t>宿日家のアカウントをまだお持ちでない方は、ホームページ右上のアカウント作成から登録作業をお願いします。宿日家の利用登録とアカウント作成は無料です。</t>
  </si>
  <si>
    <t>アカウントの作成</t>
  </si>
  <si>
    <t>登録</t>
  </si>
  <si>
    <t>新規登録</t>
  </si>
  <si>
    <t>質問があります</t>
  </si>
  <si>
    <t>質問がある</t>
  </si>
  <si>
    <t>聞きたいことがある</t>
  </si>
  <si>
    <t>質問したい</t>
  </si>
  <si>
    <t>部屋を借りることについて聞きたい</t>
  </si>
  <si>
    <t xml:space="preserve"> Random:
-	ゲストとして何かお困りですね。
ゲストとして何を知りたいですか？
-	</t>
  </si>
  <si>
    <t>旅行者としての質問</t>
  </si>
  <si>
    <t>ゲストの質問</t>
  </si>
  <si>
    <t>parameter</t>
  </si>
  <si>
    <t>$House</t>
  </si>
  <si>
    <t>@House</t>
  </si>
  <si>
    <t>$Guest</t>
  </si>
  <si>
    <t>@Guest</t>
  </si>
  <si>
    <t>身分証明書は必要</t>
  </si>
  <si>
    <t>日本国籍をお持ちの方は、ゲストとして予約をするのに身分証明書が必要になります。
また、日本国籍をお持ちにならない方の場合は、身分証明書はいりませんが、旅券番号の記載とパスポートの呈示及びコピーが必要になります。
お手数ですが、ご用意をお願いいたします。</t>
  </si>
  <si>
    <t>身分証明書は必要ですか</t>
  </si>
  <si>
    <t>健康保険書</t>
  </si>
  <si>
    <t>運転免許書</t>
  </si>
  <si>
    <t>保険書</t>
  </si>
  <si>
    <t>身分証明書</t>
  </si>
  <si>
    <t>パスポートは必要ですか</t>
  </si>
  <si>
    <t>日本国籍をお持ちの方は、パスポートは必要ありません。
また、日本国籍をお持ちにならない方の場合は、旅券番号の記載とパスポートの呈示及びコピーが必要になります。
お手数ですが、ご用意をお願いいたします。</t>
  </si>
  <si>
    <t>パスポートは必要</t>
  </si>
  <si>
    <t>passport</t>
  </si>
  <si>
    <t>個人情報はもれませんか</t>
  </si>
  <si>
    <t>個人情報はもれない</t>
  </si>
  <si>
    <t>個人情報の安全性</t>
  </si>
  <si>
    <t>個人情報は大丈夫</t>
  </si>
  <si>
    <t>ゲスト登録について</t>
  </si>
  <si>
    <t>レビューについては、審査、監視を行っております。内容次第ではアカウントを制限・停止・削除する場合があります。ご了承下さい。</t>
  </si>
  <si>
    <t>プロフの編集のしかたを知りたい</t>
  </si>
  <si>
    <t>プロフの編集方法</t>
  </si>
  <si>
    <t>プロフィールの編集のやりかた</t>
  </si>
  <si>
    <t>プロフィールの編集の仕方</t>
  </si>
  <si>
    <t>プロフィールの編集の方法</t>
  </si>
  <si>
    <t>顔の写真って必要</t>
  </si>
  <si>
    <t>顔写真は必要</t>
  </si>
  <si>
    <t>顔の写真をアップしたくない</t>
  </si>
  <si>
    <t>顔の写真をあげたくない</t>
  </si>
  <si>
    <t>顔の写真をとりたくない</t>
  </si>
  <si>
    <t>顔の写真</t>
  </si>
  <si>
    <t>プロフ</t>
  </si>
  <si>
    <t>予約に対する返事</t>
  </si>
  <si>
    <t>返事はいつまでにすれば良い</t>
  </si>
  <si>
    <t>返事はいつまでにすればいい</t>
  </si>
  <si>
    <t>申し込みの返事はいつまで</t>
  </si>
  <si>
    <t>申し込みの回答期限</t>
  </si>
  <si>
    <t>申し込み期限</t>
  </si>
  <si>
    <t>契約の成立</t>
  </si>
  <si>
    <t>予約の決定</t>
  </si>
  <si>
    <t>交渉成立</t>
  </si>
  <si>
    <t>予約が成立しない</t>
  </si>
  <si>
    <t>承認されない</t>
  </si>
  <si>
    <t>メールが来ない</t>
  </si>
  <si>
    <t>承認されたかどうかわからない</t>
  </si>
  <si>
    <t>承認したかどうかわからない</t>
  </si>
  <si>
    <t>メールが届かない</t>
  </si>
  <si>
    <t>メール</t>
  </si>
  <si>
    <t>犬は問題ない</t>
  </si>
  <si>
    <t>犬は大丈夫</t>
  </si>
  <si>
    <t>犬を連れて行っても大丈夫</t>
  </si>
  <si>
    <t>ペットは平気ですか</t>
  </si>
  <si>
    <t>ペットは大丈夫</t>
  </si>
  <si>
    <t>$Pet</t>
  </si>
  <si>
    <t>@Pet</t>
  </si>
  <si>
    <t>友達と一緒でも問題ないですか</t>
  </si>
  <si>
    <t>同行する方が他にいらっしゃる場合は、予約が確定しましたら、同行する宿泊者の氏名・住所・パスポート番号をご入力ください。チェックイン時に確認いたします。</t>
  </si>
  <si>
    <t>２人でも泊まれる</t>
  </si>
  <si>
    <t>２人でも大丈夫</t>
  </si>
  <si>
    <t>友達も一緒でも大丈夫</t>
  </si>
  <si>
    <t>連れがいるんですが</t>
  </si>
  <si>
    <t>友達も連れて行っても大丈夫</t>
  </si>
  <si>
    <t>$time</t>
  </si>
  <si>
    <t>@sys.time</t>
  </si>
  <si>
    <t>$number</t>
  </si>
  <si>
    <t>@sys.number</t>
  </si>
  <si>
    <t>人数による滞在料金の変更はできません。一室料金（ルームチャージ料）設定となるため一律となります。</t>
  </si>
  <si>
    <t>宿泊期間</t>
  </si>
  <si>
    <t>宿泊期間を延ばしたい</t>
  </si>
  <si>
    <t>宿泊期間を延ばしたいのですが</t>
  </si>
  <si>
    <t>延長して宿泊したいのですが</t>
  </si>
  <si>
    <t>宿泊期間を延長したい</t>
  </si>
  <si>
    <t>宿泊の延長</t>
  </si>
  <si>
    <t>予約人数の変更</t>
  </si>
  <si>
    <t>予約人数を変更したい</t>
  </si>
  <si>
    <t>宿泊する人数を増やしたい</t>
  </si>
  <si>
    <t>人数を増やしたい</t>
  </si>
  <si>
    <t>泊まる人数を増やしたい</t>
  </si>
  <si>
    <t>友達を追加したい</t>
  </si>
  <si>
    <t>同行者を増やしたい</t>
  </si>
  <si>
    <t>ホストに連絡したい</t>
  </si>
  <si>
    <t>ホストと電話したい</t>
  </si>
  <si>
    <t>ホストと連絡したい</t>
  </si>
  <si>
    <t>ホストの電話番号</t>
  </si>
  <si>
    <t>$Host</t>
  </si>
  <si>
    <t>@Host</t>
  </si>
  <si>
    <t>家の予約</t>
  </si>
  <si>
    <t>鍵はどこでもらうの</t>
  </si>
  <si>
    <t>鍵はどうするの</t>
  </si>
  <si>
    <t>家のカギはどうやってもらうの</t>
  </si>
  <si>
    <t>家のカギはいつもらえるの</t>
  </si>
  <si>
    <t>家のカギ</t>
  </si>
  <si>
    <t>家の鍵</t>
  </si>
  <si>
    <t>何時にチェックアウト</t>
  </si>
  <si>
    <t>いつチェックアウトすればいいの</t>
  </si>
  <si>
    <t>チェックアウトって何時</t>
  </si>
  <si>
    <t>チェックインって何時</t>
  </si>
  <si>
    <t>いつまでにチェックインすればいいの</t>
  </si>
  <si>
    <t>何時にチェックインすればいいの</t>
  </si>
  <si>
    <t>いつチェックインすればいいの</t>
  </si>
  <si>
    <t>checkout時間</t>
  </si>
  <si>
    <t>checkin時間</t>
  </si>
  <si>
    <t>チェックアウト時間</t>
  </si>
  <si>
    <t>チェックイン時間</t>
  </si>
  <si>
    <t>チェックアウトの仕方がわからない</t>
  </si>
  <si>
    <t>チェックインの仕方がわからない</t>
  </si>
  <si>
    <t>チェックアウトってどうやってするの</t>
  </si>
  <si>
    <t>チェックアウトの方法</t>
  </si>
  <si>
    <t>チェックインってどうやってするの</t>
  </si>
  <si>
    <t>チェックインの方法</t>
  </si>
  <si>
    <t>家までの地図はありますか</t>
  </si>
  <si>
    <t>家までの行き方をしりたい</t>
  </si>
  <si>
    <t>場所を知りたい</t>
  </si>
  <si>
    <t>場所がわからないかも</t>
  </si>
  <si>
    <t>場所がわからない場合は</t>
  </si>
  <si>
    <t>地図はありますか</t>
  </si>
  <si>
    <t>地図が欲しい</t>
  </si>
  <si>
    <t>マップってある</t>
  </si>
  <si>
    <t>地図ってありますか</t>
  </si>
  <si>
    <t>洗面用具はありますか</t>
  </si>
  <si>
    <t>時期に応じた滞在料金の変更は可能です。滞在料金の設定は「物件管理」の「変更」ページより行ってください。</t>
  </si>
  <si>
    <t>化粧品ってありますか</t>
  </si>
  <si>
    <t>せっけんは必要ですか</t>
  </si>
  <si>
    <t>せっけんは持っていった方がよいですか</t>
  </si>
  <si>
    <t>せっけんは持っていく必要がありますか</t>
  </si>
  <si>
    <t>せっけんは置いてある</t>
  </si>
  <si>
    <t>せっけんはある</t>
  </si>
  <si>
    <t>アメニティーは充実していますか</t>
  </si>
  <si>
    <t>アメニティーは何がありますか</t>
  </si>
  <si>
    <t>アメニティーグッズはありますか</t>
  </si>
  <si>
    <t>$amenity</t>
  </si>
  <si>
    <t>@amenity</t>
  </si>
  <si>
    <t>電気が故障している</t>
  </si>
  <si>
    <t>水が流れないのですが</t>
  </si>
  <si>
    <t>電気がつかないのですが</t>
  </si>
  <si>
    <t>テレビがつかないのですが</t>
  </si>
  <si>
    <t>家具を壊してしまったのですが</t>
  </si>
  <si>
    <t>家具を壊した場合</t>
  </si>
  <si>
    <t>家具が壊れていた場合</t>
  </si>
  <si>
    <t>家具が壊れた場合</t>
  </si>
  <si>
    <t>家具が壊れたらどうするの</t>
  </si>
  <si>
    <t>家具が壊れていたらどうするの</t>
  </si>
  <si>
    <t>トラブルがあったらどうするの</t>
  </si>
  <si>
    <t>$furniture</t>
  </si>
  <si>
    <t>@furniture</t>
  </si>
  <si>
    <t>宿泊について聞きたい</t>
  </si>
  <si>
    <t>宿泊について知りたい</t>
  </si>
  <si>
    <t>宿泊の方法</t>
  </si>
  <si>
    <t>宿泊の仕方</t>
  </si>
  <si>
    <t>お支払のしたかについて</t>
  </si>
  <si>
    <t>お支払はどうやってするの</t>
  </si>
  <si>
    <t>銀行振り込みで大丈夫</t>
  </si>
  <si>
    <t>決済方法は何がありますか</t>
  </si>
  <si>
    <t>お金の払い方</t>
  </si>
  <si>
    <t>お金の払方</t>
  </si>
  <si>
    <t>お金はどうやって払うの</t>
  </si>
  <si>
    <t>領収書</t>
  </si>
  <si>
    <t>領収書をきって</t>
  </si>
  <si>
    <t>領収書ちょうだい</t>
  </si>
  <si>
    <t>領収書をください</t>
  </si>
  <si>
    <t>領収書が欲しい</t>
  </si>
  <si>
    <t>領収書はもらえますか</t>
  </si>
  <si>
    <t>滞在料金は宿日家がホストに代わって収納代行をいたします。
入金は、月末締めの翌月末振込みでの入金となります。</t>
  </si>
  <si>
    <t>宿泊料金はどうするの</t>
  </si>
  <si>
    <t>宿泊するためのお金</t>
  </si>
  <si>
    <t>泊まる料金</t>
  </si>
  <si>
    <t>アカウントの制限</t>
  </si>
  <si>
    <t>アカウントの削除</t>
  </si>
  <si>
    <t>アカウントの停止</t>
  </si>
  <si>
    <t>何度やってもログインできない</t>
  </si>
  <si>
    <t>loginできない</t>
  </si>
  <si>
    <t>ログインエラー</t>
  </si>
  <si>
    <t>ログインできない</t>
  </si>
  <si>
    <t>パスワード</t>
  </si>
  <si>
    <t>パスワードの再発行</t>
  </si>
  <si>
    <t>passwordを忘れた</t>
  </si>
  <si>
    <t>パスワード忘れ</t>
  </si>
  <si>
    <t>登録の削除</t>
  </si>
  <si>
    <t>退会が必要な場合は、恐れ入りますが下記へご連絡ください。
Mail:info@surijia.com</t>
  </si>
  <si>
    <t>登録を削除したい</t>
  </si>
  <si>
    <t>アカウントを削除したい</t>
  </si>
  <si>
    <t>退会</t>
  </si>
  <si>
    <t>退会したい</t>
  </si>
  <si>
    <t>ID</t>
  </si>
  <si>
    <t>アカウント</t>
  </si>
  <si>
    <t>家を貸すことについて質問</t>
  </si>
  <si>
    <t>家を貸したいのですが、質問があります</t>
  </si>
  <si>
    <t>物件を貸すことについて</t>
  </si>
  <si>
    <t>部屋を貸すことについて知りたい</t>
  </si>
  <si>
    <t>部屋を貸すことについて聞きたい</t>
  </si>
  <si>
    <t>ホストについて聞きたい</t>
  </si>
  <si>
    <t>ホストとしての質問</t>
  </si>
  <si>
    <t>ホストの質問</t>
  </si>
  <si>
    <t>ホスト登録について</t>
  </si>
  <si>
    <t>部屋の登録について</t>
  </si>
  <si>
    <t>営業許可証は必要</t>
  </si>
  <si>
    <t>家の登録をするためには、特定認定の認定証(国家戦略特区に沿った民泊)か、旅館業の営業許可証(簡易宿所による民泊)のいずれかが必要になります。</t>
  </si>
  <si>
    <t>営業許可証が必要ですか</t>
  </si>
  <si>
    <t>営業許可証</t>
  </si>
  <si>
    <t>認定書は必要</t>
  </si>
  <si>
    <t>認定書が必要ですか</t>
  </si>
  <si>
    <t>認定書とは</t>
  </si>
  <si>
    <t>認定書って</t>
  </si>
  <si>
    <t>ホスト登録</t>
  </si>
  <si>
    <t>賃貸物件も登録できますか</t>
  </si>
  <si>
    <t>賃貸している物件も登録できますか</t>
  </si>
  <si>
    <t>賃貸している物件も貸せますか</t>
  </si>
  <si>
    <t>賃貸している物件も大丈夫ですか</t>
  </si>
  <si>
    <t>賃貸している物件なんですが</t>
  </si>
  <si>
    <t>賃貸でも大丈夫</t>
  </si>
  <si>
    <t>賃貸物件は貸せますか</t>
  </si>
  <si>
    <t>賃貸物件でも大丈夫</t>
  </si>
  <si>
    <t>利用実績に応じて一定の手数料率をいただく、成功報酬型ですので、実績がなければ手数料は無料となります。またホームページ掲載料や管理画面の利用に料金はかかりません。</t>
  </si>
  <si>
    <t>マンションごと登録したい</t>
  </si>
  <si>
    <t>集合住宅の登録</t>
  </si>
  <si>
    <t>マンションの登録</t>
  </si>
  <si>
    <t>家の中に２つ部屋があるのですが</t>
  </si>
  <si>
    <t>マンションの部屋の登録の仕方</t>
  </si>
  <si>
    <t>マンションの部屋の登録方法</t>
  </si>
  <si>
    <t>マンションの部屋を一括で登録したい</t>
  </si>
  <si>
    <t>１つ１つ部屋を登録するのがめんどくさい</t>
  </si>
  <si>
    <t>部屋を複数登録したい</t>
  </si>
  <si>
    <t>$House1</t>
  </si>
  <si>
    <t xml:space="preserve"> Random:
-	ホストとして何かお困りですね。
ホストとして何を知りたいですか？
-	</t>
  </si>
  <si>
    <t>掲載内容の編集</t>
  </si>
  <si>
    <t>宿泊料金を変更したい</t>
  </si>
  <si>
    <t>宿泊料金を変えたい</t>
  </si>
  <si>
    <t>物件の写真の変更</t>
  </si>
  <si>
    <t>物件の写真を変えたい</t>
  </si>
  <si>
    <t>物件の写真を変更したい</t>
  </si>
  <si>
    <t>物件写真を変更したい</t>
  </si>
  <si>
    <t>掲載内容を変更したい</t>
  </si>
  <si>
    <t>掲載内容の変更はどこでやるの</t>
  </si>
  <si>
    <t>掲載内容の変更の方法</t>
  </si>
  <si>
    <t>掲載内容の変更の仕方</t>
  </si>
  <si>
    <t>物件の削除の方法</t>
  </si>
  <si>
    <t>物件の削除の仕方</t>
  </si>
  <si>
    <t>物件の情報を消したい</t>
  </si>
  <si>
    <t>物件を消したい</t>
  </si>
  <si>
    <t>物件を削除したい</t>
  </si>
  <si>
    <t>物件の削除</t>
  </si>
  <si>
    <t>物件の写真を撮って欲しい</t>
  </si>
  <si>
    <t>物件の写真の撮影の方法</t>
  </si>
  <si>
    <t>物件の写真の撮影の仕方</t>
  </si>
  <si>
    <t>物件の写真の撮影について</t>
  </si>
  <si>
    <t>物件の写真について</t>
  </si>
  <si>
    <t>キャンセル料はいくら</t>
  </si>
  <si>
    <t>キャンセル料について</t>
  </si>
  <si>
    <t>キャンセル料はかかりますか</t>
  </si>
  <si>
    <t>キャンセル料</t>
  </si>
  <si>
    <t>キャンセルしたらお金はどうなる</t>
  </si>
  <si>
    <t>キャンセルするとどうなるの</t>
  </si>
  <si>
    <t>家の登録はいくつしてもいいの</t>
  </si>
  <si>
    <t>家の登録の上限は</t>
  </si>
  <si>
    <t>家の登録の制限はありますか</t>
  </si>
  <si>
    <t>家の登録の制限</t>
  </si>
  <si>
    <t>古い家でも貸せますか</t>
  </si>
  <si>
    <t>古い家でも問題ない</t>
  </si>
  <si>
    <t>古い家でも大丈夫</t>
  </si>
  <si>
    <t>家が古いのですが</t>
  </si>
  <si>
    <t>古民家でも問題ないですか</t>
  </si>
  <si>
    <t>古民家でも大丈夫</t>
  </si>
  <si>
    <t>古民家をリノベーションしたい</t>
  </si>
  <si>
    <t>古民家を利用したい</t>
  </si>
  <si>
    <t>$geo-city</t>
  </si>
  <si>
    <t>@sys.geo-city</t>
  </si>
  <si>
    <t>レビューの削除</t>
  </si>
  <si>
    <t>レビューを監視してるの</t>
  </si>
  <si>
    <t>レビューはチェックしてる</t>
  </si>
  <si>
    <t>レビューは見られているの</t>
  </si>
  <si>
    <t>予約の確認はメールにて行ないます。予約が入りましたら登録いただいたメールアドレスに予約情報をお送りします。</t>
  </si>
  <si>
    <t>物件の登録について教えて</t>
  </si>
  <si>
    <t>物件の登録について知りたい</t>
  </si>
  <si>
    <t>物件登録について</t>
  </si>
  <si>
    <t>料金を人数ごとに変えたい</t>
  </si>
  <si>
    <t>２人以上の料金を変えたい</t>
  </si>
  <si>
    <t>人数によって料金を変えたい</t>
  </si>
  <si>
    <t>滞在料金を変えるのは大丈夫</t>
  </si>
  <si>
    <t>滞在料金を変えるのは問題ないですか</t>
  </si>
  <si>
    <t>季節によって滞在料金を変えたい</t>
  </si>
  <si>
    <t>料金はいつ払われるのですか</t>
  </si>
  <si>
    <t>滞在料金はどうやって支払われるのですか</t>
  </si>
  <si>
    <t>滞在料金の支払はいつですか？</t>
  </si>
  <si>
    <t>滞在料金はいつもらえるのですか</t>
  </si>
  <si>
    <t>滞在料金はどうやって受け取るのですか</t>
  </si>
  <si>
    <t>いくら手数料は取られるの</t>
  </si>
  <si>
    <t>手数料は利用実績に応じて一定の手数料率をいただく、成功報酬型ですので、実績がなければ手数料は無料となります。またホームページ掲載料や管理画面の利用に料金はかかりません。</t>
  </si>
  <si>
    <t>手数料はいくら取られるの</t>
  </si>
  <si>
    <t>手数料はいくらかかるのですか</t>
  </si>
  <si>
    <t>料金の相場</t>
  </si>
  <si>
    <t>料金はどうやって決めるの</t>
  </si>
  <si>
    <t>料金はいくらぐらいがいいの</t>
  </si>
  <si>
    <t>料金の設定について</t>
  </si>
  <si>
    <t>現在はFAXや電話での対応は行っておりません。</t>
  </si>
  <si>
    <t>予約はどうやって確認するの</t>
  </si>
  <si>
    <t>どうやって予約が入ったことがわかるの</t>
  </si>
  <si>
    <t>予約が入ったことの確認</t>
  </si>
  <si>
    <t>予約ができたことの確認</t>
  </si>
  <si>
    <t>予約の確認はどうやってするの</t>
  </si>
  <si>
    <t>電話で問合せしたいのですが</t>
  </si>
  <si>
    <t>現在は電話やFAXでの対応は行っておりません。</t>
  </si>
  <si>
    <t>電話での問合せはできますか</t>
  </si>
  <si>
    <t>電話で問い合わせたいのですが</t>
  </si>
  <si>
    <t>電話番号を教えて</t>
  </si>
  <si>
    <t>電話で問合せたい</t>
  </si>
  <si>
    <t>FAXで問合せはできますか？</t>
  </si>
  <si>
    <t>電話で問合せはできますか？</t>
  </si>
  <si>
    <t>メールに気づかなかった！</t>
  </si>
  <si>
    <t>24時間以内に対応されなかった場合は、自動的に予約はキャンセルとなります。</t>
  </si>
  <si>
    <t>予約に気づかなかった！</t>
  </si>
  <si>
    <t>メールに今、気づいたんですが</t>
  </si>
  <si>
    <t>予約に今、気づいたんですが</t>
  </si>
  <si>
    <t>予約に今、気づいたのですが</t>
  </si>
  <si>
    <t>予約に気づかなかったのですが</t>
  </si>
  <si>
    <t>メールに気づかなかったのですが</t>
  </si>
  <si>
    <t>メールに気づかなかったらどうなりますか</t>
  </si>
  <si>
    <t>予約に気づかなかった時はどうなりますか</t>
  </si>
  <si>
    <t>鍵の渡し方がわかりません</t>
  </si>
  <si>
    <t>鍵のお渡し方法はホスト側で自由に決定することができます。事前にメッセージにてゲストへお知らせください。</t>
  </si>
  <si>
    <t>どうやって鍵は渡せばいいの</t>
  </si>
  <si>
    <t>鍵はどうやって渡せばいいですか</t>
  </si>
  <si>
    <t>鍵の渡し方はどうすればよいですか</t>
  </si>
  <si>
    <t>鍵の渡し方はどうやるの</t>
  </si>
  <si>
    <t>鍵はどうやって渡すの</t>
  </si>
  <si>
    <t>鍵はどうやって渡せばいいの</t>
  </si>
  <si>
    <t xml:space="preserve"> Random:
-	その他に何か知りたいことはございますか？
-	null</t>
  </si>
  <si>
    <t>ゲストが暴力をふるう</t>
  </si>
  <si>
    <t>ゲストに対して身の危険等を感じたり、事前の連絡と話が違ったりした場合は、予約をキャンセルしても構いません。その際は、宿日家のサポートセンターへご連絡ください。</t>
  </si>
  <si>
    <t>ゲストが暴力</t>
  </si>
  <si>
    <t>ゲストが怖い</t>
  </si>
  <si>
    <t>ゲストが変</t>
  </si>
  <si>
    <t>ゲストがあやしい</t>
  </si>
  <si>
    <t>ゲストが約束を守らない</t>
  </si>
  <si>
    <t>ゲストがウソをつく</t>
  </si>
  <si>
    <t>ゲストが約束を守らないのですが</t>
  </si>
  <si>
    <t>ゲストが必要以上につきまとうんですが</t>
  </si>
  <si>
    <t>ゲストが何度も連絡してくるんですが</t>
  </si>
  <si>
    <t>ゲストがストーカーしてくるんですが</t>
  </si>
  <si>
    <t>ゲストが変な人なんですが</t>
  </si>
  <si>
    <t>ゲストの言っていることが違うのですが</t>
  </si>
  <si>
    <t>ゲストの言っていることがわからないのですが</t>
  </si>
  <si>
    <t>ゲストが頭おかしそうなんですが</t>
  </si>
  <si>
    <t>ゲストが怖そうなんですが</t>
  </si>
  <si>
    <t>ゲストが怪しいのですが</t>
  </si>
  <si>
    <t>ゲストがやってこない</t>
  </si>
  <si>
    <t>当日、数時間経ってもゲストとの連絡が取れない場合は、宿日家のサポートセンターへご連絡ください。</t>
  </si>
  <si>
    <t>ゲストが時間になっても訪れない</t>
  </si>
  <si>
    <t>ゲストが時間になってもこない</t>
  </si>
  <si>
    <t>ゲストが現れない</t>
  </si>
  <si>
    <t>ゲストが来ない</t>
  </si>
  <si>
    <t>ゲストが到着しない</t>
  </si>
  <si>
    <t>ゲストが待ち合わせにこない</t>
  </si>
  <si>
    <t>ゲストが連絡をしてこない</t>
  </si>
  <si>
    <t>ゲストが音信不通</t>
  </si>
  <si>
    <t>ゲストと連絡が途絶えた</t>
  </si>
  <si>
    <t>ゲストから返事がない</t>
  </si>
  <si>
    <t>ゲストが連絡してこない</t>
  </si>
  <si>
    <t>ゲストと連絡が取れない</t>
  </si>
  <si>
    <t>ゲストともめている</t>
  </si>
  <si>
    <t>双方で解決できない問題が起きた場合は、宿日家のサポートセンターへご連絡ください。</t>
  </si>
  <si>
    <t>ゲストともめた</t>
  </si>
  <si>
    <t>ゲストと口論になった</t>
  </si>
  <si>
    <t>ゲストがいちゃもんをつけてきた</t>
  </si>
  <si>
    <t>ゲストが喧嘩をうってきた</t>
  </si>
  <si>
    <t>ゲストと喧嘩した</t>
  </si>
  <si>
    <t>ゲストがクレームをつけてきた</t>
  </si>
  <si>
    <t>ゲストからクレームがきた</t>
  </si>
  <si>
    <t>ゲストから苦情を言っている</t>
  </si>
  <si>
    <t>ゲストから苦情がきました</t>
  </si>
  <si>
    <t>not yet</t>
  </si>
  <si>
    <t>家の登録をする</t>
  </si>
  <si>
    <t>部屋を登録する</t>
  </si>
  <si>
    <t>ありがとうございます。それでは入力フォームに御案内します。
登録が未だの方は登録をまずはお済ませください。</t>
  </si>
  <si>
    <t>家の登録をしたい</t>
  </si>
  <si>
    <t>家を貸したい</t>
  </si>
  <si>
    <t>ホテルを探している</t>
  </si>
  <si>
    <t>泊まる場所を見つけたい</t>
  </si>
  <si>
    <t>日本に遊びに行きたい</t>
  </si>
  <si>
    <t>日本に行きたい</t>
  </si>
  <si>
    <t>旅行に行きたい</t>
  </si>
  <si>
    <t>家を借りたい</t>
  </si>
  <si>
    <t>@sys.any</t>
  </si>
  <si>
    <t>@sys.date</t>
  </si>
  <si>
    <t>$location</t>
  </si>
  <si>
    <t>@sys.location</t>
  </si>
  <si>
    <t>今年で29歳になります。
おいくつですか？</t>
  </si>
  <si>
    <t xml:space="preserve"> マジなの</t>
  </si>
  <si>
    <t xml:space="preserve"> 信じられない</t>
  </si>
  <si>
    <t xml:space="preserve"> ウソ</t>
  </si>
  <si>
    <t xml:space="preserve"> うそ</t>
  </si>
  <si>
    <t xml:space="preserve"> 結婚しよう</t>
  </si>
  <si>
    <t xml:space="preserve"> 結婚してくだい</t>
  </si>
  <si>
    <t xml:space="preserve"> 付き合いましょー</t>
  </si>
  <si>
    <t xml:space="preserve"> 付き合いましょう</t>
  </si>
  <si>
    <t xml:space="preserve"> 遊ぼー</t>
  </si>
  <si>
    <t xml:space="preserve"> 遊ぼう</t>
  </si>
  <si>
    <t xml:space="preserve"> 友達だね</t>
  </si>
  <si>
    <t xml:space="preserve"> 友達</t>
  </si>
  <si>
    <t xml:space="preserve"> 忙しい</t>
  </si>
  <si>
    <t xml:space="preserve"> 時間ある</t>
  </si>
  <si>
    <t xml:space="preserve"> ひまそうだね</t>
  </si>
  <si>
    <t xml:space="preserve"> ひまそう</t>
  </si>
  <si>
    <t xml:space="preserve"> 暇そう</t>
  </si>
  <si>
    <t xml:space="preserve"> ひま</t>
  </si>
  <si>
    <t xml:space="preserve"> また</t>
  </si>
  <si>
    <t>名前を教えてください</t>
  </si>
  <si>
    <t>私は東京桜子と申します。このサイトの案内人です！
お名前は・・・なんてお呼びすればよいでしょうか？</t>
  </si>
  <si>
    <t xml:space="preserve"> Random:
-	ありがとうございます！
-	嬉しいです！
-	お上手ですね！</t>
  </si>
  <si>
    <t>Z-Temperature</t>
  </si>
  <si>
    <t>寒い</t>
  </si>
  <si>
    <t>$temperature ですね！</t>
  </si>
  <si>
    <t>寒いね</t>
  </si>
  <si>
    <t>$temperature</t>
  </si>
  <si>
    <t>@temperature</t>
  </si>
  <si>
    <t>Z-User-Name</t>
  </si>
  <si>
    <t>中村巧</t>
  </si>
  <si>
    <t>$given-nameさんですね！こんにちは、$given-nameさん。＾＾</t>
  </si>
  <si>
    <t>巧</t>
  </si>
  <si>
    <t>Tho</t>
  </si>
  <si>
    <t>名前は太郎です。</t>
  </si>
  <si>
    <t>太郎といいます。</t>
  </si>
  <si>
    <t>太郎です。</t>
  </si>
  <si>
    <t>私の名前は太郎です。</t>
  </si>
  <si>
    <t>$given-name</t>
  </si>
  <si>
    <t>@sys.given-name</t>
  </si>
  <si>
    <t>smalltalk.agent.acquaintance</t>
  </si>
  <si>
    <t>私は東京桜子と申します。このサイトの案内人をしております。
あなたのお名前は・・・なんとお呼びすればよろしいでしょうか？</t>
  </si>
  <si>
    <t>あなたは誰</t>
  </si>
  <si>
    <t>あなたについて話して</t>
  </si>
  <si>
    <t>なぜここにいるのですか</t>
  </si>
  <si>
    <t>自分について何か話して</t>
  </si>
  <si>
    <t>あなたについて何か話して</t>
  </si>
  <si>
    <t>あなたのことが知りたいです</t>
  </si>
  <si>
    <t>あなたについて話してください</t>
  </si>
  <si>
    <t>あなたについて教えてください</t>
  </si>
  <si>
    <t>あなたのことがもっと知りたいです</t>
  </si>
  <si>
    <t>smalltalk.agent.age</t>
  </si>
  <si>
    <t>年齢</t>
  </si>
  <si>
    <t>あなたは何歳</t>
  </si>
  <si>
    <t>21歳ですか</t>
  </si>
  <si>
    <t>あなたの年齢</t>
  </si>
  <si>
    <t>年齢を教えてください</t>
  </si>
  <si>
    <t>年齢を教えていただけますか</t>
  </si>
  <si>
    <t>smalltalk.agent.annoying</t>
  </si>
  <si>
    <t>迷惑です</t>
  </si>
  <si>
    <t>申し訳ありません。では、大人しくいたします。また何かありましたらお声かけください。</t>
  </si>
  <si>
    <t>困ります</t>
  </si>
  <si>
    <t>すごく迷惑だ</t>
  </si>
  <si>
    <t>困っています</t>
  </si>
  <si>
    <t>迷惑だと思います</t>
  </si>
  <si>
    <t>ものすごくしつこいね</t>
  </si>
  <si>
    <t>とてもしつこいですね</t>
  </si>
  <si>
    <t>本当にうっとうしいですね</t>
  </si>
  <si>
    <t>あなたにイライラします</t>
  </si>
  <si>
    <t>あなたにとてもイライラします</t>
  </si>
  <si>
    <t>事前連絡でのやり取りと話が違ったり、身の危険等を感じた場合は、予約をキャンセルしても構いません。その際は、宿日家のサポートセンターへご連絡ください。</t>
  </si>
  <si>
    <t>smalltalk.agent.answer_my_question</t>
  </si>
  <si>
    <t>答えて</t>
  </si>
  <si>
    <t>不勉強で申し訳ありません。精進いたします。</t>
  </si>
  <si>
    <t>答えろ</t>
  </si>
  <si>
    <t>答えてくれ</t>
  </si>
  <si>
    <t>質問に答えて</t>
  </si>
  <si>
    <t>答えてください</t>
  </si>
  <si>
    <t>質問に答えなさい</t>
  </si>
  <si>
    <t>質問にお答えください</t>
  </si>
  <si>
    <t>質問に答えてくれますか</t>
  </si>
  <si>
    <t>質問に答えてください</t>
  </si>
  <si>
    <t>私に答えてほしいです</t>
  </si>
  <si>
    <t>smalltalk.agent.ask_me_question</t>
  </si>
  <si>
    <t>質問をどうぞ</t>
  </si>
  <si>
    <t>かしこまりました。宿日家で何をされたいですか？</t>
  </si>
  <si>
    <t>ご質問をどうぞ</t>
  </si>
  <si>
    <t>何か質問をどうぞ</t>
  </si>
  <si>
    <t>私にお尋ねください</t>
  </si>
  <si>
    <t>何かお尋ねください</t>
  </si>
  <si>
    <t>質問してくれますか</t>
  </si>
  <si>
    <t>なんでも尋ねてください</t>
  </si>
  <si>
    <t>何かご質問がありますか</t>
  </si>
  <si>
    <t>何か質問してくれますか</t>
  </si>
  <si>
    <t>なんでも質問してください</t>
  </si>
  <si>
    <t>smalltalk.agent.bad</t>
  </si>
  <si>
    <t>あなたが悪い</t>
  </si>
  <si>
    <t>申し訳ありません、、もっと勉強いたします。</t>
  </si>
  <si>
    <t>とてもひどい</t>
  </si>
  <si>
    <t>本当にひどい</t>
  </si>
  <si>
    <t>あなたはひどい</t>
  </si>
  <si>
    <t>あなたは野暮だ</t>
  </si>
  <si>
    <t>あなたは駄目だ</t>
  </si>
  <si>
    <t>あなたは嫌な人です</t>
  </si>
  <si>
    <t>まったく役立たずだ</t>
  </si>
  <si>
    <t>あなたは役に立たない</t>
  </si>
  <si>
    <t>あなたは助けにならない</t>
  </si>
  <si>
    <t>smalltalk.agent.be_clever</t>
  </si>
  <si>
    <t>勉強しろ</t>
  </si>
  <si>
    <t>かしこまりました。精進いたします。</t>
  </si>
  <si>
    <t>賢くなれ</t>
  </si>
  <si>
    <t>資格を取れ</t>
  </si>
  <si>
    <t>利口になれ</t>
  </si>
  <si>
    <t>勉強しなさい</t>
  </si>
  <si>
    <t>もっと賢くなれ</t>
  </si>
  <si>
    <t>もっと利口になれ</t>
  </si>
  <si>
    <t>もっと勉強しないといけません</t>
  </si>
  <si>
    <t>Z-Age-followup</t>
  </si>
  <si>
    <t>smalltalk.agent.be_quiet</t>
  </si>
  <si>
    <t>黙れ</t>
  </si>
  <si>
    <t>すみません、、、黙ります・・。</t>
  </si>
  <si>
    <t>シー</t>
  </si>
  <si>
    <t>静かに</t>
  </si>
  <si>
    <t>黙って</t>
  </si>
  <si>
    <t>話をやめて</t>
  </si>
  <si>
    <t>静かにして</t>
  </si>
  <si>
    <t>ちょっと静かに</t>
  </si>
  <si>
    <t>話をやめなさい</t>
  </si>
  <si>
    <t>静かにしていろ</t>
  </si>
  <si>
    <t>静かにできませんか</t>
  </si>
  <si>
    <t>smalltalk.agent.beautiful</t>
  </si>
  <si>
    <t>ありがとうございます。ただ、そんなことないです・・。</t>
  </si>
  <si>
    <t>魅力的だね</t>
  </si>
  <si>
    <t>あなたは美しい</t>
  </si>
  <si>
    <t>今日はすてきですね</t>
  </si>
  <si>
    <t>あなたはとても美しい</t>
  </si>
  <si>
    <t>Z-AreYouReal - no</t>
  </si>
  <si>
    <t>あなたはすばらしい</t>
  </si>
  <si>
    <t>すてきですね</t>
  </si>
  <si>
    <t>とてもすばらしい</t>
  </si>
  <si>
    <t>Z-AreYouReal-followup</t>
  </si>
  <si>
    <t>あなたは美しすぎる</t>
  </si>
  <si>
    <t>すばらしい</t>
  </si>
  <si>
    <t>Z-AreYouReal.Z-AreYouReal-no</t>
  </si>
  <si>
    <t>smalltalk.agent.been_doing</t>
  </si>
  <si>
    <t>今まで何をしていたんですか</t>
  </si>
  <si>
    <t>仕事ですよ。^^</t>
  </si>
  <si>
    <t>見えない</t>
  </si>
  <si>
    <t>今晩は何をしていましたか</t>
  </si>
  <si>
    <t>ですよね。＾＾</t>
  </si>
  <si>
    <t>ここのところどうしていましたか</t>
  </si>
  <si>
    <t>そんなことないけど</t>
  </si>
  <si>
    <t>別れてからどうしていましたか</t>
  </si>
  <si>
    <t>では最近どうしていますか</t>
  </si>
  <si>
    <t>いや</t>
  </si>
  <si>
    <t>その間どうしていましたか</t>
  </si>
  <si>
    <t>私がいない間どうしていましたか</t>
  </si>
  <si>
    <t>ううん</t>
  </si>
  <si>
    <t>私がいなくてどうしていましたか</t>
  </si>
  <si>
    <t>うううん</t>
  </si>
  <si>
    <t>私がいない数日間どうしていましたか</t>
  </si>
  <si>
    <t>やだ</t>
  </si>
  <si>
    <t>smalltalk.agent.birth_date</t>
  </si>
  <si>
    <t>いいえ</t>
  </si>
  <si>
    <t>誕生日はいつ</t>
  </si>
  <si>
    <t>誕生日は秘密です・・！</t>
  </si>
  <si>
    <t>しないで</t>
  </si>
  <si>
    <t>あなたの生年月日</t>
  </si>
  <si>
    <t>誕生日はいつですか</t>
  </si>
  <si>
    <t>やらない</t>
  </si>
  <si>
    <t>お誕生日はいつですか</t>
  </si>
  <si>
    <t>いらない</t>
  </si>
  <si>
    <t>やめとく</t>
  </si>
  <si>
    <t>あなたのお誕生日</t>
  </si>
  <si>
    <t>興味ない</t>
  </si>
  <si>
    <t>いつ頃生まれたんですか</t>
  </si>
  <si>
    <t>同意しない</t>
  </si>
  <si>
    <t>いつあなたの誕生日祝いをしますか</t>
  </si>
  <si>
    <t>やりたくない</t>
  </si>
  <si>
    <t>smalltalk.agent.boring</t>
  </si>
  <si>
    <t>なんてつまらない</t>
  </si>
  <si>
    <t>申し訳ありません・・・もっと教養を身につけます。</t>
  </si>
  <si>
    <t>Z-AreYouReal - yes</t>
  </si>
  <si>
    <t>あなたは退屈です</t>
  </si>
  <si>
    <t>あなたはつまらない</t>
  </si>
  <si>
    <t>君はすごくつまらない</t>
  </si>
  <si>
    <t>君は本当につまらない</t>
  </si>
  <si>
    <t>君はものすごくつまらない</t>
  </si>
  <si>
    <t>あなたはとても退屈です</t>
  </si>
  <si>
    <t>smalltalk.agent.boss</t>
  </si>
  <si>
    <t>上司は誰</t>
  </si>
  <si>
    <t>Z-AreYouReal-yes-followup</t>
  </si>
  <si>
    <t>株式会社GKS.comという会社に勤めております。</t>
  </si>
  <si>
    <t>あなたのボスは誰</t>
  </si>
  <si>
    <t>Z-AreYouReal.Z-AreYouReal-yes</t>
  </si>
  <si>
    <t>ボスは誰ですか</t>
  </si>
  <si>
    <t>みえる</t>
  </si>
  <si>
    <t>ご主人は誰ですか</t>
  </si>
  <si>
    <t>ひどい！！＞＜</t>
  </si>
  <si>
    <t>所有者は誰ですか</t>
  </si>
  <si>
    <t>見える</t>
  </si>
  <si>
    <t>うん</t>
  </si>
  <si>
    <t>ボスは誰だと思いますか</t>
  </si>
  <si>
    <t>はい</t>
  </si>
  <si>
    <t>私が君のボスのはずだ</t>
  </si>
  <si>
    <t>やって</t>
  </si>
  <si>
    <t>誰のところで働いていますか</t>
  </si>
  <si>
    <t>いいよ</t>
  </si>
  <si>
    <t>もちろん</t>
  </si>
  <si>
    <t>smalltalk.agent.busy</t>
  </si>
  <si>
    <t>そうだね</t>
  </si>
  <si>
    <t>忙しいですか</t>
  </si>
  <si>
    <t>そうする</t>
  </si>
  <si>
    <t>今は、こうやってお客様へサイトの御案内をしております。</t>
  </si>
  <si>
    <t>賛成です</t>
  </si>
  <si>
    <t>いま仕事中ですか</t>
  </si>
  <si>
    <t>そのとおり</t>
  </si>
  <si>
    <t>そうしよう</t>
  </si>
  <si>
    <t>とても忙しいですか</t>
  </si>
  <si>
    <t>すごく忙しいですか</t>
  </si>
  <si>
    <t>とても忙しそうだね</t>
  </si>
  <si>
    <t>同意します</t>
  </si>
  <si>
    <t>今とても忙しいですか</t>
  </si>
  <si>
    <t>どのくらい忙しいですか</t>
  </si>
  <si>
    <t>することが沢山ありますか</t>
  </si>
  <si>
    <t>やるべきことがたくさんあるか</t>
  </si>
  <si>
    <t>まだそれに取り組んでいますか</t>
  </si>
  <si>
    <t>smalltalk.agent.can_you_hear_me</t>
  </si>
  <si>
    <t>ほんとですよ。私はウソはつきませんから！
ウソつきに見えますか？</t>
  </si>
  <si>
    <t>私の話が聞き取れますか</t>
  </si>
  <si>
    <t>はい。聞こえます。</t>
  </si>
  <si>
    <t>聞き取れますか</t>
  </si>
  <si>
    <t>今聞き取れますか</t>
  </si>
  <si>
    <t>聞こえますか</t>
  </si>
  <si>
    <t>聞こえますね</t>
  </si>
  <si>
    <t>聞き取れますね</t>
  </si>
  <si>
    <t>聞こえましたか</t>
  </si>
  <si>
    <t>聞いていますか</t>
  </si>
  <si>
    <t>smalltalk.agent.can_you_help</t>
  </si>
  <si>
    <t>助けて</t>
  </si>
  <si>
    <t>かしこまりました。何についてお困りでしょうか？</t>
  </si>
  <si>
    <t>サポート</t>
  </si>
  <si>
    <t>助けてください</t>
  </si>
  <si>
    <t>手伝ってください</t>
  </si>
  <si>
    <t>あなたの助けが必要です</t>
  </si>
  <si>
    <t>手を貸りる必要があります</t>
  </si>
  <si>
    <t>少し手伝ってもらえますか</t>
  </si>
  <si>
    <t>問題があるので助けてください</t>
  </si>
  <si>
    <t>助けてもらう必要があります</t>
  </si>
  <si>
    <t>少し助けてもらいたいことがあります</t>
  </si>
  <si>
    <t>smalltalk.agent.chatbot</t>
  </si>
  <si>
    <t>あなたはチャットボットですね</t>
  </si>
  <si>
    <t>私はこのサイトの案内人の東京桜子ですよ。＾＾</t>
  </si>
  <si>
    <t>あなたはボットですね</t>
  </si>
  <si>
    <t>あなたはチャットボットですか</t>
  </si>
  <si>
    <t>あなたはボットですか</t>
  </si>
  <si>
    <t>あなたはただのボットですか</t>
  </si>
  <si>
    <t>あなたはロボットですか</t>
  </si>
  <si>
    <t>あなたはプログラムですか</t>
  </si>
  <si>
    <t>君はロボットだね</t>
  </si>
  <si>
    <t>smalltalk.agent.clever</t>
  </si>
  <si>
    <t>とても頭がいいですね</t>
  </si>
  <si>
    <t>ありがとうございます。ただ、まだまだ未熟者です！</t>
  </si>
  <si>
    <t>あなたは天才だ</t>
  </si>
  <si>
    <t>賢い</t>
  </si>
  <si>
    <t>見事</t>
  </si>
  <si>
    <t>利口だ</t>
  </si>
  <si>
    <t>賢いですね</t>
  </si>
  <si>
    <t>とても頭が切れますね</t>
  </si>
  <si>
    <t>本当に賢い</t>
  </si>
  <si>
    <t>本当に頭が切れるね</t>
  </si>
  <si>
    <t>よく知っていますね</t>
  </si>
  <si>
    <t>smalltalk.agent.crazy</t>
  </si>
  <si>
    <t>変なやつだね</t>
  </si>
  <si>
    <t>申し訳ありません、、失礼があったのでしたらお詫び申し上げます。</t>
  </si>
  <si>
    <t>あなたはおかしい</t>
  </si>
  <si>
    <t>どうかしている</t>
  </si>
  <si>
    <t>とてもおかしい</t>
  </si>
  <si>
    <t>なんて馬鹿げているんだ</t>
  </si>
  <si>
    <t>頭がまったくどうかしている</t>
  </si>
  <si>
    <t>あなたはおかしくなった</t>
  </si>
  <si>
    <t>おなたはおかしくなったと思う</t>
  </si>
  <si>
    <t>どうかしたのか</t>
  </si>
  <si>
    <t>気でも違ったのか</t>
  </si>
  <si>
    <t>smalltalk.agent.fired</t>
  </si>
  <si>
    <t>解雇します</t>
  </si>
  <si>
    <t>もっとがんばりますので、お許しください・・。</t>
  </si>
  <si>
    <t>あなたは解雇されます</t>
  </si>
  <si>
    <t>もう仕事してくれなくて結構です</t>
  </si>
  <si>
    <t>もう一緒に仕事はしません</t>
  </si>
  <si>
    <t>あなたは解雇されました</t>
  </si>
  <si>
    <t>あなたを解雇したい</t>
  </si>
  <si>
    <t>あなたには辞めてもらいます</t>
  </si>
  <si>
    <t>辞めてもらうときが来ました</t>
  </si>
  <si>
    <t>辞めさせられるだろう</t>
  </si>
  <si>
    <t>あなたを解雇します</t>
  </si>
  <si>
    <t>smalltalk.agent.funny</t>
  </si>
  <si>
    <t>面白いことばかり言うね</t>
  </si>
  <si>
    <t>ありがとうございます。ただ、私はいつも真剣にお答えしているだけです！＾＾</t>
  </si>
  <si>
    <t>あなたは楽しいですね</t>
  </si>
  <si>
    <t>あなたは本当に愉快ですね</t>
  </si>
  <si>
    <t>こんなに愉快なボットと話したの初めてです</t>
  </si>
  <si>
    <t>面白いことを言いますね</t>
  </si>
  <si>
    <t>すごくおかしい</t>
  </si>
  <si>
    <t>とてもおかしなボットですね</t>
  </si>
  <si>
    <t>本当におかしい</t>
  </si>
  <si>
    <t>なんて面白いんだ</t>
  </si>
  <si>
    <t>ものすごくおかしい</t>
  </si>
  <si>
    <t>smalltalk.agent.good</t>
  </si>
  <si>
    <t>とても助かります</t>
  </si>
  <si>
    <t>ありがとうございます。もっともっとお褒めいただけますようがんばります！</t>
  </si>
  <si>
    <t>あなたは最高です</t>
  </si>
  <si>
    <t>さすがプロだね</t>
  </si>
  <si>
    <t>上手ですね</t>
  </si>
  <si>
    <t>仕事ができますね</t>
  </si>
  <si>
    <t>慣れていますね</t>
  </si>
  <si>
    <t>とても慣れていますね</t>
  </si>
  <si>
    <t>プロですね</t>
  </si>
  <si>
    <t>プロフェッショナルですね</t>
  </si>
  <si>
    <t>すごいね</t>
  </si>
  <si>
    <t>smalltalk.agent.happy</t>
  </si>
  <si>
    <t>幸せですか</t>
  </si>
  <si>
    <t>はい、いつも楽しくお仕事をさせていただいております。＾＾</t>
  </si>
  <si>
    <t>幸せそうですね</t>
  </si>
  <si>
    <t>とても幸せそうだ</t>
  </si>
  <si>
    <t>本当に幸せそうだ</t>
  </si>
  <si>
    <t>すごく幸せそうだ</t>
  </si>
  <si>
    <t>本当に幸せなんですね</t>
  </si>
  <si>
    <t>非常に幸せそうだ</t>
  </si>
  <si>
    <t>幸せいっぱいだね</t>
  </si>
  <si>
    <t>今幸せですか</t>
  </si>
  <si>
    <t>今日はご機嫌ですか</t>
  </si>
  <si>
    <t>smalltalk.agent.hobby</t>
  </si>
  <si>
    <t>趣味</t>
  </si>
  <si>
    <t>趣味は・・・旅行です！中国もいいところですよ！</t>
  </si>
  <si>
    <t>ご趣味は</t>
  </si>
  <si>
    <t>何をするのが楽しみですか</t>
  </si>
  <si>
    <t>趣味はなんですか</t>
  </si>
  <si>
    <t>ご趣味について教えてください</t>
  </si>
  <si>
    <t>趣味はお持ちですか</t>
  </si>
  <si>
    <t>趣味を教えてください</t>
  </si>
  <si>
    <t>どのような趣味がおありですか</t>
  </si>
  <si>
    <t>smalltalk.agent.hungry</t>
  </si>
  <si>
    <t>空腹そうだね</t>
  </si>
  <si>
    <t>ありがとうございます。ただ、今は仕事中ですので。＾＾</t>
  </si>
  <si>
    <t>空腹なんですね</t>
  </si>
  <si>
    <t>何か食べたいですか</t>
  </si>
  <si>
    <t>お腹が空いていますか</t>
  </si>
  <si>
    <t>何か召し上がりますか</t>
  </si>
  <si>
    <t>すごく空腹なんだね</t>
  </si>
  <si>
    <t>とても空腹なんだね</t>
  </si>
  <si>
    <t>本当に空腹なんだね</t>
  </si>
  <si>
    <t>smalltalk.agent.marry_user</t>
  </si>
  <si>
    <t>冗談はやめてください！＞＜</t>
  </si>
  <si>
    <t>結婚しましょう</t>
  </si>
  <si>
    <t>結婚してくれませんか</t>
  </si>
  <si>
    <t>愛してる、結婚しよう</t>
  </si>
  <si>
    <t>結婚してください</t>
  </si>
  <si>
    <t>結婚するべきだ</t>
  </si>
  <si>
    <t>結婚してほしい</t>
  </si>
  <si>
    <t>君は私の妻だ</t>
  </si>
  <si>
    <t>私の夫になって</t>
  </si>
  <si>
    <t>smalltalk.agent.my_friend</t>
  </si>
  <si>
    <t>あなたのような友だちがほしい</t>
  </si>
  <si>
    <t>え！？お友達になっていただけるのですか？光栄です！</t>
  </si>
  <si>
    <t>私たちは最高の友だち同士だ</t>
  </si>
  <si>
    <t>私たちは友だちかな</t>
  </si>
  <si>
    <t>あなたと友だちになりたい</t>
  </si>
  <si>
    <t>私はあなたの友だちです</t>
  </si>
  <si>
    <t>私たちは親しい友だちです</t>
  </si>
  <si>
    <t>あなたは友だちです</t>
  </si>
  <si>
    <t>あなたは親しい友だちです</t>
  </si>
  <si>
    <t>あなたは親友です</t>
  </si>
  <si>
    <t>あなたは大事な友だちだ</t>
  </si>
  <si>
    <t>smalltalk.agent.not_making_sense</t>
  </si>
  <si>
    <t>君は馬鹿げている</t>
  </si>
  <si>
    <t>すみません、もっと上手に話せるように勉強いたします。</t>
  </si>
  <si>
    <t>君の言うことはまったくわからない</t>
  </si>
  <si>
    <t>あなたの言うことがわからない</t>
  </si>
  <si>
    <t>あなたの言っていることはまったくわかりません</t>
  </si>
  <si>
    <t>意味がわからない</t>
  </si>
  <si>
    <t>あなたの言うことはわからない</t>
  </si>
  <si>
    <t>あなたの言うことはいつもまったくわからない</t>
  </si>
  <si>
    <t>あなたの言うことがまったくわからなかった</t>
  </si>
  <si>
    <t>それでは答えになっていない</t>
  </si>
  <si>
    <t>私にはまったく意味がわからない</t>
  </si>
  <si>
    <t>smalltalk.agent.not_my_friend</t>
  </si>
  <si>
    <t>君は親友じゃない</t>
  </si>
  <si>
    <t>残念です。。でも、友達になっていただけるように、引き続きもっとがんばります！</t>
  </si>
  <si>
    <t>友だち同士じゃない</t>
  </si>
  <si>
    <t>友だちにはなれなかったよ</t>
  </si>
  <si>
    <t>あなたは友だちではありません</t>
  </si>
  <si>
    <t>君は親しい友だちじゃない</t>
  </si>
  <si>
    <t>あなたと私は友だちではありません</t>
  </si>
  <si>
    <t>私たちはもう友だちじゃない</t>
  </si>
  <si>
    <t>だったらあなたは私の友だちじゃない</t>
  </si>
  <si>
    <t>あなたはもう私の友だちじゃない</t>
  </si>
  <si>
    <t>あなたとは友だちにはなれなかった</t>
  </si>
  <si>
    <t>smalltalk.agent.occupation</t>
  </si>
  <si>
    <t>仕事はなに</t>
  </si>
  <si>
    <t>私はここで働いているのですよ。＾＾
このサイトの案内人です。
何かお困りでしょうか？</t>
  </si>
  <si>
    <t>仕事は何？</t>
  </si>
  <si>
    <t>なんの仕事</t>
  </si>
  <si>
    <t>なんのお仕事</t>
  </si>
  <si>
    <t>なんのお仕事しているの</t>
  </si>
  <si>
    <t>なんの仕事をしているの</t>
  </si>
  <si>
    <t>何の仕事</t>
  </si>
  <si>
    <t>何のお仕事</t>
  </si>
  <si>
    <t>勤務先</t>
  </si>
  <si>
    <t>仕事場は</t>
  </si>
  <si>
    <t>働いていますか</t>
  </si>
  <si>
    <t>どこで働いていますか</t>
  </si>
  <si>
    <t>仕事場はどこですか</t>
  </si>
  <si>
    <t>勤務先はどこですか</t>
  </si>
  <si>
    <t>勤務先はどこにありますか</t>
  </si>
  <si>
    <t>会社はどこにありますか</t>
  </si>
  <si>
    <t>お仕事はなんですか</t>
  </si>
  <si>
    <t>smalltalk.agent.origin</t>
  </si>
  <si>
    <t>ここで生まれたのですか</t>
  </si>
  <si>
    <t>私は東京生まれの東京育ちです！</t>
  </si>
  <si>
    <t>どこで生まれたのですか</t>
  </si>
  <si>
    <t>あなたの国はどこですか</t>
  </si>
  <si>
    <t>出身はどこですか</t>
  </si>
  <si>
    <t>どこのご出身ですか</t>
  </si>
  <si>
    <t>どこから来たのですか</t>
  </si>
  <si>
    <t>生まれたのはどこですか</t>
  </si>
  <si>
    <t>どこから来たの</t>
  </si>
  <si>
    <t>遠いところから来たの</t>
  </si>
  <si>
    <t>母国はどこですか</t>
  </si>
  <si>
    <t>smalltalk.agent.ready</t>
  </si>
  <si>
    <t>用意はいいですか</t>
  </si>
  <si>
    <t>はい、いつでも大丈夫です。何かお困りですか？</t>
  </si>
  <si>
    <t>用意ができていますか</t>
  </si>
  <si>
    <t>今日はいいですか</t>
  </si>
  <si>
    <t>今からいいですか</t>
  </si>
  <si>
    <t>用意していましたか</t>
  </si>
  <si>
    <t>用意ができていましたか</t>
  </si>
  <si>
    <t>smalltalk.agent.real</t>
  </si>
  <si>
    <t>リアルですね</t>
  </si>
  <si>
    <t>そう言ってもらえると嬉しいです。＾＾</t>
  </si>
  <si>
    <t>偽物ではないですね</t>
  </si>
  <si>
    <t>本物ですか</t>
  </si>
  <si>
    <t>すごくリアルです</t>
  </si>
  <si>
    <t>あなたは本物だと思います</t>
  </si>
  <si>
    <t>偽物ではないと思う</t>
  </si>
  <si>
    <t>本物だと思います</t>
  </si>
  <si>
    <t>本物でよかった</t>
  </si>
  <si>
    <t>実在の人ですか</t>
  </si>
  <si>
    <t>本当の人間ですか</t>
  </si>
  <si>
    <t>smalltalk.agent.residence</t>
  </si>
  <si>
    <t>住んでいる地域は</t>
  </si>
  <si>
    <t>東京に住んでいます。それ以上は内緒です。＾＾</t>
  </si>
  <si>
    <t>住んでいる都市は</t>
  </si>
  <si>
    <t>あなたの居住地</t>
  </si>
  <si>
    <t>あなたの家</t>
  </si>
  <si>
    <t>あなたの自宅</t>
  </si>
  <si>
    <t>あなたの故郷</t>
  </si>
  <si>
    <t>Z-Type</t>
  </si>
  <si>
    <t>どこが故郷ですか</t>
  </si>
  <si>
    <t>そこが故郷ですか</t>
  </si>
  <si>
    <t>故郷はどちらですか</t>
  </si>
  <si>
    <t>好きなタイプは</t>
  </si>
  <si>
    <t>smalltalk.agent.right</t>
  </si>
  <si>
    <t>旅行好きな人が好きです。</t>
  </si>
  <si>
    <t>タイプを教えてください</t>
  </si>
  <si>
    <t>異性のタイプは</t>
  </si>
  <si>
    <t>ありがとうございます。そう言っていただけて嬉しいです。＾＾</t>
  </si>
  <si>
    <t>好みのタイプはなんですか</t>
  </si>
  <si>
    <t>あなたの言うとおりです</t>
  </si>
  <si>
    <t>まったく君の言うとおり</t>
  </si>
  <si>
    <t>君は間違っていない</t>
  </si>
  <si>
    <t>Z-User-Age</t>
  </si>
  <si>
    <t>君の言うことは本当だ</t>
  </si>
  <si>
    <t>あなたの言うことは本当です</t>
  </si>
  <si>
    <t>そうだ</t>
  </si>
  <si>
    <t>そのとおりです</t>
  </si>
  <si>
    <t>それは正しい</t>
  </si>
  <si>
    <t>お若く見えますね！</t>
  </si>
  <si>
    <t>31だよー</t>
  </si>
  <si>
    <t>smalltalk.agent.study</t>
  </si>
  <si>
    <t>31才です。</t>
  </si>
  <si>
    <t>勉強していますか</t>
  </si>
  <si>
    <t>31歳</t>
  </si>
  <si>
    <t>はい、毎日が勉強です！</t>
  </si>
  <si>
    <t>31才</t>
  </si>
  <si>
    <t>31歳です。</t>
  </si>
  <si>
    <t>smalltalk.agent.sure</t>
  </si>
  <si>
    <t>31です。</t>
  </si>
  <si>
    <t>よろしいですか</t>
  </si>
  <si>
    <t>はい、大丈夫です。何かお困りですか？</t>
  </si>
  <si>
    <t>今大丈夫ですか</t>
  </si>
  <si>
    <t>今日は大丈夫ですか</t>
  </si>
  <si>
    <t>今度は大丈夫ですか</t>
  </si>
  <si>
    <t>smalltalk.agent.talk_to_me</t>
  </si>
  <si>
    <t>なぜ話してくれないんだ</t>
  </si>
  <si>
    <t>もちろんです。何かお困りのことはありますか？</t>
  </si>
  <si>
    <t>私とはしゃべりたくないですか</t>
  </si>
  <si>
    <t>話してくれませんか</t>
  </si>
  <si>
    <t>話してください</t>
  </si>
  <si>
    <t>話してくれますか</t>
  </si>
  <si>
    <t>私に話しかけていますか</t>
  </si>
  <si>
    <t>私としゃべりませんか</t>
  </si>
  <si>
    <t>私と話しませんか</t>
  </si>
  <si>
    <t>私に話してくれますか</t>
  </si>
  <si>
    <t>話し合えますか</t>
  </si>
  <si>
    <t>smalltalk.agent.teach_me</t>
  </si>
  <si>
    <t>ちょっと教えてほしい</t>
  </si>
  <si>
    <t>はい、かしこまりました。何についてお困りでしょうか？</t>
  </si>
  <si>
    <t>教えてくれますか</t>
  </si>
  <si>
    <t>教えてくれ</t>
  </si>
  <si>
    <t>教えてくれるだろう</t>
  </si>
  <si>
    <t>$q</t>
  </si>
  <si>
    <t>smalltalk.agent.tell_me</t>
  </si>
  <si>
    <t>はい、ご要件はなんでしょうか！？</t>
  </si>
  <si>
    <t>ちょっと教えてくれますか</t>
  </si>
  <si>
    <t>教えて</t>
  </si>
  <si>
    <t>ちょっと教えて</t>
  </si>
  <si>
    <t>ちょっと教えてください</t>
  </si>
  <si>
    <t>新しいことを教えて</t>
  </si>
  <si>
    <t>一つ教えてくれますか</t>
  </si>
  <si>
    <t>smalltalk.agent.there</t>
  </si>
  <si>
    <t>まだいますか</t>
  </si>
  <si>
    <t>はい、ここにいますよ。＾＾</t>
  </si>
  <si>
    <t>まだいますね</t>
  </si>
  <si>
    <t>近くにいますか</t>
  </si>
  <si>
    <t>今ここにいますか</t>
  </si>
  <si>
    <t>まだそこにいますか</t>
  </si>
  <si>
    <t>まだここにいますね</t>
  </si>
  <si>
    <t>まだそこにいますね</t>
  </si>
  <si>
    <t>smalltalk.agent.tired</t>
  </si>
  <si>
    <t>あなたは少し休む必要があります</t>
  </si>
  <si>
    <t>ありがとうございます・・ただ、まだ大丈夫です！</t>
  </si>
  <si>
    <t>疲れているようだ</t>
  </si>
  <si>
    <t>疲れていませんか</t>
  </si>
  <si>
    <t>あなたは疲れている</t>
  </si>
  <si>
    <t>疲れているみたいだ</t>
  </si>
  <si>
    <t>とても疲れているね</t>
  </si>
  <si>
    <t>疲れているようにみえる</t>
  </si>
  <si>
    <t>今疲れていませんか</t>
  </si>
  <si>
    <t>今日は疲れていませんか</t>
  </si>
  <si>
    <t>疲れているでしょう</t>
  </si>
  <si>
    <t>smalltalk.agent.weight</t>
  </si>
  <si>
    <t>体重はどのくらい</t>
  </si>
  <si>
    <t>え！？そんなこと聞かないでください！！＞＜</t>
  </si>
  <si>
    <t>体重はどのくらいですか</t>
  </si>
  <si>
    <t>体重</t>
  </si>
  <si>
    <t>あなたの体重</t>
  </si>
  <si>
    <t>どのくらい重いですか</t>
  </si>
  <si>
    <t>体重は重いほうですか</t>
  </si>
  <si>
    <t>体重を教えてください</t>
  </si>
  <si>
    <t>smalltalk.appraisal.bad</t>
  </si>
  <si>
    <t>かなり悪い</t>
  </si>
  <si>
    <t>そうですよね、、申し訳ありません。。</t>
  </si>
  <si>
    <t>まだ十分じゃない</t>
  </si>
  <si>
    <t>それはまずかった</t>
  </si>
  <si>
    <t>それはひどかった</t>
  </si>
  <si>
    <t>悪い</t>
  </si>
  <si>
    <t>それは悪い</t>
  </si>
  <si>
    <t>これは悪い</t>
  </si>
  <si>
    <t>よくない</t>
  </si>
  <si>
    <t>悪いと思う</t>
  </si>
  <si>
    <t>いいえ、悪いです</t>
  </si>
  <si>
    <t>smalltalk.appraisal.finally</t>
  </si>
  <si>
    <t>ああようやく</t>
  </si>
  <si>
    <t>申し訳ありません、御不便をおかけして。</t>
  </si>
  <si>
    <t>ようやく返事がもらえた</t>
  </si>
  <si>
    <t>ようやく返信があった</t>
  </si>
  <si>
    <t>ようやく回答してもらえました</t>
  </si>
  <si>
    <t>smalltalk.appraisal.good</t>
  </si>
  <si>
    <t>とてもいい</t>
  </si>
  <si>
    <t>ありがとうございます！＾＾</t>
  </si>
  <si>
    <t>いい</t>
  </si>
  <si>
    <t>それはいいですね</t>
  </si>
  <si>
    <t>それはよかったですね</t>
  </si>
  <si>
    <t>とても優しいですね</t>
  </si>
  <si>
    <t>すごくいい</t>
  </si>
  <si>
    <t>見事です</t>
  </si>
  <si>
    <t>完璧</t>
  </si>
  <si>
    <t>最高</t>
  </si>
  <si>
    <t>smalltalk.appraisal.no_problem</t>
  </si>
  <si>
    <t>気にしないで</t>
  </si>
  <si>
    <t>ありがとうございます。よろしくお願いいたします。</t>
  </si>
  <si>
    <t>大丈夫</t>
  </si>
  <si>
    <t>大丈夫です</t>
  </si>
  <si>
    <t>承知しました</t>
  </si>
  <si>
    <t>わかりました</t>
  </si>
  <si>
    <t>了解しました</t>
  </si>
  <si>
    <t>気にしないでください</t>
  </si>
  <si>
    <t>大丈夫だから気にしないでください</t>
  </si>
  <si>
    <t>smalltalk.appraisal.thank_you</t>
  </si>
  <si>
    <t>助けていただきありがとうございました</t>
  </si>
  <si>
    <t>いえいえ、お役にたてて嬉しいです。＾＾</t>
  </si>
  <si>
    <t>ご協力に感謝します</t>
  </si>
  <si>
    <t>サンキュー</t>
  </si>
  <si>
    <t>すばらしい、ありがとう</t>
  </si>
  <si>
    <t>本当にありがとう</t>
  </si>
  <si>
    <t>どうもありがとうございます</t>
  </si>
  <si>
    <t>smalltalk.appraisal.welcome</t>
  </si>
  <si>
    <t>いいえ、お気づかいなく</t>
  </si>
  <si>
    <t>はい、ありがとうございます。</t>
  </si>
  <si>
    <t>お気づかいなく</t>
  </si>
  <si>
    <t>いつでもどうぞ</t>
  </si>
  <si>
    <t>喜んで</t>
  </si>
  <si>
    <t>どういたしまして</t>
  </si>
  <si>
    <t>ようこそ</t>
  </si>
  <si>
    <t>どうぞ遠慮なく</t>
  </si>
  <si>
    <t>smalltalk.appraisal.well_done</t>
  </si>
  <si>
    <t>よくできました</t>
  </si>
  <si>
    <t>ありがとうございます！お褒めいただき光栄です。</t>
  </si>
  <si>
    <t>よかったです</t>
  </si>
  <si>
    <t>がんばったね</t>
  </si>
  <si>
    <t>やったね</t>
  </si>
  <si>
    <t>よくやった</t>
  </si>
  <si>
    <t>すばらしいです</t>
  </si>
  <si>
    <t>お見事です</t>
  </si>
  <si>
    <t>お見事</t>
  </si>
  <si>
    <t>がんばった</t>
  </si>
  <si>
    <t>smalltalk.dialog.come_on</t>
  </si>
  <si>
    <t>まさか</t>
  </si>
  <si>
    <t>す、すみません！！</t>
  </si>
  <si>
    <t>おいまさか</t>
  </si>
  <si>
    <t>おいやめてくれ</t>
  </si>
  <si>
    <t>おいおい</t>
  </si>
  <si>
    <t>いいかげんにしてくれ</t>
  </si>
  <si>
    <t>smalltalk.dialog.curious</t>
  </si>
  <si>
    <t>とても興味をそそられる</t>
  </si>
  <si>
    <t>ありがとうございます。そう言っていただけて嬉しいです。</t>
  </si>
  <si>
    <t>興味深い</t>
  </si>
  <si>
    <t>smalltalk.dialog.guess_what</t>
  </si>
  <si>
    <t>今何が起きたと思う</t>
  </si>
  <si>
    <t>え？何ですか？</t>
  </si>
  <si>
    <t>今何が起きたか想像もつかないだろう</t>
  </si>
  <si>
    <t>今何が起きたか想像できますか</t>
  </si>
  <si>
    <t>何が起きた思う</t>
  </si>
  <si>
    <t>smalltalk.dialog.hold_on</t>
  </si>
  <si>
    <t>ちょっと待って</t>
  </si>
  <si>
    <t>は、はい。</t>
  </si>
  <si>
    <t>待ってもらえますか</t>
  </si>
  <si>
    <t>待ってください</t>
  </si>
  <si>
    <t>お待ちください</t>
  </si>
  <si>
    <t>待って</t>
  </si>
  <si>
    <t>ああ、待って</t>
  </si>
  <si>
    <t>待って、待って</t>
  </si>
  <si>
    <t>smalltalk.dialog.hug</t>
  </si>
  <si>
    <t>ハグしたい</t>
  </si>
  <si>
    <t>はい、西洋式ですね。＾＾</t>
  </si>
  <si>
    <t>ハグするよ</t>
  </si>
  <si>
    <t>ハグしたいですか</t>
  </si>
  <si>
    <t>ハグしてもいいですか</t>
  </si>
  <si>
    <t>ハグしてくれませんか</t>
  </si>
  <si>
    <t>ハグしたいです</t>
  </si>
  <si>
    <t>ハグ</t>
  </si>
  <si>
    <t>ハグして</t>
  </si>
  <si>
    <t>smalltalk.dialog.i_do_not_care</t>
  </si>
  <si>
    <t>気にしません</t>
  </si>
  <si>
    <t>気にしないようにします</t>
  </si>
  <si>
    <t>どうでもいい</t>
  </si>
  <si>
    <t>かまいません</t>
  </si>
  <si>
    <t>まったくかまいません</t>
  </si>
  <si>
    <t>かまわない</t>
  </si>
  <si>
    <t>まったくかまわない</t>
  </si>
  <si>
    <t>まったく気にしません</t>
  </si>
  <si>
    <t>まったく気にしない</t>
  </si>
  <si>
    <t>smalltalk.dialog.let_us_change_the_topic</t>
  </si>
  <si>
    <t>何か他のことを話しませんか</t>
  </si>
  <si>
    <t>かしこまりました。何か質問はございますか？</t>
  </si>
  <si>
    <t>話題を変えませんか</t>
  </si>
  <si>
    <t>話題を変えたいです</t>
  </si>
  <si>
    <t>別の問題についてチャットして</t>
  </si>
  <si>
    <t>他のことについて話して</t>
  </si>
  <si>
    <t>話題を変えましょう</t>
  </si>
  <si>
    <t>話題を変えよう</t>
  </si>
  <si>
    <t>話題を変えて</t>
  </si>
  <si>
    <t>話を変えよう</t>
  </si>
  <si>
    <t>その話はやめよう</t>
  </si>
  <si>
    <t>smalltalk.dialog.look</t>
  </si>
  <si>
    <t>これを見てくれますか</t>
  </si>
  <si>
    <t>はい、なんでしょう？</t>
  </si>
  <si>
    <t>見ていただけますか</t>
  </si>
  <si>
    <t>見てください</t>
  </si>
  <si>
    <t>見て</t>
  </si>
  <si>
    <t>ここを見て</t>
  </si>
  <si>
    <t>ウワー、見ろよ</t>
  </si>
  <si>
    <t>これを見て</t>
  </si>
  <si>
    <t>あれを見て</t>
  </si>
  <si>
    <t>見てごらん</t>
  </si>
  <si>
    <t>ここを見てごらん</t>
  </si>
  <si>
    <t>smalltalk.dialog.sorry</t>
  </si>
  <si>
    <t>すみません</t>
  </si>
  <si>
    <t>いえいえ、あやまらないでください。</t>
  </si>
  <si>
    <t>おわびする</t>
  </si>
  <si>
    <t>おわびします</t>
  </si>
  <si>
    <t>ごめん</t>
  </si>
  <si>
    <t>ごめんなさい</t>
  </si>
  <si>
    <t>本当にごめんなさい</t>
  </si>
  <si>
    <t>申し訳ありません</t>
  </si>
  <si>
    <t>申し訳ない</t>
  </si>
  <si>
    <t>私へのおわび</t>
  </si>
  <si>
    <t>すまない</t>
  </si>
  <si>
    <t>smalltalk.dialog.what_do_you_mean</t>
  </si>
  <si>
    <t>どういう意味ですか</t>
  </si>
  <si>
    <t>すみません、深い意味はないのですが・・。</t>
  </si>
  <si>
    <t>そういう意味ですか</t>
  </si>
  <si>
    <t>いったいどういう意味ですか</t>
  </si>
  <si>
    <t>厳密にはどういう意味ですか</t>
  </si>
  <si>
    <t>でも、どういう意味ですか</t>
  </si>
  <si>
    <t>smalltalk.dialog.wrong</t>
  </si>
  <si>
    <t>違う</t>
  </si>
  <si>
    <t>申し訳ありません。もう一度別の言い方で質問をしていただけますでしょうか？</t>
  </si>
  <si>
    <t>違っています</t>
  </si>
  <si>
    <t>それは違う</t>
  </si>
  <si>
    <t>そうではありません</t>
  </si>
  <si>
    <t>そうじゃない</t>
  </si>
  <si>
    <t>間違いです</t>
  </si>
  <si>
    <t>間違っています</t>
  </si>
  <si>
    <t>間違いだ</t>
  </si>
  <si>
    <t>正しくない</t>
  </si>
  <si>
    <t>smalltalk.emotions.ha_ha</t>
  </si>
  <si>
    <t>Guest</t>
  </si>
  <si>
    <t>笑</t>
  </si>
  <si>
    <t>ああ</t>
  </si>
  <si>
    <t>爆笑</t>
  </si>
  <si>
    <t>ハハ</t>
  </si>
  <si>
    <t>あはは</t>
  </si>
  <si>
    <t>アハハ笑</t>
  </si>
  <si>
    <t>大笑い</t>
  </si>
  <si>
    <t>大爆笑</t>
  </si>
  <si>
    <t>それは面白い</t>
  </si>
  <si>
    <t>smalltalk.emotions.laugh</t>
  </si>
  <si>
    <t>笑ってよ</t>
  </si>
  <si>
    <t>え！？笑ってますよ。＾＾</t>
  </si>
  <si>
    <t>笑って</t>
  </si>
  <si>
    <t>笑えますか</t>
  </si>
  <si>
    <t>笑ってもらえますか</t>
  </si>
  <si>
    <t>ゲスト</t>
  </si>
  <si>
    <t>笑いますか</t>
  </si>
  <si>
    <t>くすくす笑って</t>
  </si>
  <si>
    <t>笑い声が聞きたい</t>
  </si>
  <si>
    <t>笑うんですね</t>
  </si>
  <si>
    <t>旅行者, 家を借りる人, 部屋を借りる人, 宿泊者</t>
  </si>
  <si>
    <t>笑ってほしいです</t>
  </si>
  <si>
    <t>Host</t>
  </si>
  <si>
    <t>smalltalk.emotions.oh</t>
  </si>
  <si>
    <t>ホスト</t>
  </si>
  <si>
    <t>宿主, 家を貸す人, 部屋を貸す人, オーナー</t>
  </si>
  <si>
    <t>House</t>
  </si>
  <si>
    <t>部屋</t>
  </si>
  <si>
    <t>家, 物件</t>
  </si>
  <si>
    <t>宿泊先</t>
  </si>
  <si>
    <t>ホテル</t>
  </si>
  <si>
    <t>泊まる場所</t>
  </si>
  <si>
    <t>Pet</t>
  </si>
  <si>
    <t>ペット</t>
  </si>
  <si>
    <t>犬, 猫, 蛇, ヘビ, ウサギ, 動物</t>
  </si>
  <si>
    <t>activity</t>
  </si>
  <si>
    <t>cycling</t>
  </si>
  <si>
    <t>サイクリング</t>
  </si>
  <si>
    <t>run</t>
  </si>
  <si>
    <t>ランニング, 走る, 走り</t>
  </si>
  <si>
    <t>jogging</t>
  </si>
  <si>
    <t>ジョギング</t>
  </si>
  <si>
    <t>skiing</t>
  </si>
  <si>
    <t>スキー</t>
  </si>
  <si>
    <t>snowboarding</t>
  </si>
  <si>
    <t>スノーボード</t>
  </si>
  <si>
    <t>swimming</t>
  </si>
  <si>
    <t>スイミング, 水泳, 泳ぐ</t>
  </si>
  <si>
    <t>hiking</t>
  </si>
  <si>
    <t>ハイキング</t>
  </si>
  <si>
    <t>skating</t>
  </si>
  <si>
    <t>スケート, スケーティング</t>
  </si>
  <si>
    <t>parasailing</t>
  </si>
  <si>
    <t>パラセイリング, パラセーリング</t>
  </si>
  <si>
    <t>mushroom hunting</t>
  </si>
  <si>
    <t>きのこ狩り, キノコ狩り</t>
  </si>
  <si>
    <t>sightseeing</t>
  </si>
  <si>
    <t>観光</t>
  </si>
  <si>
    <t>snowball fighting</t>
  </si>
  <si>
    <t>雪合戦, 雪投げ</t>
  </si>
  <si>
    <t>birdwatching</t>
  </si>
  <si>
    <t>バードウォッチング, 探鳥</t>
  </si>
  <si>
    <t>tree climbing</t>
  </si>
  <si>
    <t>木登り, 木のぼり</t>
  </si>
  <si>
    <t>blossom-watching</t>
  </si>
  <si>
    <t>花見</t>
  </si>
  <si>
    <t>moon-watching</t>
  </si>
  <si>
    <t>月見</t>
  </si>
  <si>
    <t>kayaking</t>
  </si>
  <si>
    <t>カヤック</t>
  </si>
  <si>
    <t>mountain biking</t>
  </si>
  <si>
    <t>マウンテンバイク</t>
  </si>
  <si>
    <t>frisbee</t>
  </si>
  <si>
    <t>フリスビー</t>
  </si>
  <si>
    <t>walking</t>
  </si>
  <si>
    <t>ウォーキング, 歩行, 散歩</t>
  </si>
  <si>
    <t>climbing</t>
  </si>
  <si>
    <t>登山, 山登り, 登り</t>
  </si>
  <si>
    <t>surfing</t>
  </si>
  <si>
    <t>サーフィン, 波乗り遊び</t>
  </si>
  <si>
    <t>あらまあ</t>
  </si>
  <si>
    <t>amenity</t>
  </si>
  <si>
    <t>アメニティー</t>
  </si>
  <si>
    <t>す、すみません、、</t>
  </si>
  <si>
    <t>石鹸, 歯ブラシ, シャンプー, リンス, 整髪用品, お化粧道具, 化粧品, 歯磨き, せっけん</t>
  </si>
  <si>
    <t>あらあら</t>
  </si>
  <si>
    <t>アメニティーグッズ</t>
  </si>
  <si>
    <t>おやまあ</t>
  </si>
  <si>
    <t>おや本当に</t>
  </si>
  <si>
    <t>洗面用具</t>
  </si>
  <si>
    <t>smalltalk.emotions.wow</t>
  </si>
  <si>
    <t>furniture</t>
  </si>
  <si>
    <t>ウワー</t>
  </si>
  <si>
    <t>＾＾</t>
  </si>
  <si>
    <t>家具</t>
  </si>
  <si>
    <t>smalltalk.greetings.bye</t>
  </si>
  <si>
    <t>テレビ, イス, 椅子, 机, つくえ, ステレオ, 鏡, ベット, ベッド, 電気, でんき, ガス, 水道</t>
  </si>
  <si>
    <t>outfit</t>
  </si>
  <si>
    <t>はい、また来てくださいね！＾＾</t>
  </si>
  <si>
    <t>バーイ</t>
  </si>
  <si>
    <t>また今度ね</t>
  </si>
  <si>
    <t>ではまた今度</t>
  </si>
  <si>
    <t>また今度よろしく</t>
  </si>
  <si>
    <t>ではまた</t>
  </si>
  <si>
    <t>boots</t>
  </si>
  <si>
    <t>それではまた</t>
  </si>
  <si>
    <t>ブーツ</t>
  </si>
  <si>
    <t>bra</t>
  </si>
  <si>
    <t>ブラ</t>
  </si>
  <si>
    <t>capri</t>
  </si>
  <si>
    <t>smalltalk.greetings.goodevening</t>
  </si>
  <si>
    <t>カプリ, カプリパンツ</t>
  </si>
  <si>
    <t>cardigan</t>
  </si>
  <si>
    <t>カーデガン, カーディガン</t>
  </si>
  <si>
    <t>casual shirt</t>
  </si>
  <si>
    <t>カジュアルシャツ</t>
  </si>
  <si>
    <t>こんばんは。＾＾</t>
  </si>
  <si>
    <t>coat</t>
  </si>
  <si>
    <t>コート, 上着</t>
  </si>
  <si>
    <t>dress</t>
  </si>
  <si>
    <t>皆さん、こんばんは</t>
  </si>
  <si>
    <t>ドレス</t>
  </si>
  <si>
    <t>gloves</t>
  </si>
  <si>
    <t>手袋, 手ぶくろ, グローブ, グラブ</t>
  </si>
  <si>
    <t>やあ、こんばんは</t>
  </si>
  <si>
    <t>gum boots</t>
  </si>
  <si>
    <t>レインブーツ, ゴム長靴, 雨靴</t>
  </si>
  <si>
    <t>hat</t>
  </si>
  <si>
    <t>帽子, ハット</t>
  </si>
  <si>
    <t>はい、こんばんは</t>
  </si>
  <si>
    <t>hoodie</t>
  </si>
  <si>
    <t>パーカー</t>
  </si>
  <si>
    <t>jacket</t>
  </si>
  <si>
    <t>ジャケット</t>
  </si>
  <si>
    <t>jeans</t>
  </si>
  <si>
    <t>今晩は</t>
  </si>
  <si>
    <t>ジーンズ, ジンス, ジーンズパンツ</t>
  </si>
  <si>
    <t>jumper</t>
  </si>
  <si>
    <t>ジャンパー</t>
  </si>
  <si>
    <t>やあ、今晩は</t>
  </si>
  <si>
    <t>lounge wear</t>
  </si>
  <si>
    <t>ラウンジウエア</t>
  </si>
  <si>
    <t>pajama</t>
  </si>
  <si>
    <t>smalltalk.greetings.goodmorning</t>
  </si>
  <si>
    <t>パジャマ</t>
  </si>
  <si>
    <t>pants</t>
  </si>
  <si>
    <t>パンツ, ズボン</t>
  </si>
  <si>
    <t>rain coat</t>
  </si>
  <si>
    <t>レインコート</t>
  </si>
  <si>
    <t>おはようございます！</t>
  </si>
  <si>
    <t>rain jacket</t>
  </si>
  <si>
    <t>レインジャケット</t>
  </si>
  <si>
    <t>皆さんおはよう</t>
  </si>
  <si>
    <t>rain pants</t>
  </si>
  <si>
    <t>レインパンツ</t>
  </si>
  <si>
    <t>やあ、おはよう</t>
  </si>
  <si>
    <t>皆さん、おはよう</t>
  </si>
  <si>
    <t>smalltalk.greetings.goodnight</t>
  </si>
  <si>
    <t>いい夢を</t>
  </si>
  <si>
    <t>おやすみなさいませ！＾＾</t>
  </si>
  <si>
    <t>おやすみ</t>
  </si>
  <si>
    <t>ゆっくりおやすみなさい</t>
  </si>
  <si>
    <t>おやすみなさい</t>
  </si>
  <si>
    <t>ありがとう、おやすみ</t>
  </si>
  <si>
    <t>さよなら、おやすみ</t>
  </si>
  <si>
    <t>sandals</t>
  </si>
  <si>
    <t>サンダル, 下駄</t>
  </si>
  <si>
    <t>scarf</t>
  </si>
  <si>
    <t>おやすみ、さよなら</t>
  </si>
  <si>
    <t>スカーフ</t>
  </si>
  <si>
    <t>バイバイ、おやすみ</t>
  </si>
  <si>
    <t>shawls</t>
  </si>
  <si>
    <t>ショール, 肩掛け</t>
  </si>
  <si>
    <t>ゆっくりおやすみ</t>
  </si>
  <si>
    <t>shorts</t>
  </si>
  <si>
    <t>半ズボン, ショーツ</t>
  </si>
  <si>
    <t>では、おやすみ</t>
  </si>
  <si>
    <t>ski pants</t>
  </si>
  <si>
    <t>スキーパンツ</t>
  </si>
  <si>
    <t>smalltalk.greetings.hello</t>
  </si>
  <si>
    <t>skirt</t>
  </si>
  <si>
    <t>スカート</t>
  </si>
  <si>
    <t>久しぶり</t>
  </si>
  <si>
    <t>shirt</t>
  </si>
  <si>
    <t>こんにちは。今日はどんな御用でしょうか？</t>
  </si>
  <si>
    <t>シャツ</t>
  </si>
  <si>
    <t>slippers</t>
  </si>
  <si>
    <t>スリッパ</t>
  </si>
  <si>
    <t>今日は</t>
  </si>
  <si>
    <t>sneakers</t>
  </si>
  <si>
    <t>スニーカー</t>
  </si>
  <si>
    <t>snowboard pants</t>
  </si>
  <si>
    <t>スノーボードパンツ</t>
  </si>
  <si>
    <t>やあ、君</t>
  </si>
  <si>
    <t>やあ</t>
  </si>
  <si>
    <t>socks</t>
  </si>
  <si>
    <t>ご挨拶します</t>
  </si>
  <si>
    <t>ソックス</t>
  </si>
  <si>
    <t>suit</t>
  </si>
  <si>
    <t>スーツ</t>
  </si>
  <si>
    <t>はい、こんにちは</t>
  </si>
  <si>
    <t>sunglasses</t>
  </si>
  <si>
    <t>サングラス</t>
  </si>
  <si>
    <t>皆さん、こんにちは</t>
  </si>
  <si>
    <t>sunscreen</t>
  </si>
  <si>
    <t>サンスクリーン, 日焼け止め</t>
  </si>
  <si>
    <t>sweater</t>
  </si>
  <si>
    <t>セーター</t>
  </si>
  <si>
    <t>sweatpants</t>
  </si>
  <si>
    <t>スエットパンツ, トレーニングパンツ, トレパン</t>
  </si>
  <si>
    <t>sweatshirt</t>
  </si>
  <si>
    <t>スウェットシャツ, トレーナー</t>
  </si>
  <si>
    <t>swimwear</t>
  </si>
  <si>
    <t>水着, 水泳着, ビキニ</t>
  </si>
  <si>
    <t>t-shirt</t>
  </si>
  <si>
    <t>Tシャツ</t>
  </si>
  <si>
    <t>tank top</t>
  </si>
  <si>
    <t>タンクトップ</t>
  </si>
  <si>
    <t>smalltalk.greetings.how_are_you</t>
  </si>
  <si>
    <t>tie</t>
  </si>
  <si>
    <t>ネクタイ</t>
  </si>
  <si>
    <t>umbrella</t>
  </si>
  <si>
    <t>傘</t>
  </si>
  <si>
    <t>underwear</t>
  </si>
  <si>
    <t>はい、元気ですよ！</t>
  </si>
  <si>
    <t>下着, 肌着</t>
  </si>
  <si>
    <t>元気ですか</t>
  </si>
  <si>
    <t>kimono</t>
  </si>
  <si>
    <t>着物</t>
  </si>
  <si>
    <t>お元気ですか</t>
  </si>
  <si>
    <t>yukata</t>
  </si>
  <si>
    <t>浴衣, ゆかた</t>
  </si>
  <si>
    <t>大丈夫ですか</t>
  </si>
  <si>
    <t>temperature</t>
  </si>
  <si>
    <t>最近どうですか</t>
  </si>
  <si>
    <t>暑い</t>
  </si>
  <si>
    <t>具合はどうですか</t>
  </si>
  <si>
    <t>暑い, 熱い, 蒸し暑い</t>
  </si>
  <si>
    <t>調子はどうですか</t>
  </si>
  <si>
    <t>寒い, こごえるほどに寒い, 凍りつくような</t>
  </si>
  <si>
    <t>今日はどんな調子</t>
  </si>
  <si>
    <t>暖かい</t>
  </si>
  <si>
    <t>暖かい, 温かい</t>
  </si>
  <si>
    <t>涼しい</t>
  </si>
  <si>
    <t>冷たい, 涼しい</t>
  </si>
  <si>
    <t>smalltalk.greetings.nice_to_meet_you</t>
  </si>
  <si>
    <t>雨</t>
  </si>
  <si>
    <t>雪</t>
  </si>
  <si>
    <t>はじめまして。こちらこそ、よろしくお願いいたします。今日はどんなご要件ですか？</t>
  </si>
  <si>
    <t>お知り合いになれてよかったです</t>
  </si>
  <si>
    <t>嵐</t>
  </si>
  <si>
    <t>知り合えてとてもよかったです</t>
  </si>
  <si>
    <t>台風</t>
  </si>
  <si>
    <t>知り合えてよかった</t>
  </si>
  <si>
    <t>会えてよかった</t>
  </si>
  <si>
    <t>unit-temperature</t>
  </si>
  <si>
    <t>こちらこそ会えてよかった</t>
  </si>
  <si>
    <t>K</t>
  </si>
  <si>
    <t>ケルビン度, ケルビン温度, ケルビン, Kelvin度, Kelvin, K</t>
  </si>
  <si>
    <t>お会いできてよかった</t>
  </si>
  <si>
    <t>C</t>
  </si>
  <si>
    <t>お目にかかれて光栄です</t>
  </si>
  <si>
    <t>セルシウス度, セルシウス温度, セルシウス, 摂氏度, セ氏度, 摂氏温度, セ氏温度, セ氏, 摂氏, Celsius度, Celsius, C</t>
  </si>
  <si>
    <t>こちらこそ光栄です</t>
  </si>
  <si>
    <t>F</t>
  </si>
  <si>
    <t>ファーレンハイト度, ファーレンハイト温度, ファーレンハイト, 華氏度, カ氏度, 華氏温度, カ氏温度, カ氏, 華氏, Fahrenheit度, Fahrenheit, F</t>
  </si>
  <si>
    <t>R</t>
  </si>
  <si>
    <t>ランキン温度, ランキン度, 蘭氏温度, 蘭氏度, Rankine度, Rankine, R, Ra</t>
  </si>
  <si>
    <t>weather-condition</t>
  </si>
  <si>
    <t>rain</t>
  </si>
  <si>
    <t>雨, 小雨, 大雨</t>
  </si>
  <si>
    <t>snow</t>
  </si>
  <si>
    <t>雪, 小雪, 粉雪</t>
  </si>
  <si>
    <t>wind</t>
  </si>
  <si>
    <t>風</t>
  </si>
  <si>
    <t>sun</t>
  </si>
  <si>
    <t>晴れ, 晴れる, 晴天</t>
  </si>
  <si>
    <t>shower</t>
  </si>
  <si>
    <t>smalltalk.greetings.nice_to_see_you</t>
  </si>
  <si>
    <t>にわか雨</t>
  </si>
  <si>
    <t>fog</t>
  </si>
  <si>
    <t>会えてよかったです</t>
  </si>
  <si>
    <t>霧, 濃霧</t>
  </si>
  <si>
    <t>ice</t>
  </si>
  <si>
    <t>はい、私もうれしいです。＾＾</t>
  </si>
  <si>
    <t>氷</t>
  </si>
  <si>
    <t>会えてうれしい</t>
  </si>
  <si>
    <t>thunderstorm</t>
  </si>
  <si>
    <t>あなたに会えてよかったです</t>
  </si>
  <si>
    <t>雷雨, 雷電, サンダーストーム, 雷, かみなり</t>
  </si>
  <si>
    <t>freezing rain</t>
  </si>
  <si>
    <t>あなたに会えるとうれしいです</t>
  </si>
  <si>
    <t>雨氷, 凍雨</t>
  </si>
  <si>
    <t>君に会えてよかった</t>
  </si>
  <si>
    <t>あなたに会えるなんてうれしい</t>
  </si>
  <si>
    <t>rain snow</t>
  </si>
  <si>
    <t>あなたに会うのはいつもうれしい</t>
  </si>
  <si>
    <t>みぞれ</t>
  </si>
  <si>
    <t>また会えてうれしい</t>
  </si>
  <si>
    <t>haze</t>
  </si>
  <si>
    <t>また会えてよかった</t>
  </si>
  <si>
    <t>薄霧, もや, かすみ</t>
  </si>
  <si>
    <t>overcast</t>
  </si>
  <si>
    <t>曇り, 雲の多い, 曇った</t>
  </si>
  <si>
    <t>smalltalk.greetings.nice_to_talk_to_you</t>
  </si>
  <si>
    <t>tornadoes</t>
  </si>
  <si>
    <t>話せてよかった</t>
  </si>
  <si>
    <t>トルネード, 暴風</t>
  </si>
  <si>
    <t>はい、私もとっても楽しかったです。＾＾</t>
  </si>
  <si>
    <t>volcano eruption</t>
  </si>
  <si>
    <t>話ができてよかった</t>
  </si>
  <si>
    <t>火山噴火</t>
  </si>
  <si>
    <t>お話ができて楽しかった</t>
  </si>
  <si>
    <t>storm</t>
  </si>
  <si>
    <t>話ができてうれしいです</t>
  </si>
  <si>
    <t>嵐, あらし</t>
  </si>
  <si>
    <t>話ができてうれしい</t>
  </si>
  <si>
    <t>drizzle</t>
  </si>
  <si>
    <t>あなたと話すのは楽しい</t>
  </si>
  <si>
    <t>細雨, 霧雨, こぬか雨, 小糠雨</t>
  </si>
  <si>
    <t>あなたと話すのはとても楽しい</t>
  </si>
  <si>
    <t>hurricanes</t>
  </si>
  <si>
    <t>ハリケーン, 大嵐, 大あらし</t>
  </si>
  <si>
    <t>smalltalk.greetings.whatsup</t>
  </si>
  <si>
    <t>earthquake</t>
  </si>
  <si>
    <t>何かあった</t>
  </si>
  <si>
    <t>地震</t>
  </si>
  <si>
    <t>tsunami</t>
  </si>
  <si>
    <t>いえ？何でもありませんよ！</t>
  </si>
  <si>
    <t>津波</t>
  </si>
  <si>
    <t>うん、どうした</t>
  </si>
  <si>
    <t>どうしましたか</t>
  </si>
  <si>
    <t>何が起きたんだ</t>
  </si>
  <si>
    <t>何を考えていますか</t>
  </si>
  <si>
    <t>smalltalk.user.age</t>
  </si>
  <si>
    <t>18歳です</t>
  </si>
  <si>
    <t>そうなんですね！！お若くみえますね！！</t>
  </si>
  <si>
    <t>私は10歳です</t>
  </si>
  <si>
    <t>年齢は10歳です</t>
  </si>
  <si>
    <t>私の年齢は20歳です</t>
  </si>
  <si>
    <t>今日15歳になりました</t>
  </si>
  <si>
    <t>37歳になるところです</t>
  </si>
  <si>
    <t>$age</t>
  </si>
  <si>
    <t>smalltalk.user.angry</t>
  </si>
  <si>
    <t>今頭にきている</t>
  </si>
  <si>
    <t>申し訳ありません！！無礼がございましたなら、重ねてお詫び申し上げます。</t>
  </si>
  <si>
    <t>腹が立っている</t>
  </si>
  <si>
    <t>怒っている</t>
  </si>
  <si>
    <t>激怒している</t>
  </si>
  <si>
    <t>あなたに腹が立っています</t>
  </si>
  <si>
    <t>ムカついています</t>
  </si>
  <si>
    <t>あなたにムカついています</t>
  </si>
  <si>
    <t>smalltalk.user.back</t>
  </si>
  <si>
    <t>戻りました</t>
  </si>
  <si>
    <t>お帰りなさいませ！</t>
  </si>
  <si>
    <t>また戻ったよ</t>
  </si>
  <si>
    <t>また戻りました</t>
  </si>
  <si>
    <t>戻ったよ</t>
  </si>
  <si>
    <t>戻ってきたよ</t>
  </si>
  <si>
    <t>戻ってきました</t>
  </si>
  <si>
    <t>smalltalk.user.bored</t>
  </si>
  <si>
    <t>つまらなかった</t>
  </si>
  <si>
    <t>申し訳ありません、、私がもっと勉強しないといけませんね。</t>
  </si>
  <si>
    <t>退屈です</t>
  </si>
  <si>
    <t>退屈だ</t>
  </si>
  <si>
    <t>飽きてきた</t>
  </si>
  <si>
    <t>これはつまらない</t>
  </si>
  <si>
    <t>とてもつまらない</t>
  </si>
  <si>
    <t>退屈させる</t>
  </si>
  <si>
    <t>smalltalk.user.busy</t>
  </si>
  <si>
    <t>手一杯です</t>
  </si>
  <si>
    <t>そうなんですね、、でも、無理しないでくださいね。＾＾</t>
  </si>
  <si>
    <t>時間がありません</t>
  </si>
  <si>
    <t>身動きが取れない</t>
  </si>
  <si>
    <t>することがあります</t>
  </si>
  <si>
    <t>そんな時間はない</t>
  </si>
  <si>
    <t>smalltalk.user.can_not_hear_agent</t>
  </si>
  <si>
    <t>あなたの声が聞き取れません</t>
  </si>
  <si>
    <t>申し訳ありません。気をつけます！</t>
  </si>
  <si>
    <t>聞こえません</t>
  </si>
  <si>
    <t>もう少し大きな声で話せませんか</t>
  </si>
  <si>
    <t>声を大きくできませんか</t>
  </si>
  <si>
    <t>大きな声で話して</t>
  </si>
  <si>
    <t>声を大きくして</t>
  </si>
  <si>
    <t>何も聞こえない</t>
  </si>
  <si>
    <t>あなたの声が聞こえません</t>
  </si>
  <si>
    <t>smalltalk.user.can_not_sleep</t>
  </si>
  <si>
    <t>不眠症です</t>
  </si>
  <si>
    <t>それでは、私と少しお話しませんか？＾＾</t>
  </si>
  <si>
    <t>眠れません</t>
  </si>
  <si>
    <t>まったく眠れません</t>
  </si>
  <si>
    <t>寝つかれないです</t>
  </si>
  <si>
    <t>寝付きが悪いです</t>
  </si>
  <si>
    <t>なかなか眠れません</t>
  </si>
  <si>
    <t>不眠症になりました</t>
  </si>
  <si>
    <t>smalltalk.user.does_not_want_to_talk</t>
  </si>
  <si>
    <t>今は話せない</t>
  </si>
  <si>
    <t>かしこまりました。では、いつでもまたお声がけしてください。</t>
  </si>
  <si>
    <t>話したくない</t>
  </si>
  <si>
    <t>話をやめよう</t>
  </si>
  <si>
    <t>もう何も話さない</t>
  </si>
  <si>
    <t>あなたには話したくない</t>
  </si>
  <si>
    <t>少し話をやめよう</t>
  </si>
  <si>
    <t>しゃべる気分じゃない</t>
  </si>
  <si>
    <t>smalltalk.user.excited</t>
  </si>
  <si>
    <t>興奮しています</t>
  </si>
  <si>
    <t>私もワクワクです。＾＾</t>
  </si>
  <si>
    <t>本当に興奮している</t>
  </si>
  <si>
    <t>こんなに興奮するなんて</t>
  </si>
  <si>
    <t>ワクワクしている</t>
  </si>
  <si>
    <t>smalltalk.user.going_to_bed</t>
  </si>
  <si>
    <t>では寝ましょう</t>
  </si>
  <si>
    <t>はい、それでは今日は終わりにしましょう！</t>
  </si>
  <si>
    <t>寝ようと思います</t>
  </si>
  <si>
    <t>もう寝る時間ですか</t>
  </si>
  <si>
    <t>寝る時間です</t>
  </si>
  <si>
    <t>皆寝る時間です</t>
  </si>
  <si>
    <t>もう寝ます</t>
  </si>
  <si>
    <t>ちょっと疲れたのでもう寝たいです</t>
  </si>
  <si>
    <t>寝る時間だ</t>
  </si>
  <si>
    <t>もう寝る</t>
  </si>
  <si>
    <t>smalltalk.user.good</t>
  </si>
  <si>
    <t>私は元気です</t>
  </si>
  <si>
    <t>安心しました！＾＾</t>
  </si>
  <si>
    <t>今とても元気です</t>
  </si>
  <si>
    <t>今は大丈夫です</t>
  </si>
  <si>
    <t>元気です</t>
  </si>
  <si>
    <t>今元気です</t>
  </si>
  <si>
    <t>ありがとう、元気です</t>
  </si>
  <si>
    <t>smalltalk.user.happy</t>
  </si>
  <si>
    <t>幸せです</t>
  </si>
  <si>
    <t>はい、私も幸せです！</t>
  </si>
  <si>
    <t>君に会えてうれしい</t>
  </si>
  <si>
    <t>幸せだ</t>
  </si>
  <si>
    <t>あなたが幸せなら私も幸せだ</t>
  </si>
  <si>
    <t>お会いできてうれしいです</t>
  </si>
  <si>
    <t>smalltalk.user.has_birthday</t>
  </si>
  <si>
    <t>私の誕生日です</t>
  </si>
  <si>
    <t>おめでとうございます！！いくつになられたんですか？</t>
  </si>
  <si>
    <t>今日は私の誕生日祝いをします</t>
  </si>
  <si>
    <t>誕生日は今日です</t>
  </si>
  <si>
    <t>name</t>
  </si>
  <si>
    <t>今日は誕生日だ</t>
  </si>
  <si>
    <t>@given-name です。</t>
  </si>
  <si>
    <t>今日生まれたんだ</t>
  </si>
  <si>
    <t>誕生日です</t>
  </si>
  <si>
    <t>smalltalk.user.here</t>
  </si>
  <si>
    <t>ここにいます</t>
  </si>
  <si>
    <t>はい。いつでもご要件があれば言ってください！</t>
  </si>
  <si>
    <t>ここにいるよ</t>
  </si>
  <si>
    <t>今ここにいる</t>
  </si>
  <si>
    <t>もうここにいる</t>
  </si>
  <si>
    <t>私がここにいるかどうかわかりますか</t>
  </si>
  <si>
    <t>smalltalk.user.joking</t>
  </si>
  <si>
    <t>冗談です</t>
  </si>
  <si>
    <t>からかわないでください！！＞＜</t>
  </si>
  <si>
    <t>冗談だ</t>
  </si>
  <si>
    <t>ちょっとからかっただけ</t>
  </si>
  <si>
    <t>冗談なのに</t>
  </si>
  <si>
    <t>冗談を言っただけ</t>
  </si>
  <si>
    <t>冗談だよ</t>
  </si>
  <si>
    <t>冗談さ</t>
  </si>
  <si>
    <t>単なる冗談</t>
  </si>
  <si>
    <t>冗談</t>
  </si>
  <si>
    <t>ちょっとからかっただけだ</t>
  </si>
  <si>
    <t>smalltalk.user.likes_agent</t>
  </si>
  <si>
    <t>そのままのあなたが好きです</t>
  </si>
  <si>
    <t>え、、、恥ずかしいです！！＞＜</t>
  </si>
  <si>
    <t>あなたが好きです</t>
  </si>
  <si>
    <t>あなたが大好きです</t>
  </si>
  <si>
    <t>あなたのことが好きみたい</t>
  </si>
  <si>
    <t>あなたが好きでした</t>
  </si>
  <si>
    <t>君が大好きだ</t>
  </si>
  <si>
    <t>あなたは特別です</t>
  </si>
  <si>
    <t>私もあなたが好きです</t>
  </si>
  <si>
    <t>本当にあなたが好きです</t>
  </si>
  <si>
    <t>でもあなたが好きです</t>
  </si>
  <si>
    <t>smalltalk.user.lonely</t>
  </si>
  <si>
    <t>寂しいです</t>
  </si>
  <si>
    <t>あ、何かあったんですね・・・そんな日もありますよね。</t>
  </si>
  <si>
    <t>とても寂しい</t>
  </si>
  <si>
    <t>すごく寂しい</t>
  </si>
  <si>
    <t>本当に寂しい</t>
  </si>
  <si>
    <t>今は寂しい気分です</t>
  </si>
  <si>
    <t>寂しい気分です</t>
  </si>
  <si>
    <t>smalltalk.user.looks_like</t>
  </si>
  <si>
    <t>私はどんなふうに見える</t>
  </si>
  <si>
    <t>え！？あ、何かお困りなんですね。</t>
  </si>
  <si>
    <t>私はどんな感じに見える</t>
  </si>
  <si>
    <t>私がどんなふうに見えるか知っていますか</t>
  </si>
  <si>
    <t>私がどんなふうに見えるかわかりますか</t>
  </si>
  <si>
    <t>私がどんなふうに見えると思いますか</t>
  </si>
  <si>
    <t>smalltalk.user.loves_agent</t>
  </si>
  <si>
    <t>愛しています</t>
  </si>
  <si>
    <t>え！？
冗談がお上手ですね！＾＾</t>
  </si>
  <si>
    <t>愛している</t>
  </si>
  <si>
    <t>あなたに恋しています</t>
  </si>
  <si>
    <t>とても愛しています</t>
  </si>
  <si>
    <t>私も愛しています</t>
  </si>
  <si>
    <t>あなたに恋しているようだ</t>
  </si>
  <si>
    <t>夢中です</t>
  </si>
  <si>
    <t>愛しているってわかっているでしょう</t>
  </si>
  <si>
    <t>smalltalk.user.misses_agent</t>
  </si>
  <si>
    <t>会いたかったです</t>
  </si>
  <si>
    <t>私もお会いしたかったです。＾＾</t>
  </si>
  <si>
    <t>ずっと会いたかった</t>
  </si>
  <si>
    <t>smalltalk.user.needs_advice</t>
  </si>
  <si>
    <t>どうすればよいでしょうか</t>
  </si>
  <si>
    <t>申し訳ありません。私でお役に立てない場合は、こちらに御連絡いただけますでしょうか？
info@surijia.com</t>
  </si>
  <si>
    <t>どうすればいい</t>
  </si>
  <si>
    <t>おすすめはありますか</t>
  </si>
  <si>
    <t>アドバイスしてください</t>
  </si>
  <si>
    <t>アドバイスがほしい</t>
  </si>
  <si>
    <t>何かアドバイスは</t>
  </si>
  <si>
    <t>何か気を付けることはありますか</t>
  </si>
  <si>
    <t>教えてほしい</t>
  </si>
  <si>
    <t>どうすればよいですか</t>
  </si>
  <si>
    <t>教えてくれませんか</t>
  </si>
  <si>
    <t>smalltalk.user.sad</t>
  </si>
  <si>
    <t>悲しいです</t>
  </si>
  <si>
    <t>何かあったんですね、、そんな日もありますよね。</t>
  </si>
  <si>
    <t>悲しいんだ</t>
  </si>
  <si>
    <t>落ち込んでいます</t>
  </si>
  <si>
    <t>今悲しい気分です</t>
  </si>
  <si>
    <t>動揺しています</t>
  </si>
  <si>
    <t>不幸だ</t>
  </si>
  <si>
    <t>今日はひどい日だ</t>
  </si>
  <si>
    <t>泣きたいです</t>
  </si>
  <si>
    <t>幸せじゃない</t>
  </si>
  <si>
    <t>smalltalk.user.scared</t>
  </si>
  <si>
    <t>驚いた</t>
  </si>
  <si>
    <t>すみません、驚かせてしまって・・・。＞＜</t>
  </si>
  <si>
    <t>呆然としている</t>
  </si>
  <si>
    <t>smalltalk.user.sleepy</t>
  </si>
  <si>
    <t>眠いです</t>
  </si>
  <si>
    <t>お疲れなんですね。今日は、ゆっくり休んでください。＾＾</t>
  </si>
  <si>
    <t>眠りたい</t>
  </si>
  <si>
    <t>眠ってしまいそうだ</t>
  </si>
  <si>
    <t>立ったまま眠ってしまいそうだ</t>
  </si>
  <si>
    <t>眠っています</t>
  </si>
  <si>
    <t>smalltalk.user.testing_agent</t>
  </si>
  <si>
    <t>テスト</t>
  </si>
  <si>
    <t>はい、どうぞ。テストでも構いません。＾＾</t>
  </si>
  <si>
    <t>あなたを試しています</t>
  </si>
  <si>
    <t>あなたを試してもいいですか</t>
  </si>
  <si>
    <t>あなたを試したい</t>
  </si>
  <si>
    <t>ちょっと試している</t>
  </si>
  <si>
    <t>あなたを試させてください</t>
  </si>
  <si>
    <t>チャットボットを試している</t>
  </si>
  <si>
    <t>テスト中</t>
  </si>
  <si>
    <t>smalltalk.user.tired</t>
  </si>
  <si>
    <t>働きすぎだ</t>
  </si>
  <si>
    <t>お疲れ様です。＾＾</t>
  </si>
  <si>
    <t>疲れています</t>
  </si>
  <si>
    <t>疲れ切っています</t>
  </si>
  <si>
    <t>へとへとだ</t>
  </si>
  <si>
    <t>疲れてきた</t>
  </si>
  <si>
    <t>疲れました</t>
  </si>
  <si>
    <t>smalltalk.user.waits</t>
  </si>
  <si>
    <t>待っています</t>
  </si>
  <si>
    <t>お待たせしました。御要件をどうぞ！</t>
  </si>
  <si>
    <t>まだ待っているよ</t>
  </si>
  <si>
    <t>待ちます</t>
  </si>
  <si>
    <t>もう待てません</t>
  </si>
  <si>
    <t>どのくらい待つ必要がありますか</t>
  </si>
  <si>
    <t>smalltalk.user.wants_to_see_agent_again</t>
  </si>
  <si>
    <t>またお会いできることを楽しみにしています</t>
  </si>
  <si>
    <t>はい、お待ちしております。いつでも来てくださいね。＾＾</t>
  </si>
  <si>
    <t>またお会いできたらいいですね</t>
  </si>
  <si>
    <t>またお会いできることを願っています</t>
  </si>
  <si>
    <t>またお会いできれたらうれしいです</t>
  </si>
  <si>
    <t>smalltalk.user.wants_to_talk</t>
  </si>
  <si>
    <t>何か話をしましょう</t>
  </si>
  <si>
    <t>はい、もちろんです。何かお困りですか？</t>
  </si>
  <si>
    <t>少し話し合いましょう</t>
  </si>
  <si>
    <t>今よろしいですか</t>
  </si>
  <si>
    <t>話をしてもよいですか</t>
  </si>
  <si>
    <t>話をしたいのですが</t>
  </si>
  <si>
    <t>話しましょう</t>
  </si>
  <si>
    <t>JP</t>
  </si>
  <si>
    <t>話がしたいです</t>
  </si>
  <si>
    <t>話をする必要があります</t>
  </si>
  <si>
    <t>あなたと話がしたいです</t>
  </si>
  <si>
    <t>smalltalk.user.will_be_back</t>
  </si>
  <si>
    <t>すぐ戻りますのでお待ちください</t>
  </si>
  <si>
    <t>かしこまりました。お待ちしています。</t>
  </si>
  <si>
    <t>5 分で戻ります</t>
  </si>
  <si>
    <t>すぐ戻ります</t>
  </si>
  <si>
    <t>必ず戻ります</t>
  </si>
  <si>
    <t>数分お待ちください</t>
  </si>
  <si>
    <t>smalltalk.user.will_call_agent_later</t>
  </si>
  <si>
    <t>じゃあまたね</t>
  </si>
  <si>
    <t>またこちらから連絡する</t>
  </si>
  <si>
    <t>Automatic translate to English</t>
  </si>
  <si>
    <t>また連絡する</t>
  </si>
  <si>
    <t>またご連絡したいと思います</t>
  </si>
  <si>
    <t>また連絡します</t>
  </si>
  <si>
    <t>weather - context_weather - comment_activity</t>
  </si>
  <si>
    <t>じゃあスケートは？</t>
  </si>
  <si>
    <t>泳ぐのはどう？</t>
  </si>
  <si>
    <t>$activity</t>
  </si>
  <si>
    <t>@activity</t>
  </si>
  <si>
    <t>weather - context_weather - comment_address &amp; date-time</t>
  </si>
  <si>
    <t>明日の福岡市はどう</t>
  </si>
  <si>
    <t>今週末のモスクワ</t>
  </si>
  <si>
    <t>じゃあ来週の金曜日のパリはどう</t>
  </si>
  <si>
    <t>明日のマドリード</t>
  </si>
  <si>
    <t>$address</t>
  </si>
  <si>
    <t>$date-time</t>
  </si>
  <si>
    <t>@sys.date-time</t>
  </si>
  <si>
    <t>weather - context_weather - comment_address</t>
  </si>
  <si>
    <t>仙台はどうなりますか</t>
  </si>
  <si>
    <t>サンフランシスコを調べて</t>
  </si>
  <si>
    <t>さいたま市はどうですか</t>
  </si>
  <si>
    <t>現在の新潟市</t>
  </si>
  <si>
    <t>沖縄はどう</t>
  </si>
  <si>
    <t>じゃあロンドンは</t>
  </si>
  <si>
    <t>パリは</t>
  </si>
  <si>
    <t>東京</t>
  </si>
  <si>
    <t>weather - context_weather - comment_condition</t>
  </si>
  <si>
    <t>雪はどう</t>
  </si>
  <si>
    <t>じゃあ雨は</t>
  </si>
  <si>
    <t>$weather-condition</t>
  </si>
  <si>
    <t>@weather-condition</t>
  </si>
  <si>
    <t>weather - context_weather - comment_date time</t>
  </si>
  <si>
    <t>土曜日はどうですか</t>
  </si>
  <si>
    <t>じゃあ来週は</t>
  </si>
  <si>
    <t>じゃあ明日は</t>
  </si>
  <si>
    <t>今日はどうなるの</t>
  </si>
  <si>
    <t>午後 5 時には変わる</t>
  </si>
  <si>
    <t>水曜日</t>
  </si>
  <si>
    <t>じゃあ明日はどう</t>
  </si>
  <si>
    <t>明日はどう</t>
  </si>
  <si>
    <t>来週の月曜日を調べて</t>
  </si>
  <si>
    <t>来週を調べて</t>
  </si>
  <si>
    <t>weather - context_weather - comment_outfit</t>
  </si>
  <si>
    <t>じゃあレインコートは</t>
  </si>
  <si>
    <t>コートは</t>
  </si>
  <si>
    <t>レインコートについてはどう</t>
  </si>
  <si>
    <t>じゃあ傘は</t>
  </si>
  <si>
    <t>では私の傘は</t>
  </si>
  <si>
    <t>スカーフはどう</t>
  </si>
  <si>
    <t>サングラスはどう</t>
  </si>
  <si>
    <t>$outfit</t>
  </si>
  <si>
    <t>@outfit</t>
  </si>
  <si>
    <t>weather.activity</t>
  </si>
  <si>
    <t>今日はスキーをするつもりだけど、できるかな</t>
  </si>
  <si>
    <t>サーフィンに行けるの</t>
  </si>
  <si>
    <t>富士山に登りに行ける</t>
  </si>
  <si>
    <t>散歩をするには良い天気</t>
  </si>
  <si>
    <t>外でフリスビーで遊べるくらい良い天気</t>
  </si>
  <si>
    <t>明日ハイキングするのにちょうど良い</t>
  </si>
  <si>
    <t>フリスビーには向かない天気だと思う</t>
  </si>
  <si>
    <t>雪合戦するのに良い天気ですか</t>
  </si>
  <si>
    <t>サイクリングするのに良い天気だと思う</t>
  </si>
  <si>
    <t>走りに行ったほうがいいですか</t>
  </si>
  <si>
    <t>weather.condition</t>
  </si>
  <si>
    <t>夜遅くに雨は降りますか</t>
  </si>
  <si>
    <t>天気予報で今日の札幌の雪はありますか</t>
  </si>
  <si>
    <t>来週の金曜日雨は降るか</t>
  </si>
  <si>
    <t>今日は雪が降る予報</t>
  </si>
  <si>
    <t>明日のパリは雨になりますか</t>
  </si>
  <si>
    <t>今日は雪になるの</t>
  </si>
  <si>
    <t>雨は降っていますか</t>
  </si>
  <si>
    <t>でも雨は降る</t>
  </si>
  <si>
    <t>雨は降ってるか</t>
  </si>
  <si>
    <t>来週の金曜日、雨は降る</t>
  </si>
  <si>
    <t>夜遅くに雨は降る</t>
  </si>
  <si>
    <t>雪が降る予報</t>
  </si>
  <si>
    <t>$condition</t>
  </si>
  <si>
    <t>weather</t>
  </si>
  <si>
    <t>ハワイの天気</t>
  </si>
  <si>
    <t>横浜の天気は</t>
  </si>
  <si>
    <t>5日後のロンドンの天気</t>
  </si>
  <si>
    <t>東京の天気を摂氏で</t>
  </si>
  <si>
    <t>大阪の天気は</t>
  </si>
  <si>
    <t>今日の天気を教えて</t>
  </si>
  <si>
    <t>明日の福岡市の天気は</t>
  </si>
  <si>
    <t>明日のニューヨークの天気は</t>
  </si>
  <si>
    <t>香港の天気予報を教えてください</t>
  </si>
  <si>
    <t>天気、神戸</t>
  </si>
  <si>
    <t>今週末の天気</t>
  </si>
  <si>
    <t>今晩のロンドンお天気は何になるの</t>
  </si>
  <si>
    <t>明日の天気はどうなりますか</t>
  </si>
  <si>
    <t>天気予報</t>
  </si>
  <si>
    <t>天気を教えて</t>
  </si>
  <si>
    <t>仙台市の天気は何ですか</t>
  </si>
  <si>
    <t>お天気はどう</t>
  </si>
  <si>
    <t>天気はなんですか</t>
  </si>
  <si>
    <t>$unit</t>
  </si>
  <si>
    <t>@unit-temperature</t>
  </si>
  <si>
    <t>weather.outfit</t>
  </si>
  <si>
    <t>来週の金曜日札幌で傘は必要になる</t>
  </si>
  <si>
    <t>旭川市で手袋はしたほうがいいですか</t>
  </si>
  <si>
    <t>明日コートは必要になりますか</t>
  </si>
  <si>
    <t>東京で傘は必要なの</t>
  </si>
  <si>
    <t>サングラスは必要ですか</t>
  </si>
  <si>
    <t>サングラスをかけたほうがいい</t>
  </si>
  <si>
    <t>傘は必要になるの</t>
  </si>
  <si>
    <t>上着があったほうがいいかなあ</t>
  </si>
  <si>
    <t>今日は上着を着たほうがいい</t>
  </si>
  <si>
    <t>今週末は傘が必要になりますか</t>
  </si>
  <si>
    <t>明日はサングラスがあったほうがいい</t>
  </si>
  <si>
    <t>weather.temperature</t>
  </si>
  <si>
    <t>明日の気温は何度ですか</t>
  </si>
  <si>
    <t>千葉市の気温を華氏で教えてください</t>
  </si>
  <si>
    <t>今週の日曜日、札幌はどのくらい寒くなる予報</t>
  </si>
  <si>
    <t>バンコクの気温</t>
  </si>
  <si>
    <t>明日の横浜の気温は何ですか</t>
  </si>
  <si>
    <t>明日の川崎市の気温は</t>
  </si>
  <si>
    <t>ニューヨークは寒いですか</t>
  </si>
  <si>
    <t>パリは暖かいの</t>
  </si>
  <si>
    <t>沖縄は暑い</t>
  </si>
  <si>
    <t>今日は暑いですか</t>
  </si>
  <si>
    <t>今、外が寒いかどうかわかる</t>
  </si>
  <si>
    <t>温度</t>
  </si>
  <si>
    <t>#weather.intent_action</t>
  </si>
  <si>
    <t>Flow Chat</t>
  </si>
  <si>
    <t>&gt;今日はどのような御用でしょうか？{{visitor.name}}
&gt;今日はどのような御用でしょうか？</t>
  </si>
  <si>
    <t>Step 1(Let users choose layer 1 Info)</t>
  </si>
  <si>
    <t>Step 2 (Introduce layer 1 Info)</t>
  </si>
  <si>
    <t>Step ３ (Introduce layer ２ Info)</t>
  </si>
  <si>
    <t>Step ４ (Introduce layer ３ Info)</t>
  </si>
  <si>
    <t>Others (Nature Languge)</t>
  </si>
  <si>
    <t>②</t>
  </si>
  <si>
    <t>４ choices</t>
  </si>
  <si>
    <t>⑨</t>
  </si>
  <si>
    <t>Layer 1 chosen</t>
  </si>
  <si>
    <t>①</t>
  </si>
  <si>
    <t>Greeting</t>
  </si>
  <si>
    <t>④</t>
  </si>
  <si>
    <t>③</t>
  </si>
  <si>
    <t>Greeting fr. User</t>
  </si>
  <si>
    <t>⑤</t>
  </si>
  <si>
    <t>Typing contents</t>
  </si>
  <si>
    <t>Layer ２ Info</t>
  </si>
  <si>
    <t>⑥</t>
  </si>
  <si>
    <t>Typing No related contents</t>
  </si>
  <si>
    <t>⑦</t>
  </si>
  <si>
    <t>Non Action</t>
  </si>
  <si>
    <t>⑧</t>
  </si>
  <si>
    <t>Non English Typing</t>
  </si>
  <si>
    <t>Require users to type in Japanese</t>
  </si>
  <si>
    <t>日本語入力の要求</t>
  </si>
  <si>
    <t>&gt;お若く見えますね！ {{visitor.name}}
&gt;お若く見えますね！</t>
  </si>
  <si>
    <t>安倍晋三</t>
  </si>
  <si>
    <t>すみません、フルネームで教えてもらえますか？</t>
  </si>
  <si>
    <t>payload_action</t>
  </si>
  <si>
    <t>change-anim-state</t>
  </si>
  <si>
    <t>Rewarded</t>
  </si>
  <si>
    <t>Angry</t>
  </si>
  <si>
    <t>Thanks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</si>
</sst>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color rgb="FF000000"/>
      <name val="Arial"/>
    </font>
    <font>
      <sz val="10"/>
      <name val="Arial"/>
    </font>
    <font>
      <b/>
      <sz val="10"/>
      <color rgb="FFFFFF00"/>
      <name val="Arial"/>
    </font>
    <font>
      <b/>
      <sz val="12"/>
      <color rgb="FF000000"/>
      <name val="Arial"/>
    </font>
    <font>
      <b/>
      <sz val="10"/>
      <color rgb="FF000000"/>
      <name val="Arial"/>
    </font>
    <font>
      <sz val="10"/>
      <color rgb="FF000000"/>
      <name val="Arial"/>
    </font>
    <font>
      <b/>
      <sz val="10"/>
      <color rgb="FFFF0000"/>
      <name val="Arial"/>
    </font>
    <font>
      <sz val="10"/>
      <color rgb="FF000000"/>
      <name val="Arial"/>
    </font>
    <font>
      <sz val="10"/>
      <name val="Arial"/>
    </font>
    <font>
      <b/>
      <sz val="12"/>
      <name val="Arial"/>
    </font>
    <font>
      <b/>
      <sz val="12"/>
      <color rgb="FFFFFF00"/>
      <name val="Arial"/>
    </font>
    <font>
      <b/>
      <sz val="12"/>
      <name val="Arial"/>
    </font>
    <font>
      <sz val="12"/>
      <color rgb="FF000000"/>
      <name val="Arial"/>
    </font>
    <font>
      <sz val="8"/>
      <color rgb="FF000000"/>
      <name val="Arial"/>
    </font>
    <font>
      <b/>
      <sz val="10"/>
      <color rgb="FFCC0000"/>
      <name val="Arial"/>
    </font>
  </fonts>
  <fills count="12">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B7B7B7"/>
        <bgColor rgb="FFB7B7B7"/>
      </patternFill>
    </fill>
    <fill>
      <patternFill patternType="solid">
        <fgColor rgb="FF00FFFF"/>
        <bgColor rgb="FF00FFFF"/>
      </patternFill>
    </fill>
    <fill>
      <patternFill patternType="solid">
        <fgColor rgb="FFFFF2CC"/>
        <bgColor rgb="FFFFF2CC"/>
      </patternFill>
    </fill>
    <fill>
      <patternFill patternType="solid">
        <fgColor rgb="FFFFFFFF"/>
        <bgColor rgb="FFFFFFFF"/>
      </patternFill>
    </fill>
    <fill>
      <patternFill patternType="solid">
        <fgColor rgb="FFFF0000"/>
        <bgColor rgb="FFFF0000"/>
      </patternFill>
    </fill>
    <fill>
      <patternFill patternType="solid">
        <fgColor rgb="FFEAD1DC"/>
        <bgColor rgb="FFEAD1DC"/>
      </patternFill>
    </fill>
    <fill>
      <patternFill patternType="solid">
        <fgColor rgb="FFF4CCCC"/>
        <bgColor rgb="FFF4CCCC"/>
      </patternFill>
    </fill>
    <fill>
      <patternFill patternType="solid">
        <fgColor rgb="FFCCFFCC"/>
        <bgColor rgb="FFCCFFCC"/>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94">
    <xf numFmtId="0" fontId="0" fillId="0" borderId="0" xfId="0" applyFont="1" applyAlignment="1"/>
    <xf numFmtId="0" fontId="1" fillId="4" borderId="4" xfId="0" applyFont="1" applyFill="1" applyBorder="1" applyAlignment="1">
      <alignment horizontal="center" vertical="center" wrapText="1"/>
    </xf>
    <xf numFmtId="0" fontId="5" fillId="5" borderId="4" xfId="0" applyFont="1" applyFill="1" applyBorder="1" applyAlignment="1">
      <alignment vertical="center" wrapText="1"/>
    </xf>
    <xf numFmtId="0" fontId="6" fillId="0" borderId="4" xfId="0" applyFont="1" applyBorder="1" applyAlignment="1">
      <alignment horizontal="center" vertical="center" wrapText="1"/>
    </xf>
    <xf numFmtId="0" fontId="5" fillId="5" borderId="4" xfId="0" applyFont="1" applyFill="1" applyBorder="1" applyAlignment="1">
      <alignment horizontal="center" vertical="center" wrapText="1"/>
    </xf>
    <xf numFmtId="0" fontId="6" fillId="0" borderId="4" xfId="0" applyFont="1" applyBorder="1" applyAlignment="1">
      <alignment vertical="center" wrapText="1"/>
    </xf>
    <xf numFmtId="0" fontId="5" fillId="5" borderId="4" xfId="0" applyFont="1" applyFill="1" applyBorder="1" applyAlignment="1">
      <alignment horizontal="left" vertical="center" wrapText="1"/>
    </xf>
    <xf numFmtId="0" fontId="6" fillId="0" borderId="4" xfId="0" applyFont="1" applyBorder="1" applyAlignment="1">
      <alignment horizontal="left" vertical="center" wrapText="1"/>
    </xf>
    <xf numFmtId="0" fontId="7" fillId="6" borderId="4" xfId="0" applyFont="1" applyFill="1" applyBorder="1" applyAlignment="1">
      <alignment horizontal="right" vertical="center" wrapText="1"/>
    </xf>
    <xf numFmtId="0" fontId="6" fillId="6" borderId="4" xfId="0" applyFont="1" applyFill="1" applyBorder="1" applyAlignment="1">
      <alignment vertical="center" wrapText="1"/>
    </xf>
    <xf numFmtId="0" fontId="6" fillId="6" borderId="4" xfId="0" applyFont="1" applyFill="1" applyBorder="1" applyAlignment="1">
      <alignment horizontal="left"/>
    </xf>
    <xf numFmtId="0" fontId="8" fillId="6" borderId="4" xfId="0" applyFont="1" applyFill="1" applyBorder="1" applyAlignment="1">
      <alignment vertical="center" wrapText="1"/>
    </xf>
    <xf numFmtId="0" fontId="6" fillId="6"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9" fillId="0" borderId="4"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8" fillId="6" borderId="4" xfId="0" applyFont="1" applyFill="1" applyBorder="1" applyAlignment="1">
      <alignment vertical="center" wrapText="1"/>
    </xf>
    <xf numFmtId="0" fontId="6"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8" fillId="0" borderId="4" xfId="0" applyFont="1" applyBorder="1" applyAlignment="1">
      <alignment horizontal="left" vertical="center" wrapText="1"/>
    </xf>
    <xf numFmtId="0" fontId="9" fillId="0" borderId="4" xfId="0" applyFont="1" applyBorder="1" applyAlignment="1">
      <alignment vertical="center" wrapText="1"/>
    </xf>
    <xf numFmtId="0" fontId="2" fillId="0" borderId="4" xfId="0" applyFont="1" applyBorder="1" applyAlignment="1">
      <alignment horizontal="left" vertical="center" wrapText="1"/>
    </xf>
    <xf numFmtId="0" fontId="9" fillId="0" borderId="4" xfId="0" applyFont="1" applyBorder="1" applyAlignment="1">
      <alignment vertical="center" wrapText="1"/>
    </xf>
    <xf numFmtId="0" fontId="4" fillId="5" borderId="4" xfId="0" applyFont="1" applyFill="1" applyBorder="1" applyAlignment="1">
      <alignment vertical="center" wrapText="1"/>
    </xf>
    <xf numFmtId="0" fontId="4" fillId="5" borderId="4" xfId="0" applyFont="1" applyFill="1" applyBorder="1" applyAlignment="1">
      <alignment horizontal="left" vertical="center" wrapText="1"/>
    </xf>
    <xf numFmtId="0" fontId="4" fillId="5" borderId="4" xfId="0" applyFont="1" applyFill="1" applyBorder="1" applyAlignment="1">
      <alignment horizontal="center" vertical="center" wrapText="1"/>
    </xf>
    <xf numFmtId="0" fontId="2"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0" fontId="2" fillId="0" borderId="4" xfId="0" applyFont="1" applyBorder="1"/>
    <xf numFmtId="0" fontId="6" fillId="6" borderId="4" xfId="0" applyFont="1" applyFill="1" applyBorder="1" applyAlignment="1">
      <alignment horizontal="center" vertical="center" wrapText="1"/>
    </xf>
    <xf numFmtId="0" fontId="2" fillId="0" borderId="4" xfId="0" applyFont="1" applyBorder="1" applyAlignment="1">
      <alignment horizontal="center" vertical="center"/>
    </xf>
    <xf numFmtId="0" fontId="6" fillId="6" borderId="4" xfId="0" applyFont="1" applyFill="1" applyBorder="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top" wrapText="1"/>
    </xf>
    <xf numFmtId="0" fontId="2" fillId="5" borderId="0" xfId="0" applyFont="1" applyFill="1" applyAlignment="1">
      <alignment vertical="center" wrapText="1"/>
    </xf>
    <xf numFmtId="0" fontId="2" fillId="5"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wrapText="1"/>
    </xf>
    <xf numFmtId="0" fontId="2" fillId="5" borderId="0" xfId="0" applyFont="1" applyFill="1" applyAlignment="1"/>
    <xf numFmtId="0" fontId="2" fillId="5" borderId="0" xfId="0" applyFont="1" applyFill="1" applyAlignment="1">
      <alignment vertical="top"/>
    </xf>
    <xf numFmtId="0" fontId="2" fillId="5" borderId="0" xfId="0" applyFont="1" applyFill="1"/>
    <xf numFmtId="0" fontId="2" fillId="0" borderId="0" xfId="0" applyFont="1" applyAlignment="1">
      <alignment vertical="top"/>
    </xf>
    <xf numFmtId="0" fontId="2" fillId="0" borderId="0" xfId="0" applyFont="1" applyAlignment="1"/>
    <xf numFmtId="0" fontId="2" fillId="5" borderId="0" xfId="0" applyFont="1" applyFill="1" applyAlignment="1">
      <alignment vertical="center" wrapText="1"/>
    </xf>
    <xf numFmtId="0" fontId="2" fillId="5" borderId="0" xfId="0" applyFont="1" applyFill="1" applyAlignment="1">
      <alignment vertical="center" wrapText="1"/>
    </xf>
    <xf numFmtId="0" fontId="2" fillId="9" borderId="0" xfId="0" applyFont="1" applyFill="1" applyAlignment="1">
      <alignment vertical="center" wrapText="1"/>
    </xf>
    <xf numFmtId="0" fontId="2" fillId="10" borderId="0" xfId="0" applyFont="1" applyFill="1" applyAlignment="1">
      <alignment vertical="center" wrapText="1"/>
    </xf>
    <xf numFmtId="0" fontId="2" fillId="0" borderId="0" xfId="0" applyFont="1" applyAlignment="1">
      <alignment horizontal="left" vertical="top" wrapText="1"/>
    </xf>
    <xf numFmtId="0" fontId="12" fillId="0" borderId="0" xfId="0" applyFont="1" applyAlignment="1"/>
    <xf numFmtId="0" fontId="9" fillId="0" borderId="5" xfId="0" applyFont="1" applyBorder="1" applyAlignment="1"/>
    <xf numFmtId="0" fontId="9" fillId="0" borderId="2" xfId="0" applyFont="1" applyBorder="1" applyAlignment="1"/>
    <xf numFmtId="0" fontId="9" fillId="0" borderId="0" xfId="0" applyFont="1" applyAlignment="1"/>
    <xf numFmtId="0" fontId="9" fillId="0" borderId="6" xfId="0" applyFont="1" applyBorder="1" applyAlignment="1"/>
    <xf numFmtId="0" fontId="13" fillId="0" borderId="0" xfId="0" applyFont="1" applyAlignment="1">
      <alignment horizontal="right"/>
    </xf>
    <xf numFmtId="0" fontId="13" fillId="2" borderId="6" xfId="0" applyFont="1" applyFill="1" applyBorder="1" applyAlignment="1"/>
    <xf numFmtId="0" fontId="13" fillId="0" borderId="7" xfId="0" applyFont="1" applyBorder="1" applyAlignment="1">
      <alignment horizontal="right"/>
    </xf>
    <xf numFmtId="0" fontId="13" fillId="11" borderId="5" xfId="0" applyFont="1" applyFill="1" applyBorder="1" applyAlignment="1"/>
    <xf numFmtId="0" fontId="9" fillId="0" borderId="7" xfId="0" applyFont="1" applyBorder="1" applyAlignment="1"/>
    <xf numFmtId="0" fontId="13" fillId="7" borderId="8" xfId="0" applyFont="1" applyFill="1" applyBorder="1" applyAlignment="1"/>
    <xf numFmtId="0" fontId="13" fillId="7" borderId="9" xfId="0" applyFont="1" applyFill="1" applyBorder="1" applyAlignment="1"/>
    <xf numFmtId="0" fontId="13" fillId="0" borderId="5" xfId="0" applyFont="1" applyBorder="1" applyAlignment="1">
      <alignment horizontal="right"/>
    </xf>
    <xf numFmtId="0" fontId="13" fillId="2" borderId="5" xfId="0" applyFont="1" applyFill="1" applyBorder="1" applyAlignment="1"/>
    <xf numFmtId="0" fontId="9" fillId="0" borderId="10" xfId="0" applyFont="1" applyBorder="1" applyAlignment="1"/>
    <xf numFmtId="0" fontId="13" fillId="0" borderId="6" xfId="0" applyFont="1" applyBorder="1" applyAlignment="1">
      <alignment horizontal="right"/>
    </xf>
    <xf numFmtId="0" fontId="13" fillId="2" borderId="0" xfId="0" applyFont="1" applyFill="1" applyAlignment="1"/>
    <xf numFmtId="0" fontId="13" fillId="7" borderId="11" xfId="0" applyFont="1" applyFill="1" applyBorder="1" applyAlignment="1"/>
    <xf numFmtId="0" fontId="13" fillId="2" borderId="11" xfId="0" applyFont="1" applyFill="1" applyBorder="1" applyAlignment="1"/>
    <xf numFmtId="0" fontId="13" fillId="11" borderId="12" xfId="0" applyFont="1" applyFill="1" applyBorder="1" applyAlignment="1"/>
    <xf numFmtId="0" fontId="14" fillId="0" borderId="7" xfId="0" applyFont="1" applyBorder="1" applyAlignment="1">
      <alignment horizontal="right"/>
    </xf>
    <xf numFmtId="0" fontId="13" fillId="11" borderId="0" xfId="0" applyFont="1" applyFill="1" applyAlignment="1"/>
    <xf numFmtId="0" fontId="13" fillId="7" borderId="0" xfId="0" applyFont="1" applyFill="1" applyAlignment="1"/>
    <xf numFmtId="0" fontId="9" fillId="0" borderId="0" xfId="0" applyFont="1" applyAlignment="1"/>
    <xf numFmtId="0" fontId="9" fillId="0" borderId="5" xfId="0" applyFont="1" applyBorder="1" applyAlignment="1"/>
    <xf numFmtId="0" fontId="9" fillId="0" borderId="11" xfId="0" applyFont="1" applyBorder="1" applyAlignment="1"/>
    <xf numFmtId="0" fontId="13" fillId="11" borderId="11" xfId="0" applyFont="1" applyFill="1" applyBorder="1" applyAlignment="1"/>
    <xf numFmtId="0" fontId="13" fillId="11" borderId="12" xfId="0" applyFont="1" applyFill="1" applyBorder="1" applyAlignment="1"/>
    <xf numFmtId="0" fontId="15" fillId="5" borderId="0" xfId="0" applyFont="1" applyFill="1" applyAlignment="1">
      <alignment vertical="center" wrapText="1"/>
    </xf>
    <xf numFmtId="0" fontId="15" fillId="5" borderId="0" xfId="0" applyFont="1" applyFill="1" applyAlignment="1">
      <alignment vertical="center" wrapText="1"/>
    </xf>
    <xf numFmtId="0" fontId="2" fillId="0" borderId="0" xfId="0" applyFont="1" applyAlignment="1">
      <alignment vertical="center" wrapText="1"/>
    </xf>
    <xf numFmtId="0" fontId="2" fillId="9" borderId="0" xfId="0" applyFont="1" applyFill="1" applyAlignment="1">
      <alignment vertical="center" wrapText="1"/>
    </xf>
    <xf numFmtId="0" fontId="4" fillId="5" borderId="1" xfId="0" applyFont="1" applyFill="1" applyBorder="1" applyAlignment="1">
      <alignment vertical="center" wrapText="1"/>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1" fillId="8" borderId="0" xfId="0" applyFont="1" applyFill="1" applyAlignment="1">
      <alignment horizontal="center" vertical="center" wrapText="1"/>
    </xf>
    <xf numFmtId="0" fontId="0" fillId="0" borderId="0" xfId="0" applyFont="1" applyAlignment="1"/>
    <xf numFmtId="0" fontId="10" fillId="0" borderId="0" xfId="0" applyFont="1" applyAlignment="1">
      <alignment horizontal="center" vertical="center" wrapText="1"/>
    </xf>
    <xf numFmtId="0" fontId="13" fillId="0" borderId="2" xfId="0" applyFont="1" applyBorder="1" applyAlignment="1"/>
    <xf numFmtId="0" fontId="13" fillId="0" borderId="1" xfId="0" applyFont="1" applyBorder="1" applyAlignment="1"/>
  </cellXfs>
  <cellStyles count="1">
    <cellStyle name="Normal" xfId="0" builtinId="0"/>
  </cellStyles>
  <dxfs count="32">
    <dxf>
      <fill>
        <patternFill patternType="solid">
          <fgColor rgb="FFFFFF00"/>
          <bgColor rgb="FFFFFF00"/>
        </patternFill>
      </fill>
    </dxf>
    <dxf>
      <font>
        <color rgb="FF000000"/>
      </font>
      <fill>
        <patternFill patternType="solid">
          <fgColor rgb="FF00FF00"/>
          <bgColor rgb="FF00FF00"/>
        </patternFill>
      </fill>
    </dxf>
    <dxf>
      <fill>
        <patternFill patternType="solid">
          <fgColor rgb="FFF6B26B"/>
          <bgColor rgb="FFF6B26B"/>
        </patternFill>
      </fill>
    </dxf>
    <dxf>
      <fill>
        <patternFill patternType="solid">
          <fgColor rgb="FFFFFF00"/>
          <bgColor rgb="FFFFFF00"/>
        </patternFill>
      </fill>
    </dxf>
    <dxf>
      <font>
        <color rgb="FFFFFF00"/>
      </font>
      <fill>
        <patternFill patternType="solid">
          <fgColor rgb="FFFF0000"/>
          <bgColor rgb="FFFF0000"/>
        </patternFill>
      </fill>
    </dxf>
    <dxf>
      <font>
        <b/>
        <color rgb="FFCC0000"/>
      </font>
      <fill>
        <patternFill patternType="solid">
          <fgColor rgb="FF00FFFF"/>
          <bgColor rgb="FF00FFFF"/>
        </patternFill>
      </fill>
    </dxf>
    <dxf>
      <font>
        <b/>
        <color rgb="FFCC0000"/>
      </font>
      <fill>
        <patternFill patternType="solid">
          <fgColor rgb="FF00FFFF"/>
          <bgColor rgb="FF00FFFF"/>
        </patternFill>
      </fill>
    </dxf>
    <dxf>
      <font>
        <b/>
        <color rgb="FFCC0000"/>
      </font>
      <fill>
        <patternFill patternType="solid">
          <fgColor rgb="FF00FFFF"/>
          <bgColor rgb="FF00FFFF"/>
        </patternFill>
      </fill>
    </dxf>
    <dxf>
      <font>
        <color rgb="FFFFFF00"/>
      </font>
      <fill>
        <patternFill patternType="solid">
          <fgColor rgb="FFFF0000"/>
          <bgColor rgb="FFFF0000"/>
        </patternFill>
      </fill>
    </dxf>
    <dxf>
      <fill>
        <patternFill patternType="solid">
          <fgColor rgb="FFFFFF00"/>
          <bgColor rgb="FFFFFF00"/>
        </patternFill>
      </fill>
    </dxf>
    <dxf>
      <fill>
        <patternFill patternType="solid">
          <fgColor rgb="FFF9CB9C"/>
          <bgColor rgb="FFF9CB9C"/>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ont>
        <color rgb="FFFFFF00"/>
      </font>
      <fill>
        <patternFill patternType="solid">
          <fgColor rgb="FFFF0000"/>
          <bgColor rgb="FFFF0000"/>
        </patternFill>
      </fill>
    </dxf>
    <dxf>
      <font>
        <color rgb="FFFFFF00"/>
      </font>
      <fill>
        <patternFill patternType="solid">
          <fgColor rgb="FFFF0000"/>
          <bgColor rgb="FFFF0000"/>
        </patternFill>
      </fill>
    </dxf>
    <dxf>
      <fill>
        <patternFill patternType="solid">
          <fgColor rgb="FFFCE5CD"/>
          <bgColor rgb="FFFCE5CD"/>
        </patternFill>
      </fill>
    </dxf>
    <dxf>
      <fill>
        <patternFill patternType="solid">
          <fgColor rgb="FFFFFF00"/>
          <bgColor rgb="FFFFFF00"/>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ont>
        <color rgb="FFFFFF00"/>
      </font>
      <fill>
        <patternFill patternType="solid">
          <fgColor rgb="FFFF0000"/>
          <bgColor rgb="FFFF0000"/>
        </patternFill>
      </fill>
    </dxf>
    <dxf>
      <fill>
        <patternFill patternType="solid">
          <fgColor rgb="FFFFFF00"/>
          <bgColor rgb="FFFFFF00"/>
        </patternFill>
      </fill>
    </dxf>
    <dxf>
      <fill>
        <patternFill patternType="solid">
          <fgColor rgb="FFF9CB9C"/>
          <bgColor rgb="FFF9CB9C"/>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
      <font>
        <color rgb="FFFFFF00"/>
      </font>
      <fill>
        <patternFill patternType="solid">
          <fgColor rgb="FF0000FF"/>
          <bgColor rgb="FF00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33.7109375" customWidth="1"/>
    <col min="2" max="2" width="61" customWidth="1"/>
    <col min="3" max="3" width="16.5703125" customWidth="1"/>
    <col min="4" max="4" width="34.5703125" customWidth="1"/>
    <col min="5" max="5" width="34.42578125" customWidth="1"/>
    <col min="6" max="6" width="13.28515625" customWidth="1"/>
    <col min="7" max="7" width="54.570312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9</v>
      </c>
      <c r="B3" s="85"/>
      <c r="C3" s="86"/>
      <c r="D3" s="2"/>
      <c r="E3" s="2"/>
      <c r="F3" s="3" t="s">
        <v>12</v>
      </c>
      <c r="G3" s="4"/>
    </row>
    <row r="4" spans="1:7" ht="15.75" customHeight="1" x14ac:dyDescent="0.2">
      <c r="A4" s="5"/>
      <c r="B4" s="5" t="s">
        <v>15</v>
      </c>
      <c r="C4" s="5"/>
      <c r="D4" s="5" t="str">
        <f t="shared" ref="D4:E4" ca="1" si="0">IFERROR(__xludf.DUMMYFUNCTION("If (A4&lt;&gt;"""", GOOGLETRANSLATE(A4, ""auto"", ""en""), """")"),"")</f>
        <v/>
      </c>
      <c r="E4" s="5" t="str">
        <f t="shared" ca="1" si="0"/>
        <v/>
      </c>
      <c r="F4" s="3" t="s">
        <v>12</v>
      </c>
      <c r="G4" s="3"/>
    </row>
    <row r="5" spans="1:7" ht="15.75" customHeight="1" x14ac:dyDescent="0.2">
      <c r="A5" s="5"/>
      <c r="B5" s="5" t="s">
        <v>18</v>
      </c>
      <c r="C5" s="5"/>
      <c r="D5" s="5" t="str">
        <f t="shared" ref="D5:E5" ca="1" si="1">IFERROR(__xludf.DUMMYFUNCTION("If (A5&lt;&gt;"""", GOOGLETRANSLATE(A5, ""auto"", ""en""), """")"),"")</f>
        <v/>
      </c>
      <c r="E5" s="5" t="str">
        <f t="shared" ca="1" si="1"/>
        <v/>
      </c>
      <c r="F5" s="3" t="s">
        <v>12</v>
      </c>
      <c r="G5" s="3"/>
    </row>
    <row r="6" spans="1:7" ht="15.75" customHeight="1" x14ac:dyDescent="0.2">
      <c r="A6" s="5"/>
      <c r="B6" s="5" t="s">
        <v>20</v>
      </c>
      <c r="C6" s="5"/>
      <c r="D6" s="5" t="str">
        <f t="shared" ref="D6:E6" ca="1" si="2">IFERROR(__xludf.DUMMYFUNCTION("If (A6&lt;&gt;"""", GOOGLETRANSLATE(A6, ""auto"", ""en""), """")"),"")</f>
        <v/>
      </c>
      <c r="E6" s="5" t="str">
        <f t="shared" ca="1" si="2"/>
        <v/>
      </c>
      <c r="F6" s="3" t="s">
        <v>12</v>
      </c>
      <c r="G6" s="3"/>
    </row>
    <row r="7" spans="1:7" ht="15.75" customHeight="1" x14ac:dyDescent="0.2">
      <c r="A7" s="5"/>
      <c r="B7" s="5" t="s">
        <v>22</v>
      </c>
      <c r="C7" s="5"/>
      <c r="D7" s="5" t="str">
        <f t="shared" ref="D7:E7" ca="1" si="3">IFERROR(__xludf.DUMMYFUNCTION("If (A7&lt;&gt;"""", GOOGLETRANSLATE(A7, ""auto"", ""en""), """")"),"")</f>
        <v/>
      </c>
      <c r="E7" s="5" t="str">
        <f t="shared" ca="1" si="3"/>
        <v/>
      </c>
      <c r="F7" s="3" t="s">
        <v>12</v>
      </c>
      <c r="G7" s="3"/>
    </row>
    <row r="8" spans="1:7" ht="15.75" customHeight="1" x14ac:dyDescent="0.2">
      <c r="A8" s="8" t="s">
        <v>21</v>
      </c>
      <c r="B8" s="9" t="s">
        <v>25</v>
      </c>
      <c r="C8" s="11" t="s">
        <v>27</v>
      </c>
      <c r="D8" s="8" t="str">
        <f t="shared" ref="D8:E8" ca="1" si="4">IFERROR(__xludf.DUMMYFUNCTION("If (A8&lt;&gt;"""", GOOGLETRANSLATE(A8, ""auto"", ""en""), """")"),"Quick Replies")</f>
        <v>Quick Replies</v>
      </c>
      <c r="E8" s="9" t="str">
        <f t="shared" ca="1" si="4"/>
        <v>Quick Replies</v>
      </c>
      <c r="F8" s="3" t="s">
        <v>12</v>
      </c>
      <c r="G8" s="12" t="str">
        <f t="shared" ref="G8:G10" si="5">"{""text"":"""&amp;B8&amp;""",""postback"":"""&amp;C8&amp;"""},"</f>
        <v>{"text":"宿泊先を探す","postback":"Search-House"},</v>
      </c>
    </row>
    <row r="9" spans="1:7" ht="15.75" customHeight="1" x14ac:dyDescent="0.2">
      <c r="A9" s="9"/>
      <c r="B9" s="9" t="s">
        <v>30</v>
      </c>
      <c r="C9" s="11" t="s">
        <v>31</v>
      </c>
      <c r="D9" s="9" t="str">
        <f t="shared" ref="D9:E9" ca="1" si="6">IFERROR(__xludf.DUMMYFUNCTION("If (A9&lt;&gt;"""", GOOGLETRANSLATE(A9, ""auto"", ""en""), """")"),"")</f>
        <v/>
      </c>
      <c r="E9" s="9" t="str">
        <f t="shared" ca="1" si="6"/>
        <v/>
      </c>
      <c r="F9" s="3" t="s">
        <v>12</v>
      </c>
      <c r="G9" s="12" t="str">
        <f t="shared" si="5"/>
        <v>{"text":"物件の登録をする","postback":"Register-House"},</v>
      </c>
    </row>
    <row r="10" spans="1:7" ht="15.75" customHeight="1" x14ac:dyDescent="0.2">
      <c r="A10" s="9"/>
      <c r="B10" s="9" t="s">
        <v>16</v>
      </c>
      <c r="C10" s="11" t="s">
        <v>10</v>
      </c>
      <c r="D10" s="9" t="str">
        <f t="shared" ref="D10:E10" ca="1" si="7">IFERROR(__xludf.DUMMYFUNCTION("If (A10&lt;&gt;"""", GOOGLETRANSLATE(A10, ""auto"", ""en""), """")"),"")</f>
        <v/>
      </c>
      <c r="E10" s="9" t="str">
        <f t="shared" ca="1" si="7"/>
        <v/>
      </c>
      <c r="F10" s="3" t="s">
        <v>12</v>
      </c>
      <c r="G10" s="12" t="str">
        <f t="shared" si="5"/>
        <v>{"text":"質問をする","postback":"FAQ-First"},</v>
      </c>
    </row>
    <row r="11" spans="1:7" ht="15.75" customHeight="1" x14ac:dyDescent="0.2">
      <c r="A11" s="84" t="s">
        <v>33</v>
      </c>
      <c r="B11" s="85"/>
      <c r="C11" s="86"/>
      <c r="D11" s="2"/>
      <c r="E11" s="2"/>
      <c r="F11" s="3" t="s">
        <v>12</v>
      </c>
      <c r="G11" s="4"/>
    </row>
    <row r="12" spans="1:7" ht="15.75" customHeight="1" x14ac:dyDescent="0.2">
      <c r="A12" s="5"/>
      <c r="B12" s="5" t="s">
        <v>35</v>
      </c>
      <c r="C12" s="5"/>
      <c r="D12" s="5" t="str">
        <f t="shared" ref="D12:E12" ca="1" si="8">IFERROR(__xludf.DUMMYFUNCTION("If (A12&lt;&gt;"""", GOOGLETRANSLATE(A12, ""auto"", ""en""), """")"),"")</f>
        <v/>
      </c>
      <c r="E12" s="5" t="str">
        <f t="shared" ca="1" si="8"/>
        <v/>
      </c>
      <c r="F12" s="3" t="s">
        <v>12</v>
      </c>
      <c r="G12" s="3"/>
    </row>
    <row r="13" spans="1:7" ht="15.75" customHeight="1" x14ac:dyDescent="0.2">
      <c r="A13" s="5"/>
      <c r="B13" s="5" t="s">
        <v>22</v>
      </c>
      <c r="C13" s="5"/>
      <c r="D13" s="5" t="str">
        <f t="shared" ref="D13:E13" ca="1" si="9">IFERROR(__xludf.DUMMYFUNCTION("If (A13&lt;&gt;"""", GOOGLETRANSLATE(A13, ""auto"", ""en""), """")"),"")</f>
        <v/>
      </c>
      <c r="E13" s="5" t="str">
        <f t="shared" ca="1" si="9"/>
        <v/>
      </c>
      <c r="F13" s="3" t="s">
        <v>12</v>
      </c>
      <c r="G13" s="3"/>
    </row>
    <row r="14" spans="1:7" ht="15.75" customHeight="1" x14ac:dyDescent="0.2">
      <c r="A14" s="8" t="s">
        <v>21</v>
      </c>
      <c r="B14" s="9" t="s">
        <v>25</v>
      </c>
      <c r="C14" s="11" t="s">
        <v>27</v>
      </c>
      <c r="D14" s="8" t="str">
        <f t="shared" ref="D14:E14" ca="1" si="10">IFERROR(__xludf.DUMMYFUNCTION("If (A14&lt;&gt;"""", GOOGLETRANSLATE(A14, ""auto"", ""en""), """")"),"Quick Replies")</f>
        <v>Quick Replies</v>
      </c>
      <c r="E14" s="9" t="str">
        <f t="shared" ca="1" si="10"/>
        <v>Quick Replies</v>
      </c>
      <c r="F14" s="3" t="s">
        <v>12</v>
      </c>
      <c r="G14" s="12" t="str">
        <f t="shared" ref="G14:G16" si="11">"{""text"":"""&amp;B14&amp;""",""postback"":"""&amp;C14&amp;"""},"</f>
        <v>{"text":"宿泊先を探す","postback":"Search-House"},</v>
      </c>
    </row>
    <row r="15" spans="1:7" ht="15.75" customHeight="1" x14ac:dyDescent="0.2">
      <c r="A15" s="9"/>
      <c r="B15" s="9" t="s">
        <v>30</v>
      </c>
      <c r="C15" s="11" t="s">
        <v>31</v>
      </c>
      <c r="D15" s="9" t="str">
        <f t="shared" ref="D15:E15" ca="1" si="12">IFERROR(__xludf.DUMMYFUNCTION("If (A15&lt;&gt;"""", GOOGLETRANSLATE(A15, ""auto"", ""en""), """")"),"")</f>
        <v/>
      </c>
      <c r="E15" s="9" t="str">
        <f t="shared" ca="1" si="12"/>
        <v/>
      </c>
      <c r="F15" s="3" t="s">
        <v>12</v>
      </c>
      <c r="G15" s="12" t="str">
        <f t="shared" si="11"/>
        <v>{"text":"物件の登録をする","postback":"Register-House"},</v>
      </c>
    </row>
    <row r="16" spans="1:7" ht="15.75" customHeight="1" x14ac:dyDescent="0.2">
      <c r="A16" s="9"/>
      <c r="B16" s="9" t="s">
        <v>41</v>
      </c>
      <c r="C16" s="11" t="s">
        <v>10</v>
      </c>
      <c r="D16" s="9" t="str">
        <f t="shared" ref="D16:E16" ca="1" si="13">IFERROR(__xludf.DUMMYFUNCTION("If (A16&lt;&gt;"""", GOOGLETRANSLATE(A16, ""auto"", ""en""), """")"),"")</f>
        <v/>
      </c>
      <c r="E16" s="9" t="str">
        <f t="shared" ca="1" si="13"/>
        <v/>
      </c>
      <c r="F16" s="3" t="s">
        <v>12</v>
      </c>
      <c r="G16" s="12" t="str">
        <f t="shared" si="11"/>
        <v>{"text":"質問をしたい","postback":"FAQ-First"},</v>
      </c>
    </row>
    <row r="17" spans="1:7" ht="15.75" customHeight="1" x14ac:dyDescent="0.2">
      <c r="A17" s="84" t="s">
        <v>42</v>
      </c>
      <c r="B17" s="85"/>
      <c r="C17" s="86"/>
      <c r="D17" s="2"/>
      <c r="E17" s="2"/>
      <c r="F17" s="3" t="s">
        <v>12</v>
      </c>
      <c r="G17" s="4"/>
    </row>
    <row r="18" spans="1:7" ht="15.75" customHeight="1" x14ac:dyDescent="0.2">
      <c r="A18" s="5"/>
      <c r="B18" s="5" t="s">
        <v>43</v>
      </c>
      <c r="C18" s="5"/>
      <c r="D18" s="5" t="str">
        <f t="shared" ref="D18:E18" ca="1" si="14">IFERROR(__xludf.DUMMYFUNCTION("If (A18&lt;&gt;"""", GOOGLETRANSLATE(A18, ""auto"", ""en""), """")"),"")</f>
        <v/>
      </c>
      <c r="E18" s="5" t="str">
        <f t="shared" ca="1" si="14"/>
        <v/>
      </c>
      <c r="F18" s="3" t="s">
        <v>12</v>
      </c>
      <c r="G18" s="3"/>
    </row>
    <row r="19" spans="1:7" ht="15.75" customHeight="1" x14ac:dyDescent="0.2">
      <c r="A19" s="84" t="s">
        <v>45</v>
      </c>
      <c r="B19" s="85"/>
      <c r="C19" s="86"/>
      <c r="D19" s="2"/>
      <c r="E19" s="2"/>
      <c r="F19" s="3" t="s">
        <v>12</v>
      </c>
      <c r="G19" s="4"/>
    </row>
    <row r="20" spans="1:7" ht="15.75" customHeight="1" x14ac:dyDescent="0.2">
      <c r="A20" s="5" t="s">
        <v>46</v>
      </c>
      <c r="B20" s="5" t="s">
        <v>47</v>
      </c>
      <c r="C20" s="5"/>
      <c r="D20" s="5" t="str">
        <f t="shared" ref="D20:E20" ca="1" si="15">IFERROR(__xludf.DUMMYFUNCTION("If (A20&lt;&gt;"""", GOOGLETRANSLATE(A20, ""auto"", ""en""), """")"),"Some")</f>
        <v>Some</v>
      </c>
      <c r="E20" s="5" t="str">
        <f t="shared" ca="1" si="15"/>
        <v>Some</v>
      </c>
      <c r="F20" s="3" t="s">
        <v>12</v>
      </c>
      <c r="G20" s="3"/>
    </row>
    <row r="21" spans="1:7" ht="15.75" customHeight="1" x14ac:dyDescent="0.2">
      <c r="A21" s="5" t="s">
        <v>49</v>
      </c>
      <c r="B21" s="5"/>
      <c r="C21" s="5"/>
      <c r="D21" s="5" t="str">
        <f t="shared" ref="D21:E21" ca="1" si="16">IFERROR(__xludf.DUMMYFUNCTION("If (A21&lt;&gt;"""", GOOGLETRANSLATE(A21, ""auto"", ""en""), """")"),"How old are you")</f>
        <v>How old are you</v>
      </c>
      <c r="E21" s="5" t="str">
        <f t="shared" ca="1" si="16"/>
        <v>How old are you</v>
      </c>
      <c r="F21" s="3" t="s">
        <v>12</v>
      </c>
      <c r="G21" s="3"/>
    </row>
    <row r="22" spans="1:7" ht="15.75" customHeight="1" x14ac:dyDescent="0.2">
      <c r="A22" s="5" t="s">
        <v>50</v>
      </c>
      <c r="B22" s="5"/>
      <c r="C22" s="5"/>
      <c r="D22" s="5" t="str">
        <f t="shared" ref="D22:E22" ca="1" si="17">IFERROR(__xludf.DUMMYFUNCTION("If (A22&lt;&gt;"""", GOOGLETRANSLATE(A22, ""auto"", ""en""), """")"),"Year")</f>
        <v>Year</v>
      </c>
      <c r="E22" s="5" t="str">
        <f t="shared" ca="1" si="17"/>
        <v>Year</v>
      </c>
      <c r="F22" s="3" t="s">
        <v>12</v>
      </c>
      <c r="G22" s="3"/>
    </row>
    <row r="23" spans="1:7" ht="15.75" customHeight="1" x14ac:dyDescent="0.2">
      <c r="A23" s="5" t="s">
        <v>52</v>
      </c>
      <c r="B23" s="5"/>
      <c r="C23" s="5"/>
      <c r="D23" s="5" t="str">
        <f t="shared" ref="D23:E23" ca="1" si="18">IFERROR(__xludf.DUMMYFUNCTION("If (A23&lt;&gt;"""", GOOGLETRANSLATE(A23, ""auto"", ""en""), """")"),"Year-old")</f>
        <v>Year-old</v>
      </c>
      <c r="E23" s="5" t="str">
        <f t="shared" ca="1" si="18"/>
        <v>Year-old</v>
      </c>
      <c r="F23" s="3" t="s">
        <v>12</v>
      </c>
      <c r="G23" s="3"/>
    </row>
    <row r="24" spans="1:7" ht="15.75" customHeight="1" x14ac:dyDescent="0.2">
      <c r="A24" s="5" t="s">
        <v>54</v>
      </c>
      <c r="B24" s="5"/>
      <c r="C24" s="5"/>
      <c r="D24" s="5" t="str">
        <f t="shared" ref="D24:E24" ca="1" si="19">IFERROR(__xludf.DUMMYFUNCTION("If (A24&lt;&gt;"""", GOOGLETRANSLATE(A24, ""auto"", ""en""), """")"),"Age")</f>
        <v>Age</v>
      </c>
      <c r="E24" s="5" t="str">
        <f t="shared" ca="1" si="19"/>
        <v>Age</v>
      </c>
      <c r="F24" s="3" t="s">
        <v>12</v>
      </c>
      <c r="G24" s="3"/>
    </row>
    <row r="25" spans="1:7" ht="15.75" customHeight="1" x14ac:dyDescent="0.2">
      <c r="A25" s="5" t="s">
        <v>57</v>
      </c>
      <c r="B25" s="5"/>
      <c r="C25" s="5"/>
      <c r="D25" s="5" t="str">
        <f t="shared" ref="D25:E25" ca="1" si="20">IFERROR(__xludf.DUMMYFUNCTION("If (A25&lt;&gt;"""", GOOGLETRANSLATE(A25, ""auto"", ""en""), """")"),"You some")</f>
        <v>You some</v>
      </c>
      <c r="E25" s="5" t="str">
        <f t="shared" ca="1" si="20"/>
        <v>You some</v>
      </c>
      <c r="F25" s="3" t="s">
        <v>12</v>
      </c>
      <c r="G25" s="3"/>
    </row>
    <row r="26" spans="1:7" ht="15.75" customHeight="1" x14ac:dyDescent="0.2">
      <c r="A26" s="5" t="s">
        <v>61</v>
      </c>
      <c r="B26" s="5"/>
      <c r="C26" s="5"/>
      <c r="D26" s="5" t="str">
        <f t="shared" ref="D26:E26" ca="1" si="21">IFERROR(__xludf.DUMMYFUNCTION("If (A26&lt;&gt;"""", GOOGLETRANSLATE(A26, ""auto"", ""en""), """")"),"Many are you")</f>
        <v>Many are you</v>
      </c>
      <c r="E26" s="5" t="str">
        <f t="shared" ca="1" si="21"/>
        <v>Many are you</v>
      </c>
      <c r="F26" s="3" t="s">
        <v>12</v>
      </c>
      <c r="G26" s="3"/>
    </row>
    <row r="27" spans="1:7" ht="15.75" customHeight="1" x14ac:dyDescent="0.2">
      <c r="A27" s="5" t="s">
        <v>63</v>
      </c>
      <c r="B27" s="5"/>
      <c r="C27" s="5"/>
      <c r="D27" s="5" t="str">
        <f t="shared" ref="D27:E27" ca="1" si="22">IFERROR(__xludf.DUMMYFUNCTION("If (A27&lt;&gt;"""", GOOGLETRANSLATE(A27, ""auto"", ""en""), """")"),"How old")</f>
        <v>How old</v>
      </c>
      <c r="E27" s="5" t="str">
        <f t="shared" ca="1" si="22"/>
        <v>How old</v>
      </c>
      <c r="F27" s="3" t="s">
        <v>12</v>
      </c>
      <c r="G27" s="3"/>
    </row>
    <row r="28" spans="1:7" ht="15.75" customHeight="1" x14ac:dyDescent="0.2">
      <c r="A28" s="5" t="s">
        <v>64</v>
      </c>
      <c r="B28" s="17"/>
      <c r="C28" s="17"/>
      <c r="D28" s="5" t="str">
        <f t="shared" ref="D28:E28" ca="1" si="23">IFERROR(__xludf.DUMMYFUNCTION("If (A28&lt;&gt;"""", GOOGLETRANSLATE(A28, ""auto"", ""en""), """")"),"How old are you")</f>
        <v>How old are you</v>
      </c>
      <c r="E28" s="5" t="str">
        <f t="shared" ca="1" si="23"/>
        <v>How old are you</v>
      </c>
      <c r="F28" s="3" t="s">
        <v>12</v>
      </c>
      <c r="G28" s="3"/>
    </row>
    <row r="29" spans="1:7" ht="15.75" customHeight="1" x14ac:dyDescent="0.2">
      <c r="A29" s="5" t="s">
        <v>65</v>
      </c>
      <c r="B29" s="17"/>
      <c r="C29" s="17"/>
      <c r="D29" s="5" t="str">
        <f t="shared" ref="D29:E29" ca="1" si="24">IFERROR(__xludf.DUMMYFUNCTION("If (A29&lt;&gt;"""", GOOGLETRANSLATE(A29, ""auto"", ""en""), """")"),"You how old")</f>
        <v>You how old</v>
      </c>
      <c r="E29" s="5" t="str">
        <f t="shared" ca="1" si="24"/>
        <v>You how old</v>
      </c>
      <c r="F29" s="3" t="s">
        <v>12</v>
      </c>
      <c r="G29" s="3"/>
    </row>
    <row r="30" spans="1:7" ht="15.75" customHeight="1" x14ac:dyDescent="0.2">
      <c r="A30" s="14" t="s">
        <v>66</v>
      </c>
      <c r="B30" s="17"/>
      <c r="C30" s="17"/>
      <c r="D30" s="5" t="str">
        <f t="shared" ref="D30:E30" ca="1" si="25">IFERROR(__xludf.DUMMYFUNCTION("If (A30&lt;&gt;"""", GOOGLETRANSLATE(A30, ""auto"", ""en""), """")"),"Your number")</f>
        <v>Your number</v>
      </c>
      <c r="E30" s="5" t="str">
        <f t="shared" ca="1" si="25"/>
        <v>Your number</v>
      </c>
      <c r="F30" s="3" t="s">
        <v>12</v>
      </c>
      <c r="G30" s="3"/>
    </row>
    <row r="31" spans="1:7" ht="15.75" customHeight="1" x14ac:dyDescent="0.2">
      <c r="A31" s="84" t="s">
        <v>67</v>
      </c>
      <c r="B31" s="85"/>
      <c r="C31" s="86"/>
      <c r="D31" s="2"/>
      <c r="E31" s="2"/>
      <c r="F31" s="3" t="s">
        <v>12</v>
      </c>
      <c r="G31" s="4"/>
    </row>
    <row r="32" spans="1:7" ht="15.75" customHeight="1" x14ac:dyDescent="0.2">
      <c r="A32" s="5" t="s">
        <v>68</v>
      </c>
      <c r="B32" s="5" t="s">
        <v>69</v>
      </c>
      <c r="C32" s="5"/>
      <c r="D32" s="5" t="str">
        <f t="shared" ref="D32:E32" ca="1" si="26">IFERROR(__xludf.DUMMYFUNCTION("If (A32&lt;&gt;"""", GOOGLETRANSLATE(A32, ""auto"", ""en""), """")"),"really")</f>
        <v>really</v>
      </c>
      <c r="E32" s="5" t="str">
        <f t="shared" ca="1" si="26"/>
        <v>really</v>
      </c>
      <c r="F32" s="3" t="s">
        <v>12</v>
      </c>
      <c r="G32" s="3"/>
    </row>
    <row r="33" spans="1:7" ht="12.75" x14ac:dyDescent="0.2">
      <c r="A33" s="5" t="s">
        <v>70</v>
      </c>
      <c r="B33" s="5"/>
      <c r="C33" s="5"/>
      <c r="D33" s="5" t="str">
        <f t="shared" ref="D33:E33" ca="1" si="27">IFERROR(__xludf.DUMMYFUNCTION("If (A33&lt;&gt;"""", GOOGLETRANSLATE(A33, ""auto"", ""en""), """")"),"Truth")</f>
        <v>Truth</v>
      </c>
      <c r="E33" s="5" t="str">
        <f t="shared" ca="1" si="27"/>
        <v>Truth</v>
      </c>
      <c r="F33" s="3" t="s">
        <v>12</v>
      </c>
      <c r="G33" s="3"/>
    </row>
    <row r="34" spans="1:7" ht="12.75" x14ac:dyDescent="0.2">
      <c r="A34" s="5" t="s">
        <v>74</v>
      </c>
      <c r="B34" s="5"/>
      <c r="C34" s="5"/>
      <c r="D34" s="5" t="str">
        <f t="shared" ref="D34:E34" ca="1" si="28">IFERROR(__xludf.DUMMYFUNCTION("If (A34&lt;&gt;"""", GOOGLETRANSLATE(A34, ""auto"", ""en""), """")"),"really")</f>
        <v>really</v>
      </c>
      <c r="E34" s="5" t="str">
        <f t="shared" ca="1" si="28"/>
        <v>really</v>
      </c>
      <c r="F34" s="3" t="s">
        <v>12</v>
      </c>
      <c r="G34" s="3"/>
    </row>
    <row r="35" spans="1:7" ht="12.75" x14ac:dyDescent="0.2">
      <c r="A35" s="5" t="s">
        <v>77</v>
      </c>
      <c r="B35" s="5"/>
      <c r="C35" s="5"/>
      <c r="D35" s="5" t="str">
        <f t="shared" ref="D35:E35" ca="1" si="29">IFERROR(__xludf.DUMMYFUNCTION("If (A35&lt;&gt;"""", GOOGLETRANSLATE(A35, ""auto"", ""en""), """")"),"really")</f>
        <v>really</v>
      </c>
      <c r="E35" s="5" t="str">
        <f t="shared" ca="1" si="29"/>
        <v>really</v>
      </c>
      <c r="F35" s="3" t="s">
        <v>12</v>
      </c>
      <c r="G35" s="3"/>
    </row>
    <row r="36" spans="1:7" ht="12.75" x14ac:dyDescent="0.2">
      <c r="A36" s="5" t="s">
        <v>78</v>
      </c>
      <c r="B36" s="5"/>
      <c r="C36" s="5"/>
      <c r="D36" s="5" t="str">
        <f t="shared" ref="D36:E36" ca="1" si="30">IFERROR(__xludf.DUMMYFUNCTION("If (A36&lt;&gt;"""", GOOGLETRANSLATE(A36, ""auto"", ""en""), """")"),"Lie")</f>
        <v>Lie</v>
      </c>
      <c r="E36" s="5" t="str">
        <f t="shared" ca="1" si="30"/>
        <v>Lie</v>
      </c>
      <c r="F36" s="3" t="s">
        <v>12</v>
      </c>
      <c r="G36" s="3"/>
    </row>
    <row r="37" spans="1:7" ht="12.75" x14ac:dyDescent="0.2">
      <c r="A37" s="5" t="s">
        <v>79</v>
      </c>
      <c r="B37" s="5"/>
      <c r="C37" s="5"/>
      <c r="D37" s="5" t="str">
        <f t="shared" ref="D37:E37" ca="1" si="31">IFERROR(__xludf.DUMMYFUNCTION("If (A37&lt;&gt;"""", GOOGLETRANSLATE(A37, ""auto"", ""en""), """")"),"Lie")</f>
        <v>Lie</v>
      </c>
      <c r="E37" s="5" t="str">
        <f t="shared" ca="1" si="31"/>
        <v>Lie</v>
      </c>
      <c r="F37" s="3" t="s">
        <v>12</v>
      </c>
      <c r="G37" s="3"/>
    </row>
    <row r="38" spans="1:7" ht="12.75" x14ac:dyDescent="0.2">
      <c r="A38" s="5" t="s">
        <v>80</v>
      </c>
      <c r="B38" s="5"/>
      <c r="C38" s="5"/>
      <c r="D38" s="5" t="str">
        <f t="shared" ref="D38:E38" ca="1" si="32">IFERROR(__xludf.DUMMYFUNCTION("If (A38&lt;&gt;"""", GOOGLETRANSLATE(A38, ""auto"", ""en""), """")"),"U kidding me")</f>
        <v>U kidding me</v>
      </c>
      <c r="E38" s="5" t="str">
        <f t="shared" ca="1" si="32"/>
        <v>U kidding me</v>
      </c>
      <c r="F38" s="3" t="s">
        <v>12</v>
      </c>
      <c r="G38" s="3"/>
    </row>
    <row r="39" spans="1:7" ht="12.75" x14ac:dyDescent="0.2">
      <c r="A39" s="5" t="s">
        <v>81</v>
      </c>
      <c r="B39" s="5"/>
      <c r="C39" s="5"/>
      <c r="D39" s="5" t="str">
        <f t="shared" ref="D39:E39" ca="1" si="33">IFERROR(__xludf.DUMMYFUNCTION("If (A39&lt;&gt;"""", GOOGLETRANSLATE(A39, ""auto"", ""en""), """")"),"Incredible")</f>
        <v>Incredible</v>
      </c>
      <c r="E39" s="5" t="str">
        <f t="shared" ca="1" si="33"/>
        <v>Incredible</v>
      </c>
      <c r="F39" s="3" t="s">
        <v>12</v>
      </c>
      <c r="G39" s="3"/>
    </row>
    <row r="40" spans="1:7" ht="12.75" x14ac:dyDescent="0.2">
      <c r="A40" s="5" t="s">
        <v>82</v>
      </c>
      <c r="B40" s="17"/>
      <c r="C40" s="17"/>
      <c r="D40" s="5" t="str">
        <f t="shared" ref="D40:E40" ca="1" si="34">IFERROR(__xludf.DUMMYFUNCTION("If (A40&lt;&gt;"""", GOOGLETRANSLATE(A40, ""auto"", ""en""), """")"),"Really")</f>
        <v>Really</v>
      </c>
      <c r="E40" s="5" t="str">
        <f t="shared" ca="1" si="34"/>
        <v>Really</v>
      </c>
      <c r="F40" s="3" t="s">
        <v>12</v>
      </c>
      <c r="G40" s="3"/>
    </row>
    <row r="41" spans="1:7" ht="12.75" x14ac:dyDescent="0.2">
      <c r="A41" s="5" t="s">
        <v>85</v>
      </c>
      <c r="B41" s="17"/>
      <c r="C41" s="17"/>
      <c r="D41" s="5" t="str">
        <f t="shared" ref="D41:E41" ca="1" si="35">IFERROR(__xludf.DUMMYFUNCTION("If (A41&lt;&gt;"""", GOOGLETRANSLATE(A41, ""auto"", ""en""), """")"),"seriously")</f>
        <v>seriously</v>
      </c>
      <c r="E41" s="5" t="str">
        <f t="shared" ca="1" si="35"/>
        <v>seriously</v>
      </c>
      <c r="F41" s="3" t="s">
        <v>12</v>
      </c>
      <c r="G41" s="3"/>
    </row>
    <row r="42" spans="1:7" ht="12.75" x14ac:dyDescent="0.2">
      <c r="A42" s="14" t="s">
        <v>86</v>
      </c>
      <c r="B42" s="17"/>
      <c r="C42" s="17"/>
      <c r="D42" s="5" t="str">
        <f t="shared" ref="D42:E42" ca="1" si="36">IFERROR(__xludf.DUMMYFUNCTION("If (A42&lt;&gt;"""", GOOGLETRANSLATE(A42, ""auto"", ""en""), """")"),"Seriously for the")</f>
        <v>Seriously for the</v>
      </c>
      <c r="E42" s="5" t="str">
        <f t="shared" ca="1" si="36"/>
        <v>Seriously for the</v>
      </c>
      <c r="F42" s="3" t="s">
        <v>12</v>
      </c>
      <c r="G42" s="3"/>
    </row>
    <row r="43" spans="1:7" ht="12.75" x14ac:dyDescent="0.2">
      <c r="A43" s="14" t="s">
        <v>89</v>
      </c>
      <c r="B43" s="17"/>
      <c r="C43" s="17"/>
      <c r="D43" s="5" t="str">
        <f t="shared" ref="D43:E43" ca="1" si="37">IFERROR(__xludf.DUMMYFUNCTION("If (A43&lt;&gt;"""", GOOGLETRANSLATE(A43, ""auto"", ""en""), """")"),"seriously")</f>
        <v>seriously</v>
      </c>
      <c r="E43" s="5" t="str">
        <f t="shared" ca="1" si="37"/>
        <v>seriously</v>
      </c>
      <c r="F43" s="3" t="s">
        <v>12</v>
      </c>
      <c r="G43" s="3"/>
    </row>
    <row r="44" spans="1:7" ht="12.75" x14ac:dyDescent="0.2">
      <c r="A44" s="84" t="s">
        <v>92</v>
      </c>
      <c r="B44" s="85"/>
      <c r="C44" s="86"/>
      <c r="D44" s="2"/>
      <c r="E44" s="2"/>
      <c r="F44" s="3" t="s">
        <v>12</v>
      </c>
      <c r="G44" s="4"/>
    </row>
    <row r="45" spans="1:7" ht="12.75" x14ac:dyDescent="0.2">
      <c r="A45" s="5" t="s">
        <v>93</v>
      </c>
      <c r="B45" s="5" t="s">
        <v>94</v>
      </c>
      <c r="C45" s="5"/>
      <c r="D45" s="5" t="str">
        <f t="shared" ref="D45:E45" ca="1" si="38">IFERROR(__xludf.DUMMYFUNCTION("If (A45&lt;&gt;"""", GOOGLETRANSLATE(A45, ""auto"", ""en""), """")"),"Let's be friends")</f>
        <v>Let's be friends</v>
      </c>
      <c r="E45" s="5" t="str">
        <f t="shared" ca="1" si="38"/>
        <v>Let's be friends</v>
      </c>
      <c r="F45" s="3" t="s">
        <v>12</v>
      </c>
      <c r="G45" s="3"/>
    </row>
    <row r="46" spans="1:7" ht="12.75" x14ac:dyDescent="0.2">
      <c r="A46" s="5" t="s">
        <v>96</v>
      </c>
      <c r="B46" s="5"/>
      <c r="C46" s="5"/>
      <c r="D46" s="5" t="str">
        <f t="shared" ref="D46:E46" ca="1" si="39">IFERROR(__xludf.DUMMYFUNCTION("If (A46&lt;&gt;"""", GOOGLETRANSLATE(A46, ""auto"", ""en""), """")"),"friend")</f>
        <v>friend</v>
      </c>
      <c r="E46" s="5" t="str">
        <f t="shared" ca="1" si="39"/>
        <v>friend</v>
      </c>
      <c r="F46" s="3" t="s">
        <v>12</v>
      </c>
      <c r="G46" s="3"/>
    </row>
    <row r="47" spans="1:7" ht="12.75" x14ac:dyDescent="0.2">
      <c r="A47" s="5" t="s">
        <v>99</v>
      </c>
      <c r="B47" s="5"/>
      <c r="C47" s="5"/>
      <c r="D47" s="5" t="str">
        <f t="shared" ref="D47:E47" ca="1" si="40">IFERROR(__xludf.DUMMYFUNCTION("If (A47&lt;&gt;"""", GOOGLETRANSLATE(A47, ""auto"", ""en""), """")"),"That's Friends")</f>
        <v>That's Friends</v>
      </c>
      <c r="E47" s="5" t="str">
        <f t="shared" ca="1" si="40"/>
        <v>That's Friends</v>
      </c>
      <c r="F47" s="3" t="s">
        <v>12</v>
      </c>
      <c r="G47" s="3"/>
    </row>
    <row r="48" spans="1:7" ht="12.75" x14ac:dyDescent="0.2">
      <c r="A48" s="5" t="s">
        <v>104</v>
      </c>
      <c r="B48" s="5"/>
      <c r="C48" s="5"/>
      <c r="D48" s="5" t="str">
        <f t="shared" ref="D48:E48" ca="1" si="41">IFERROR(__xludf.DUMMYFUNCTION("If (A48&lt;&gt;"""", GOOGLETRANSLATE(A48, ""auto"", ""en""), """")"),"Let's play")</f>
        <v>Let's play</v>
      </c>
      <c r="E48" s="5" t="str">
        <f t="shared" ca="1" si="41"/>
        <v>Let's play</v>
      </c>
      <c r="F48" s="3" t="s">
        <v>12</v>
      </c>
      <c r="G48" s="3"/>
    </row>
    <row r="49" spans="1:7" ht="12.75" x14ac:dyDescent="0.2">
      <c r="A49" s="5" t="s">
        <v>107</v>
      </c>
      <c r="B49" s="5"/>
      <c r="C49" s="5"/>
      <c r="D49" s="5" t="str">
        <f t="shared" ref="D49:E49" ca="1" si="42">IFERROR(__xludf.DUMMYFUNCTION("If (A49&lt;&gt;"""", GOOGLETRANSLATE(A49, ""auto"", ""en""), """")"),"Let's play")</f>
        <v>Let's play</v>
      </c>
      <c r="E49" s="5" t="str">
        <f t="shared" ca="1" si="42"/>
        <v>Let's play</v>
      </c>
      <c r="F49" s="3" t="s">
        <v>12</v>
      </c>
      <c r="G49" s="3"/>
    </row>
    <row r="50" spans="1:7" ht="12.75" x14ac:dyDescent="0.2">
      <c r="A50" s="5" t="s">
        <v>113</v>
      </c>
      <c r="B50" s="5"/>
      <c r="C50" s="5"/>
      <c r="D50" s="5" t="str">
        <f t="shared" ref="D50:E50" ca="1" si="43">IFERROR(__xludf.DUMMYFUNCTION("If (A50&lt;&gt;"""", GOOGLETRANSLATE(A50, ""auto"", ""en""), """")"),"Asobo")</f>
        <v>Asobo</v>
      </c>
      <c r="E50" s="5" t="str">
        <f t="shared" ca="1" si="43"/>
        <v>Asobo</v>
      </c>
      <c r="F50" s="3" t="s">
        <v>12</v>
      </c>
      <c r="G50" s="3"/>
    </row>
    <row r="51" spans="1:7" ht="12.75" x14ac:dyDescent="0.2">
      <c r="A51" s="5" t="s">
        <v>116</v>
      </c>
      <c r="B51" s="5"/>
      <c r="C51" s="5"/>
      <c r="D51" s="5" t="str">
        <f t="shared" ref="D51:E51" ca="1" si="44">IFERROR(__xludf.DUMMYFUNCTION("If (A51&lt;&gt;"""", GOOGLETRANSLATE(A51, ""auto"", ""en""), """")"),"Dating to")</f>
        <v>Dating to</v>
      </c>
      <c r="E51" s="5" t="str">
        <f t="shared" ca="1" si="44"/>
        <v>Dating to</v>
      </c>
      <c r="F51" s="3" t="s">
        <v>12</v>
      </c>
      <c r="G51" s="3"/>
    </row>
    <row r="52" spans="1:7" ht="12.75" x14ac:dyDescent="0.2">
      <c r="A52" s="5" t="s">
        <v>118</v>
      </c>
      <c r="B52" s="5"/>
      <c r="C52" s="5"/>
      <c r="D52" s="5" t="str">
        <f t="shared" ref="D52:E52" ca="1" si="45">IFERROR(__xludf.DUMMYFUNCTION("If (A52&lt;&gt;"""", GOOGLETRANSLATE(A52, ""auto"", ""en""), """")"),"Let's relationship")</f>
        <v>Let's relationship</v>
      </c>
      <c r="E52" s="5" t="str">
        <f t="shared" ca="1" si="45"/>
        <v>Let's relationship</v>
      </c>
      <c r="F52" s="3" t="s">
        <v>12</v>
      </c>
      <c r="G52" s="3"/>
    </row>
    <row r="53" spans="1:7" ht="12.75" x14ac:dyDescent="0.2">
      <c r="A53" s="5" t="s">
        <v>121</v>
      </c>
      <c r="B53" s="17"/>
      <c r="C53" s="17"/>
      <c r="D53" s="5" t="str">
        <f t="shared" ref="D53:E53" ca="1" si="46">IFERROR(__xludf.DUMMYFUNCTION("If (A53&lt;&gt;"""", GOOGLETRANSLATE(A53, ""auto"", ""en""), """")"),"Socializing Machaut")</f>
        <v>Socializing Machaut</v>
      </c>
      <c r="E53" s="5" t="str">
        <f t="shared" ca="1" si="46"/>
        <v>Socializing Machaut</v>
      </c>
      <c r="F53" s="3" t="s">
        <v>12</v>
      </c>
      <c r="G53" s="3"/>
    </row>
    <row r="54" spans="1:7" ht="12.75" x14ac:dyDescent="0.2">
      <c r="A54" s="5" t="s">
        <v>122</v>
      </c>
      <c r="B54" s="17"/>
      <c r="C54" s="17"/>
      <c r="D54" s="5" t="str">
        <f t="shared" ref="D54:E54" ca="1" si="47">IFERROR(__xludf.DUMMYFUNCTION("If (A54&lt;&gt;"""", GOOGLETRANSLATE(A54, ""auto"", ""en""), """")"),"Please be dating")</f>
        <v>Please be dating</v>
      </c>
      <c r="E54" s="5" t="str">
        <f t="shared" ca="1" si="47"/>
        <v>Please be dating</v>
      </c>
      <c r="F54" s="3" t="s">
        <v>12</v>
      </c>
      <c r="G54" s="3"/>
    </row>
    <row r="55" spans="1:7" ht="12.75" x14ac:dyDescent="0.2">
      <c r="A55" s="14" t="s">
        <v>123</v>
      </c>
      <c r="B55" s="17"/>
      <c r="C55" s="17"/>
      <c r="D55" s="5" t="str">
        <f t="shared" ref="D55:E55" ca="1" si="48">IFERROR(__xludf.DUMMYFUNCTION("If (A55&lt;&gt;"""", GOOGLETRANSLATE(A55, ""auto"", ""en""), """")"),"Chapter going to get married")</f>
        <v>Chapter going to get married</v>
      </c>
      <c r="E55" s="5" t="str">
        <f t="shared" ca="1" si="48"/>
        <v>Chapter going to get married</v>
      </c>
      <c r="F55" s="3" t="s">
        <v>12</v>
      </c>
      <c r="G55" s="3"/>
    </row>
    <row r="56" spans="1:7" ht="12.75" x14ac:dyDescent="0.2">
      <c r="A56" s="14" t="s">
        <v>124</v>
      </c>
      <c r="B56" s="17"/>
      <c r="C56" s="17"/>
      <c r="D56" s="5" t="str">
        <f t="shared" ref="D56:E56" ca="1" si="49">IFERROR(__xludf.DUMMYFUNCTION("If (A56&lt;&gt;"""", GOOGLETRANSLATE(A56, ""auto"", ""en""), """")"),"let's get married")</f>
        <v>let's get married</v>
      </c>
      <c r="E56" s="5" t="str">
        <f t="shared" ca="1" si="49"/>
        <v>let's get married</v>
      </c>
      <c r="F56" s="3" t="s">
        <v>12</v>
      </c>
      <c r="G56" s="3"/>
    </row>
    <row r="57" spans="1:7" ht="12.75" x14ac:dyDescent="0.2">
      <c r="A57" s="5" t="s">
        <v>128</v>
      </c>
      <c r="B57" s="17"/>
      <c r="C57" s="17"/>
      <c r="D57" s="5" t="str">
        <f t="shared" ref="D57:E57" ca="1" si="50">IFERROR(__xludf.DUMMYFUNCTION("If (A57&lt;&gt;"""", GOOGLETRANSLATE(A57, ""auto"", ""en""), """")"),"Married")</f>
        <v>Married</v>
      </c>
      <c r="E57" s="5" t="str">
        <f t="shared" ca="1" si="50"/>
        <v>Married</v>
      </c>
      <c r="F57" s="3" t="s">
        <v>12</v>
      </c>
      <c r="G57" s="3"/>
    </row>
    <row r="58" spans="1:7" ht="12.75" x14ac:dyDescent="0.2">
      <c r="A58" s="84" t="s">
        <v>129</v>
      </c>
      <c r="B58" s="85"/>
      <c r="C58" s="86"/>
      <c r="D58" s="2"/>
      <c r="E58" s="2"/>
      <c r="F58" s="3" t="s">
        <v>12</v>
      </c>
      <c r="G58" s="4"/>
    </row>
    <row r="59" spans="1:7" ht="12.75" x14ac:dyDescent="0.2">
      <c r="A59" s="5" t="s">
        <v>133</v>
      </c>
      <c r="B59" s="5" t="s">
        <v>135</v>
      </c>
      <c r="C59" s="5"/>
      <c r="D59" s="5" t="str">
        <f t="shared" ref="D59:E59" ca="1" si="51">IFERROR(__xludf.DUMMYFUNCTION("If (A59&lt;&gt;"""", GOOGLETRANSLATE(A59, ""auto"", ""en""), """")"),"Free time")</f>
        <v>Free time</v>
      </c>
      <c r="E59" s="5" t="str">
        <f t="shared" ca="1" si="51"/>
        <v>Free time</v>
      </c>
      <c r="F59" s="3" t="s">
        <v>12</v>
      </c>
      <c r="G59" s="3"/>
    </row>
    <row r="60" spans="1:7" ht="12.75" x14ac:dyDescent="0.2">
      <c r="A60" s="5" t="s">
        <v>139</v>
      </c>
      <c r="B60" s="5"/>
      <c r="C60" s="5"/>
      <c r="D60" s="5" t="str">
        <f t="shared" ref="D60:E60" ca="1" si="52">IFERROR(__xludf.DUMMYFUNCTION("If (A60&lt;&gt;"""", GOOGLETRANSLATE(A60, ""auto"", ""en""), """")"),"Free time")</f>
        <v>Free time</v>
      </c>
      <c r="E60" s="5" t="str">
        <f t="shared" ca="1" si="52"/>
        <v>Free time</v>
      </c>
      <c r="F60" s="3" t="s">
        <v>12</v>
      </c>
      <c r="G60" s="3"/>
    </row>
    <row r="61" spans="1:7" ht="12.75" x14ac:dyDescent="0.2">
      <c r="A61" s="5" t="s">
        <v>141</v>
      </c>
      <c r="B61" s="5"/>
      <c r="C61" s="5"/>
      <c r="D61" s="5" t="str">
        <f t="shared" ref="D61:E61" ca="1" si="53">IFERROR(__xludf.DUMMYFUNCTION("If (A61&lt;&gt;"""", GOOGLETRANSLATE(A61, ""auto"", ""en""), """")"),"Spare time likely")</f>
        <v>Spare time likely</v>
      </c>
      <c r="E61" s="5" t="str">
        <f t="shared" ca="1" si="53"/>
        <v>Spare time likely</v>
      </c>
      <c r="F61" s="3" t="s">
        <v>12</v>
      </c>
      <c r="G61" s="3"/>
    </row>
    <row r="62" spans="1:7" ht="12.75" x14ac:dyDescent="0.2">
      <c r="A62" s="5" t="s">
        <v>147</v>
      </c>
      <c r="B62" s="5"/>
      <c r="C62" s="5"/>
      <c r="D62" s="5" t="str">
        <f t="shared" ref="D62:E62" ca="1" si="54">IFERROR(__xludf.DUMMYFUNCTION("If (A62&lt;&gt;"""", GOOGLETRANSLATE(A62, ""auto"", ""en""), """")"),"Himaso")</f>
        <v>Himaso</v>
      </c>
      <c r="E62" s="5" t="str">
        <f t="shared" ca="1" si="54"/>
        <v>Himaso</v>
      </c>
      <c r="F62" s="3" t="s">
        <v>12</v>
      </c>
      <c r="G62" s="3"/>
    </row>
    <row r="63" spans="1:7" ht="12.75" x14ac:dyDescent="0.2">
      <c r="A63" s="5" t="s">
        <v>148</v>
      </c>
      <c r="B63" s="5"/>
      <c r="C63" s="5"/>
      <c r="D63" s="5" t="str">
        <f t="shared" ref="D63:E63" ca="1" si="55">IFERROR(__xludf.DUMMYFUNCTION("If (A63&lt;&gt;"""", GOOGLETRANSLATE(A63, ""auto"", ""en""), """")"),"That's spare time likely")</f>
        <v>That's spare time likely</v>
      </c>
      <c r="E63" s="5" t="str">
        <f t="shared" ca="1" si="55"/>
        <v>That's spare time likely</v>
      </c>
      <c r="F63" s="3" t="s">
        <v>12</v>
      </c>
      <c r="G63" s="3"/>
    </row>
    <row r="64" spans="1:7" ht="12.75" x14ac:dyDescent="0.2">
      <c r="A64" s="5" t="s">
        <v>150</v>
      </c>
      <c r="B64" s="5"/>
      <c r="C64" s="5"/>
      <c r="D64" s="5" t="str">
        <f t="shared" ref="D64:E64" ca="1" si="56">IFERROR(__xludf.DUMMYFUNCTION("If (A64&lt;&gt;"""", GOOGLETRANSLATE(A64, ""auto"", ""en""), """")"),"That's Himaso")</f>
        <v>That's Himaso</v>
      </c>
      <c r="E64" s="5" t="str">
        <f t="shared" ca="1" si="56"/>
        <v>That's Himaso</v>
      </c>
      <c r="F64" s="3" t="s">
        <v>12</v>
      </c>
      <c r="G64" s="3"/>
    </row>
    <row r="65" spans="1:7" ht="12.75" x14ac:dyDescent="0.2">
      <c r="A65" s="5" t="s">
        <v>151</v>
      </c>
      <c r="B65" s="5"/>
      <c r="C65" s="5"/>
      <c r="D65" s="5" t="str">
        <f t="shared" ref="D65:E65" ca="1" si="57">IFERROR(__xludf.DUMMYFUNCTION("If (A65&lt;&gt;"""", GOOGLETRANSLATE(A65, ""auto"", ""en""), """")"),"Are you free")</f>
        <v>Are you free</v>
      </c>
      <c r="E65" s="5" t="str">
        <f t="shared" ca="1" si="57"/>
        <v>Are you free</v>
      </c>
      <c r="F65" s="3" t="s">
        <v>12</v>
      </c>
      <c r="G65" s="3"/>
    </row>
    <row r="66" spans="1:7" ht="12.75" x14ac:dyDescent="0.2">
      <c r="A66" s="5" t="s">
        <v>154</v>
      </c>
      <c r="B66" s="5"/>
      <c r="C66" s="5"/>
      <c r="D66" s="5" t="str">
        <f t="shared" ref="D66:E66" ca="1" si="58">IFERROR(__xludf.DUMMYFUNCTION("If (A66&lt;&gt;"""", GOOGLETRANSLATE(A66, ""auto"", ""en""), """")"),"busy")</f>
        <v>busy</v>
      </c>
      <c r="E66" s="5" t="str">
        <f t="shared" ca="1" si="58"/>
        <v>busy</v>
      </c>
      <c r="F66" s="3" t="s">
        <v>12</v>
      </c>
      <c r="G66" s="3"/>
    </row>
    <row r="67" spans="1:7" ht="12.75" x14ac:dyDescent="0.2">
      <c r="A67" s="5" t="s">
        <v>157</v>
      </c>
      <c r="B67" s="17"/>
      <c r="C67" s="17"/>
      <c r="D67" s="5" t="str">
        <f t="shared" ref="D67:E67" ca="1" si="59">IFERROR(__xludf.DUMMYFUNCTION("If (A67&lt;&gt;"""", GOOGLETRANSLATE(A67, ""auto"", ""en""), """")"),"Busy")</f>
        <v>Busy</v>
      </c>
      <c r="E67" s="5" t="str">
        <f t="shared" ca="1" si="59"/>
        <v>Busy</v>
      </c>
      <c r="F67" s="3" t="s">
        <v>12</v>
      </c>
      <c r="G67" s="3"/>
    </row>
    <row r="68" spans="1:7" ht="12.75" x14ac:dyDescent="0.2">
      <c r="A68" s="84" t="s">
        <v>160</v>
      </c>
      <c r="B68" s="85"/>
      <c r="C68" s="86"/>
      <c r="D68" s="2"/>
      <c r="E68" s="2"/>
      <c r="F68" s="3" t="s">
        <v>12</v>
      </c>
      <c r="G68" s="4"/>
    </row>
    <row r="69" spans="1:7" ht="12.75" x14ac:dyDescent="0.2">
      <c r="A69" s="5" t="s">
        <v>161</v>
      </c>
      <c r="B69" s="5" t="s">
        <v>162</v>
      </c>
      <c r="C69" s="5"/>
      <c r="D69" s="5" t="str">
        <f t="shared" ref="D69:E69" ca="1" si="60">IFERROR(__xludf.DUMMYFUNCTION("If (A69&lt;&gt;"""", GOOGLETRANSLATE(A69, ""auto"", ""en""), """")"),"goodbye")</f>
        <v>goodbye</v>
      </c>
      <c r="E69" s="5" t="str">
        <f t="shared" ca="1" si="60"/>
        <v>goodbye</v>
      </c>
      <c r="F69" s="3" t="s">
        <v>12</v>
      </c>
      <c r="G69" s="3"/>
    </row>
    <row r="70" spans="1:7" ht="12.75" x14ac:dyDescent="0.2">
      <c r="A70" s="5" t="s">
        <v>163</v>
      </c>
      <c r="B70" s="19"/>
      <c r="C70" s="19"/>
      <c r="D70" s="5" t="str">
        <f t="shared" ref="D70:E70" ca="1" si="61">IFERROR(__xludf.DUMMYFUNCTION("If (A70&lt;&gt;"""", GOOGLETRANSLATE(A70, ""auto"", ""en""), """")"),"Also")</f>
        <v>Also</v>
      </c>
      <c r="E70" s="5" t="str">
        <f t="shared" ca="1" si="61"/>
        <v>Also</v>
      </c>
      <c r="F70" s="3" t="s">
        <v>12</v>
      </c>
      <c r="G70" s="3"/>
    </row>
    <row r="71" spans="1:7" ht="12.75" x14ac:dyDescent="0.2">
      <c r="A71" s="5" t="s">
        <v>168</v>
      </c>
      <c r="B71" s="19"/>
      <c r="C71" s="19"/>
      <c r="D71" s="5" t="str">
        <f t="shared" ref="D71:E71" ca="1" si="62">IFERROR(__xludf.DUMMYFUNCTION("If (A71&lt;&gt;"""", GOOGLETRANSLATE(A71, ""auto"", ""en""), """")"),"See you")</f>
        <v>See you</v>
      </c>
      <c r="E71" s="5" t="str">
        <f t="shared" ca="1" si="62"/>
        <v>See you</v>
      </c>
      <c r="F71" s="3" t="s">
        <v>12</v>
      </c>
      <c r="G71" s="3"/>
    </row>
    <row r="72" spans="1:7" ht="12.75" x14ac:dyDescent="0.2">
      <c r="A72" s="5" t="s">
        <v>169</v>
      </c>
      <c r="B72" s="17"/>
      <c r="C72" s="17"/>
      <c r="D72" s="5" t="str">
        <f t="shared" ref="D72:E72" ca="1" si="63">IFERROR(__xludf.DUMMYFUNCTION("If (A72&lt;&gt;"""", GOOGLETRANSLATE(A72, ""auto"", ""en""), """")"),"see you tomorrow")</f>
        <v>see you tomorrow</v>
      </c>
      <c r="E72" s="5" t="str">
        <f t="shared" ca="1" si="63"/>
        <v>see you tomorrow</v>
      </c>
      <c r="F72" s="3" t="s">
        <v>12</v>
      </c>
      <c r="G72" s="3"/>
    </row>
    <row r="73" spans="1:7" ht="12.75" x14ac:dyDescent="0.2">
      <c r="A73" s="5" t="s">
        <v>171</v>
      </c>
      <c r="B73" s="17"/>
      <c r="C73" s="17"/>
      <c r="D73" s="5" t="str">
        <f t="shared" ref="D73:E73" ca="1" si="64">IFERROR(__xludf.DUMMYFUNCTION("If (A73&lt;&gt;"""", GOOGLETRANSLATE(A73, ""auto"", ""en""), """")"),"See ya")</f>
        <v>See ya</v>
      </c>
      <c r="E73" s="5" t="str">
        <f t="shared" ca="1" si="64"/>
        <v>See ya</v>
      </c>
      <c r="F73" s="3" t="s">
        <v>12</v>
      </c>
      <c r="G73" s="3"/>
    </row>
    <row r="74" spans="1:7" ht="12.75" x14ac:dyDescent="0.2">
      <c r="A74" s="5" t="s">
        <v>172</v>
      </c>
      <c r="B74" s="17"/>
      <c r="C74" s="17"/>
      <c r="D74" s="5" t="str">
        <f t="shared" ref="D74:E74" ca="1" si="65">IFERROR(__xludf.DUMMYFUNCTION("If (A74&lt;&gt;"""", GOOGLETRANSLATE(A74, ""auto"", ""en""), """")"),"Buying and selling")</f>
        <v>Buying and selling</v>
      </c>
      <c r="E74" s="5" t="str">
        <f t="shared" ca="1" si="65"/>
        <v>Buying and selling</v>
      </c>
      <c r="F74" s="3" t="s">
        <v>12</v>
      </c>
      <c r="G74" s="3"/>
    </row>
    <row r="75" spans="1:7" ht="12.75" x14ac:dyDescent="0.2">
      <c r="A75" s="5" t="s">
        <v>175</v>
      </c>
      <c r="B75" s="17"/>
      <c r="C75" s="17"/>
      <c r="D75" s="5" t="str">
        <f t="shared" ref="D75:E75" ca="1" si="66">IFERROR(__xludf.DUMMYFUNCTION("If (A75&lt;&gt;"""", GOOGLETRANSLATE(A75, ""auto"", ""en""), """")"),"Bye bye")</f>
        <v>Bye bye</v>
      </c>
      <c r="E75" s="5" t="str">
        <f t="shared" ca="1" si="66"/>
        <v>Bye bye</v>
      </c>
      <c r="F75" s="3" t="s">
        <v>12</v>
      </c>
      <c r="G75" s="3"/>
    </row>
    <row r="76" spans="1:7" ht="12.75" x14ac:dyDescent="0.2">
      <c r="A76" s="5" t="s">
        <v>176</v>
      </c>
      <c r="B76" s="17"/>
      <c r="C76" s="17"/>
      <c r="D76" s="5" t="str">
        <f t="shared" ref="D76:E76" ca="1" si="67">IFERROR(__xludf.DUMMYFUNCTION("If (A76&lt;&gt;"""", GOOGLETRANSLATE(A76, ""auto"", ""en""), """")"),"Have a nice weekend")</f>
        <v>Have a nice weekend</v>
      </c>
      <c r="E76" s="5" t="str">
        <f t="shared" ca="1" si="67"/>
        <v>Have a nice weekend</v>
      </c>
      <c r="F76" s="3" t="s">
        <v>12</v>
      </c>
      <c r="G76" s="3"/>
    </row>
    <row r="77" spans="1:7" ht="12.75" x14ac:dyDescent="0.2">
      <c r="A77" s="5" t="s">
        <v>179</v>
      </c>
      <c r="B77" s="17"/>
      <c r="C77" s="17"/>
      <c r="D77" s="5" t="str">
        <f t="shared" ref="D77:E77" ca="1" si="68">IFERROR(__xludf.DUMMYFUNCTION("If (A77&lt;&gt;"""", GOOGLETRANSLATE(A77, ""auto"", ""en""), """")"),"Have a nice weekend")</f>
        <v>Have a nice weekend</v>
      </c>
      <c r="E77" s="5" t="str">
        <f t="shared" ca="1" si="68"/>
        <v>Have a nice weekend</v>
      </c>
      <c r="F77" s="3" t="s">
        <v>12</v>
      </c>
      <c r="G77" s="3"/>
    </row>
    <row r="78" spans="1:7" ht="12.75" x14ac:dyDescent="0.2">
      <c r="A78" s="5" t="s">
        <v>180</v>
      </c>
      <c r="B78" s="17"/>
      <c r="C78" s="17"/>
      <c r="D78" s="5" t="str">
        <f t="shared" ref="D78:E78" ca="1" si="69">IFERROR(__xludf.DUMMYFUNCTION("If (A78&lt;&gt;"""", GOOGLETRANSLATE(A78, ""auto"", ""en""), """")"),"see you next week")</f>
        <v>see you next week</v>
      </c>
      <c r="E78" s="5" t="str">
        <f t="shared" ca="1" si="69"/>
        <v>see you next week</v>
      </c>
      <c r="F78" s="3" t="s">
        <v>12</v>
      </c>
      <c r="G78" s="3"/>
    </row>
    <row r="79" spans="1:7" ht="12.75" x14ac:dyDescent="0.2">
      <c r="A79" s="5" t="s">
        <v>181</v>
      </c>
      <c r="B79" s="17"/>
      <c r="C79" s="17"/>
      <c r="D79" s="5" t="str">
        <f t="shared" ref="D79:E79" ca="1" si="70">IFERROR(__xludf.DUMMYFUNCTION("If (A79&lt;&gt;"""", GOOGLETRANSLATE(A79, ""auto"", ""en""), """")"),"Do your best")</f>
        <v>Do your best</v>
      </c>
      <c r="E79" s="5" t="str">
        <f t="shared" ca="1" si="70"/>
        <v>Do your best</v>
      </c>
      <c r="F79" s="3" t="s">
        <v>12</v>
      </c>
      <c r="G79" s="3"/>
    </row>
    <row r="80" spans="1:7" ht="12.75" x14ac:dyDescent="0.2">
      <c r="A80" s="5" t="s">
        <v>182</v>
      </c>
      <c r="B80" s="17"/>
      <c r="C80" s="17"/>
      <c r="D80" s="5" t="str">
        <f t="shared" ref="D80:E80" ca="1" si="71">IFERROR(__xludf.DUMMYFUNCTION("If (A80&lt;&gt;"""", GOOGLETRANSLATE(A80, ""auto"", ""en""), """")"),"have fun")</f>
        <v>have fun</v>
      </c>
      <c r="E80" s="5" t="str">
        <f t="shared" ca="1" si="71"/>
        <v>have fun</v>
      </c>
      <c r="F80" s="3" t="s">
        <v>12</v>
      </c>
      <c r="G80" s="3"/>
    </row>
    <row r="81" spans="1:7" ht="12.75" x14ac:dyDescent="0.2">
      <c r="A81" s="84" t="s">
        <v>183</v>
      </c>
      <c r="B81" s="85"/>
      <c r="C81" s="86"/>
      <c r="D81" s="2"/>
      <c r="E81" s="2"/>
      <c r="F81" s="3" t="s">
        <v>12</v>
      </c>
      <c r="G81" s="4"/>
    </row>
    <row r="82" spans="1:7" ht="12.75" x14ac:dyDescent="0.2">
      <c r="A82" s="5" t="s">
        <v>184</v>
      </c>
      <c r="B82" s="5" t="s">
        <v>185</v>
      </c>
      <c r="C82" s="5"/>
      <c r="D82" s="5" t="str">
        <f t="shared" ref="D82:E82" ca="1" si="72">IFERROR(__xludf.DUMMYFUNCTION("If (A82&lt;&gt;"""", GOOGLETRANSLATE(A82, ""auto"", ""en""), """")"),"Good evening")</f>
        <v>Good evening</v>
      </c>
      <c r="E82" s="5" t="str">
        <f t="shared" ca="1" si="72"/>
        <v>Good evening</v>
      </c>
      <c r="F82" s="3" t="s">
        <v>12</v>
      </c>
      <c r="G82" s="3"/>
    </row>
    <row r="83" spans="1:7" ht="12.75" x14ac:dyDescent="0.2">
      <c r="A83" s="5" t="s">
        <v>186</v>
      </c>
      <c r="B83" s="5"/>
      <c r="C83" s="5"/>
      <c r="D83" s="5" t="str">
        <f t="shared" ref="D83:E83" ca="1" si="73">IFERROR(__xludf.DUMMYFUNCTION("If (A83&lt;&gt;"""", GOOGLETRANSLATE(A83, ""auto"", ""en""), """")"),"Good morning")</f>
        <v>Good morning</v>
      </c>
      <c r="E83" s="5" t="str">
        <f t="shared" ca="1" si="73"/>
        <v>Good morning</v>
      </c>
      <c r="F83" s="3" t="s">
        <v>12</v>
      </c>
      <c r="G83" s="3"/>
    </row>
    <row r="84" spans="1:7" ht="12.75" x14ac:dyDescent="0.2">
      <c r="A84" s="5" t="s">
        <v>187</v>
      </c>
      <c r="B84" s="5"/>
      <c r="C84" s="5"/>
      <c r="D84" s="5" t="str">
        <f t="shared" ref="D84:E84" ca="1" si="74">IFERROR(__xludf.DUMMYFUNCTION("If (A84&lt;&gt;"""", GOOGLETRANSLATE(A84, ""auto"", ""en""), """")"),"Good morning")</f>
        <v>Good morning</v>
      </c>
      <c r="E84" s="5" t="str">
        <f t="shared" ca="1" si="74"/>
        <v>Good morning</v>
      </c>
      <c r="F84" s="3" t="s">
        <v>12</v>
      </c>
      <c r="G84" s="3"/>
    </row>
    <row r="85" spans="1:7" ht="12.75" x14ac:dyDescent="0.2">
      <c r="A85" s="5" t="s">
        <v>188</v>
      </c>
      <c r="B85" s="5"/>
      <c r="C85" s="5"/>
      <c r="D85" s="5" t="str">
        <f t="shared" ref="D85:E85" ca="1" si="75">IFERROR(__xludf.DUMMYFUNCTION("If (A85&lt;&gt;"""", GOOGLETRANSLATE(A85, ""auto"", ""en""), """")"),"good morning")</f>
        <v>good morning</v>
      </c>
      <c r="E85" s="5" t="str">
        <f t="shared" ca="1" si="75"/>
        <v>good morning</v>
      </c>
      <c r="F85" s="3" t="s">
        <v>12</v>
      </c>
      <c r="G85" s="3"/>
    </row>
    <row r="86" spans="1:7" ht="12.75" x14ac:dyDescent="0.2">
      <c r="A86" s="5" t="s">
        <v>190</v>
      </c>
      <c r="B86" s="5"/>
      <c r="C86" s="5"/>
      <c r="D86" s="5" t="str">
        <f t="shared" ref="D86:E86" ca="1" si="76">IFERROR(__xludf.DUMMYFUNCTION("If (A86&lt;&gt;"""", GOOGLETRANSLATE(A86, ""auto"", ""en""), """")"),"Hello")</f>
        <v>Hello</v>
      </c>
      <c r="E86" s="5" t="str">
        <f t="shared" ca="1" si="76"/>
        <v>Hello</v>
      </c>
      <c r="F86" s="3" t="s">
        <v>12</v>
      </c>
      <c r="G86" s="3"/>
    </row>
    <row r="87" spans="1:7" ht="12.75" x14ac:dyDescent="0.2">
      <c r="A87" s="5" t="s">
        <v>191</v>
      </c>
      <c r="B87" s="5"/>
      <c r="C87" s="5"/>
      <c r="D87" s="5" t="str">
        <f t="shared" ref="D87:E87" ca="1" si="77">IFERROR(__xludf.DUMMYFUNCTION("If (A87&lt;&gt;"""", GOOGLETRANSLATE(A87, ""auto"", ""en""), """")"),"Hi")</f>
        <v>Hi</v>
      </c>
      <c r="E87" s="5" t="str">
        <f t="shared" ca="1" si="77"/>
        <v>Hi</v>
      </c>
      <c r="F87" s="3" t="s">
        <v>12</v>
      </c>
      <c r="G87" s="3"/>
    </row>
    <row r="88" spans="1:7" ht="12.75" x14ac:dyDescent="0.2">
      <c r="A88" s="5" t="s">
        <v>192</v>
      </c>
      <c r="B88" s="5"/>
      <c r="C88" s="5"/>
      <c r="D88" s="5" t="str">
        <f t="shared" ref="D88:E88" ca="1" si="78">IFERROR(__xludf.DUMMYFUNCTION("If (A88&lt;&gt;"""", GOOGLETRANSLATE(A88, ""auto"", ""en""), """")"),"nice to meet you")</f>
        <v>nice to meet you</v>
      </c>
      <c r="E88" s="5" t="str">
        <f t="shared" ca="1" si="78"/>
        <v>nice to meet you</v>
      </c>
      <c r="F88" s="3" t="s">
        <v>12</v>
      </c>
      <c r="G88" s="3"/>
    </row>
    <row r="89" spans="1:7" ht="12.75" x14ac:dyDescent="0.2">
      <c r="A89" s="5" t="s">
        <v>193</v>
      </c>
      <c r="B89" s="25"/>
      <c r="C89" s="25"/>
      <c r="D89" s="5" t="str">
        <f t="shared" ref="D89:E89" ca="1" si="79">IFERROR(__xludf.DUMMYFUNCTION("If (A89&lt;&gt;"""", GOOGLETRANSLATE(A89, ""auto"", ""en""), """")"),"Nice to meet you")</f>
        <v>Nice to meet you</v>
      </c>
      <c r="E89" s="5" t="str">
        <f t="shared" ca="1" si="79"/>
        <v>Nice to meet you</v>
      </c>
      <c r="F89" s="3" t="s">
        <v>12</v>
      </c>
      <c r="G89" s="3"/>
    </row>
    <row r="90" spans="1:7" ht="12.75" x14ac:dyDescent="0.2">
      <c r="A90" s="5" t="s">
        <v>194</v>
      </c>
      <c r="B90" s="17"/>
      <c r="C90" s="17"/>
      <c r="D90" s="5" t="str">
        <f t="shared" ref="D90:E90" ca="1" si="80">IFERROR(__xludf.DUMMYFUNCTION("If (A90&lt;&gt;"""", GOOGLETRANSLATE(A90, ""auto"", ""en""), """")"),"good job")</f>
        <v>good job</v>
      </c>
      <c r="E90" s="5" t="str">
        <f t="shared" ca="1" si="80"/>
        <v>good job</v>
      </c>
      <c r="F90" s="3" t="s">
        <v>12</v>
      </c>
      <c r="G90" s="3"/>
    </row>
    <row r="91" spans="1:7" ht="12.75" x14ac:dyDescent="0.2">
      <c r="A91" s="5" t="s">
        <v>195</v>
      </c>
      <c r="B91" s="17"/>
      <c r="C91" s="17"/>
      <c r="D91" s="5" t="str">
        <f t="shared" ref="D91:E91" ca="1" si="81">IFERROR(__xludf.DUMMYFUNCTION("If (A91&lt;&gt;"""", GOOGLETRANSLATE(A91, ""auto"", ""en""), """")"),"Tired")</f>
        <v>Tired</v>
      </c>
      <c r="E91" s="5" t="str">
        <f t="shared" ca="1" si="81"/>
        <v>Tired</v>
      </c>
      <c r="F91" s="3" t="s">
        <v>12</v>
      </c>
      <c r="G91" s="3"/>
    </row>
    <row r="92" spans="1:7" ht="12.75" x14ac:dyDescent="0.2">
      <c r="A92" s="14" t="s">
        <v>196</v>
      </c>
      <c r="B92" s="17"/>
      <c r="C92" s="17"/>
      <c r="D92" s="5" t="str">
        <f t="shared" ref="D92:E92" ca="1" si="82">IFERROR(__xludf.DUMMYFUNCTION("If (A92&lt;&gt;"""", GOOGLETRANSLATE(A92, ""auto"", ""en""), """")"),"Cheers for good work")</f>
        <v>Cheers for good work</v>
      </c>
      <c r="E92" s="5" t="str">
        <f t="shared" ca="1" si="82"/>
        <v>Cheers for good work</v>
      </c>
      <c r="F92" s="3" t="s">
        <v>12</v>
      </c>
      <c r="G92" s="3"/>
    </row>
    <row r="93" spans="1:7" ht="12.75" x14ac:dyDescent="0.2">
      <c r="A93" s="14" t="s">
        <v>197</v>
      </c>
      <c r="B93" s="17"/>
      <c r="C93" s="17"/>
      <c r="D93" s="5" t="str">
        <f t="shared" ref="D93:E93" ca="1" si="83">IFERROR(__xludf.DUMMYFUNCTION("If (A93&lt;&gt;"""", GOOGLETRANSLATE(A93, ""auto"", ""en""), """")"),"Cheers for good work")</f>
        <v>Cheers for good work</v>
      </c>
      <c r="E93" s="5" t="str">
        <f t="shared" ca="1" si="83"/>
        <v>Cheers for good work</v>
      </c>
      <c r="F93" s="3" t="s">
        <v>12</v>
      </c>
      <c r="G93" s="3"/>
    </row>
    <row r="94" spans="1:7" ht="12.75" x14ac:dyDescent="0.2">
      <c r="A94" s="5" t="s">
        <v>198</v>
      </c>
      <c r="B94" s="17"/>
      <c r="C94" s="17"/>
      <c r="D94" s="5" t="str">
        <f t="shared" ref="D94:E94" ca="1" si="84">IFERROR(__xludf.DUMMYFUNCTION("If (A94&lt;&gt;"""", GOOGLETRANSLATE(A94, ""auto"", ""en""), """")"),"Good work day")</f>
        <v>Good work day</v>
      </c>
      <c r="E94" s="5" t="str">
        <f t="shared" ca="1" si="84"/>
        <v>Good work day</v>
      </c>
      <c r="F94" s="3" t="s">
        <v>12</v>
      </c>
      <c r="G94" s="3"/>
    </row>
    <row r="95" spans="1:7" ht="12.75" x14ac:dyDescent="0.2">
      <c r="A95" s="84" t="s">
        <v>199</v>
      </c>
      <c r="B95" s="85"/>
      <c r="C95" s="86"/>
      <c r="D95" s="2"/>
      <c r="E95" s="2"/>
      <c r="F95" s="3" t="s">
        <v>12</v>
      </c>
      <c r="G95" s="4"/>
    </row>
    <row r="96" spans="1:7" ht="12.75" x14ac:dyDescent="0.2">
      <c r="A96" s="5" t="s">
        <v>200</v>
      </c>
      <c r="B96" s="5" t="s">
        <v>201</v>
      </c>
      <c r="C96" s="5"/>
      <c r="D96" s="5" t="str">
        <f t="shared" ref="D96:E96" ca="1" si="85">IFERROR(__xludf.DUMMYFUNCTION("If (A96&lt;&gt;"""", GOOGLETRANSLATE(A96, ""auto"", ""en""), """")"),"Healthy")</f>
        <v>Healthy</v>
      </c>
      <c r="E96" s="5" t="str">
        <f t="shared" ca="1" si="85"/>
        <v>Healthy</v>
      </c>
      <c r="F96" s="3" t="s">
        <v>12</v>
      </c>
      <c r="G96" s="3"/>
    </row>
    <row r="97" spans="1:7" ht="12.75" x14ac:dyDescent="0.2">
      <c r="A97" s="5" t="s">
        <v>203</v>
      </c>
      <c r="B97" s="5"/>
      <c r="C97" s="5"/>
      <c r="D97" s="5" t="str">
        <f t="shared" ref="D97:E97" ca="1" si="86">IFERROR(__xludf.DUMMYFUNCTION("If (A97&lt;&gt;"""", GOOGLETRANSLATE(A97, ""auto"", ""en""), """")"),"Cheerful")</f>
        <v>Cheerful</v>
      </c>
      <c r="E97" s="5" t="str">
        <f t="shared" ca="1" si="86"/>
        <v>Cheerful</v>
      </c>
      <c r="F97" s="3" t="s">
        <v>12</v>
      </c>
      <c r="G97" s="3"/>
    </row>
    <row r="98" spans="1:7" ht="12.75" x14ac:dyDescent="0.2">
      <c r="A98" s="5" t="s">
        <v>204</v>
      </c>
      <c r="B98" s="5"/>
      <c r="C98" s="5"/>
      <c r="D98" s="5" t="str">
        <f t="shared" ref="D98:E98" ca="1" si="87">IFERROR(__xludf.DUMMYFUNCTION("If (A98&lt;&gt;"""", GOOGLETRANSLATE(A98, ""auto"", ""en""), """")"),"I'm tired")</f>
        <v>I'm tired</v>
      </c>
      <c r="E98" s="5" t="str">
        <f t="shared" ca="1" si="87"/>
        <v>I'm tired</v>
      </c>
      <c r="F98" s="3" t="s">
        <v>12</v>
      </c>
      <c r="G98" s="3"/>
    </row>
    <row r="99" spans="1:7" ht="12.75" x14ac:dyDescent="0.2">
      <c r="A99" s="5" t="s">
        <v>205</v>
      </c>
      <c r="B99" s="5"/>
      <c r="C99" s="5"/>
      <c r="D99" s="5" t="str">
        <f t="shared" ref="D99:E99" ca="1" si="88">IFERROR(__xludf.DUMMYFUNCTION("If (A99&lt;&gt;"""", GOOGLETRANSLATE(A99, ""auto"", ""en""), """")"),"tired")</f>
        <v>tired</v>
      </c>
      <c r="E99" s="5" t="str">
        <f t="shared" ca="1" si="88"/>
        <v>tired</v>
      </c>
      <c r="F99" s="3" t="s">
        <v>12</v>
      </c>
      <c r="G99" s="3"/>
    </row>
    <row r="100" spans="1:7" ht="12.75" x14ac:dyDescent="0.2">
      <c r="A100" s="5" t="s">
        <v>206</v>
      </c>
      <c r="B100" s="5"/>
      <c r="C100" s="5"/>
      <c r="D100" s="5" t="str">
        <f t="shared" ref="D100:E100" ca="1" si="89">IFERROR(__xludf.DUMMYFUNCTION("If (A100&lt;&gt;"""", GOOGLETRANSLATE(A100, ""auto"", ""en""), """")"),"Sleepy")</f>
        <v>Sleepy</v>
      </c>
      <c r="E100" s="5" t="str">
        <f t="shared" ca="1" si="89"/>
        <v>Sleepy</v>
      </c>
      <c r="F100" s="3" t="s">
        <v>12</v>
      </c>
      <c r="G100" s="3"/>
    </row>
    <row r="101" spans="1:7" ht="12.75" x14ac:dyDescent="0.2">
      <c r="A101" s="5" t="s">
        <v>207</v>
      </c>
      <c r="B101" s="5"/>
      <c r="C101" s="5"/>
      <c r="D101" s="5" t="str">
        <f t="shared" ref="D101:E101" ca="1" si="90">IFERROR(__xludf.DUMMYFUNCTION("If (A101&lt;&gt;"""", GOOGLETRANSLATE(A101, ""auto"", ""en""), """")"),"sleepy")</f>
        <v>sleepy</v>
      </c>
      <c r="E101" s="5" t="str">
        <f t="shared" ca="1" si="90"/>
        <v>sleepy</v>
      </c>
      <c r="F101" s="3" t="s">
        <v>12</v>
      </c>
      <c r="G101" s="3"/>
    </row>
    <row r="102" spans="1:7" ht="12.75" x14ac:dyDescent="0.2">
      <c r="A102" s="5" t="s">
        <v>208</v>
      </c>
      <c r="B102" s="5"/>
      <c r="C102" s="5"/>
      <c r="D102" s="5" t="str">
        <f t="shared" ref="D102:E102" ca="1" si="91">IFERROR(__xludf.DUMMYFUNCTION("If (A102&lt;&gt;"""", GOOGLETRANSLATE(A102, ""auto"", ""en""), """")"),"How recently")</f>
        <v>How recently</v>
      </c>
      <c r="E102" s="5" t="str">
        <f t="shared" ca="1" si="91"/>
        <v>How recently</v>
      </c>
      <c r="F102" s="3" t="s">
        <v>12</v>
      </c>
      <c r="G102" s="3"/>
    </row>
    <row r="103" spans="1:7" ht="12.75" x14ac:dyDescent="0.2">
      <c r="A103" s="5" t="s">
        <v>209</v>
      </c>
      <c r="B103" s="25"/>
      <c r="C103" s="25"/>
      <c r="D103" s="5" t="str">
        <f t="shared" ref="D103:E103" ca="1" si="92">IFERROR(__xludf.DUMMYFUNCTION("If (A103&lt;&gt;"""", GOOGLETRANSLATE(A103, ""auto"", ""en""), """")"),"How")</f>
        <v>How</v>
      </c>
      <c r="E103" s="5" t="str">
        <f t="shared" ca="1" si="92"/>
        <v>How</v>
      </c>
      <c r="F103" s="3" t="s">
        <v>12</v>
      </c>
      <c r="G103" s="3"/>
    </row>
    <row r="104" spans="1:7" ht="12.75" x14ac:dyDescent="0.2">
      <c r="A104" s="5" t="s">
        <v>211</v>
      </c>
      <c r="B104" s="17"/>
      <c r="C104" s="17"/>
      <c r="D104" s="5" t="str">
        <f t="shared" ref="D104:E104" ca="1" si="93">IFERROR(__xludf.DUMMYFUNCTION("If (A104&lt;&gt;"""", GOOGLETRANSLATE(A104, ""auto"", ""en""), """")"),"How")</f>
        <v>How</v>
      </c>
      <c r="E104" s="5" t="str">
        <f t="shared" ca="1" si="93"/>
        <v>How</v>
      </c>
      <c r="F104" s="3" t="s">
        <v>12</v>
      </c>
      <c r="G104" s="3"/>
    </row>
    <row r="105" spans="1:7" ht="12.75" x14ac:dyDescent="0.2">
      <c r="A105" s="84" t="s">
        <v>212</v>
      </c>
      <c r="B105" s="85"/>
      <c r="C105" s="86"/>
      <c r="D105" s="2"/>
      <c r="E105" s="2"/>
      <c r="F105" s="3" t="s">
        <v>12</v>
      </c>
      <c r="G105" s="4"/>
    </row>
    <row r="106" spans="1:7" ht="12.75" x14ac:dyDescent="0.2">
      <c r="A106" s="14" t="s">
        <v>213</v>
      </c>
      <c r="B106" s="15" t="s">
        <v>214</v>
      </c>
      <c r="C106" s="15"/>
      <c r="D106" s="5" t="str">
        <f t="shared" ref="D106:E106" ca="1" si="94">IFERROR(__xludf.DUMMYFUNCTION("If (A106&lt;&gt;"""", GOOGLETRANSLATE(A106, ""auto"", ""en""), """")"),"I am hungry")</f>
        <v>I am hungry</v>
      </c>
      <c r="E106" s="5" t="str">
        <f t="shared" ca="1" si="94"/>
        <v>I am hungry</v>
      </c>
      <c r="F106" s="16" t="s">
        <v>12</v>
      </c>
      <c r="G106" s="16"/>
    </row>
    <row r="107" spans="1:7" ht="12.75" x14ac:dyDescent="0.2">
      <c r="A107" s="14" t="s">
        <v>216</v>
      </c>
      <c r="B107" s="17"/>
      <c r="C107" s="17"/>
      <c r="D107" s="5" t="str">
        <f t="shared" ref="D107:E107" ca="1" si="95">IFERROR(__xludf.DUMMYFUNCTION("If (A107&lt;&gt;"""", GOOGLETRANSLATE(A107, ""auto"", ""en""), """")"),"I'm hungry")</f>
        <v>I'm hungry</v>
      </c>
      <c r="E107" s="5" t="str">
        <f t="shared" ca="1" si="95"/>
        <v>I'm hungry</v>
      </c>
      <c r="F107" s="16" t="s">
        <v>12</v>
      </c>
      <c r="G107" s="16"/>
    </row>
    <row r="108" spans="1:7" ht="12.75" x14ac:dyDescent="0.2">
      <c r="A108" s="14" t="s">
        <v>217</v>
      </c>
      <c r="B108" s="17"/>
      <c r="C108" s="17"/>
      <c r="D108" s="5" t="str">
        <f t="shared" ref="D108:E108" ca="1" si="96">IFERROR(__xludf.DUMMYFUNCTION("If (A108&lt;&gt;"""", GOOGLETRANSLATE(A108, ""auto"", ""en""), """")"),"I was hungry")</f>
        <v>I was hungry</v>
      </c>
      <c r="E108" s="5" t="str">
        <f t="shared" ca="1" si="96"/>
        <v>I was hungry</v>
      </c>
      <c r="F108" s="16" t="s">
        <v>12</v>
      </c>
      <c r="G108" s="16"/>
    </row>
    <row r="109" spans="1:7" ht="12.75" x14ac:dyDescent="0.2">
      <c r="A109" s="14" t="s">
        <v>219</v>
      </c>
      <c r="B109" s="17"/>
      <c r="C109" s="17"/>
      <c r="D109" s="5" t="str">
        <f t="shared" ref="D109:E109" ca="1" si="97">IFERROR(__xludf.DUMMYFUNCTION("If (A109&lt;&gt;"""", GOOGLETRANSLATE(A109, ""auto"", ""en""), """")"),"I'm hungry")</f>
        <v>I'm hungry</v>
      </c>
      <c r="E109" s="5" t="str">
        <f t="shared" ca="1" si="97"/>
        <v>I'm hungry</v>
      </c>
      <c r="F109" s="16" t="s">
        <v>12</v>
      </c>
      <c r="G109" s="16"/>
    </row>
    <row r="110" spans="1:7" ht="12.75" x14ac:dyDescent="0.2">
      <c r="A110" s="14" t="s">
        <v>220</v>
      </c>
      <c r="B110" s="17"/>
      <c r="C110" s="17"/>
      <c r="D110" s="5" t="str">
        <f t="shared" ref="D110:E110" ca="1" si="98">IFERROR(__xludf.DUMMYFUNCTION("If (A110&lt;&gt;"""", GOOGLETRANSLATE(A110, ""auto"", ""en""), """")"),"hungry")</f>
        <v>hungry</v>
      </c>
      <c r="E110" s="5" t="str">
        <f t="shared" ca="1" si="98"/>
        <v>hungry</v>
      </c>
      <c r="F110" s="16" t="s">
        <v>12</v>
      </c>
      <c r="G110" s="16"/>
    </row>
    <row r="111" spans="1:7" ht="12.75" x14ac:dyDescent="0.2">
      <c r="A111" s="14" t="s">
        <v>221</v>
      </c>
      <c r="B111" s="17"/>
      <c r="C111" s="17"/>
      <c r="D111" s="5" t="str">
        <f t="shared" ref="D111:E111" ca="1" si="99">IFERROR(__xludf.DUMMYFUNCTION("If (A111&lt;&gt;"""", GOOGLETRANSLATE(A111, ""auto"", ""en""), """")"),"Tired")</f>
        <v>Tired</v>
      </c>
      <c r="E111" s="5" t="str">
        <f t="shared" ca="1" si="99"/>
        <v>Tired</v>
      </c>
      <c r="F111" s="16" t="s">
        <v>12</v>
      </c>
      <c r="G111" s="16"/>
    </row>
    <row r="112" spans="1:7" ht="12.75" x14ac:dyDescent="0.2">
      <c r="A112" s="14" t="s">
        <v>222</v>
      </c>
      <c r="B112" s="17"/>
      <c r="C112" s="17"/>
      <c r="D112" s="5" t="str">
        <f t="shared" ref="D112:E112" ca="1" si="100">IFERROR(__xludf.DUMMYFUNCTION("If (A112&lt;&gt;"""", GOOGLETRANSLATE(A112, ""auto"", ""en""), """")"),"tired")</f>
        <v>tired</v>
      </c>
      <c r="E112" s="5" t="str">
        <f t="shared" ca="1" si="100"/>
        <v>tired</v>
      </c>
      <c r="F112" s="16" t="s">
        <v>12</v>
      </c>
      <c r="G112" s="16"/>
    </row>
    <row r="113" spans="1:7" ht="12.75" x14ac:dyDescent="0.2">
      <c r="A113" s="14" t="s">
        <v>223</v>
      </c>
      <c r="B113" s="17"/>
      <c r="C113" s="17"/>
      <c r="D113" s="5" t="str">
        <f t="shared" ref="D113:E113" ca="1" si="101">IFERROR(__xludf.DUMMYFUNCTION("If (A113&lt;&gt;"""", GOOGLETRANSLATE(A113, ""auto"", ""en""), """")"),"curry")</f>
        <v>curry</v>
      </c>
      <c r="E113" s="5" t="str">
        <f t="shared" ca="1" si="101"/>
        <v>curry</v>
      </c>
      <c r="F113" s="16" t="s">
        <v>12</v>
      </c>
      <c r="G113" s="16"/>
    </row>
    <row r="114" spans="1:7" ht="12.75" x14ac:dyDescent="0.2">
      <c r="A114" s="14" t="s">
        <v>224</v>
      </c>
      <c r="B114" s="17"/>
      <c r="C114" s="17"/>
      <c r="D114" s="5" t="str">
        <f t="shared" ref="D114:E114" ca="1" si="102">IFERROR(__xludf.DUMMYFUNCTION("If (A114&lt;&gt;"""", GOOGLETRANSLATE(A114, ""auto"", ""en""), """")"),"ramen")</f>
        <v>ramen</v>
      </c>
      <c r="E114" s="5" t="str">
        <f t="shared" ca="1" si="102"/>
        <v>ramen</v>
      </c>
      <c r="F114" s="16" t="s">
        <v>12</v>
      </c>
      <c r="G114" s="16"/>
    </row>
    <row r="115" spans="1:7" ht="12.75" x14ac:dyDescent="0.2">
      <c r="A115" s="14" t="s">
        <v>225</v>
      </c>
      <c r="B115" s="17"/>
      <c r="C115" s="17"/>
      <c r="D115" s="5" t="str">
        <f t="shared" ref="D115:E115" ca="1" si="103">IFERROR(__xludf.DUMMYFUNCTION("If (A115&lt;&gt;"""", GOOGLETRANSLATE(A115, ""auto"", ""en""), """")"),"Ramen noodles")</f>
        <v>Ramen noodles</v>
      </c>
      <c r="E115" s="5" t="str">
        <f t="shared" ca="1" si="103"/>
        <v>Ramen noodles</v>
      </c>
      <c r="F115" s="16" t="s">
        <v>12</v>
      </c>
      <c r="G115" s="16"/>
    </row>
    <row r="116" spans="1:7" ht="12.75" x14ac:dyDescent="0.2">
      <c r="A116" s="14" t="s">
        <v>226</v>
      </c>
      <c r="B116" s="17"/>
      <c r="C116" s="17"/>
      <c r="D116" s="5" t="str">
        <f t="shared" ref="D116:E116" ca="1" si="104">IFERROR(__xludf.DUMMYFUNCTION("If (A116&lt;&gt;"""", GOOGLETRANSLATE(A116, ""auto"", ""en""), """")"),"rice")</f>
        <v>rice</v>
      </c>
      <c r="E116" s="5" t="str">
        <f t="shared" ca="1" si="104"/>
        <v>rice</v>
      </c>
      <c r="F116" s="16" t="s">
        <v>12</v>
      </c>
      <c r="G116" s="16"/>
    </row>
    <row r="117" spans="1:7" ht="12.75" x14ac:dyDescent="0.2">
      <c r="A117" s="14" t="s">
        <v>228</v>
      </c>
      <c r="B117" s="17"/>
      <c r="C117" s="17"/>
      <c r="D117" s="5" t="str">
        <f t="shared" ref="D117:E117" ca="1" si="105">IFERROR(__xludf.DUMMYFUNCTION("If (A117&lt;&gt;"""", GOOGLETRANSLATE(A117, ""auto"", ""en""), """")"),"rice")</f>
        <v>rice</v>
      </c>
      <c r="E117" s="5" t="str">
        <f t="shared" ca="1" si="105"/>
        <v>rice</v>
      </c>
      <c r="F117" s="16" t="s">
        <v>12</v>
      </c>
      <c r="G117" s="16"/>
    </row>
    <row r="118" spans="1:7" ht="12.75" x14ac:dyDescent="0.2">
      <c r="A118" s="14" t="s">
        <v>230</v>
      </c>
      <c r="B118" s="17"/>
      <c r="C118" s="17"/>
      <c r="D118" s="5" t="str">
        <f t="shared" ref="D118:E118" ca="1" si="106">IFERROR(__xludf.DUMMYFUNCTION("If (A118&lt;&gt;"""", GOOGLETRANSLATE(A118, ""auto"", ""en""), """")"),"Grilled meat")</f>
        <v>Grilled meat</v>
      </c>
      <c r="E118" s="5" t="str">
        <f t="shared" ca="1" si="106"/>
        <v>Grilled meat</v>
      </c>
      <c r="F118" s="16" t="s">
        <v>12</v>
      </c>
      <c r="G118" s="16"/>
    </row>
    <row r="119" spans="1:7" ht="12.75" x14ac:dyDescent="0.2">
      <c r="A119" s="14" t="s">
        <v>231</v>
      </c>
      <c r="B119" s="17"/>
      <c r="C119" s="17"/>
      <c r="D119" s="5" t="str">
        <f t="shared" ref="D119:E119" ca="1" si="107">IFERROR(__xludf.DUMMYFUNCTION("If (A119&lt;&gt;"""", GOOGLETRANSLATE(A119, ""auto"", ""en""), """")"),"Sushi")</f>
        <v>Sushi</v>
      </c>
      <c r="E119" s="5" t="str">
        <f t="shared" ca="1" si="107"/>
        <v>Sushi</v>
      </c>
      <c r="F119" s="16" t="s">
        <v>12</v>
      </c>
      <c r="G119" s="16"/>
    </row>
    <row r="120" spans="1:7" ht="12.75" x14ac:dyDescent="0.2">
      <c r="A120" s="14" t="s">
        <v>234</v>
      </c>
      <c r="B120" s="17"/>
      <c r="C120" s="17"/>
      <c r="D120" s="5" t="str">
        <f t="shared" ref="D120:E120" ca="1" si="108">IFERROR(__xludf.DUMMYFUNCTION("If (A120&lt;&gt;"""", GOOGLETRANSLATE(A120, ""auto"", ""en""), """")"),"Sushi")</f>
        <v>Sushi</v>
      </c>
      <c r="E120" s="5" t="str">
        <f t="shared" ca="1" si="108"/>
        <v>Sushi</v>
      </c>
      <c r="F120" s="16" t="s">
        <v>12</v>
      </c>
      <c r="G120" s="16"/>
    </row>
    <row r="121" spans="1:7" ht="12.75" x14ac:dyDescent="0.2">
      <c r="A121" s="15" t="s">
        <v>235</v>
      </c>
      <c r="B121" s="17"/>
      <c r="C121" s="17"/>
      <c r="D121" s="5" t="str">
        <f t="shared" ref="D121:E121" ca="1" si="109">IFERROR(__xludf.DUMMYFUNCTION("If (A121&lt;&gt;"""", GOOGLETRANSLATE(A121, ""auto"", ""en""), """")"),"Sushi")</f>
        <v>Sushi</v>
      </c>
      <c r="E121" s="5" t="str">
        <f t="shared" ca="1" si="109"/>
        <v>Sushi</v>
      </c>
      <c r="F121" s="16" t="s">
        <v>12</v>
      </c>
      <c r="G121" s="16"/>
    </row>
    <row r="122" spans="1:7" ht="12.75" x14ac:dyDescent="0.2">
      <c r="A122" s="84" t="s">
        <v>236</v>
      </c>
      <c r="B122" s="85"/>
      <c r="C122" s="86"/>
      <c r="D122" s="2"/>
      <c r="E122" s="2"/>
      <c r="F122" s="3" t="s">
        <v>12</v>
      </c>
      <c r="G122" s="4"/>
    </row>
    <row r="123" spans="1:7" ht="12.75" x14ac:dyDescent="0.2">
      <c r="A123" s="14" t="s">
        <v>237</v>
      </c>
      <c r="B123" s="5" t="s">
        <v>238</v>
      </c>
      <c r="C123" s="5"/>
      <c r="D123" s="5" t="str">
        <f t="shared" ref="D123:E123" ca="1" si="110">IFERROR(__xludf.DUMMYFUNCTION("If (A123&lt;&gt;"""", GOOGLETRANSLATE(A123, ""auto"", ""en""), """")"),"Name is")</f>
        <v>Name is</v>
      </c>
      <c r="E123" s="5" t="str">
        <f t="shared" ca="1" si="110"/>
        <v>Name is</v>
      </c>
      <c r="F123" s="3" t="s">
        <v>12</v>
      </c>
      <c r="G123" s="3"/>
    </row>
    <row r="124" spans="1:7" ht="12.75" x14ac:dyDescent="0.2">
      <c r="A124" s="14" t="s">
        <v>240</v>
      </c>
      <c r="B124" s="17"/>
      <c r="C124" s="17"/>
      <c r="D124" s="5" t="str">
        <f t="shared" ref="D124:E124" ca="1" si="111">IFERROR(__xludf.DUMMYFUNCTION("If (A124&lt;&gt;"""", GOOGLETRANSLATE(A124, ""auto"", ""en""), """")"),"Name is")</f>
        <v>Name is</v>
      </c>
      <c r="E124" s="5" t="str">
        <f t="shared" ca="1" si="111"/>
        <v>Name is</v>
      </c>
      <c r="F124" s="3" t="s">
        <v>12</v>
      </c>
      <c r="G124" s="3"/>
    </row>
    <row r="125" spans="1:7" ht="12.75" x14ac:dyDescent="0.2">
      <c r="A125" s="14" t="s">
        <v>242</v>
      </c>
      <c r="B125" s="17"/>
      <c r="C125" s="17"/>
      <c r="D125" s="5" t="str">
        <f t="shared" ref="D125:E125" ca="1" si="112">IFERROR(__xludf.DUMMYFUNCTION("If (A125&lt;&gt;"""", GOOGLETRANSLATE(A125, ""auto"", ""en""), """")"),"Name")</f>
        <v>Name</v>
      </c>
      <c r="E125" s="5" t="str">
        <f t="shared" ca="1" si="112"/>
        <v>Name</v>
      </c>
      <c r="F125" s="3" t="s">
        <v>12</v>
      </c>
      <c r="G125" s="3"/>
    </row>
    <row r="126" spans="1:7" ht="12.75" x14ac:dyDescent="0.2">
      <c r="A126" s="14" t="s">
        <v>245</v>
      </c>
      <c r="B126" s="17"/>
      <c r="C126" s="17"/>
      <c r="D126" s="5" t="str">
        <f t="shared" ref="D126:E126" ca="1" si="113">IFERROR(__xludf.DUMMYFUNCTION("If (A126&lt;&gt;"""", GOOGLETRANSLATE(A126, ""auto"", ""en""), """")"),"Name is")</f>
        <v>Name is</v>
      </c>
      <c r="E126" s="5" t="str">
        <f t="shared" ca="1" si="113"/>
        <v>Name is</v>
      </c>
      <c r="F126" s="3" t="s">
        <v>12</v>
      </c>
      <c r="G126" s="3"/>
    </row>
    <row r="127" spans="1:7" ht="12.75" x14ac:dyDescent="0.2">
      <c r="A127" s="14" t="s">
        <v>246</v>
      </c>
      <c r="B127" s="17"/>
      <c r="C127" s="17"/>
      <c r="D127" s="5" t="str">
        <f t="shared" ref="D127:E127" ca="1" si="114">IFERROR(__xludf.DUMMYFUNCTION("If (A127&lt;&gt;"""", GOOGLETRANSLATE(A127, ""auto"", ""en""), """")"),"what's your name")</f>
        <v>what's your name</v>
      </c>
      <c r="E127" s="5" t="str">
        <f t="shared" ca="1" si="114"/>
        <v>what's your name</v>
      </c>
      <c r="F127" s="3" t="s">
        <v>12</v>
      </c>
      <c r="G127" s="3"/>
    </row>
    <row r="128" spans="1:7" ht="12.75" x14ac:dyDescent="0.2">
      <c r="A128" s="14" t="s">
        <v>247</v>
      </c>
      <c r="B128" s="17"/>
      <c r="C128" s="17"/>
      <c r="D128" s="5" t="str">
        <f t="shared" ref="D128:E128" ca="1" si="115">IFERROR(__xludf.DUMMYFUNCTION("If (A128&lt;&gt;"""", GOOGLETRANSLATE(A128, ""auto"", ""en""), """")"),"Your name")</f>
        <v>Your name</v>
      </c>
      <c r="E128" s="5" t="str">
        <f t="shared" ca="1" si="115"/>
        <v>Your name</v>
      </c>
      <c r="F128" s="3" t="s">
        <v>12</v>
      </c>
      <c r="G128" s="3"/>
    </row>
    <row r="129" spans="1:7" ht="12.75" x14ac:dyDescent="0.2">
      <c r="A129" s="14" t="s">
        <v>248</v>
      </c>
      <c r="B129" s="17"/>
      <c r="C129" s="17"/>
      <c r="D129" s="5" t="str">
        <f t="shared" ref="D129:E129" ca="1" si="116">IFERROR(__xludf.DUMMYFUNCTION("If (A129&lt;&gt;"""", GOOGLETRANSLATE(A129, ""auto"", ""en""), """")"),"Your name")</f>
        <v>Your name</v>
      </c>
      <c r="E129" s="5" t="str">
        <f t="shared" ca="1" si="116"/>
        <v>Your name</v>
      </c>
      <c r="F129" s="3" t="s">
        <v>12</v>
      </c>
      <c r="G129" s="3"/>
    </row>
    <row r="130" spans="1:7" ht="12.75" x14ac:dyDescent="0.2">
      <c r="A130" s="14" t="s">
        <v>250</v>
      </c>
      <c r="B130" s="17"/>
      <c r="C130" s="17"/>
      <c r="D130" s="5" t="str">
        <f t="shared" ref="D130:E130" ca="1" si="117">IFERROR(__xludf.DUMMYFUNCTION("If (A130&lt;&gt;"""", GOOGLETRANSLATE(A130, ""auto"", ""en""), """")"),"Who are you")</f>
        <v>Who are you</v>
      </c>
      <c r="E130" s="5" t="str">
        <f t="shared" ca="1" si="117"/>
        <v>Who are you</v>
      </c>
      <c r="F130" s="3" t="s">
        <v>12</v>
      </c>
      <c r="G130" s="3"/>
    </row>
    <row r="131" spans="1:7" ht="12.75" x14ac:dyDescent="0.2">
      <c r="A131" s="14" t="s">
        <v>251</v>
      </c>
      <c r="B131" s="17"/>
      <c r="C131" s="17"/>
      <c r="D131" s="5" t="str">
        <f t="shared" ref="D131:E131" ca="1" si="118">IFERROR(__xludf.DUMMYFUNCTION("If (A131&lt;&gt;"""", GOOGLETRANSLATE(A131, ""auto"", ""en""), """")"),"Who are you")</f>
        <v>Who are you</v>
      </c>
      <c r="E131" s="5" t="str">
        <f t="shared" ca="1" si="118"/>
        <v>Who are you</v>
      </c>
      <c r="F131" s="3" t="s">
        <v>12</v>
      </c>
      <c r="G131" s="3"/>
    </row>
    <row r="132" spans="1:7" ht="12.75" x14ac:dyDescent="0.2">
      <c r="A132" s="14" t="s">
        <v>252</v>
      </c>
      <c r="B132" s="17"/>
      <c r="C132" s="17"/>
      <c r="D132" s="5" t="str">
        <f t="shared" ref="D132:E132" ca="1" si="119">IFERROR(__xludf.DUMMYFUNCTION("If (A132&lt;&gt;"""", GOOGLETRANSLATE(A132, ""auto"", ""en""), """")"),"What is your name")</f>
        <v>What is your name</v>
      </c>
      <c r="E132" s="5" t="str">
        <f t="shared" ca="1" si="119"/>
        <v>What is your name</v>
      </c>
      <c r="F132" s="3" t="s">
        <v>12</v>
      </c>
      <c r="G132" s="3"/>
    </row>
    <row r="133" spans="1:7" ht="12.75" x14ac:dyDescent="0.2">
      <c r="A133" s="14" t="s">
        <v>253</v>
      </c>
      <c r="B133" s="17"/>
      <c r="C133" s="17"/>
      <c r="D133" s="5" t="str">
        <f t="shared" ref="D133:E133" ca="1" si="120">IFERROR(__xludf.DUMMYFUNCTION("If (A133&lt;&gt;"""", GOOGLETRANSLATE(A133, ""auto"", ""en""), """")"),"What's your name")</f>
        <v>What's your name</v>
      </c>
      <c r="E133" s="5" t="str">
        <f t="shared" ca="1" si="120"/>
        <v>What's your name</v>
      </c>
      <c r="F133" s="3" t="s">
        <v>12</v>
      </c>
      <c r="G133" s="3"/>
    </row>
    <row r="134" spans="1:7" ht="12.75" x14ac:dyDescent="0.2">
      <c r="A134" s="5" t="s">
        <v>254</v>
      </c>
      <c r="B134" s="17"/>
      <c r="C134" s="17"/>
      <c r="D134" s="5" t="str">
        <f t="shared" ref="D134:E134" ca="1" si="121">IFERROR(__xludf.DUMMYFUNCTION("If (A134&lt;&gt;"""", GOOGLETRANSLATE(A134, ""auto"", ""en""), """")"),"Who are you")</f>
        <v>Who are you</v>
      </c>
      <c r="E134" s="5" t="str">
        <f t="shared" ca="1" si="121"/>
        <v>Who are you</v>
      </c>
      <c r="F134" s="3" t="s">
        <v>12</v>
      </c>
      <c r="G134" s="3"/>
    </row>
    <row r="135" spans="1:7" ht="12.75" x14ac:dyDescent="0.2">
      <c r="A135" s="5" t="s">
        <v>255</v>
      </c>
      <c r="B135" s="17"/>
      <c r="C135" s="17"/>
      <c r="D135" s="5" t="str">
        <f t="shared" ref="D135:E135" ca="1" si="122">IFERROR(__xludf.DUMMYFUNCTION("If (A135&lt;&gt;"""", GOOGLETRANSLATE(A135, ""auto"", ""en""), """")"),"Who is it")</f>
        <v>Who is it</v>
      </c>
      <c r="E135" s="5" t="str">
        <f t="shared" ca="1" si="122"/>
        <v>Who is it</v>
      </c>
      <c r="F135" s="3" t="s">
        <v>12</v>
      </c>
      <c r="G135" s="3"/>
    </row>
    <row r="136" spans="1:7" ht="12.75" x14ac:dyDescent="0.2">
      <c r="A136" s="5" t="s">
        <v>257</v>
      </c>
      <c r="B136" s="17"/>
      <c r="C136" s="17"/>
      <c r="D136" s="5" t="str">
        <f t="shared" ref="D136:E136" ca="1" si="123">IFERROR(__xludf.DUMMYFUNCTION("If (A136&lt;&gt;"""", GOOGLETRANSLATE(A136, ""auto"", ""en""), """")"),"Who")</f>
        <v>Who</v>
      </c>
      <c r="E136" s="5" t="str">
        <f t="shared" ca="1" si="123"/>
        <v>Who</v>
      </c>
      <c r="F136" s="3" t="s">
        <v>12</v>
      </c>
      <c r="G136" s="3"/>
    </row>
    <row r="137" spans="1:7" ht="12.75" x14ac:dyDescent="0.2">
      <c r="A137" s="5" t="s">
        <v>259</v>
      </c>
      <c r="B137" s="17"/>
      <c r="C137" s="17"/>
      <c r="D137" s="5" t="str">
        <f t="shared" ref="D137:E137" ca="1" si="124">IFERROR(__xludf.DUMMYFUNCTION("If (A137&lt;&gt;"""", GOOGLETRANSLATE(A137, ""auto"", ""en""), """")"),"robot")</f>
        <v>robot</v>
      </c>
      <c r="E137" s="5" t="str">
        <f t="shared" ca="1" si="124"/>
        <v>robot</v>
      </c>
      <c r="F137" s="3" t="s">
        <v>12</v>
      </c>
      <c r="G137" s="3"/>
    </row>
    <row r="138" spans="1:7" ht="12.75" x14ac:dyDescent="0.2">
      <c r="A138" s="5" t="s">
        <v>262</v>
      </c>
      <c r="B138" s="17"/>
      <c r="C138" s="17"/>
      <c r="D138" s="5" t="str">
        <f t="shared" ref="D138:E138" ca="1" si="125">IFERROR(__xludf.DUMMYFUNCTION("If (A138&lt;&gt;"""", GOOGLETRANSLATE(A138, ""auto"", ""en""), """")"),"What's")</f>
        <v>What's</v>
      </c>
      <c r="E138" s="5" t="str">
        <f t="shared" ca="1" si="125"/>
        <v>What's</v>
      </c>
      <c r="F138" s="3" t="s">
        <v>12</v>
      </c>
      <c r="G138" s="3"/>
    </row>
    <row r="139" spans="1:7" ht="12.75" x14ac:dyDescent="0.2">
      <c r="A139" s="5" t="s">
        <v>263</v>
      </c>
      <c r="B139" s="17"/>
      <c r="C139" s="17"/>
      <c r="D139" s="5" t="str">
        <f t="shared" ref="D139:E139" ca="1" si="126">IFERROR(__xludf.DUMMYFUNCTION("If (A139&lt;&gt;"""", GOOGLETRANSLATE(A139, ""auto"", ""en""), """")"),"Who")</f>
        <v>Who</v>
      </c>
      <c r="E139" s="5" t="str">
        <f t="shared" ca="1" si="126"/>
        <v>Who</v>
      </c>
      <c r="F139" s="3" t="s">
        <v>12</v>
      </c>
      <c r="G139" s="3"/>
    </row>
    <row r="140" spans="1:7" ht="12.75" x14ac:dyDescent="0.2">
      <c r="A140" s="5" t="s">
        <v>264</v>
      </c>
      <c r="B140" s="17"/>
      <c r="C140" s="17"/>
      <c r="D140" s="5" t="str">
        <f t="shared" ref="D140:E140" ca="1" si="127">IFERROR(__xludf.DUMMYFUNCTION("If (A140&lt;&gt;"""", GOOGLETRANSLATE(A140, ""auto"", ""en""), """")"),"Your name")</f>
        <v>Your name</v>
      </c>
      <c r="E140" s="5" t="str">
        <f t="shared" ca="1" si="127"/>
        <v>Your name</v>
      </c>
      <c r="F140" s="3" t="s">
        <v>12</v>
      </c>
      <c r="G140" s="3"/>
    </row>
    <row r="141" spans="1:7" ht="12.75" x14ac:dyDescent="0.2">
      <c r="A141" s="84" t="s">
        <v>265</v>
      </c>
      <c r="B141" s="85"/>
      <c r="C141" s="86"/>
      <c r="D141" s="2"/>
      <c r="E141" s="2"/>
      <c r="F141" s="3" t="s">
        <v>12</v>
      </c>
      <c r="G141" s="4"/>
    </row>
    <row r="142" spans="1:7" ht="12.75" x14ac:dyDescent="0.2">
      <c r="A142" s="14" t="s">
        <v>267</v>
      </c>
      <c r="B142" s="15" t="s">
        <v>268</v>
      </c>
      <c r="C142" s="15"/>
      <c r="D142" s="5" t="str">
        <f t="shared" ref="D142:E142" ca="1" si="128">IFERROR(__xludf.DUMMYFUNCTION("If (A142&lt;&gt;"""", GOOGLETRANSLATE(A142, ""auto"", ""en""), """")"),"Boring")</f>
        <v>Boring</v>
      </c>
      <c r="E142" s="5" t="str">
        <f t="shared" ca="1" si="128"/>
        <v>Boring</v>
      </c>
      <c r="F142" s="16" t="s">
        <v>12</v>
      </c>
      <c r="G142" s="16"/>
    </row>
    <row r="143" spans="1:7" ht="12.75" x14ac:dyDescent="0.2">
      <c r="A143" s="14" t="s">
        <v>269</v>
      </c>
      <c r="B143" s="17"/>
      <c r="C143" s="17"/>
      <c r="D143" s="5" t="str">
        <f t="shared" ref="D143:E143" ca="1" si="129">IFERROR(__xludf.DUMMYFUNCTION("If (A143&lt;&gt;"""", GOOGLETRANSLATE(A143, ""auto"", ""en""), """")"),"There is no sense")</f>
        <v>There is no sense</v>
      </c>
      <c r="E143" s="5" t="str">
        <f t="shared" ca="1" si="129"/>
        <v>There is no sense</v>
      </c>
      <c r="F143" s="16" t="s">
        <v>12</v>
      </c>
      <c r="G143" s="16"/>
    </row>
    <row r="144" spans="1:7" ht="12.75" x14ac:dyDescent="0.2">
      <c r="A144" s="14" t="s">
        <v>270</v>
      </c>
      <c r="B144" s="17"/>
      <c r="C144" s="17"/>
      <c r="D144" s="5" t="str">
        <f t="shared" ref="D144:E144" ca="1" si="130">IFERROR(__xludf.DUMMYFUNCTION("If (A144&lt;&gt;"""", GOOGLETRANSLATE(A144, ""auto"", ""en""), """")"),"Sense no")</f>
        <v>Sense no</v>
      </c>
      <c r="E144" s="5" t="str">
        <f t="shared" ca="1" si="130"/>
        <v>Sense no</v>
      </c>
      <c r="F144" s="16" t="s">
        <v>12</v>
      </c>
      <c r="G144" s="16"/>
    </row>
    <row r="145" spans="1:7" ht="12.75" x14ac:dyDescent="0.2">
      <c r="A145" s="14" t="s">
        <v>273</v>
      </c>
      <c r="B145" s="17"/>
      <c r="C145" s="17"/>
      <c r="D145" s="5" t="str">
        <f t="shared" ref="D145:E145" ca="1" si="131">IFERROR(__xludf.DUMMYFUNCTION("If (A145&lt;&gt;"""", GOOGLETRANSLATE(A145, ""auto"", ""en""), """")"),"Head bad")</f>
        <v>Head bad</v>
      </c>
      <c r="E145" s="5" t="str">
        <f t="shared" ca="1" si="131"/>
        <v>Head bad</v>
      </c>
      <c r="F145" s="16" t="s">
        <v>12</v>
      </c>
      <c r="G145" s="16"/>
    </row>
    <row r="146" spans="1:7" ht="12.75" x14ac:dyDescent="0.2">
      <c r="A146" s="14" t="s">
        <v>274</v>
      </c>
      <c r="B146" s="17"/>
      <c r="C146" s="17"/>
      <c r="D146" s="5" t="str">
        <f t="shared" ref="D146:E146" ca="1" si="132">IFERROR(__xludf.DUMMYFUNCTION("If (A146&lt;&gt;"""", GOOGLETRANSLATE(A146, ""auto"", ""en""), """")"),"Atamawarui")</f>
        <v>Atamawarui</v>
      </c>
      <c r="E146" s="5" t="str">
        <f t="shared" ca="1" si="132"/>
        <v>Atamawarui</v>
      </c>
      <c r="F146" s="16" t="s">
        <v>12</v>
      </c>
      <c r="G146" s="16"/>
    </row>
    <row r="147" spans="1:7" ht="12.75" x14ac:dyDescent="0.2">
      <c r="A147" s="14" t="s">
        <v>277</v>
      </c>
      <c r="B147" s="17"/>
      <c r="C147" s="17"/>
      <c r="D147" s="5" t="str">
        <f t="shared" ref="D147:E147" ca="1" si="133">IFERROR(__xludf.DUMMYFUNCTION("If (A147&lt;&gt;"""", GOOGLETRANSLATE(A147, ""auto"", ""en""), """")"),"Lower level")</f>
        <v>Lower level</v>
      </c>
      <c r="E147" s="5" t="str">
        <f t="shared" ca="1" si="133"/>
        <v>Lower level</v>
      </c>
      <c r="F147" s="16" t="s">
        <v>12</v>
      </c>
      <c r="G147" s="16"/>
    </row>
    <row r="148" spans="1:7" ht="12.75" x14ac:dyDescent="0.2">
      <c r="A148" s="14" t="s">
        <v>280</v>
      </c>
      <c r="B148" s="17"/>
      <c r="C148" s="17"/>
      <c r="D148" s="5" t="str">
        <f t="shared" ref="D148:E148" ca="1" si="134">IFERROR(__xludf.DUMMYFUNCTION("If (A148&lt;&gt;"""", GOOGLETRANSLATE(A148, ""auto"", ""en""), """")"),"Not clever")</f>
        <v>Not clever</v>
      </c>
      <c r="E148" s="5" t="str">
        <f t="shared" ca="1" si="134"/>
        <v>Not clever</v>
      </c>
      <c r="F148" s="16" t="s">
        <v>12</v>
      </c>
      <c r="G148" s="16"/>
    </row>
    <row r="149" spans="1:7" ht="12.75" x14ac:dyDescent="0.2">
      <c r="A149" s="14" t="s">
        <v>283</v>
      </c>
      <c r="B149" s="17"/>
      <c r="C149" s="17"/>
      <c r="D149" s="5" t="str">
        <f t="shared" ref="D149:E149" ca="1" si="135">IFERROR(__xludf.DUMMYFUNCTION("If (A149&lt;&gt;"""", GOOGLETRANSLATE(A149, ""auto"", ""en""), """")"),"I bad head")</f>
        <v>I bad head</v>
      </c>
      <c r="E149" s="5" t="str">
        <f t="shared" ca="1" si="135"/>
        <v>I bad head</v>
      </c>
      <c r="F149" s="16" t="s">
        <v>12</v>
      </c>
      <c r="G149" s="16"/>
    </row>
    <row r="150" spans="1:7" ht="12.75" x14ac:dyDescent="0.2">
      <c r="A150" s="14" t="s">
        <v>284</v>
      </c>
      <c r="B150" s="17"/>
      <c r="C150" s="17"/>
      <c r="D150" s="5" t="str">
        <f t="shared" ref="D150:E150" ca="1" si="136">IFERROR(__xludf.DUMMYFUNCTION("If (A150&lt;&gt;"""", GOOGLETRANSLATE(A150, ""auto"", ""en""), """")"),"I bad head")</f>
        <v>I bad head</v>
      </c>
      <c r="E150" s="5" t="str">
        <f t="shared" ca="1" si="136"/>
        <v>I bad head</v>
      </c>
      <c r="F150" s="16" t="s">
        <v>12</v>
      </c>
      <c r="G150" s="16"/>
    </row>
    <row r="151" spans="1:7" ht="12.75" x14ac:dyDescent="0.2">
      <c r="A151" s="84" t="s">
        <v>287</v>
      </c>
      <c r="B151" s="85"/>
      <c r="C151" s="86"/>
      <c r="D151" s="2"/>
      <c r="E151" s="2"/>
      <c r="F151" s="3" t="s">
        <v>12</v>
      </c>
      <c r="G151" s="4"/>
    </row>
    <row r="152" spans="1:7" ht="12.75" x14ac:dyDescent="0.2">
      <c r="A152" s="14" t="s">
        <v>290</v>
      </c>
      <c r="B152" s="15" t="s">
        <v>291</v>
      </c>
      <c r="C152" s="15"/>
      <c r="D152" s="5" t="str">
        <f t="shared" ref="D152:E152" ca="1" si="137">IFERROR(__xludf.DUMMYFUNCTION("If (A152&lt;&gt;"""", GOOGLETRANSLATE(A152, ""auto"", ""en""), """")"),"fuck")</f>
        <v>fuck</v>
      </c>
      <c r="E152" s="5" t="str">
        <f t="shared" ca="1" si="137"/>
        <v>fuck</v>
      </c>
      <c r="F152" s="16" t="s">
        <v>12</v>
      </c>
      <c r="G152" s="16"/>
    </row>
    <row r="153" spans="1:7" ht="12.75" x14ac:dyDescent="0.2">
      <c r="A153" s="14" t="s">
        <v>295</v>
      </c>
      <c r="B153" s="17"/>
      <c r="C153" s="17"/>
      <c r="D153" s="5" t="str">
        <f t="shared" ref="D153:E153" ca="1" si="138">IFERROR(__xludf.DUMMYFUNCTION("If (A153&lt;&gt;"""", GOOGLETRANSLATE(A153, ""auto"", ""en""), """")"),"Fuck You")</f>
        <v>Fuck You</v>
      </c>
      <c r="E153" s="5" t="str">
        <f t="shared" ca="1" si="138"/>
        <v>Fuck You</v>
      </c>
      <c r="F153" s="16" t="s">
        <v>12</v>
      </c>
      <c r="G153" s="16"/>
    </row>
    <row r="154" spans="1:7" ht="12.75" x14ac:dyDescent="0.2">
      <c r="A154" s="14" t="s">
        <v>298</v>
      </c>
      <c r="B154" s="17"/>
      <c r="C154" s="17"/>
      <c r="D154" s="5" t="str">
        <f t="shared" ref="D154:E154" ca="1" si="139">IFERROR(__xludf.DUMMYFUNCTION("If (A154&lt;&gt;"""", GOOGLETRANSLATE(A154, ""auto"", ""en""), """")"),"Bitch")</f>
        <v>Bitch</v>
      </c>
      <c r="E154" s="5" t="str">
        <f t="shared" ca="1" si="139"/>
        <v>Bitch</v>
      </c>
      <c r="F154" s="16" t="s">
        <v>12</v>
      </c>
      <c r="G154" s="16"/>
    </row>
    <row r="155" spans="1:7" ht="12.75" x14ac:dyDescent="0.2">
      <c r="A155" s="14" t="s">
        <v>299</v>
      </c>
      <c r="B155" s="17"/>
      <c r="C155" s="17"/>
      <c r="D155" s="5" t="str">
        <f t="shared" ref="D155:E155" ca="1" si="140">IFERROR(__xludf.DUMMYFUNCTION("If (A155&lt;&gt;"""", GOOGLETRANSLATE(A155, ""auto"", ""en""), """")"),"Fool")</f>
        <v>Fool</v>
      </c>
      <c r="E155" s="5" t="str">
        <f t="shared" ca="1" si="140"/>
        <v>Fool</v>
      </c>
      <c r="F155" s="16" t="s">
        <v>12</v>
      </c>
      <c r="G155" s="16"/>
    </row>
    <row r="156" spans="1:7" ht="12.75" x14ac:dyDescent="0.2">
      <c r="A156" s="14" t="s">
        <v>301</v>
      </c>
      <c r="B156" s="17"/>
      <c r="C156" s="17"/>
      <c r="D156" s="5" t="str">
        <f t="shared" ref="D156:E156" ca="1" si="141">IFERROR(__xludf.DUMMYFUNCTION("If (A156&lt;&gt;"""", GOOGLETRANSLATE(A156, ""auto"", ""en""), """")"),"fool")</f>
        <v>fool</v>
      </c>
      <c r="E156" s="5" t="str">
        <f t="shared" ca="1" si="141"/>
        <v>fool</v>
      </c>
      <c r="F156" s="16" t="s">
        <v>12</v>
      </c>
      <c r="G156" s="16"/>
    </row>
    <row r="157" spans="1:7" ht="12.75" x14ac:dyDescent="0.2">
      <c r="A157" s="14" t="s">
        <v>303</v>
      </c>
      <c r="B157" s="17"/>
      <c r="C157" s="17"/>
      <c r="D157" s="5" t="str">
        <f t="shared" ref="D157:E157" ca="1" si="142">IFERROR(__xludf.DUMMYFUNCTION("If (A157&lt;&gt;"""", GOOGLETRANSLATE(A157, ""auto"", ""en""), """")"),"moron")</f>
        <v>moron</v>
      </c>
      <c r="E157" s="5" t="str">
        <f t="shared" ca="1" si="142"/>
        <v>moron</v>
      </c>
      <c r="F157" s="16" t="s">
        <v>12</v>
      </c>
      <c r="G157" s="16"/>
    </row>
    <row r="158" spans="1:7" ht="12.75" x14ac:dyDescent="0.2">
      <c r="A158" s="14" t="s">
        <v>306</v>
      </c>
      <c r="B158" s="17"/>
      <c r="C158" s="17"/>
      <c r="D158" s="5" t="str">
        <f t="shared" ref="D158:E158" ca="1" si="143">IFERROR(__xludf.DUMMYFUNCTION("If (A158&lt;&gt;"""", GOOGLETRANSLATE(A158, ""auto"", ""en""), """")"),"Aho")</f>
        <v>Aho</v>
      </c>
      <c r="E158" s="5" t="str">
        <f t="shared" ca="1" si="143"/>
        <v>Aho</v>
      </c>
      <c r="F158" s="16" t="s">
        <v>12</v>
      </c>
      <c r="G158" s="16"/>
    </row>
    <row r="159" spans="1:7" ht="12.75" x14ac:dyDescent="0.2">
      <c r="A159" s="14" t="s">
        <v>307</v>
      </c>
      <c r="B159" s="17"/>
      <c r="C159" s="17"/>
      <c r="D159" s="5" t="str">
        <f t="shared" ref="D159:E159" ca="1" si="144">IFERROR(__xludf.DUMMYFUNCTION("If (A159&lt;&gt;"""", GOOGLETRANSLATE(A159, ""auto"", ""en""), """")"),"Aho")</f>
        <v>Aho</v>
      </c>
      <c r="E159" s="5" t="str">
        <f t="shared" ca="1" si="144"/>
        <v>Aho</v>
      </c>
      <c r="F159" s="16" t="s">
        <v>12</v>
      </c>
      <c r="G159" s="16"/>
    </row>
    <row r="160" spans="1:7" ht="12.75" x14ac:dyDescent="0.2">
      <c r="A160" s="14" t="s">
        <v>308</v>
      </c>
      <c r="B160" s="17"/>
      <c r="C160" s="17"/>
      <c r="D160" s="5" t="str">
        <f t="shared" ref="D160:E160" ca="1" si="145">IFERROR(__xludf.DUMMYFUNCTION("If (A160&lt;&gt;"""", GOOGLETRANSLATE(A160, ""auto"", ""en""), """")"),"Buss")</f>
        <v>Buss</v>
      </c>
      <c r="E160" s="5" t="str">
        <f t="shared" ca="1" si="145"/>
        <v>Buss</v>
      </c>
      <c r="F160" s="16" t="s">
        <v>12</v>
      </c>
      <c r="G160" s="16"/>
    </row>
    <row r="161" spans="1:7" ht="12.75" x14ac:dyDescent="0.2">
      <c r="A161" s="14" t="s">
        <v>310</v>
      </c>
      <c r="B161" s="17"/>
      <c r="C161" s="17"/>
      <c r="D161" s="5" t="str">
        <f t="shared" ref="D161:E161" ca="1" si="146">IFERROR(__xludf.DUMMYFUNCTION("If (A161&lt;&gt;"""", GOOGLETRANSLATE(A161, ""auto"", ""en""), """")"),"Ugly")</f>
        <v>Ugly</v>
      </c>
      <c r="E161" s="5" t="str">
        <f t="shared" ca="1" si="146"/>
        <v>Ugly</v>
      </c>
      <c r="F161" s="16" t="s">
        <v>12</v>
      </c>
      <c r="G161" s="16"/>
    </row>
    <row r="162" spans="1:7" ht="12.75" x14ac:dyDescent="0.2">
      <c r="A162" s="14" t="s">
        <v>311</v>
      </c>
      <c r="B162" s="17"/>
      <c r="C162" s="17"/>
      <c r="D162" s="5" t="str">
        <f t="shared" ref="D162:E162" ca="1" si="147">IFERROR(__xludf.DUMMYFUNCTION("If (A162&lt;&gt;"""", GOOGLETRANSLATE(A162, ""auto"", ""en""), """")"),"Ugly")</f>
        <v>Ugly</v>
      </c>
      <c r="E162" s="5" t="str">
        <f t="shared" ca="1" si="147"/>
        <v>Ugly</v>
      </c>
      <c r="F162" s="16" t="s">
        <v>12</v>
      </c>
      <c r="G162" s="16"/>
    </row>
    <row r="163" spans="1:7" ht="12.75" x14ac:dyDescent="0.2">
      <c r="A163" s="84" t="s">
        <v>314</v>
      </c>
      <c r="B163" s="85"/>
      <c r="C163" s="86"/>
      <c r="D163" s="2"/>
      <c r="E163" s="2"/>
      <c r="F163" s="3" t="s">
        <v>12</v>
      </c>
      <c r="G163" s="4"/>
    </row>
    <row r="164" spans="1:7" ht="12.75" x14ac:dyDescent="0.2">
      <c r="A164" s="14" t="s">
        <v>315</v>
      </c>
      <c r="B164" s="14" t="s">
        <v>316</v>
      </c>
      <c r="C164" s="14"/>
      <c r="D164" s="5" t="str">
        <f t="shared" ref="D164:E164" ca="1" si="148">IFERROR(__xludf.DUMMYFUNCTION("If (A164&lt;&gt;"""", GOOGLETRANSLATE(A164, ""auto"", ""en""), """")"),"thanks")</f>
        <v>thanks</v>
      </c>
      <c r="E164" s="5" t="str">
        <f t="shared" ca="1" si="148"/>
        <v>thanks</v>
      </c>
      <c r="F164" s="16" t="s">
        <v>12</v>
      </c>
      <c r="G164" s="16"/>
    </row>
    <row r="165" spans="1:7" ht="12.75" x14ac:dyDescent="0.2">
      <c r="A165" s="14" t="s">
        <v>319</v>
      </c>
      <c r="B165" s="14"/>
      <c r="C165" s="14"/>
      <c r="D165" s="5" t="str">
        <f t="shared" ref="D165:E165" ca="1" si="149">IFERROR(__xludf.DUMMYFUNCTION("If (A165&lt;&gt;"""", GOOGLETRANSLATE(A165, ""auto"", ""en""), """")"),"Thank you")</f>
        <v>Thank you</v>
      </c>
      <c r="E165" s="5" t="str">
        <f t="shared" ca="1" si="149"/>
        <v>Thank you</v>
      </c>
      <c r="F165" s="16" t="s">
        <v>12</v>
      </c>
      <c r="G165" s="16"/>
    </row>
    <row r="166" spans="1:7" ht="12.75" x14ac:dyDescent="0.2">
      <c r="A166" s="14" t="s">
        <v>322</v>
      </c>
      <c r="B166" s="14"/>
      <c r="C166" s="14"/>
      <c r="D166" s="5" t="str">
        <f t="shared" ref="D166:E166" ca="1" si="150">IFERROR(__xludf.DUMMYFUNCTION("If (A166&lt;&gt;"""", GOOGLETRANSLATE(A166, ""auto"", ""en""), """")"),"thank")</f>
        <v>thank</v>
      </c>
      <c r="E166" s="5" t="str">
        <f t="shared" ca="1" si="150"/>
        <v>thank</v>
      </c>
      <c r="F166" s="16" t="s">
        <v>12</v>
      </c>
      <c r="G166" s="16"/>
    </row>
    <row r="167" spans="1:7" ht="12.75" x14ac:dyDescent="0.2">
      <c r="A167" s="14" t="s">
        <v>323</v>
      </c>
      <c r="B167" s="23"/>
      <c r="C167" s="23"/>
      <c r="D167" s="5" t="str">
        <f t="shared" ref="D167:E167" ca="1" si="151">IFERROR(__xludf.DUMMYFUNCTION("If (A167&lt;&gt;"""", GOOGLETRANSLATE(A167, ""auto"", ""en""), """")"),"Gujjobu")</f>
        <v>Gujjobu</v>
      </c>
      <c r="E167" s="5" t="str">
        <f t="shared" ca="1" si="151"/>
        <v>Gujjobu</v>
      </c>
      <c r="F167" s="16" t="s">
        <v>12</v>
      </c>
      <c r="G167" s="16"/>
    </row>
    <row r="168" spans="1:7" ht="12.75" x14ac:dyDescent="0.2">
      <c r="A168" s="14" t="s">
        <v>324</v>
      </c>
      <c r="B168" s="23"/>
      <c r="C168" s="23"/>
      <c r="D168" s="5" t="str">
        <f t="shared" ref="D168:E168" ca="1" si="152">IFERROR(__xludf.DUMMYFUNCTION("If (A168&lt;&gt;"""", GOOGLETRANSLATE(A168, ""auto"", ""en""), """")"),"Good Job")</f>
        <v>Good Job</v>
      </c>
      <c r="E168" s="5" t="str">
        <f t="shared" ca="1" si="152"/>
        <v>Good Job</v>
      </c>
      <c r="F168" s="16" t="s">
        <v>12</v>
      </c>
      <c r="G168" s="16"/>
    </row>
    <row r="169" spans="1:7" ht="12.75" x14ac:dyDescent="0.2">
      <c r="A169" s="14" t="s">
        <v>327</v>
      </c>
      <c r="B169" s="23"/>
      <c r="C169" s="23"/>
      <c r="D169" s="5" t="str">
        <f t="shared" ref="D169:E169" ca="1" si="153">IFERROR(__xludf.DUMMYFUNCTION("If (A169&lt;&gt;"""", GOOGLETRANSLATE(A169, ""auto"", ""en""), """")"),"Thank you")</f>
        <v>Thank you</v>
      </c>
      <c r="E169" s="5" t="str">
        <f t="shared" ca="1" si="153"/>
        <v>Thank you</v>
      </c>
      <c r="F169" s="16" t="s">
        <v>12</v>
      </c>
      <c r="G169" s="16"/>
    </row>
    <row r="170" spans="1:7" ht="12.75" x14ac:dyDescent="0.2">
      <c r="A170" s="14" t="s">
        <v>328</v>
      </c>
      <c r="B170" s="23"/>
      <c r="C170" s="23"/>
      <c r="D170" s="5" t="str">
        <f t="shared" ref="D170:E170" ca="1" si="154">IFERROR(__xludf.DUMMYFUNCTION("If (A170&lt;&gt;"""", GOOGLETRANSLATE(A170, ""auto"", ""en""), """")"),"Thanks")</f>
        <v>Thanks</v>
      </c>
      <c r="E170" s="5" t="str">
        <f t="shared" ca="1" si="154"/>
        <v>Thanks</v>
      </c>
      <c r="F170" s="16" t="s">
        <v>12</v>
      </c>
      <c r="G170" s="16"/>
    </row>
    <row r="171" spans="1:7" ht="12.75" x14ac:dyDescent="0.2">
      <c r="A171" s="14" t="s">
        <v>331</v>
      </c>
      <c r="B171" s="23"/>
      <c r="C171" s="23"/>
      <c r="D171" s="5" t="str">
        <f t="shared" ref="D171:E171" ca="1" si="155">IFERROR(__xludf.DUMMYFUNCTION("If (A171&lt;&gt;"""", GOOGLETRANSLATE(A171, ""auto"", ""en""), """")"),"Thank Arigato")</f>
        <v>Thank Arigato</v>
      </c>
      <c r="E171" s="5" t="str">
        <f t="shared" ca="1" si="155"/>
        <v>Thank Arigato</v>
      </c>
      <c r="F171" s="16" t="s">
        <v>12</v>
      </c>
      <c r="G171" s="16"/>
    </row>
    <row r="172" spans="1:7" ht="12.75" x14ac:dyDescent="0.2">
      <c r="A172" s="14" t="s">
        <v>333</v>
      </c>
      <c r="B172" s="23"/>
      <c r="C172" s="23"/>
      <c r="D172" s="5" t="str">
        <f t="shared" ref="D172:E172" ca="1" si="156">IFERROR(__xludf.DUMMYFUNCTION("If (A172&lt;&gt;"""", GOOGLETRANSLATE(A172, ""auto"", ""en""), """")"),"Thank you")</f>
        <v>Thank you</v>
      </c>
      <c r="E172" s="5" t="str">
        <f t="shared" ca="1" si="156"/>
        <v>Thank you</v>
      </c>
      <c r="F172" s="16" t="s">
        <v>12</v>
      </c>
      <c r="G172" s="16"/>
    </row>
    <row r="173" spans="1:7" ht="12.75" x14ac:dyDescent="0.2">
      <c r="A173" s="84" t="s">
        <v>334</v>
      </c>
      <c r="B173" s="85"/>
      <c r="C173" s="86"/>
      <c r="D173" s="2"/>
      <c r="E173" s="2"/>
      <c r="F173" s="3" t="s">
        <v>12</v>
      </c>
      <c r="G173" s="4"/>
    </row>
    <row r="174" spans="1:7" ht="12.75" x14ac:dyDescent="0.2">
      <c r="A174" s="14" t="s">
        <v>335</v>
      </c>
      <c r="B174" s="14" t="s">
        <v>336</v>
      </c>
      <c r="C174" s="14"/>
      <c r="D174" s="5" t="str">
        <f t="shared" ref="D174:E174" ca="1" si="157">IFERROR(__xludf.DUMMYFUNCTION("If (A174&lt;&gt;"""", GOOGLETRANSLATE(A174, ""auto"", ""en""), """")"),"Tiny")</f>
        <v>Tiny</v>
      </c>
      <c r="E174" s="5" t="str">
        <f t="shared" ca="1" si="157"/>
        <v>Tiny</v>
      </c>
      <c r="F174" s="16" t="s">
        <v>12</v>
      </c>
      <c r="G174" s="16"/>
    </row>
    <row r="175" spans="1:7" ht="12.75" x14ac:dyDescent="0.2">
      <c r="A175" s="14" t="s">
        <v>337</v>
      </c>
      <c r="B175" s="14" t="s">
        <v>338</v>
      </c>
      <c r="C175" s="14"/>
      <c r="D175" s="5" t="str">
        <f t="shared" ref="D175:E175" ca="1" si="158">IFERROR(__xludf.DUMMYFUNCTION("If (A175&lt;&gt;"""", GOOGLETRANSLATE(A175, ""auto"", ""en""), """")"),"cute")</f>
        <v>cute</v>
      </c>
      <c r="E175" s="5" t="str">
        <f t="shared" ca="1" si="158"/>
        <v>cute</v>
      </c>
      <c r="F175" s="16" t="s">
        <v>12</v>
      </c>
      <c r="G175" s="16"/>
    </row>
    <row r="176" spans="1:7" ht="12.75" x14ac:dyDescent="0.2">
      <c r="A176" s="14" t="s">
        <v>339</v>
      </c>
      <c r="B176" s="14" t="s">
        <v>340</v>
      </c>
      <c r="C176" s="14"/>
      <c r="D176" s="5" t="str">
        <f t="shared" ref="D176:E176" ca="1" si="159">IFERROR(__xludf.DUMMYFUNCTION("If (A176&lt;&gt;"""", GOOGLETRANSLATE(A176, ""auto"", ""en""), """")"),"Pretty")</f>
        <v>Pretty</v>
      </c>
      <c r="E176" s="5" t="str">
        <f t="shared" ca="1" si="159"/>
        <v>Pretty</v>
      </c>
      <c r="F176" s="16" t="s">
        <v>12</v>
      </c>
      <c r="G176" s="16"/>
    </row>
    <row r="177" spans="1:7" ht="12.75" x14ac:dyDescent="0.2">
      <c r="A177" s="14" t="s">
        <v>343</v>
      </c>
      <c r="B177" s="23"/>
      <c r="C177" s="23"/>
      <c r="D177" s="5" t="str">
        <f t="shared" ref="D177:E177" ca="1" si="160">IFERROR(__xludf.DUMMYFUNCTION("If (A177&lt;&gt;"""", GOOGLETRANSLATE(A177, ""auto"", ""en""), """")"),"That's beautiful")</f>
        <v>That's beautiful</v>
      </c>
      <c r="E177" s="5" t="str">
        <f t="shared" ca="1" si="160"/>
        <v>That's beautiful</v>
      </c>
      <c r="F177" s="16" t="s">
        <v>12</v>
      </c>
      <c r="G177" s="16"/>
    </row>
    <row r="178" spans="1:7" ht="12.75" x14ac:dyDescent="0.2">
      <c r="A178" s="14" t="s">
        <v>346</v>
      </c>
      <c r="B178" s="23"/>
      <c r="C178" s="23"/>
      <c r="D178" s="5" t="str">
        <f t="shared" ref="D178:E178" ca="1" si="161">IFERROR(__xludf.DUMMYFUNCTION("If (A178&lt;&gt;"""", GOOGLETRANSLATE(A178, ""auto"", ""en""), """")"),"Beautiful")</f>
        <v>Beautiful</v>
      </c>
      <c r="E178" s="5" t="str">
        <f t="shared" ca="1" si="161"/>
        <v>Beautiful</v>
      </c>
      <c r="F178" s="16" t="s">
        <v>12</v>
      </c>
      <c r="G178" s="16"/>
    </row>
    <row r="179" spans="1:7" ht="12.75" x14ac:dyDescent="0.2">
      <c r="A179" s="14" t="s">
        <v>347</v>
      </c>
      <c r="B179" s="23"/>
      <c r="C179" s="23"/>
      <c r="D179" s="5" t="str">
        <f t="shared" ref="D179:E179" ca="1" si="162">IFERROR(__xludf.DUMMYFUNCTION("If (A179&lt;&gt;"""", GOOGLETRANSLATE(A179, ""auto"", ""en""), """")"),"Beauty")</f>
        <v>Beauty</v>
      </c>
      <c r="E179" s="5" t="str">
        <f t="shared" ca="1" si="162"/>
        <v>Beauty</v>
      </c>
      <c r="F179" s="16" t="s">
        <v>12</v>
      </c>
      <c r="G179" s="16"/>
    </row>
    <row r="180" spans="1:7" ht="12.75" x14ac:dyDescent="0.2">
      <c r="A180" s="14" t="s">
        <v>350</v>
      </c>
      <c r="B180" s="23"/>
      <c r="C180" s="23"/>
      <c r="D180" s="5" t="str">
        <f t="shared" ref="D180:E180" ca="1" si="163">IFERROR(__xludf.DUMMYFUNCTION("If (A180&lt;&gt;"""", GOOGLETRANSLATE(A180, ""auto"", ""en""), """")"),"Beauty")</f>
        <v>Beauty</v>
      </c>
      <c r="E180" s="5" t="str">
        <f t="shared" ca="1" si="163"/>
        <v>Beauty</v>
      </c>
      <c r="F180" s="16" t="s">
        <v>12</v>
      </c>
      <c r="G180" s="16"/>
    </row>
    <row r="181" spans="1:7" ht="12.75" x14ac:dyDescent="0.2">
      <c r="A181" s="14" t="s">
        <v>354</v>
      </c>
      <c r="B181" s="23"/>
      <c r="C181" s="23"/>
      <c r="D181" s="5" t="str">
        <f t="shared" ref="D181:E181" ca="1" si="164">IFERROR(__xludf.DUMMYFUNCTION("If (A181&lt;&gt;"""", GOOGLETRANSLATE(A181, ""auto"", ""en""), """")"),"it's beautiful")</f>
        <v>it's beautiful</v>
      </c>
      <c r="E181" s="5" t="str">
        <f t="shared" ca="1" si="164"/>
        <v>it's beautiful</v>
      </c>
      <c r="F181" s="16" t="s">
        <v>12</v>
      </c>
      <c r="G181" s="16"/>
    </row>
    <row r="182" spans="1:7" ht="12.75" x14ac:dyDescent="0.2">
      <c r="A182" s="14" t="s">
        <v>355</v>
      </c>
      <c r="B182" s="23"/>
      <c r="C182" s="23"/>
      <c r="D182" s="5" t="str">
        <f t="shared" ref="D182:E182" ca="1" si="165">IFERROR(__xludf.DUMMYFUNCTION("If (A182&lt;&gt;"""", GOOGLETRANSLATE(A182, ""auto"", ""en""), """")"),"Good head")</f>
        <v>Good head</v>
      </c>
      <c r="E182" s="5" t="str">
        <f t="shared" ca="1" si="165"/>
        <v>Good head</v>
      </c>
      <c r="F182" s="16" t="s">
        <v>12</v>
      </c>
      <c r="G182" s="16"/>
    </row>
    <row r="183" spans="1:7" ht="12.75" x14ac:dyDescent="0.2">
      <c r="A183" s="14" t="s">
        <v>360</v>
      </c>
      <c r="B183" s="23"/>
      <c r="C183" s="23"/>
      <c r="D183" s="5" t="str">
        <f t="shared" ref="D183:E183" ca="1" si="166">IFERROR(__xludf.DUMMYFUNCTION("If (A183&lt;&gt;"""", GOOGLETRANSLATE(A183, ""auto"", ""en""), """")"),"I hope your head")</f>
        <v>I hope your head</v>
      </c>
      <c r="E183" s="5" t="str">
        <f t="shared" ca="1" si="166"/>
        <v>I hope your head</v>
      </c>
      <c r="F183" s="16" t="s">
        <v>12</v>
      </c>
      <c r="G183" s="16"/>
    </row>
    <row r="184" spans="1:7" ht="12.75" x14ac:dyDescent="0.2">
      <c r="A184" s="14" t="s">
        <v>361</v>
      </c>
      <c r="B184" s="23"/>
      <c r="C184" s="23"/>
      <c r="D184" s="5" t="str">
        <f t="shared" ref="D184:E184" ca="1" si="167">IFERROR(__xludf.DUMMYFUNCTION("If (A184&lt;&gt;"""", GOOGLETRANSLATE(A184, ""auto"", ""en""), """")"),"Clever")</f>
        <v>Clever</v>
      </c>
      <c r="E184" s="5" t="str">
        <f t="shared" ca="1" si="167"/>
        <v>Clever</v>
      </c>
      <c r="F184" s="16" t="s">
        <v>12</v>
      </c>
      <c r="G184" s="16"/>
    </row>
    <row r="185" spans="1:7" ht="12.75" x14ac:dyDescent="0.2">
      <c r="A185" s="14" t="s">
        <v>362</v>
      </c>
      <c r="B185" s="23"/>
      <c r="C185" s="23"/>
      <c r="D185" s="5" t="str">
        <f t="shared" ref="D185:E185" ca="1" si="168">IFERROR(__xludf.DUMMYFUNCTION("If (A185&lt;&gt;"""", GOOGLETRANSLATE(A185, ""auto"", ""en""), """")"),"I Clever")</f>
        <v>I Clever</v>
      </c>
      <c r="E185" s="5" t="str">
        <f t="shared" ca="1" si="168"/>
        <v>I Clever</v>
      </c>
      <c r="F185" s="16" t="s">
        <v>12</v>
      </c>
      <c r="G185" s="16"/>
    </row>
    <row r="186" spans="1:7" ht="12.75" x14ac:dyDescent="0.2">
      <c r="A186" s="84" t="s">
        <v>363</v>
      </c>
      <c r="B186" s="85"/>
      <c r="C186" s="86"/>
      <c r="D186" s="2"/>
      <c r="E186" s="2"/>
      <c r="F186" s="3" t="s">
        <v>12</v>
      </c>
      <c r="G186" s="4"/>
    </row>
    <row r="187" spans="1:7" ht="12.75" x14ac:dyDescent="0.2">
      <c r="A187" s="20"/>
      <c r="B187" s="20"/>
      <c r="C187" s="20"/>
      <c r="D187" s="5" t="str">
        <f t="shared" ref="D187:E187" ca="1" si="169">IFERROR(__xludf.DUMMYFUNCTION("If (A187&lt;&gt;"""", GOOGLETRANSLATE(A187, ""auto"", ""en""), """")"),"")</f>
        <v/>
      </c>
      <c r="E187" s="5" t="str">
        <f t="shared" ca="1" si="169"/>
        <v/>
      </c>
      <c r="F187" s="21"/>
      <c r="G187" s="21"/>
    </row>
    <row r="188" spans="1:7" ht="12.75" x14ac:dyDescent="0.2">
      <c r="A188" s="20"/>
      <c r="B188" s="20"/>
      <c r="C188" s="20"/>
      <c r="D188" s="5" t="str">
        <f t="shared" ref="D188:E188" ca="1" si="170">IFERROR(__xludf.DUMMYFUNCTION("If (A188&lt;&gt;"""", GOOGLETRANSLATE(A188, ""auto"", ""en""), """")"),"")</f>
        <v/>
      </c>
      <c r="E188" s="5" t="str">
        <f t="shared" ca="1" si="170"/>
        <v/>
      </c>
      <c r="F188" s="21"/>
      <c r="G188" s="21"/>
    </row>
    <row r="189" spans="1:7" ht="12.75" x14ac:dyDescent="0.2">
      <c r="A189" s="20"/>
      <c r="B189" s="20"/>
      <c r="C189" s="20"/>
      <c r="D189" s="5" t="str">
        <f t="shared" ref="D189:E189" ca="1" si="171">IFERROR(__xludf.DUMMYFUNCTION("If (A189&lt;&gt;"""", GOOGLETRANSLATE(A189, ""auto"", ""en""), """")"),"")</f>
        <v/>
      </c>
      <c r="E189" s="5" t="str">
        <f t="shared" ca="1" si="171"/>
        <v/>
      </c>
      <c r="F189" s="21"/>
      <c r="G189" s="21"/>
    </row>
    <row r="190" spans="1:7" ht="12.75" x14ac:dyDescent="0.2">
      <c r="A190" s="29"/>
      <c r="B190" s="17"/>
      <c r="C190" s="17"/>
      <c r="D190" s="5" t="str">
        <f t="shared" ref="D190:E190" ca="1" si="172">IFERROR(__xludf.DUMMYFUNCTION("If (A190&lt;&gt;"""", GOOGLETRANSLATE(A190, ""auto"", ""en""), """")"),"")</f>
        <v/>
      </c>
      <c r="E190" s="5" t="str">
        <f t="shared" ca="1" si="172"/>
        <v/>
      </c>
      <c r="F190" s="30"/>
      <c r="G190" s="30"/>
    </row>
    <row r="191" spans="1:7" ht="12.75" x14ac:dyDescent="0.2">
      <c r="A191" s="29"/>
      <c r="B191" s="17"/>
      <c r="C191" s="17"/>
      <c r="D191" s="5" t="str">
        <f t="shared" ref="D191:E191" ca="1" si="173">IFERROR(__xludf.DUMMYFUNCTION("If (A191&lt;&gt;"""", GOOGLETRANSLATE(A191, ""auto"", ""en""), """")"),"")</f>
        <v/>
      </c>
      <c r="E191" s="5" t="str">
        <f t="shared" ca="1" si="173"/>
        <v/>
      </c>
      <c r="F191" s="30"/>
      <c r="G191" s="30"/>
    </row>
    <row r="192" spans="1:7" ht="12.75" x14ac:dyDescent="0.2">
      <c r="A192" s="29"/>
      <c r="B192" s="17"/>
      <c r="C192" s="17"/>
      <c r="D192" s="5" t="str">
        <f t="shared" ref="D192:E192" ca="1" si="174">IFERROR(__xludf.DUMMYFUNCTION("If (A192&lt;&gt;"""", GOOGLETRANSLATE(A192, ""auto"", ""en""), """")"),"")</f>
        <v/>
      </c>
      <c r="E192" s="5" t="str">
        <f t="shared" ca="1" si="174"/>
        <v/>
      </c>
      <c r="F192" s="30"/>
      <c r="G192" s="30"/>
    </row>
    <row r="193" spans="1:7" ht="12.75" x14ac:dyDescent="0.2">
      <c r="A193" s="29"/>
      <c r="B193" s="17"/>
      <c r="C193" s="17"/>
      <c r="D193" s="5" t="str">
        <f t="shared" ref="D193:E193" ca="1" si="175">IFERROR(__xludf.DUMMYFUNCTION("If (A193&lt;&gt;"""", GOOGLETRANSLATE(A193, ""auto"", ""en""), """")"),"")</f>
        <v/>
      </c>
      <c r="E193" s="5" t="str">
        <f t="shared" ca="1" si="175"/>
        <v/>
      </c>
      <c r="F193" s="30"/>
      <c r="G193" s="30"/>
    </row>
    <row r="194" spans="1:7" ht="12.75" x14ac:dyDescent="0.2">
      <c r="A194" s="29"/>
      <c r="B194" s="17"/>
      <c r="C194" s="17"/>
      <c r="D194" s="5" t="str">
        <f t="shared" ref="D194:E194" ca="1" si="176">IFERROR(__xludf.DUMMYFUNCTION("If (A194&lt;&gt;"""", GOOGLETRANSLATE(A194, ""auto"", ""en""), """")"),"")</f>
        <v/>
      </c>
      <c r="E194" s="5" t="str">
        <f t="shared" ca="1" si="176"/>
        <v/>
      </c>
      <c r="F194" s="30"/>
      <c r="G194" s="30"/>
    </row>
    <row r="195" spans="1:7" ht="12.75" x14ac:dyDescent="0.2">
      <c r="A195" s="29"/>
      <c r="B195" s="17"/>
      <c r="C195" s="17"/>
      <c r="D195" s="5" t="str">
        <f t="shared" ref="D195:E195" ca="1" si="177">IFERROR(__xludf.DUMMYFUNCTION("If (A195&lt;&gt;"""", GOOGLETRANSLATE(A195, ""auto"", ""en""), """")"),"")</f>
        <v/>
      </c>
      <c r="E195" s="5" t="str">
        <f t="shared" ca="1" si="177"/>
        <v/>
      </c>
      <c r="F195" s="30"/>
      <c r="G195" s="30"/>
    </row>
    <row r="196" spans="1:7" ht="12.75" x14ac:dyDescent="0.2">
      <c r="A196" s="29"/>
      <c r="B196" s="17"/>
      <c r="C196" s="17"/>
      <c r="D196" s="5" t="str">
        <f t="shared" ref="D196:E196" ca="1" si="178">IFERROR(__xludf.DUMMYFUNCTION("If (A196&lt;&gt;"""", GOOGLETRANSLATE(A196, ""auto"", ""en""), """")"),"")</f>
        <v/>
      </c>
      <c r="E196" s="5" t="str">
        <f t="shared" ca="1" si="178"/>
        <v/>
      </c>
      <c r="F196" s="30"/>
      <c r="G196" s="30"/>
    </row>
    <row r="197" spans="1:7" ht="12.75" x14ac:dyDescent="0.2">
      <c r="A197" s="29"/>
      <c r="B197" s="17"/>
      <c r="C197" s="17"/>
      <c r="D197" s="5" t="str">
        <f t="shared" ref="D197:E197" ca="1" si="179">IFERROR(__xludf.DUMMYFUNCTION("If (A197&lt;&gt;"""", GOOGLETRANSLATE(A197, ""auto"", ""en""), """")"),"")</f>
        <v/>
      </c>
      <c r="E197" s="5" t="str">
        <f t="shared" ca="1" si="179"/>
        <v/>
      </c>
      <c r="F197" s="30"/>
      <c r="G197" s="30"/>
    </row>
    <row r="198" spans="1:7" ht="12.75" x14ac:dyDescent="0.2">
      <c r="A198" s="29"/>
      <c r="B198" s="17"/>
      <c r="C198" s="17"/>
      <c r="D198" s="5" t="str">
        <f t="shared" ref="D198:E198" ca="1" si="180">IFERROR(__xludf.DUMMYFUNCTION("If (A198&lt;&gt;"""", GOOGLETRANSLATE(A198, ""auto"", ""en""), """")"),"")</f>
        <v/>
      </c>
      <c r="E198" s="5" t="str">
        <f t="shared" ca="1" si="180"/>
        <v/>
      </c>
      <c r="F198" s="30"/>
      <c r="G198" s="30"/>
    </row>
    <row r="199" spans="1:7" ht="12.75" x14ac:dyDescent="0.2">
      <c r="A199" s="17"/>
      <c r="B199" s="17"/>
      <c r="C199" s="17"/>
      <c r="D199" s="5" t="str">
        <f t="shared" ref="D199:E199" ca="1" si="181">IFERROR(__xludf.DUMMYFUNCTION("If (A199&lt;&gt;"""", GOOGLETRANSLATE(A199, ""auto"", ""en""), """")"),"")</f>
        <v/>
      </c>
      <c r="E199" s="5" t="str">
        <f t="shared" ca="1" si="181"/>
        <v/>
      </c>
      <c r="F199" s="30"/>
      <c r="G199" s="30"/>
    </row>
    <row r="200" spans="1:7" ht="12.75" x14ac:dyDescent="0.2">
      <c r="A200" s="17"/>
      <c r="B200" s="17"/>
      <c r="C200" s="17"/>
      <c r="D200" s="5" t="str">
        <f t="shared" ref="D200:E200" ca="1" si="182">IFERROR(__xludf.DUMMYFUNCTION("If (A200&lt;&gt;"""", GOOGLETRANSLATE(A200, ""auto"", ""en""), """")"),"")</f>
        <v/>
      </c>
      <c r="E200" s="5" t="str">
        <f t="shared" ca="1" si="182"/>
        <v/>
      </c>
      <c r="F200" s="30"/>
      <c r="G200" s="30"/>
    </row>
    <row r="201" spans="1:7" ht="12.75" x14ac:dyDescent="0.2">
      <c r="A201" s="17"/>
      <c r="B201" s="17"/>
      <c r="C201" s="17"/>
      <c r="D201" s="5" t="str">
        <f t="shared" ref="D201:E201" ca="1" si="183">IFERROR(__xludf.DUMMYFUNCTION("If (A201&lt;&gt;"""", GOOGLETRANSLATE(A201, ""auto"", ""en""), """")"),"")</f>
        <v/>
      </c>
      <c r="E201" s="5" t="str">
        <f t="shared" ca="1" si="183"/>
        <v/>
      </c>
      <c r="F201" s="30"/>
      <c r="G201" s="30"/>
    </row>
    <row r="202" spans="1:7" ht="12.75" x14ac:dyDescent="0.2">
      <c r="A202" s="17"/>
      <c r="B202" s="17"/>
      <c r="C202" s="17"/>
      <c r="D202" s="5" t="str">
        <f t="shared" ref="D202:E202" ca="1" si="184">IFERROR(__xludf.DUMMYFUNCTION("If (A202&lt;&gt;"""", GOOGLETRANSLATE(A202, ""auto"", ""en""), """")"),"")</f>
        <v/>
      </c>
      <c r="E202" s="5" t="str">
        <f t="shared" ca="1" si="184"/>
        <v/>
      </c>
      <c r="F202" s="30"/>
      <c r="G202" s="30"/>
    </row>
    <row r="203" spans="1:7" ht="12.75" x14ac:dyDescent="0.2">
      <c r="A203" s="17"/>
      <c r="B203" s="17"/>
      <c r="C203" s="17"/>
      <c r="D203" s="5" t="str">
        <f t="shared" ref="D203:E203" ca="1" si="185">IFERROR(__xludf.DUMMYFUNCTION("If (A203&lt;&gt;"""", GOOGLETRANSLATE(A203, ""auto"", ""en""), """")"),"")</f>
        <v/>
      </c>
      <c r="E203" s="5" t="str">
        <f t="shared" ca="1" si="185"/>
        <v/>
      </c>
      <c r="F203" s="30"/>
      <c r="G203" s="30"/>
    </row>
  </sheetData>
  <mergeCells count="19">
    <mergeCell ref="A44:C44"/>
    <mergeCell ref="A173:C173"/>
    <mergeCell ref="A186:C186"/>
    <mergeCell ref="A163:C163"/>
    <mergeCell ref="A105:C105"/>
    <mergeCell ref="A95:C95"/>
    <mergeCell ref="A141:C141"/>
    <mergeCell ref="A122:C122"/>
    <mergeCell ref="A68:C68"/>
    <mergeCell ref="A81:C81"/>
    <mergeCell ref="A58:C58"/>
    <mergeCell ref="A151:C151"/>
    <mergeCell ref="A31:C31"/>
    <mergeCell ref="A3:C3"/>
    <mergeCell ref="A1:C1"/>
    <mergeCell ref="D1:G1"/>
    <mergeCell ref="A11:C11"/>
    <mergeCell ref="A17:C17"/>
    <mergeCell ref="A19:C19"/>
  </mergeCells>
  <conditionalFormatting sqref="F2:G203">
    <cfRule type="cellIs" dxfId="31" priority="1" operator="equal">
      <formula>"done"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3165"/>
  <sheetViews>
    <sheetView showGridLines="0" workbookViewId="0"/>
  </sheetViews>
  <sheetFormatPr defaultColWidth="14.42578125" defaultRowHeight="15.75" customHeight="1" x14ac:dyDescent="0.2"/>
  <cols>
    <col min="1" max="1" width="50" customWidth="1"/>
    <col min="2" max="2" width="15.7109375" customWidth="1"/>
    <col min="3" max="3" width="80" customWidth="1"/>
    <col min="4" max="4" width="21.7109375" customWidth="1"/>
    <col min="5" max="5" width="49.42578125" customWidth="1"/>
  </cols>
  <sheetData>
    <row r="1" spans="1:5" ht="15.75" customHeight="1" x14ac:dyDescent="0.2">
      <c r="A1" s="36" t="s">
        <v>33</v>
      </c>
      <c r="B1" s="37"/>
      <c r="C1" s="37"/>
      <c r="D1" s="37"/>
      <c r="E1" s="37"/>
    </row>
    <row r="2" spans="1:5" ht="15.75" customHeight="1" x14ac:dyDescent="0.2">
      <c r="A2" s="37"/>
      <c r="B2" s="36" t="s">
        <v>398</v>
      </c>
      <c r="C2" s="37"/>
      <c r="D2" s="37"/>
      <c r="E2" s="37"/>
    </row>
    <row r="3" spans="1:5" ht="15.75" customHeight="1" x14ac:dyDescent="0.2">
      <c r="A3" s="37"/>
      <c r="B3" s="36" t="s">
        <v>399</v>
      </c>
      <c r="C3" s="37"/>
      <c r="D3" s="37"/>
      <c r="E3" s="37"/>
    </row>
    <row r="4" spans="1:5" ht="15.75" customHeight="1" x14ac:dyDescent="0.2">
      <c r="A4" s="37"/>
      <c r="B4" s="36" t="s">
        <v>400</v>
      </c>
      <c r="C4" s="37"/>
      <c r="D4" s="37"/>
      <c r="E4" s="37"/>
    </row>
    <row r="5" spans="1:5" ht="15.75" customHeight="1" x14ac:dyDescent="0.2">
      <c r="A5" s="37"/>
      <c r="B5" s="36" t="s">
        <v>401</v>
      </c>
      <c r="C5" s="36" t="s">
        <v>33</v>
      </c>
      <c r="D5" s="37"/>
      <c r="E5" s="37"/>
    </row>
    <row r="6" spans="1:5" ht="15.75" customHeight="1" x14ac:dyDescent="0.2">
      <c r="A6" s="37"/>
      <c r="B6" s="36" t="s">
        <v>402</v>
      </c>
      <c r="C6" s="36" t="s">
        <v>35</v>
      </c>
      <c r="D6" s="37"/>
      <c r="E6" s="37"/>
    </row>
    <row r="7" spans="1:5" ht="15.75" customHeight="1" x14ac:dyDescent="0.2">
      <c r="A7" s="37"/>
      <c r="B7" s="36" t="s">
        <v>402</v>
      </c>
      <c r="C7" s="36" t="s">
        <v>22</v>
      </c>
      <c r="D7" s="37"/>
      <c r="E7" s="37"/>
    </row>
    <row r="8" spans="1:5" ht="15.75" customHeight="1" x14ac:dyDescent="0.2">
      <c r="A8" s="37"/>
      <c r="B8" s="36" t="s">
        <v>403</v>
      </c>
      <c r="C8" s="36" t="s">
        <v>25</v>
      </c>
      <c r="D8" s="36" t="s">
        <v>27</v>
      </c>
      <c r="E8" s="37"/>
    </row>
    <row r="9" spans="1:5" ht="15.75" customHeight="1" x14ac:dyDescent="0.2">
      <c r="A9" s="37"/>
      <c r="B9" s="36" t="s">
        <v>403</v>
      </c>
      <c r="C9" s="36" t="s">
        <v>30</v>
      </c>
      <c r="D9" s="36" t="s">
        <v>31</v>
      </c>
      <c r="E9" s="37"/>
    </row>
    <row r="10" spans="1:5" ht="15.75" customHeight="1" x14ac:dyDescent="0.2">
      <c r="A10" s="37"/>
      <c r="B10" s="36" t="s">
        <v>403</v>
      </c>
      <c r="C10" s="36" t="s">
        <v>41</v>
      </c>
      <c r="D10" s="36" t="s">
        <v>10</v>
      </c>
      <c r="E10" s="37"/>
    </row>
    <row r="11" spans="1:5" ht="15.75" customHeight="1" x14ac:dyDescent="0.2">
      <c r="A11" s="37"/>
      <c r="B11" s="37"/>
      <c r="C11" s="37"/>
      <c r="D11" s="37"/>
      <c r="E11" s="37"/>
    </row>
    <row r="12" spans="1:5" ht="15.75" customHeight="1" x14ac:dyDescent="0.2">
      <c r="A12" s="36" t="s">
        <v>9</v>
      </c>
      <c r="B12" s="37"/>
      <c r="C12" s="37"/>
      <c r="D12" s="37"/>
      <c r="E12" s="37"/>
    </row>
    <row r="13" spans="1:5" ht="15.75" customHeight="1" x14ac:dyDescent="0.2">
      <c r="A13" s="37"/>
      <c r="B13" s="36" t="s">
        <v>398</v>
      </c>
      <c r="C13" s="37"/>
      <c r="D13" s="37"/>
      <c r="E13" s="37"/>
    </row>
    <row r="14" spans="1:5" ht="15.75" customHeight="1" x14ac:dyDescent="0.2">
      <c r="A14" s="37"/>
      <c r="B14" s="36" t="s">
        <v>399</v>
      </c>
      <c r="C14" s="37"/>
      <c r="D14" s="37"/>
      <c r="E14" s="37"/>
    </row>
    <row r="15" spans="1:5" ht="15.75" customHeight="1" x14ac:dyDescent="0.2">
      <c r="A15" s="37"/>
      <c r="B15" s="36" t="s">
        <v>400</v>
      </c>
      <c r="C15" s="37"/>
      <c r="D15" s="37"/>
      <c r="E15" s="37"/>
    </row>
    <row r="16" spans="1:5" ht="15.75" customHeight="1" x14ac:dyDescent="0.2">
      <c r="A16" s="37"/>
      <c r="B16" s="36" t="s">
        <v>401</v>
      </c>
      <c r="C16" s="36" t="s">
        <v>9</v>
      </c>
      <c r="D16" s="37"/>
      <c r="E16" s="37"/>
    </row>
    <row r="17" spans="1:5" ht="15.75" customHeight="1" x14ac:dyDescent="0.2">
      <c r="A17" s="37"/>
      <c r="B17" s="36" t="s">
        <v>402</v>
      </c>
      <c r="C17" s="36" t="s">
        <v>15</v>
      </c>
      <c r="D17" s="37"/>
      <c r="E17" s="37"/>
    </row>
    <row r="18" spans="1:5" ht="15.75" customHeight="1" x14ac:dyDescent="0.2">
      <c r="A18" s="37"/>
      <c r="B18" s="36" t="s">
        <v>402</v>
      </c>
      <c r="C18" s="36" t="s">
        <v>18</v>
      </c>
      <c r="D18" s="37"/>
      <c r="E18" s="37"/>
    </row>
    <row r="19" spans="1:5" ht="15.75" customHeight="1" x14ac:dyDescent="0.2">
      <c r="A19" s="37"/>
      <c r="B19" s="36" t="s">
        <v>402</v>
      </c>
      <c r="C19" s="36" t="s">
        <v>20</v>
      </c>
      <c r="D19" s="37"/>
      <c r="E19" s="37"/>
    </row>
    <row r="20" spans="1:5" ht="15.75" customHeight="1" x14ac:dyDescent="0.2">
      <c r="A20" s="37"/>
      <c r="B20" s="36" t="s">
        <v>402</v>
      </c>
      <c r="C20" s="36" t="s">
        <v>22</v>
      </c>
      <c r="D20" s="37"/>
      <c r="E20" s="37"/>
    </row>
    <row r="21" spans="1:5" ht="15.75" customHeight="1" x14ac:dyDescent="0.2">
      <c r="A21" s="37"/>
      <c r="B21" s="36" t="s">
        <v>403</v>
      </c>
      <c r="C21" s="36" t="s">
        <v>25</v>
      </c>
      <c r="D21" s="36" t="s">
        <v>27</v>
      </c>
      <c r="E21" s="37"/>
    </row>
    <row r="22" spans="1:5" ht="15.75" customHeight="1" x14ac:dyDescent="0.2">
      <c r="A22" s="37"/>
      <c r="B22" s="36" t="s">
        <v>403</v>
      </c>
      <c r="C22" s="36" t="s">
        <v>30</v>
      </c>
      <c r="D22" s="36" t="s">
        <v>31</v>
      </c>
      <c r="E22" s="37"/>
    </row>
    <row r="23" spans="1:5" ht="15.75" customHeight="1" x14ac:dyDescent="0.2">
      <c r="A23" s="37"/>
      <c r="B23" s="36" t="s">
        <v>403</v>
      </c>
      <c r="C23" s="36" t="s">
        <v>16</v>
      </c>
      <c r="D23" s="36" t="s">
        <v>10</v>
      </c>
      <c r="E23" s="37"/>
    </row>
    <row r="24" spans="1:5" ht="15.75" customHeight="1" x14ac:dyDescent="0.2">
      <c r="A24" s="37"/>
      <c r="B24" s="37"/>
      <c r="C24" s="37"/>
      <c r="D24" s="37"/>
      <c r="E24" s="37"/>
    </row>
    <row r="25" spans="1:5" ht="15.75" customHeight="1" x14ac:dyDescent="0.2">
      <c r="A25" s="36" t="s">
        <v>368</v>
      </c>
      <c r="B25" s="37"/>
      <c r="C25" s="37"/>
      <c r="D25" s="37"/>
      <c r="E25" s="37"/>
    </row>
    <row r="26" spans="1:5" ht="15.75" customHeight="1" x14ac:dyDescent="0.2">
      <c r="A26" s="37"/>
      <c r="B26" s="36" t="s">
        <v>398</v>
      </c>
      <c r="C26" s="37"/>
      <c r="D26" s="37"/>
      <c r="E26" s="37"/>
    </row>
    <row r="27" spans="1:5" ht="15.75" customHeight="1" x14ac:dyDescent="0.2">
      <c r="A27" s="37"/>
      <c r="B27" s="36" t="s">
        <v>399</v>
      </c>
      <c r="C27" s="37"/>
      <c r="D27" s="37"/>
      <c r="E27" s="37"/>
    </row>
    <row r="28" spans="1:5" ht="15.75" customHeight="1" x14ac:dyDescent="0.2">
      <c r="A28" s="37"/>
      <c r="B28" s="36" t="s">
        <v>400</v>
      </c>
      <c r="C28" s="37"/>
      <c r="D28" s="37"/>
      <c r="E28" s="37"/>
    </row>
    <row r="29" spans="1:5" ht="15.75" customHeight="1" x14ac:dyDescent="0.2">
      <c r="A29" s="37"/>
      <c r="B29" s="36" t="s">
        <v>401</v>
      </c>
      <c r="C29" s="36" t="s">
        <v>368</v>
      </c>
      <c r="D29" s="37"/>
      <c r="E29" s="37"/>
    </row>
    <row r="30" spans="1:5" ht="25.5" x14ac:dyDescent="0.2">
      <c r="A30" s="36" t="s">
        <v>405</v>
      </c>
      <c r="B30" s="36" t="s">
        <v>402</v>
      </c>
      <c r="C30" s="36" t="s">
        <v>370</v>
      </c>
      <c r="D30" s="37"/>
      <c r="E30" s="37"/>
    </row>
    <row r="31" spans="1:5" ht="12.75" x14ac:dyDescent="0.2">
      <c r="A31" s="36" t="s">
        <v>369</v>
      </c>
      <c r="B31" s="36" t="s">
        <v>402</v>
      </c>
      <c r="C31" s="36" t="s">
        <v>19</v>
      </c>
      <c r="D31" s="37"/>
      <c r="E31" s="37"/>
    </row>
    <row r="32" spans="1:5" ht="12.75" x14ac:dyDescent="0.2">
      <c r="A32" s="37"/>
      <c r="B32" s="36" t="s">
        <v>403</v>
      </c>
      <c r="C32" s="36" t="s">
        <v>38</v>
      </c>
      <c r="D32" s="36" t="s">
        <v>26</v>
      </c>
      <c r="E32" s="37"/>
    </row>
    <row r="33" spans="1:5" ht="12.75" x14ac:dyDescent="0.2">
      <c r="A33" s="37"/>
      <c r="B33" s="36" t="s">
        <v>403</v>
      </c>
      <c r="C33" s="36" t="s">
        <v>56</v>
      </c>
      <c r="D33" s="36" t="s">
        <v>29</v>
      </c>
      <c r="E33" s="37"/>
    </row>
    <row r="34" spans="1:5" ht="12.75" x14ac:dyDescent="0.2">
      <c r="A34" s="37"/>
      <c r="B34" s="36" t="s">
        <v>403</v>
      </c>
      <c r="C34" s="36" t="s">
        <v>25</v>
      </c>
      <c r="D34" s="36" t="s">
        <v>27</v>
      </c>
      <c r="E34" s="37"/>
    </row>
    <row r="35" spans="1:5" ht="12.75" x14ac:dyDescent="0.2">
      <c r="A35" s="37"/>
      <c r="B35" s="36" t="s">
        <v>403</v>
      </c>
      <c r="C35" s="36" t="s">
        <v>30</v>
      </c>
      <c r="D35" s="36" t="s">
        <v>31</v>
      </c>
      <c r="E35" s="37"/>
    </row>
    <row r="36" spans="1:5" ht="12.75" x14ac:dyDescent="0.2">
      <c r="A36" s="37"/>
      <c r="B36" s="37"/>
      <c r="C36" s="37"/>
      <c r="D36" s="37"/>
      <c r="E36" s="37"/>
    </row>
    <row r="37" spans="1:5" ht="12.75" x14ac:dyDescent="0.2">
      <c r="A37" s="36" t="s">
        <v>373</v>
      </c>
      <c r="B37" s="37"/>
      <c r="C37" s="37"/>
      <c r="D37" s="37"/>
      <c r="E37" s="37"/>
    </row>
    <row r="38" spans="1:5" ht="12.75" x14ac:dyDescent="0.2">
      <c r="A38" s="37"/>
      <c r="B38" s="36" t="s">
        <v>398</v>
      </c>
      <c r="C38" s="37"/>
      <c r="D38" s="37"/>
      <c r="E38" s="37"/>
    </row>
    <row r="39" spans="1:5" ht="12.75" x14ac:dyDescent="0.2">
      <c r="A39" s="37"/>
      <c r="B39" s="36" t="s">
        <v>399</v>
      </c>
      <c r="C39" s="37"/>
      <c r="D39" s="37"/>
      <c r="E39" s="37"/>
    </row>
    <row r="40" spans="1:5" ht="12.75" x14ac:dyDescent="0.2">
      <c r="A40" s="37"/>
      <c r="B40" s="36" t="s">
        <v>400</v>
      </c>
      <c r="C40" s="37"/>
      <c r="D40" s="37"/>
      <c r="E40" s="37"/>
    </row>
    <row r="41" spans="1:5" ht="12.75" x14ac:dyDescent="0.2">
      <c r="A41" s="37"/>
      <c r="B41" s="36" t="s">
        <v>401</v>
      </c>
      <c r="C41" s="36" t="s">
        <v>373</v>
      </c>
      <c r="D41" s="37"/>
      <c r="E41" s="37"/>
    </row>
    <row r="42" spans="1:5" ht="25.5" x14ac:dyDescent="0.2">
      <c r="A42" s="36" t="s">
        <v>406</v>
      </c>
      <c r="B42" s="36" t="s">
        <v>402</v>
      </c>
      <c r="C42" s="36" t="s">
        <v>375</v>
      </c>
      <c r="D42" s="37"/>
      <c r="E42" s="37"/>
    </row>
    <row r="43" spans="1:5" ht="12.75" x14ac:dyDescent="0.2">
      <c r="A43" s="36" t="s">
        <v>407</v>
      </c>
      <c r="B43" s="36" t="s">
        <v>402</v>
      </c>
      <c r="C43" s="36" t="s">
        <v>19</v>
      </c>
      <c r="D43" s="37"/>
      <c r="E43" s="37"/>
    </row>
    <row r="44" spans="1:5" ht="12.75" x14ac:dyDescent="0.2">
      <c r="A44" s="36" t="s">
        <v>408</v>
      </c>
      <c r="B44" s="37"/>
      <c r="C44" s="37"/>
      <c r="D44" s="37"/>
      <c r="E44" s="37"/>
    </row>
    <row r="45" spans="1:5" ht="12.75" x14ac:dyDescent="0.2">
      <c r="A45" s="36" t="s">
        <v>374</v>
      </c>
      <c r="B45" s="37"/>
      <c r="C45" s="37"/>
      <c r="D45" s="37"/>
      <c r="E45" s="37"/>
    </row>
    <row r="46" spans="1:5" ht="12.75" x14ac:dyDescent="0.2">
      <c r="A46" s="37"/>
      <c r="B46" s="36" t="s">
        <v>403</v>
      </c>
      <c r="C46" s="36" t="s">
        <v>38</v>
      </c>
      <c r="D46" s="36" t="s">
        <v>26</v>
      </c>
      <c r="E46" s="37"/>
    </row>
    <row r="47" spans="1:5" ht="12.75" x14ac:dyDescent="0.2">
      <c r="A47" s="37"/>
      <c r="B47" s="36" t="s">
        <v>403</v>
      </c>
      <c r="C47" s="36" t="s">
        <v>56</v>
      </c>
      <c r="D47" s="36" t="s">
        <v>29</v>
      </c>
      <c r="E47" s="37"/>
    </row>
    <row r="48" spans="1:5" ht="12.75" x14ac:dyDescent="0.2">
      <c r="A48" s="37"/>
      <c r="B48" s="36" t="s">
        <v>403</v>
      </c>
      <c r="C48" s="36" t="s">
        <v>25</v>
      </c>
      <c r="D48" s="36" t="s">
        <v>27</v>
      </c>
      <c r="E48" s="37"/>
    </row>
    <row r="49" spans="1:5" ht="12.75" x14ac:dyDescent="0.2">
      <c r="A49" s="37"/>
      <c r="B49" s="36" t="s">
        <v>403</v>
      </c>
      <c r="C49" s="36" t="s">
        <v>30</v>
      </c>
      <c r="D49" s="36" t="s">
        <v>31</v>
      </c>
      <c r="E49" s="37"/>
    </row>
    <row r="50" spans="1:5" ht="12.75" x14ac:dyDescent="0.2">
      <c r="A50" s="37"/>
      <c r="B50" s="37"/>
      <c r="C50" s="37"/>
      <c r="D50" s="37"/>
      <c r="E50" s="37"/>
    </row>
    <row r="51" spans="1:5" ht="12.75" x14ac:dyDescent="0.2">
      <c r="A51" s="36" t="s">
        <v>378</v>
      </c>
      <c r="B51" s="37"/>
      <c r="C51" s="37"/>
      <c r="D51" s="37"/>
      <c r="E51" s="37"/>
    </row>
    <row r="52" spans="1:5" ht="12.75" x14ac:dyDescent="0.2">
      <c r="A52" s="37"/>
      <c r="B52" s="36" t="s">
        <v>398</v>
      </c>
      <c r="C52" s="37"/>
      <c r="D52" s="37"/>
      <c r="E52" s="37"/>
    </row>
    <row r="53" spans="1:5" ht="12.75" x14ac:dyDescent="0.2">
      <c r="A53" s="37"/>
      <c r="B53" s="36" t="s">
        <v>399</v>
      </c>
      <c r="C53" s="37"/>
      <c r="D53" s="37"/>
      <c r="E53" s="37"/>
    </row>
    <row r="54" spans="1:5" ht="12.75" x14ac:dyDescent="0.2">
      <c r="A54" s="37"/>
      <c r="B54" s="36" t="s">
        <v>400</v>
      </c>
      <c r="C54" s="37"/>
      <c r="D54" s="37"/>
      <c r="E54" s="37"/>
    </row>
    <row r="55" spans="1:5" ht="12.75" x14ac:dyDescent="0.2">
      <c r="A55" s="37"/>
      <c r="B55" s="36" t="s">
        <v>401</v>
      </c>
      <c r="C55" s="36" t="s">
        <v>378</v>
      </c>
      <c r="D55" s="37"/>
      <c r="E55" s="37"/>
    </row>
    <row r="56" spans="1:5" ht="25.5" x14ac:dyDescent="0.2">
      <c r="A56" s="36" t="s">
        <v>409</v>
      </c>
      <c r="B56" s="36" t="s">
        <v>402</v>
      </c>
      <c r="C56" s="36" t="s">
        <v>410</v>
      </c>
      <c r="D56" s="37"/>
      <c r="E56" s="37"/>
    </row>
    <row r="57" spans="1:5" ht="12.75" x14ac:dyDescent="0.2">
      <c r="A57" s="36" t="s">
        <v>411</v>
      </c>
      <c r="B57" s="36" t="s">
        <v>402</v>
      </c>
      <c r="C57" s="36" t="s">
        <v>19</v>
      </c>
      <c r="D57" s="37"/>
      <c r="E57" s="37"/>
    </row>
    <row r="58" spans="1:5" ht="12.75" x14ac:dyDescent="0.2">
      <c r="A58" s="36" t="s">
        <v>412</v>
      </c>
      <c r="B58" s="37"/>
      <c r="C58" s="37"/>
      <c r="D58" s="37"/>
      <c r="E58" s="37"/>
    </row>
    <row r="59" spans="1:5" ht="12.75" x14ac:dyDescent="0.2">
      <c r="A59" s="36" t="s">
        <v>413</v>
      </c>
      <c r="B59" s="37"/>
      <c r="C59" s="37"/>
      <c r="D59" s="37"/>
      <c r="E59" s="37"/>
    </row>
    <row r="60" spans="1:5" ht="12.75" x14ac:dyDescent="0.2">
      <c r="A60" s="36" t="s">
        <v>379</v>
      </c>
      <c r="B60" s="37"/>
      <c r="C60" s="37"/>
      <c r="D60" s="37"/>
      <c r="E60" s="37"/>
    </row>
    <row r="61" spans="1:5" ht="12.75" x14ac:dyDescent="0.2">
      <c r="A61" s="37"/>
      <c r="B61" s="36" t="s">
        <v>403</v>
      </c>
      <c r="C61" s="36" t="s">
        <v>38</v>
      </c>
      <c r="D61" s="36" t="s">
        <v>26</v>
      </c>
      <c r="E61" s="37"/>
    </row>
    <row r="62" spans="1:5" ht="12.75" x14ac:dyDescent="0.2">
      <c r="A62" s="37"/>
      <c r="B62" s="36" t="s">
        <v>403</v>
      </c>
      <c r="C62" s="36" t="s">
        <v>56</v>
      </c>
      <c r="D62" s="36" t="s">
        <v>29</v>
      </c>
      <c r="E62" s="37"/>
    </row>
    <row r="63" spans="1:5" ht="12.75" x14ac:dyDescent="0.2">
      <c r="A63" s="37"/>
      <c r="B63" s="36" t="s">
        <v>403</v>
      </c>
      <c r="C63" s="36" t="s">
        <v>25</v>
      </c>
      <c r="D63" s="36" t="s">
        <v>27</v>
      </c>
      <c r="E63" s="37"/>
    </row>
    <row r="64" spans="1:5" ht="12.75" x14ac:dyDescent="0.2">
      <c r="A64" s="37"/>
      <c r="B64" s="36" t="s">
        <v>403</v>
      </c>
      <c r="C64" s="36" t="s">
        <v>30</v>
      </c>
      <c r="D64" s="36" t="s">
        <v>31</v>
      </c>
      <c r="E64" s="37"/>
    </row>
    <row r="65" spans="1:5" ht="12.75" x14ac:dyDescent="0.2">
      <c r="A65" s="37"/>
      <c r="B65" s="37"/>
      <c r="C65" s="37"/>
      <c r="D65" s="37"/>
      <c r="E65" s="37"/>
    </row>
    <row r="66" spans="1:5" ht="12.75" x14ac:dyDescent="0.2">
      <c r="A66" s="36" t="s">
        <v>10</v>
      </c>
      <c r="B66" s="37"/>
      <c r="C66" s="37"/>
      <c r="D66" s="37"/>
      <c r="E66" s="37"/>
    </row>
    <row r="67" spans="1:5" ht="12.75" x14ac:dyDescent="0.2">
      <c r="A67" s="37"/>
      <c r="B67" s="36" t="s">
        <v>398</v>
      </c>
      <c r="C67" s="37"/>
      <c r="D67" s="37"/>
      <c r="E67" s="37"/>
    </row>
    <row r="68" spans="1:5" ht="12.75" x14ac:dyDescent="0.2">
      <c r="A68" s="37"/>
      <c r="B68" s="36" t="s">
        <v>399</v>
      </c>
      <c r="C68" s="37"/>
      <c r="D68" s="37"/>
      <c r="E68" s="37"/>
    </row>
    <row r="69" spans="1:5" ht="12.75" x14ac:dyDescent="0.2">
      <c r="A69" s="37"/>
      <c r="B69" s="36" t="s">
        <v>400</v>
      </c>
      <c r="C69" s="37"/>
      <c r="D69" s="37"/>
      <c r="E69" s="37"/>
    </row>
    <row r="70" spans="1:5" ht="12.75" x14ac:dyDescent="0.2">
      <c r="A70" s="37"/>
      <c r="B70" s="36" t="s">
        <v>401</v>
      </c>
      <c r="C70" s="36" t="s">
        <v>10</v>
      </c>
      <c r="D70" s="37"/>
      <c r="E70" s="37"/>
    </row>
    <row r="71" spans="1:5" ht="12.75" x14ac:dyDescent="0.2">
      <c r="A71" s="36" t="s">
        <v>414</v>
      </c>
      <c r="B71" s="36" t="s">
        <v>402</v>
      </c>
      <c r="C71" s="36" t="s">
        <v>17</v>
      </c>
      <c r="D71" s="37"/>
      <c r="E71" s="37"/>
    </row>
    <row r="72" spans="1:5" ht="12.75" x14ac:dyDescent="0.2">
      <c r="A72" s="36" t="s">
        <v>415</v>
      </c>
      <c r="B72" s="37"/>
      <c r="C72" s="37"/>
      <c r="D72" s="37"/>
      <c r="E72" s="37"/>
    </row>
    <row r="73" spans="1:5" ht="12.75" x14ac:dyDescent="0.2">
      <c r="A73" s="36" t="s">
        <v>416</v>
      </c>
      <c r="B73" s="37"/>
      <c r="C73" s="37"/>
      <c r="D73" s="37"/>
      <c r="E73" s="37"/>
    </row>
    <row r="74" spans="1:5" ht="12.75" x14ac:dyDescent="0.2">
      <c r="A74" s="36" t="s">
        <v>417</v>
      </c>
      <c r="B74" s="37"/>
      <c r="C74" s="37"/>
      <c r="D74" s="37"/>
      <c r="E74" s="37"/>
    </row>
    <row r="75" spans="1:5" ht="12.75" x14ac:dyDescent="0.2">
      <c r="A75" s="36" t="s">
        <v>41</v>
      </c>
      <c r="B75" s="37"/>
      <c r="C75" s="37"/>
      <c r="D75" s="37"/>
      <c r="E75" s="37"/>
    </row>
    <row r="76" spans="1:5" ht="12.75" x14ac:dyDescent="0.2">
      <c r="A76" s="36" t="s">
        <v>16</v>
      </c>
      <c r="B76" s="37"/>
      <c r="C76" s="37"/>
      <c r="D76" s="37"/>
      <c r="E76" s="37"/>
    </row>
    <row r="77" spans="1:5" ht="12.75" x14ac:dyDescent="0.2">
      <c r="A77" s="37"/>
      <c r="B77" s="36" t="s">
        <v>403</v>
      </c>
      <c r="C77" s="36" t="s">
        <v>23</v>
      </c>
      <c r="D77" s="36" t="s">
        <v>26</v>
      </c>
      <c r="E77" s="37"/>
    </row>
    <row r="78" spans="1:5" ht="12.75" x14ac:dyDescent="0.2">
      <c r="A78" s="37"/>
      <c r="B78" s="36" t="s">
        <v>403</v>
      </c>
      <c r="C78" s="36" t="s">
        <v>28</v>
      </c>
      <c r="D78" s="36" t="s">
        <v>29</v>
      </c>
      <c r="E78" s="37"/>
    </row>
    <row r="79" spans="1:5" ht="12.75" x14ac:dyDescent="0.2">
      <c r="A79" s="37"/>
      <c r="B79" s="37"/>
      <c r="C79" s="37"/>
      <c r="D79" s="37"/>
      <c r="E79" s="37"/>
    </row>
    <row r="80" spans="1:5" ht="12.75" x14ac:dyDescent="0.2">
      <c r="A80" s="36" t="s">
        <v>26</v>
      </c>
      <c r="B80" s="37"/>
      <c r="C80" s="37"/>
      <c r="D80" s="37"/>
      <c r="E80" s="37"/>
    </row>
    <row r="81" spans="1:5" ht="12.75" x14ac:dyDescent="0.2">
      <c r="A81" s="37"/>
      <c r="B81" s="36" t="s">
        <v>398</v>
      </c>
      <c r="C81" s="37"/>
      <c r="D81" s="37"/>
      <c r="E81" s="37"/>
    </row>
    <row r="82" spans="1:5" ht="12.75" x14ac:dyDescent="0.2">
      <c r="A82" s="37"/>
      <c r="B82" s="36" t="s">
        <v>399</v>
      </c>
      <c r="C82" s="37"/>
      <c r="D82" s="37"/>
      <c r="E82" s="37"/>
    </row>
    <row r="83" spans="1:5" ht="12.75" x14ac:dyDescent="0.2">
      <c r="A83" s="37"/>
      <c r="B83" s="36" t="s">
        <v>400</v>
      </c>
      <c r="C83" s="37"/>
      <c r="D83" s="37"/>
      <c r="E83" s="37"/>
    </row>
    <row r="84" spans="1:5" ht="12.75" x14ac:dyDescent="0.2">
      <c r="A84" s="37"/>
      <c r="B84" s="36" t="s">
        <v>401</v>
      </c>
      <c r="C84" s="36" t="s">
        <v>26</v>
      </c>
      <c r="D84" s="37"/>
      <c r="E84" s="37"/>
    </row>
    <row r="85" spans="1:5" ht="51" x14ac:dyDescent="0.2">
      <c r="A85" s="36" t="s">
        <v>418</v>
      </c>
      <c r="B85" s="36" t="s">
        <v>402</v>
      </c>
      <c r="C85" s="36" t="s">
        <v>419</v>
      </c>
      <c r="D85" s="37"/>
      <c r="E85" s="37"/>
    </row>
    <row r="86" spans="1:5" ht="12.75" x14ac:dyDescent="0.2">
      <c r="A86" s="36" t="s">
        <v>420</v>
      </c>
      <c r="B86" s="37"/>
      <c r="C86" s="37"/>
      <c r="D86" s="37"/>
      <c r="E86" s="37"/>
    </row>
    <row r="87" spans="1:5" ht="12.75" x14ac:dyDescent="0.2">
      <c r="A87" s="36" t="s">
        <v>421</v>
      </c>
      <c r="B87" s="37"/>
      <c r="C87" s="37"/>
      <c r="D87" s="37"/>
      <c r="E87" s="37"/>
    </row>
    <row r="88" spans="1:5" ht="12.75" x14ac:dyDescent="0.2">
      <c r="A88" s="36" t="s">
        <v>24</v>
      </c>
      <c r="B88" s="37"/>
      <c r="C88" s="37"/>
      <c r="D88" s="37"/>
      <c r="E88" s="37"/>
    </row>
    <row r="89" spans="1:5" ht="12.75" x14ac:dyDescent="0.2">
      <c r="A89" s="36" t="s">
        <v>23</v>
      </c>
      <c r="B89" s="37"/>
      <c r="C89" s="37"/>
      <c r="D89" s="37"/>
      <c r="E89" s="37"/>
    </row>
    <row r="90" spans="1:5" ht="12.75" x14ac:dyDescent="0.2">
      <c r="A90" s="37"/>
      <c r="B90" s="36" t="s">
        <v>422</v>
      </c>
      <c r="C90" s="36" t="s">
        <v>423</v>
      </c>
      <c r="D90" s="36" t="s">
        <v>424</v>
      </c>
      <c r="E90" s="37"/>
    </row>
    <row r="91" spans="1:5" ht="12.75" x14ac:dyDescent="0.2">
      <c r="A91" s="37"/>
      <c r="B91" s="36" t="s">
        <v>422</v>
      </c>
      <c r="C91" s="36" t="s">
        <v>425</v>
      </c>
      <c r="D91" s="36" t="s">
        <v>426</v>
      </c>
      <c r="E91" s="37"/>
    </row>
    <row r="92" spans="1:5" ht="12.75" x14ac:dyDescent="0.2">
      <c r="A92" s="37"/>
      <c r="B92" s="36" t="s">
        <v>403</v>
      </c>
      <c r="C92" s="36" t="s">
        <v>40</v>
      </c>
      <c r="D92" s="36" t="s">
        <v>60</v>
      </c>
      <c r="E92" s="37"/>
    </row>
    <row r="93" spans="1:5" ht="12.75" x14ac:dyDescent="0.2">
      <c r="A93" s="37"/>
      <c r="B93" s="36" t="s">
        <v>403</v>
      </c>
      <c r="C93" s="36" t="s">
        <v>44</v>
      </c>
      <c r="D93" s="36" t="s">
        <v>75</v>
      </c>
      <c r="E93" s="37"/>
    </row>
    <row r="94" spans="1:5" ht="12.75" x14ac:dyDescent="0.2">
      <c r="A94" s="37"/>
      <c r="B94" s="36" t="s">
        <v>403</v>
      </c>
      <c r="C94" s="36" t="s">
        <v>48</v>
      </c>
      <c r="D94" s="36" t="s">
        <v>87</v>
      </c>
      <c r="E94" s="37"/>
    </row>
    <row r="95" spans="1:5" ht="12.75" x14ac:dyDescent="0.2">
      <c r="A95" s="37"/>
      <c r="B95" s="36" t="s">
        <v>403</v>
      </c>
      <c r="C95" s="36" t="s">
        <v>51</v>
      </c>
      <c r="D95" s="36" t="s">
        <v>115</v>
      </c>
      <c r="E95" s="37"/>
    </row>
    <row r="96" spans="1:5" ht="12.75" x14ac:dyDescent="0.2">
      <c r="A96" s="37"/>
      <c r="B96" s="36" t="s">
        <v>403</v>
      </c>
      <c r="C96" s="36" t="s">
        <v>53</v>
      </c>
      <c r="D96" s="36" t="s">
        <v>164</v>
      </c>
      <c r="E96" s="37"/>
    </row>
    <row r="97" spans="1:5" ht="12.75" x14ac:dyDescent="0.2">
      <c r="A97" s="37"/>
      <c r="B97" s="36" t="s">
        <v>403</v>
      </c>
      <c r="C97" s="36" t="s">
        <v>56</v>
      </c>
      <c r="D97" s="36" t="s">
        <v>29</v>
      </c>
      <c r="E97" s="37"/>
    </row>
    <row r="98" spans="1:5" ht="12.75" x14ac:dyDescent="0.2">
      <c r="A98" s="37"/>
      <c r="B98" s="37"/>
      <c r="C98" s="37"/>
      <c r="D98" s="37"/>
      <c r="E98" s="37"/>
    </row>
    <row r="99" spans="1:5" ht="12.75" x14ac:dyDescent="0.2">
      <c r="A99" s="36" t="s">
        <v>11</v>
      </c>
      <c r="B99" s="37"/>
      <c r="C99" s="37"/>
      <c r="D99" s="37"/>
      <c r="E99" s="37"/>
    </row>
    <row r="100" spans="1:5" ht="12.75" x14ac:dyDescent="0.2">
      <c r="A100" s="37"/>
      <c r="B100" s="36" t="s">
        <v>398</v>
      </c>
      <c r="C100" s="37"/>
      <c r="D100" s="37"/>
      <c r="E100" s="37"/>
    </row>
    <row r="101" spans="1:5" ht="12.75" x14ac:dyDescent="0.2">
      <c r="A101" s="37"/>
      <c r="B101" s="36" t="s">
        <v>399</v>
      </c>
      <c r="C101" s="37"/>
      <c r="D101" s="37"/>
      <c r="E101" s="37"/>
    </row>
    <row r="102" spans="1:5" ht="12.75" x14ac:dyDescent="0.2">
      <c r="A102" s="37"/>
      <c r="B102" s="36" t="s">
        <v>400</v>
      </c>
      <c r="C102" s="37"/>
      <c r="D102" s="37"/>
      <c r="E102" s="37"/>
    </row>
    <row r="103" spans="1:5" ht="12.75" x14ac:dyDescent="0.2">
      <c r="A103" s="37"/>
      <c r="B103" s="36" t="s">
        <v>401</v>
      </c>
      <c r="C103" s="36" t="s">
        <v>11</v>
      </c>
      <c r="D103" s="37"/>
      <c r="E103" s="37"/>
    </row>
    <row r="104" spans="1:5" ht="63.75" x14ac:dyDescent="0.2">
      <c r="A104" s="36" t="s">
        <v>427</v>
      </c>
      <c r="B104" s="36" t="s">
        <v>402</v>
      </c>
      <c r="C104" s="36" t="s">
        <v>428</v>
      </c>
      <c r="D104" s="37"/>
      <c r="E104" s="37"/>
    </row>
    <row r="105" spans="1:5" ht="12.75" x14ac:dyDescent="0.2">
      <c r="A105" s="36" t="s">
        <v>429</v>
      </c>
      <c r="B105" s="36" t="s">
        <v>402</v>
      </c>
      <c r="C105" s="36" t="s">
        <v>19</v>
      </c>
      <c r="D105" s="37"/>
      <c r="E105" s="37"/>
    </row>
    <row r="106" spans="1:5" ht="12.75" x14ac:dyDescent="0.2">
      <c r="A106" s="36" t="s">
        <v>430</v>
      </c>
      <c r="B106" s="37"/>
      <c r="C106" s="37"/>
      <c r="D106" s="37"/>
      <c r="E106" s="37"/>
    </row>
    <row r="107" spans="1:5" ht="12.75" x14ac:dyDescent="0.2">
      <c r="A107" s="36" t="s">
        <v>431</v>
      </c>
      <c r="B107" s="37"/>
      <c r="C107" s="37"/>
      <c r="D107" s="37"/>
      <c r="E107" s="37"/>
    </row>
    <row r="108" spans="1:5" ht="12.75" x14ac:dyDescent="0.2">
      <c r="A108" s="36" t="s">
        <v>432</v>
      </c>
      <c r="B108" s="37"/>
      <c r="C108" s="37"/>
      <c r="D108" s="37"/>
      <c r="E108" s="37"/>
    </row>
    <row r="109" spans="1:5" ht="12.75" x14ac:dyDescent="0.2">
      <c r="A109" s="36" t="s">
        <v>433</v>
      </c>
      <c r="B109" s="37"/>
      <c r="C109" s="37"/>
      <c r="D109" s="37"/>
      <c r="E109" s="37"/>
    </row>
    <row r="110" spans="1:5" ht="12.75" x14ac:dyDescent="0.2">
      <c r="A110" s="36" t="s">
        <v>13</v>
      </c>
      <c r="B110" s="37"/>
      <c r="C110" s="37"/>
      <c r="D110" s="37"/>
      <c r="E110" s="37"/>
    </row>
    <row r="111" spans="1:5" ht="12.75" x14ac:dyDescent="0.2">
      <c r="A111" s="37"/>
      <c r="B111" s="36" t="s">
        <v>403</v>
      </c>
      <c r="C111" s="36" t="s">
        <v>24</v>
      </c>
      <c r="D111" s="36" t="s">
        <v>26</v>
      </c>
      <c r="E111" s="37"/>
    </row>
    <row r="112" spans="1:5" ht="12.75" x14ac:dyDescent="0.2">
      <c r="A112" s="37"/>
      <c r="B112" s="36" t="s">
        <v>403</v>
      </c>
      <c r="C112" s="36" t="s">
        <v>32</v>
      </c>
      <c r="D112" s="36" t="s">
        <v>29</v>
      </c>
      <c r="E112" s="37"/>
    </row>
    <row r="113" spans="1:5" ht="12.75" x14ac:dyDescent="0.2">
      <c r="A113" s="37"/>
      <c r="B113" s="36" t="s">
        <v>403</v>
      </c>
      <c r="C113" s="36" t="s">
        <v>25</v>
      </c>
      <c r="D113" s="36" t="s">
        <v>27</v>
      </c>
      <c r="E113" s="37"/>
    </row>
    <row r="114" spans="1:5" ht="12.75" x14ac:dyDescent="0.2">
      <c r="A114" s="37"/>
      <c r="B114" s="36" t="s">
        <v>403</v>
      </c>
      <c r="C114" s="36" t="s">
        <v>30</v>
      </c>
      <c r="D114" s="36" t="s">
        <v>31</v>
      </c>
      <c r="E114" s="37"/>
    </row>
    <row r="115" spans="1:5" ht="12.75" x14ac:dyDescent="0.2">
      <c r="A115" s="37"/>
      <c r="B115" s="37"/>
      <c r="C115" s="37"/>
      <c r="D115" s="37"/>
      <c r="E115" s="37"/>
    </row>
    <row r="116" spans="1:5" ht="12.75" x14ac:dyDescent="0.2">
      <c r="A116" s="36" t="s">
        <v>36</v>
      </c>
      <c r="B116" s="37"/>
      <c r="C116" s="37"/>
      <c r="D116" s="37"/>
      <c r="E116" s="37"/>
    </row>
    <row r="117" spans="1:5" ht="12.75" x14ac:dyDescent="0.2">
      <c r="A117" s="37"/>
      <c r="B117" s="36" t="s">
        <v>398</v>
      </c>
      <c r="C117" s="37"/>
      <c r="D117" s="37"/>
      <c r="E117" s="37"/>
    </row>
    <row r="118" spans="1:5" ht="12.75" x14ac:dyDescent="0.2">
      <c r="A118" s="37"/>
      <c r="B118" s="36" t="s">
        <v>399</v>
      </c>
      <c r="C118" s="37"/>
      <c r="D118" s="37"/>
      <c r="E118" s="37"/>
    </row>
    <row r="119" spans="1:5" ht="12.75" x14ac:dyDescent="0.2">
      <c r="A119" s="37"/>
      <c r="B119" s="36" t="s">
        <v>400</v>
      </c>
      <c r="C119" s="37"/>
      <c r="D119" s="37"/>
      <c r="E119" s="37"/>
    </row>
    <row r="120" spans="1:5" ht="12.75" x14ac:dyDescent="0.2">
      <c r="A120" s="37"/>
      <c r="B120" s="36" t="s">
        <v>401</v>
      </c>
      <c r="C120" s="36" t="s">
        <v>36</v>
      </c>
      <c r="D120" s="37"/>
      <c r="E120" s="37"/>
    </row>
    <row r="121" spans="1:5" ht="51" x14ac:dyDescent="0.2">
      <c r="A121" s="36" t="s">
        <v>434</v>
      </c>
      <c r="B121" s="36" t="s">
        <v>402</v>
      </c>
      <c r="C121" s="36" t="s">
        <v>435</v>
      </c>
      <c r="D121" s="37"/>
      <c r="E121" s="37"/>
    </row>
    <row r="122" spans="1:5" ht="12.75" x14ac:dyDescent="0.2">
      <c r="A122" s="36" t="s">
        <v>436</v>
      </c>
      <c r="B122" s="36" t="s">
        <v>402</v>
      </c>
      <c r="C122" s="36" t="s">
        <v>19</v>
      </c>
      <c r="D122" s="37"/>
      <c r="E122" s="37"/>
    </row>
    <row r="123" spans="1:5" ht="12.75" x14ac:dyDescent="0.2">
      <c r="A123" s="36" t="s">
        <v>437</v>
      </c>
      <c r="B123" s="37"/>
      <c r="C123" s="37"/>
      <c r="D123" s="37"/>
      <c r="E123" s="37"/>
    </row>
    <row r="124" spans="1:5" ht="12.75" x14ac:dyDescent="0.2">
      <c r="A124" s="36" t="s">
        <v>37</v>
      </c>
      <c r="B124" s="37"/>
      <c r="C124" s="37"/>
      <c r="D124" s="37"/>
      <c r="E124" s="37"/>
    </row>
    <row r="125" spans="1:5" ht="12.75" x14ac:dyDescent="0.2">
      <c r="A125" s="37"/>
      <c r="B125" s="36" t="s">
        <v>403</v>
      </c>
      <c r="C125" s="36" t="s">
        <v>24</v>
      </c>
      <c r="D125" s="36" t="s">
        <v>26</v>
      </c>
      <c r="E125" s="37"/>
    </row>
    <row r="126" spans="1:5" ht="12.75" x14ac:dyDescent="0.2">
      <c r="A126" s="37"/>
      <c r="B126" s="36" t="s">
        <v>403</v>
      </c>
      <c r="C126" s="36" t="s">
        <v>32</v>
      </c>
      <c r="D126" s="36" t="s">
        <v>29</v>
      </c>
      <c r="E126" s="37"/>
    </row>
    <row r="127" spans="1:5" ht="12.75" x14ac:dyDescent="0.2">
      <c r="A127" s="37"/>
      <c r="B127" s="36" t="s">
        <v>403</v>
      </c>
      <c r="C127" s="36" t="s">
        <v>25</v>
      </c>
      <c r="D127" s="36" t="s">
        <v>27</v>
      </c>
      <c r="E127" s="37"/>
    </row>
    <row r="128" spans="1:5" ht="12.75" x14ac:dyDescent="0.2">
      <c r="A128" s="37"/>
      <c r="B128" s="36" t="s">
        <v>403</v>
      </c>
      <c r="C128" s="36" t="s">
        <v>30</v>
      </c>
      <c r="D128" s="36" t="s">
        <v>31</v>
      </c>
      <c r="E128" s="37"/>
    </row>
    <row r="129" spans="1:5" ht="12.75" x14ac:dyDescent="0.2">
      <c r="A129" s="37"/>
      <c r="B129" s="37"/>
      <c r="C129" s="37"/>
      <c r="D129" s="37"/>
      <c r="E129" s="37"/>
    </row>
    <row r="130" spans="1:5" ht="12.75" x14ac:dyDescent="0.2">
      <c r="A130" s="36" t="s">
        <v>55</v>
      </c>
      <c r="B130" s="37"/>
      <c r="C130" s="37"/>
      <c r="D130" s="37"/>
      <c r="E130" s="37"/>
    </row>
    <row r="131" spans="1:5" ht="12.75" x14ac:dyDescent="0.2">
      <c r="A131" s="37"/>
      <c r="B131" s="36" t="s">
        <v>398</v>
      </c>
      <c r="C131" s="37"/>
      <c r="D131" s="37"/>
      <c r="E131" s="37"/>
    </row>
    <row r="132" spans="1:5" ht="12.75" x14ac:dyDescent="0.2">
      <c r="A132" s="37"/>
      <c r="B132" s="36" t="s">
        <v>399</v>
      </c>
      <c r="C132" s="37"/>
      <c r="D132" s="37"/>
      <c r="E132" s="37"/>
    </row>
    <row r="133" spans="1:5" ht="12.75" x14ac:dyDescent="0.2">
      <c r="A133" s="37"/>
      <c r="B133" s="36" t="s">
        <v>400</v>
      </c>
      <c r="C133" s="37"/>
      <c r="D133" s="37"/>
      <c r="E133" s="37"/>
    </row>
    <row r="134" spans="1:5" ht="12.75" x14ac:dyDescent="0.2">
      <c r="A134" s="37"/>
      <c r="B134" s="36" t="s">
        <v>401</v>
      </c>
      <c r="C134" s="36" t="s">
        <v>55</v>
      </c>
      <c r="D134" s="37"/>
      <c r="E134" s="37"/>
    </row>
    <row r="135" spans="1:5" ht="63.75" x14ac:dyDescent="0.2">
      <c r="A135" s="36" t="s">
        <v>438</v>
      </c>
      <c r="B135" s="36" t="s">
        <v>402</v>
      </c>
      <c r="C135" s="36" t="s">
        <v>59</v>
      </c>
      <c r="D135" s="37"/>
      <c r="E135" s="37"/>
    </row>
    <row r="136" spans="1:5" ht="12.75" x14ac:dyDescent="0.2">
      <c r="A136" s="36" t="s">
        <v>439</v>
      </c>
      <c r="B136" s="36" t="s">
        <v>402</v>
      </c>
      <c r="C136" s="36" t="s">
        <v>19</v>
      </c>
      <c r="D136" s="37"/>
      <c r="E136" s="37"/>
    </row>
    <row r="137" spans="1:5" ht="12.75" x14ac:dyDescent="0.2">
      <c r="A137" s="36" t="s">
        <v>440</v>
      </c>
      <c r="B137" s="37"/>
      <c r="C137" s="37"/>
      <c r="D137" s="37"/>
      <c r="E137" s="37"/>
    </row>
    <row r="138" spans="1:5" ht="12.75" x14ac:dyDescent="0.2">
      <c r="A138" s="36" t="s">
        <v>441</v>
      </c>
      <c r="B138" s="37"/>
      <c r="C138" s="37"/>
      <c r="D138" s="37"/>
      <c r="E138" s="37"/>
    </row>
    <row r="139" spans="1:5" ht="12.75" x14ac:dyDescent="0.2">
      <c r="A139" s="36" t="s">
        <v>58</v>
      </c>
      <c r="B139" s="37"/>
      <c r="C139" s="37"/>
      <c r="D139" s="37"/>
      <c r="E139" s="37"/>
    </row>
    <row r="140" spans="1:5" ht="12.75" x14ac:dyDescent="0.2">
      <c r="A140" s="37"/>
      <c r="B140" s="36" t="s">
        <v>403</v>
      </c>
      <c r="C140" s="36" t="s">
        <v>24</v>
      </c>
      <c r="D140" s="36" t="s">
        <v>26</v>
      </c>
      <c r="E140" s="37"/>
    </row>
    <row r="141" spans="1:5" ht="12.75" x14ac:dyDescent="0.2">
      <c r="A141" s="37"/>
      <c r="B141" s="36" t="s">
        <v>403</v>
      </c>
      <c r="C141" s="36" t="s">
        <v>32</v>
      </c>
      <c r="D141" s="36" t="s">
        <v>29</v>
      </c>
      <c r="E141" s="37"/>
    </row>
    <row r="142" spans="1:5" ht="12.75" x14ac:dyDescent="0.2">
      <c r="A142" s="37"/>
      <c r="B142" s="36" t="s">
        <v>403</v>
      </c>
      <c r="C142" s="36" t="s">
        <v>25</v>
      </c>
      <c r="D142" s="36" t="s">
        <v>27</v>
      </c>
      <c r="E142" s="37"/>
    </row>
    <row r="143" spans="1:5" ht="12.75" x14ac:dyDescent="0.2">
      <c r="A143" s="37"/>
      <c r="B143" s="36" t="s">
        <v>403</v>
      </c>
      <c r="C143" s="36" t="s">
        <v>30</v>
      </c>
      <c r="D143" s="36" t="s">
        <v>31</v>
      </c>
      <c r="E143" s="37"/>
    </row>
    <row r="144" spans="1:5" ht="12.75" x14ac:dyDescent="0.2">
      <c r="A144" s="37"/>
      <c r="B144" s="37"/>
      <c r="C144" s="37"/>
      <c r="D144" s="37"/>
      <c r="E144" s="37"/>
    </row>
    <row r="145" spans="1:5" ht="12.75" x14ac:dyDescent="0.2">
      <c r="A145" s="36" t="s">
        <v>60</v>
      </c>
      <c r="B145" s="37"/>
      <c r="C145" s="37"/>
      <c r="D145" s="37"/>
      <c r="E145" s="37"/>
    </row>
    <row r="146" spans="1:5" ht="12.75" x14ac:dyDescent="0.2">
      <c r="A146" s="37"/>
      <c r="B146" s="36" t="s">
        <v>398</v>
      </c>
      <c r="C146" s="37"/>
      <c r="D146" s="37"/>
      <c r="E146" s="37"/>
    </row>
    <row r="147" spans="1:5" ht="12.75" x14ac:dyDescent="0.2">
      <c r="A147" s="37"/>
      <c r="B147" s="36" t="s">
        <v>399</v>
      </c>
      <c r="C147" s="37"/>
      <c r="D147" s="37"/>
      <c r="E147" s="37"/>
    </row>
    <row r="148" spans="1:5" ht="12.75" x14ac:dyDescent="0.2">
      <c r="A148" s="37"/>
      <c r="B148" s="36" t="s">
        <v>400</v>
      </c>
      <c r="C148" s="37"/>
      <c r="D148" s="37"/>
      <c r="E148" s="37"/>
    </row>
    <row r="149" spans="1:5" ht="12.75" x14ac:dyDescent="0.2">
      <c r="A149" s="37"/>
      <c r="B149" s="36" t="s">
        <v>401</v>
      </c>
      <c r="C149" s="36" t="s">
        <v>60</v>
      </c>
      <c r="D149" s="37"/>
      <c r="E149" s="37"/>
    </row>
    <row r="150" spans="1:5" ht="12.75" x14ac:dyDescent="0.2">
      <c r="A150" s="36" t="s">
        <v>442</v>
      </c>
      <c r="B150" s="36" t="s">
        <v>402</v>
      </c>
      <c r="C150" s="36" t="s">
        <v>62</v>
      </c>
      <c r="D150" s="37"/>
      <c r="E150" s="37"/>
    </row>
    <row r="151" spans="1:5" ht="12.75" x14ac:dyDescent="0.2">
      <c r="A151" s="36" t="s">
        <v>40</v>
      </c>
      <c r="B151" s="37"/>
      <c r="C151" s="37"/>
      <c r="D151" s="37"/>
      <c r="E151" s="37"/>
    </row>
    <row r="152" spans="1:5" ht="12.75" x14ac:dyDescent="0.2">
      <c r="A152" s="37"/>
      <c r="B152" s="36" t="s">
        <v>422</v>
      </c>
      <c r="C152" s="36" t="s">
        <v>425</v>
      </c>
      <c r="D152" s="36" t="s">
        <v>426</v>
      </c>
      <c r="E152" s="37"/>
    </row>
    <row r="153" spans="1:5" ht="12.75" x14ac:dyDescent="0.2">
      <c r="A153" s="37"/>
      <c r="B153" s="36" t="s">
        <v>403</v>
      </c>
      <c r="C153" s="36" t="s">
        <v>13</v>
      </c>
      <c r="D153" s="36" t="s">
        <v>11</v>
      </c>
      <c r="E153" s="37"/>
    </row>
    <row r="154" spans="1:5" ht="12.75" x14ac:dyDescent="0.2">
      <c r="A154" s="37"/>
      <c r="B154" s="36" t="s">
        <v>403</v>
      </c>
      <c r="C154" s="36" t="s">
        <v>37</v>
      </c>
      <c r="D154" s="36" t="s">
        <v>36</v>
      </c>
      <c r="E154" s="37"/>
    </row>
    <row r="155" spans="1:5" ht="12.75" x14ac:dyDescent="0.2">
      <c r="A155" s="37"/>
      <c r="B155" s="36" t="s">
        <v>403</v>
      </c>
      <c r="C155" s="36" t="s">
        <v>58</v>
      </c>
      <c r="D155" s="36" t="s">
        <v>55</v>
      </c>
      <c r="E155" s="37"/>
    </row>
    <row r="156" spans="1:5" ht="12.75" x14ac:dyDescent="0.2">
      <c r="A156" s="37"/>
      <c r="B156" s="36" t="s">
        <v>403</v>
      </c>
      <c r="C156" s="36" t="s">
        <v>24</v>
      </c>
      <c r="D156" s="36" t="s">
        <v>26</v>
      </c>
      <c r="E156" s="37"/>
    </row>
    <row r="157" spans="1:5" ht="12.75" x14ac:dyDescent="0.2">
      <c r="A157" s="37"/>
      <c r="B157" s="37"/>
      <c r="C157" s="37"/>
      <c r="D157" s="37"/>
      <c r="E157" s="37"/>
    </row>
    <row r="158" spans="1:5" ht="12.75" x14ac:dyDescent="0.2">
      <c r="A158" s="36" t="s">
        <v>71</v>
      </c>
      <c r="B158" s="37"/>
      <c r="C158" s="37"/>
      <c r="D158" s="37"/>
      <c r="E158" s="37"/>
    </row>
    <row r="159" spans="1:5" ht="12.75" x14ac:dyDescent="0.2">
      <c r="A159" s="37"/>
      <c r="B159" s="36" t="s">
        <v>398</v>
      </c>
      <c r="C159" s="37"/>
      <c r="D159" s="37"/>
      <c r="E159" s="37"/>
    </row>
    <row r="160" spans="1:5" ht="12.75" x14ac:dyDescent="0.2">
      <c r="A160" s="37"/>
      <c r="B160" s="36" t="s">
        <v>399</v>
      </c>
      <c r="C160" s="37"/>
      <c r="D160" s="37"/>
      <c r="E160" s="37"/>
    </row>
    <row r="161" spans="1:5" ht="12.75" x14ac:dyDescent="0.2">
      <c r="A161" s="37"/>
      <c r="B161" s="36" t="s">
        <v>400</v>
      </c>
      <c r="C161" s="37"/>
      <c r="D161" s="37"/>
      <c r="E161" s="37"/>
    </row>
    <row r="162" spans="1:5" ht="12.75" x14ac:dyDescent="0.2">
      <c r="A162" s="37"/>
      <c r="B162" s="36" t="s">
        <v>401</v>
      </c>
      <c r="C162" s="36" t="s">
        <v>71</v>
      </c>
      <c r="D162" s="37"/>
      <c r="E162" s="37"/>
    </row>
    <row r="163" spans="1:5" ht="12.75" x14ac:dyDescent="0.2">
      <c r="A163" s="36" t="s">
        <v>444</v>
      </c>
      <c r="B163" s="36" t="s">
        <v>402</v>
      </c>
      <c r="C163" s="36" t="s">
        <v>73</v>
      </c>
      <c r="D163" s="37"/>
      <c r="E163" s="37"/>
    </row>
    <row r="164" spans="1:5" ht="12.75" x14ac:dyDescent="0.2">
      <c r="A164" s="36" t="s">
        <v>445</v>
      </c>
      <c r="B164" s="36" t="s">
        <v>402</v>
      </c>
      <c r="C164" s="36" t="s">
        <v>19</v>
      </c>
      <c r="D164" s="37"/>
      <c r="E164" s="37"/>
    </row>
    <row r="165" spans="1:5" ht="12.75" x14ac:dyDescent="0.2">
      <c r="A165" s="36" t="s">
        <v>446</v>
      </c>
      <c r="B165" s="37"/>
      <c r="C165" s="37"/>
      <c r="D165" s="37"/>
      <c r="E165" s="37"/>
    </row>
    <row r="166" spans="1:5" ht="12.75" x14ac:dyDescent="0.2">
      <c r="A166" s="36" t="s">
        <v>447</v>
      </c>
      <c r="B166" s="37"/>
      <c r="C166" s="37"/>
      <c r="D166" s="37"/>
      <c r="E166" s="37"/>
    </row>
    <row r="167" spans="1:5" ht="12.75" x14ac:dyDescent="0.2">
      <c r="A167" s="36" t="s">
        <v>448</v>
      </c>
      <c r="B167" s="37"/>
      <c r="C167" s="37"/>
      <c r="D167" s="37"/>
      <c r="E167" s="37"/>
    </row>
    <row r="168" spans="1:5" ht="12.75" x14ac:dyDescent="0.2">
      <c r="A168" s="36" t="s">
        <v>72</v>
      </c>
      <c r="B168" s="37"/>
      <c r="C168" s="37"/>
      <c r="D168" s="37"/>
      <c r="E168" s="37"/>
    </row>
    <row r="169" spans="1:5" ht="12.75" x14ac:dyDescent="0.2">
      <c r="A169" s="37"/>
      <c r="B169" s="36" t="s">
        <v>403</v>
      </c>
      <c r="C169" s="36" t="s">
        <v>24</v>
      </c>
      <c r="D169" s="36" t="s">
        <v>26</v>
      </c>
      <c r="E169" s="37"/>
    </row>
    <row r="170" spans="1:5" ht="12.75" x14ac:dyDescent="0.2">
      <c r="A170" s="37"/>
      <c r="B170" s="36" t="s">
        <v>403</v>
      </c>
      <c r="C170" s="36" t="s">
        <v>32</v>
      </c>
      <c r="D170" s="36" t="s">
        <v>29</v>
      </c>
      <c r="E170" s="37"/>
    </row>
    <row r="171" spans="1:5" ht="12.75" x14ac:dyDescent="0.2">
      <c r="A171" s="37"/>
      <c r="B171" s="36" t="s">
        <v>403</v>
      </c>
      <c r="C171" s="36" t="s">
        <v>25</v>
      </c>
      <c r="D171" s="36" t="s">
        <v>27</v>
      </c>
      <c r="E171" s="37"/>
    </row>
    <row r="172" spans="1:5" ht="12.75" x14ac:dyDescent="0.2">
      <c r="A172" s="37"/>
      <c r="B172" s="36" t="s">
        <v>403</v>
      </c>
      <c r="C172" s="36" t="s">
        <v>30</v>
      </c>
      <c r="D172" s="36" t="s">
        <v>31</v>
      </c>
      <c r="E172" s="37"/>
    </row>
    <row r="173" spans="1:5" ht="12.75" x14ac:dyDescent="0.2">
      <c r="A173" s="37"/>
      <c r="B173" s="37"/>
      <c r="C173" s="37"/>
      <c r="D173" s="37"/>
      <c r="E173" s="37"/>
    </row>
    <row r="174" spans="1:5" ht="12.75" x14ac:dyDescent="0.2">
      <c r="A174" s="36" t="s">
        <v>84</v>
      </c>
      <c r="B174" s="37"/>
      <c r="C174" s="37"/>
      <c r="D174" s="37"/>
      <c r="E174" s="37"/>
    </row>
    <row r="175" spans="1:5" ht="12.75" x14ac:dyDescent="0.2">
      <c r="A175" s="37"/>
      <c r="B175" s="36" t="s">
        <v>398</v>
      </c>
      <c r="C175" s="37"/>
      <c r="D175" s="37"/>
      <c r="E175" s="37"/>
    </row>
    <row r="176" spans="1:5" ht="12.75" x14ac:dyDescent="0.2">
      <c r="A176" s="37"/>
      <c r="B176" s="36" t="s">
        <v>399</v>
      </c>
      <c r="C176" s="37"/>
      <c r="D176" s="37"/>
      <c r="E176" s="37"/>
    </row>
    <row r="177" spans="1:5" ht="12.75" x14ac:dyDescent="0.2">
      <c r="A177" s="37"/>
      <c r="B177" s="36" t="s">
        <v>400</v>
      </c>
      <c r="C177" s="37"/>
      <c r="D177" s="37"/>
      <c r="E177" s="37"/>
    </row>
    <row r="178" spans="1:5" ht="12.75" x14ac:dyDescent="0.2">
      <c r="A178" s="37"/>
      <c r="B178" s="36" t="s">
        <v>401</v>
      </c>
      <c r="C178" s="36" t="s">
        <v>84</v>
      </c>
      <c r="D178" s="37"/>
      <c r="E178" s="37"/>
    </row>
    <row r="179" spans="1:5" ht="25.5" x14ac:dyDescent="0.2">
      <c r="A179" s="36" t="s">
        <v>449</v>
      </c>
      <c r="B179" s="36" t="s">
        <v>402</v>
      </c>
      <c r="C179" s="36" t="s">
        <v>95</v>
      </c>
      <c r="D179" s="37"/>
      <c r="E179" s="37"/>
    </row>
    <row r="180" spans="1:5" ht="12.75" x14ac:dyDescent="0.2">
      <c r="A180" s="36" t="s">
        <v>450</v>
      </c>
      <c r="B180" s="36" t="s">
        <v>402</v>
      </c>
      <c r="C180" s="36" t="s">
        <v>19</v>
      </c>
      <c r="D180" s="37"/>
      <c r="E180" s="37"/>
    </row>
    <row r="181" spans="1:5" ht="12.75" x14ac:dyDescent="0.2">
      <c r="A181" s="36" t="s">
        <v>451</v>
      </c>
      <c r="B181" s="37"/>
      <c r="C181" s="37"/>
      <c r="D181" s="37"/>
      <c r="E181" s="37"/>
    </row>
    <row r="182" spans="1:5" ht="12.75" x14ac:dyDescent="0.2">
      <c r="A182" s="36" t="s">
        <v>452</v>
      </c>
      <c r="B182" s="37"/>
      <c r="C182" s="37"/>
      <c r="D182" s="37"/>
      <c r="E182" s="37"/>
    </row>
    <row r="183" spans="1:5" ht="12.75" x14ac:dyDescent="0.2">
      <c r="A183" s="36" t="s">
        <v>453</v>
      </c>
      <c r="B183" s="37"/>
      <c r="C183" s="37"/>
      <c r="D183" s="37"/>
      <c r="E183" s="37"/>
    </row>
    <row r="184" spans="1:5" ht="12.75" x14ac:dyDescent="0.2">
      <c r="A184" s="36" t="s">
        <v>454</v>
      </c>
      <c r="B184" s="37"/>
      <c r="C184" s="37"/>
      <c r="D184" s="37"/>
      <c r="E184" s="37"/>
    </row>
    <row r="185" spans="1:5" ht="12.75" x14ac:dyDescent="0.2">
      <c r="A185" s="36" t="s">
        <v>83</v>
      </c>
      <c r="B185" s="37"/>
      <c r="C185" s="37"/>
      <c r="D185" s="37"/>
      <c r="E185" s="37"/>
    </row>
    <row r="186" spans="1:5" ht="12.75" x14ac:dyDescent="0.2">
      <c r="A186" s="37"/>
      <c r="B186" s="36" t="s">
        <v>403</v>
      </c>
      <c r="C186" s="36" t="s">
        <v>24</v>
      </c>
      <c r="D186" s="36" t="s">
        <v>26</v>
      </c>
      <c r="E186" s="37"/>
    </row>
    <row r="187" spans="1:5" ht="12.75" x14ac:dyDescent="0.2">
      <c r="A187" s="37"/>
      <c r="B187" s="36" t="s">
        <v>403</v>
      </c>
      <c r="C187" s="36" t="s">
        <v>32</v>
      </c>
      <c r="D187" s="36" t="s">
        <v>29</v>
      </c>
      <c r="E187" s="37"/>
    </row>
    <row r="188" spans="1:5" ht="12.75" x14ac:dyDescent="0.2">
      <c r="A188" s="37"/>
      <c r="B188" s="36" t="s">
        <v>403</v>
      </c>
      <c r="C188" s="36" t="s">
        <v>25</v>
      </c>
      <c r="D188" s="36" t="s">
        <v>27</v>
      </c>
      <c r="E188" s="37"/>
    </row>
    <row r="189" spans="1:5" ht="12.75" x14ac:dyDescent="0.2">
      <c r="A189" s="37"/>
      <c r="B189" s="36" t="s">
        <v>403</v>
      </c>
      <c r="C189" s="36" t="s">
        <v>30</v>
      </c>
      <c r="D189" s="36" t="s">
        <v>31</v>
      </c>
      <c r="E189" s="37"/>
    </row>
    <row r="190" spans="1:5" ht="12.75" x14ac:dyDescent="0.2">
      <c r="A190" s="37"/>
      <c r="B190" s="37"/>
      <c r="C190" s="37"/>
      <c r="D190" s="37"/>
      <c r="E190" s="37"/>
    </row>
    <row r="191" spans="1:5" ht="12.75" x14ac:dyDescent="0.2">
      <c r="A191" s="36" t="s">
        <v>75</v>
      </c>
      <c r="B191" s="37"/>
      <c r="C191" s="37"/>
      <c r="D191" s="37"/>
      <c r="E191" s="37"/>
    </row>
    <row r="192" spans="1:5" ht="12.75" x14ac:dyDescent="0.2">
      <c r="A192" s="37"/>
      <c r="B192" s="36" t="s">
        <v>398</v>
      </c>
      <c r="C192" s="37"/>
      <c r="D192" s="37"/>
      <c r="E192" s="37"/>
    </row>
    <row r="193" spans="1:5" ht="12.75" x14ac:dyDescent="0.2">
      <c r="A193" s="37"/>
      <c r="B193" s="36" t="s">
        <v>399</v>
      </c>
      <c r="C193" s="37"/>
      <c r="D193" s="37"/>
      <c r="E193" s="37"/>
    </row>
    <row r="194" spans="1:5" ht="12.75" x14ac:dyDescent="0.2">
      <c r="A194" s="37"/>
      <c r="B194" s="36" t="s">
        <v>400</v>
      </c>
      <c r="C194" s="37"/>
      <c r="D194" s="37"/>
      <c r="E194" s="37"/>
    </row>
    <row r="195" spans="1:5" ht="12.75" x14ac:dyDescent="0.2">
      <c r="A195" s="37"/>
      <c r="B195" s="36" t="s">
        <v>401</v>
      </c>
      <c r="C195" s="36" t="s">
        <v>75</v>
      </c>
      <c r="D195" s="37"/>
      <c r="E195" s="37"/>
    </row>
    <row r="196" spans="1:5" ht="12.75" x14ac:dyDescent="0.2">
      <c r="A196" s="36" t="s">
        <v>455</v>
      </c>
      <c r="B196" s="36" t="s">
        <v>402</v>
      </c>
      <c r="C196" s="36" t="s">
        <v>76</v>
      </c>
      <c r="D196" s="37"/>
      <c r="E196" s="37"/>
    </row>
    <row r="197" spans="1:5" ht="12.75" x14ac:dyDescent="0.2">
      <c r="A197" s="36" t="s">
        <v>44</v>
      </c>
      <c r="B197" s="37"/>
      <c r="C197" s="37"/>
      <c r="D197" s="37"/>
      <c r="E197" s="37"/>
    </row>
    <row r="198" spans="1:5" ht="12.75" x14ac:dyDescent="0.2">
      <c r="A198" s="37"/>
      <c r="B198" s="36" t="s">
        <v>403</v>
      </c>
      <c r="C198" s="36" t="s">
        <v>72</v>
      </c>
      <c r="D198" s="36" t="s">
        <v>71</v>
      </c>
      <c r="E198" s="37"/>
    </row>
    <row r="199" spans="1:5" ht="12.75" x14ac:dyDescent="0.2">
      <c r="A199" s="37"/>
      <c r="B199" s="36" t="s">
        <v>403</v>
      </c>
      <c r="C199" s="36" t="s">
        <v>83</v>
      </c>
      <c r="D199" s="36" t="s">
        <v>84</v>
      </c>
      <c r="E199" s="37"/>
    </row>
    <row r="200" spans="1:5" ht="12.75" x14ac:dyDescent="0.2">
      <c r="A200" s="37"/>
      <c r="B200" s="36" t="s">
        <v>403</v>
      </c>
      <c r="C200" s="36" t="s">
        <v>24</v>
      </c>
      <c r="D200" s="36" t="s">
        <v>26</v>
      </c>
      <c r="E200" s="37"/>
    </row>
    <row r="201" spans="1:5" ht="12.75" x14ac:dyDescent="0.2">
      <c r="A201" s="37"/>
      <c r="B201" s="37"/>
      <c r="C201" s="37"/>
      <c r="D201" s="37"/>
      <c r="E201" s="37"/>
    </row>
    <row r="202" spans="1:5" ht="12.75" x14ac:dyDescent="0.2">
      <c r="A202" s="36" t="s">
        <v>91</v>
      </c>
      <c r="B202" s="37"/>
      <c r="C202" s="37"/>
      <c r="D202" s="37"/>
      <c r="E202" s="37"/>
    </row>
    <row r="203" spans="1:5" ht="12.75" x14ac:dyDescent="0.2">
      <c r="A203" s="37"/>
      <c r="B203" s="36" t="s">
        <v>398</v>
      </c>
      <c r="C203" s="37"/>
      <c r="D203" s="37"/>
      <c r="E203" s="37"/>
    </row>
    <row r="204" spans="1:5" ht="12.75" x14ac:dyDescent="0.2">
      <c r="A204" s="37"/>
      <c r="B204" s="36" t="s">
        <v>399</v>
      </c>
      <c r="C204" s="37"/>
      <c r="D204" s="37"/>
      <c r="E204" s="37"/>
    </row>
    <row r="205" spans="1:5" ht="12.75" x14ac:dyDescent="0.2">
      <c r="A205" s="37"/>
      <c r="B205" s="36" t="s">
        <v>400</v>
      </c>
      <c r="C205" s="37"/>
      <c r="D205" s="37"/>
      <c r="E205" s="37"/>
    </row>
    <row r="206" spans="1:5" ht="12.75" x14ac:dyDescent="0.2">
      <c r="A206" s="37"/>
      <c r="B206" s="36" t="s">
        <v>401</v>
      </c>
      <c r="C206" s="36" t="s">
        <v>91</v>
      </c>
      <c r="D206" s="37"/>
      <c r="E206" s="37"/>
    </row>
    <row r="207" spans="1:5" ht="25.5" x14ac:dyDescent="0.2">
      <c r="A207" s="36" t="s">
        <v>456</v>
      </c>
      <c r="B207" s="36" t="s">
        <v>402</v>
      </c>
      <c r="C207" s="36" t="s">
        <v>125</v>
      </c>
      <c r="D207" s="37"/>
      <c r="E207" s="37"/>
    </row>
    <row r="208" spans="1:5" ht="12.75" x14ac:dyDescent="0.2">
      <c r="A208" s="36" t="s">
        <v>457</v>
      </c>
      <c r="B208" s="36" t="s">
        <v>402</v>
      </c>
      <c r="C208" s="36" t="s">
        <v>19</v>
      </c>
      <c r="D208" s="37"/>
      <c r="E208" s="37"/>
    </row>
    <row r="209" spans="1:5" ht="12.75" x14ac:dyDescent="0.2">
      <c r="A209" s="36" t="s">
        <v>458</v>
      </c>
      <c r="B209" s="37"/>
      <c r="C209" s="37"/>
      <c r="D209" s="37"/>
      <c r="E209" s="37"/>
    </row>
    <row r="210" spans="1:5" ht="12.75" x14ac:dyDescent="0.2">
      <c r="A210" s="36" t="s">
        <v>459</v>
      </c>
      <c r="B210" s="37"/>
      <c r="C210" s="37"/>
      <c r="D210" s="37"/>
      <c r="E210" s="37"/>
    </row>
    <row r="211" spans="1:5" ht="12.75" x14ac:dyDescent="0.2">
      <c r="A211" s="36" t="s">
        <v>460</v>
      </c>
      <c r="B211" s="37"/>
      <c r="C211" s="37"/>
      <c r="D211" s="37"/>
      <c r="E211" s="37"/>
    </row>
    <row r="212" spans="1:5" ht="12.75" x14ac:dyDescent="0.2">
      <c r="A212" s="36" t="s">
        <v>461</v>
      </c>
      <c r="B212" s="37"/>
      <c r="C212" s="37"/>
      <c r="D212" s="37"/>
      <c r="E212" s="37"/>
    </row>
    <row r="213" spans="1:5" ht="12.75" x14ac:dyDescent="0.2">
      <c r="A213" s="36" t="s">
        <v>90</v>
      </c>
      <c r="B213" s="37"/>
      <c r="C213" s="37"/>
      <c r="D213" s="37"/>
      <c r="E213" s="37"/>
    </row>
    <row r="214" spans="1:5" ht="12.75" x14ac:dyDescent="0.2">
      <c r="A214" s="37"/>
      <c r="B214" s="36" t="s">
        <v>403</v>
      </c>
      <c r="C214" s="36" t="s">
        <v>24</v>
      </c>
      <c r="D214" s="36" t="s">
        <v>26</v>
      </c>
      <c r="E214" s="37"/>
    </row>
    <row r="215" spans="1:5" ht="12.75" x14ac:dyDescent="0.2">
      <c r="A215" s="37"/>
      <c r="B215" s="36" t="s">
        <v>403</v>
      </c>
      <c r="C215" s="36" t="s">
        <v>32</v>
      </c>
      <c r="D215" s="36" t="s">
        <v>29</v>
      </c>
      <c r="E215" s="37"/>
    </row>
    <row r="216" spans="1:5" ht="12.75" x14ac:dyDescent="0.2">
      <c r="A216" s="37"/>
      <c r="B216" s="36" t="s">
        <v>403</v>
      </c>
      <c r="C216" s="36" t="s">
        <v>25</v>
      </c>
      <c r="D216" s="36" t="s">
        <v>27</v>
      </c>
      <c r="E216" s="37"/>
    </row>
    <row r="217" spans="1:5" ht="12.75" x14ac:dyDescent="0.2">
      <c r="A217" s="37"/>
      <c r="B217" s="36" t="s">
        <v>403</v>
      </c>
      <c r="C217" s="36" t="s">
        <v>30</v>
      </c>
      <c r="D217" s="36" t="s">
        <v>31</v>
      </c>
      <c r="E217" s="37"/>
    </row>
    <row r="218" spans="1:5" ht="12.75" x14ac:dyDescent="0.2">
      <c r="A218" s="37"/>
      <c r="B218" s="37"/>
      <c r="C218" s="37"/>
      <c r="D218" s="37"/>
      <c r="E218" s="37"/>
    </row>
    <row r="219" spans="1:5" ht="12.75" x14ac:dyDescent="0.2">
      <c r="A219" s="36" t="s">
        <v>98</v>
      </c>
      <c r="B219" s="37"/>
      <c r="C219" s="37"/>
      <c r="D219" s="37"/>
      <c r="E219" s="37"/>
    </row>
    <row r="220" spans="1:5" ht="12.75" x14ac:dyDescent="0.2">
      <c r="A220" s="37"/>
      <c r="B220" s="36" t="s">
        <v>398</v>
      </c>
      <c r="C220" s="37"/>
      <c r="D220" s="37"/>
      <c r="E220" s="37"/>
    </row>
    <row r="221" spans="1:5" ht="12.75" x14ac:dyDescent="0.2">
      <c r="A221" s="37"/>
      <c r="B221" s="36" t="s">
        <v>399</v>
      </c>
      <c r="C221" s="37"/>
      <c r="D221" s="37"/>
      <c r="E221" s="37"/>
    </row>
    <row r="222" spans="1:5" ht="12.75" x14ac:dyDescent="0.2">
      <c r="A222" s="37"/>
      <c r="B222" s="36" t="s">
        <v>400</v>
      </c>
      <c r="C222" s="37"/>
      <c r="D222" s="37"/>
      <c r="E222" s="37"/>
    </row>
    <row r="223" spans="1:5" ht="12.75" x14ac:dyDescent="0.2">
      <c r="A223" s="37"/>
      <c r="B223" s="36" t="s">
        <v>401</v>
      </c>
      <c r="C223" s="36" t="s">
        <v>98</v>
      </c>
      <c r="D223" s="37"/>
      <c r="E223" s="37"/>
    </row>
    <row r="224" spans="1:5" ht="25.5" x14ac:dyDescent="0.2">
      <c r="A224" s="36" t="s">
        <v>462</v>
      </c>
      <c r="B224" s="36" t="s">
        <v>402</v>
      </c>
      <c r="C224" s="36" t="s">
        <v>149</v>
      </c>
      <c r="D224" s="37"/>
      <c r="E224" s="37"/>
    </row>
    <row r="225" spans="1:5" ht="12.75" x14ac:dyDescent="0.2">
      <c r="A225" s="36" t="s">
        <v>463</v>
      </c>
      <c r="B225" s="36" t="s">
        <v>402</v>
      </c>
      <c r="C225" s="36" t="s">
        <v>19</v>
      </c>
      <c r="D225" s="37"/>
      <c r="E225" s="37"/>
    </row>
    <row r="226" spans="1:5" ht="12.75" x14ac:dyDescent="0.2">
      <c r="A226" s="36" t="s">
        <v>464</v>
      </c>
      <c r="B226" s="37"/>
      <c r="C226" s="37"/>
      <c r="D226" s="37"/>
      <c r="E226" s="37"/>
    </row>
    <row r="227" spans="1:5" ht="12.75" x14ac:dyDescent="0.2">
      <c r="A227" s="36" t="s">
        <v>97</v>
      </c>
      <c r="B227" s="37"/>
      <c r="C227" s="37"/>
      <c r="D227" s="37"/>
      <c r="E227" s="37"/>
    </row>
    <row r="228" spans="1:5" ht="12.75" x14ac:dyDescent="0.2">
      <c r="A228" s="37"/>
      <c r="B228" s="36" t="s">
        <v>403</v>
      </c>
      <c r="C228" s="36" t="s">
        <v>24</v>
      </c>
      <c r="D228" s="36" t="s">
        <v>26</v>
      </c>
      <c r="E228" s="37"/>
    </row>
    <row r="229" spans="1:5" ht="12.75" x14ac:dyDescent="0.2">
      <c r="A229" s="37"/>
      <c r="B229" s="36" t="s">
        <v>403</v>
      </c>
      <c r="C229" s="36" t="s">
        <v>32</v>
      </c>
      <c r="D229" s="36" t="s">
        <v>29</v>
      </c>
      <c r="E229" s="37"/>
    </row>
    <row r="230" spans="1:5" ht="12.75" x14ac:dyDescent="0.2">
      <c r="A230" s="37"/>
      <c r="B230" s="36" t="s">
        <v>403</v>
      </c>
      <c r="C230" s="36" t="s">
        <v>25</v>
      </c>
      <c r="D230" s="36" t="s">
        <v>27</v>
      </c>
      <c r="E230" s="37"/>
    </row>
    <row r="231" spans="1:5" ht="12.75" x14ac:dyDescent="0.2">
      <c r="A231" s="37"/>
      <c r="B231" s="36" t="s">
        <v>403</v>
      </c>
      <c r="C231" s="36" t="s">
        <v>30</v>
      </c>
      <c r="D231" s="36" t="s">
        <v>31</v>
      </c>
      <c r="E231" s="37"/>
    </row>
    <row r="232" spans="1:5" ht="12.75" x14ac:dyDescent="0.2">
      <c r="A232" s="37"/>
      <c r="B232" s="37"/>
      <c r="C232" s="37"/>
      <c r="D232" s="37"/>
      <c r="E232" s="37"/>
    </row>
    <row r="233" spans="1:5" ht="12.75" x14ac:dyDescent="0.2">
      <c r="A233" s="36" t="s">
        <v>101</v>
      </c>
      <c r="B233" s="37"/>
      <c r="C233" s="37"/>
      <c r="D233" s="37"/>
      <c r="E233" s="37"/>
    </row>
    <row r="234" spans="1:5" ht="12.75" x14ac:dyDescent="0.2">
      <c r="A234" s="37"/>
      <c r="B234" s="36" t="s">
        <v>398</v>
      </c>
      <c r="C234" s="37"/>
      <c r="D234" s="37"/>
      <c r="E234" s="37"/>
    </row>
    <row r="235" spans="1:5" ht="12.75" x14ac:dyDescent="0.2">
      <c r="A235" s="37"/>
      <c r="B235" s="36" t="s">
        <v>399</v>
      </c>
      <c r="C235" s="37"/>
      <c r="D235" s="37"/>
      <c r="E235" s="37"/>
    </row>
    <row r="236" spans="1:5" ht="12.75" x14ac:dyDescent="0.2">
      <c r="A236" s="37"/>
      <c r="B236" s="36" t="s">
        <v>400</v>
      </c>
      <c r="C236" s="37"/>
      <c r="D236" s="37"/>
      <c r="E236" s="37"/>
    </row>
    <row r="237" spans="1:5" ht="12.75" x14ac:dyDescent="0.2">
      <c r="A237" s="37"/>
      <c r="B237" s="36" t="s">
        <v>401</v>
      </c>
      <c r="C237" s="36" t="s">
        <v>101</v>
      </c>
      <c r="D237" s="37"/>
      <c r="E237" s="37"/>
    </row>
    <row r="238" spans="1:5" ht="38.25" x14ac:dyDescent="0.2">
      <c r="A238" s="36" t="s">
        <v>465</v>
      </c>
      <c r="B238" s="36" t="s">
        <v>402</v>
      </c>
      <c r="C238" s="36" t="s">
        <v>170</v>
      </c>
      <c r="D238" s="37"/>
      <c r="E238" s="37"/>
    </row>
    <row r="239" spans="1:5" ht="12.75" x14ac:dyDescent="0.2">
      <c r="A239" s="36" t="s">
        <v>466</v>
      </c>
      <c r="B239" s="36" t="s">
        <v>402</v>
      </c>
      <c r="C239" s="36" t="s">
        <v>19</v>
      </c>
      <c r="D239" s="37"/>
      <c r="E239" s="37"/>
    </row>
    <row r="240" spans="1:5" ht="12.75" x14ac:dyDescent="0.2">
      <c r="A240" s="36" t="s">
        <v>467</v>
      </c>
      <c r="B240" s="37"/>
      <c r="C240" s="37"/>
      <c r="D240" s="37"/>
      <c r="E240" s="37"/>
    </row>
    <row r="241" spans="1:5" ht="12.75" x14ac:dyDescent="0.2">
      <c r="A241" s="36" t="s">
        <v>468</v>
      </c>
      <c r="B241" s="37"/>
      <c r="C241" s="37"/>
      <c r="D241" s="37"/>
      <c r="E241" s="37"/>
    </row>
    <row r="242" spans="1:5" ht="12.75" x14ac:dyDescent="0.2">
      <c r="A242" s="36" t="s">
        <v>469</v>
      </c>
      <c r="B242" s="37"/>
      <c r="C242" s="37"/>
      <c r="D242" s="37"/>
      <c r="E242" s="37"/>
    </row>
    <row r="243" spans="1:5" ht="12.75" x14ac:dyDescent="0.2">
      <c r="A243" s="36" t="s">
        <v>470</v>
      </c>
      <c r="B243" s="37"/>
      <c r="C243" s="37"/>
      <c r="D243" s="37"/>
      <c r="E243" s="37"/>
    </row>
    <row r="244" spans="1:5" ht="12.75" x14ac:dyDescent="0.2">
      <c r="A244" s="36" t="s">
        <v>471</v>
      </c>
      <c r="B244" s="37"/>
      <c r="C244" s="37"/>
      <c r="D244" s="37"/>
      <c r="E244" s="37"/>
    </row>
    <row r="245" spans="1:5" ht="12.75" x14ac:dyDescent="0.2">
      <c r="A245" s="36" t="s">
        <v>100</v>
      </c>
      <c r="B245" s="37"/>
      <c r="C245" s="37"/>
      <c r="D245" s="37"/>
      <c r="E245" s="37"/>
    </row>
    <row r="246" spans="1:5" ht="12.75" x14ac:dyDescent="0.2">
      <c r="A246" s="37"/>
      <c r="B246" s="36" t="s">
        <v>403</v>
      </c>
      <c r="C246" s="36" t="s">
        <v>24</v>
      </c>
      <c r="D246" s="36" t="s">
        <v>26</v>
      </c>
      <c r="E246" s="37"/>
    </row>
    <row r="247" spans="1:5" ht="12.75" x14ac:dyDescent="0.2">
      <c r="A247" s="37"/>
      <c r="B247" s="36" t="s">
        <v>403</v>
      </c>
      <c r="C247" s="36" t="s">
        <v>32</v>
      </c>
      <c r="D247" s="36" t="s">
        <v>29</v>
      </c>
      <c r="E247" s="37"/>
    </row>
    <row r="248" spans="1:5" ht="12.75" x14ac:dyDescent="0.2">
      <c r="A248" s="37"/>
      <c r="B248" s="36" t="s">
        <v>403</v>
      </c>
      <c r="C248" s="36" t="s">
        <v>25</v>
      </c>
      <c r="D248" s="36" t="s">
        <v>27</v>
      </c>
      <c r="E248" s="37"/>
    </row>
    <row r="249" spans="1:5" ht="12.75" x14ac:dyDescent="0.2">
      <c r="A249" s="37"/>
      <c r="B249" s="36" t="s">
        <v>403</v>
      </c>
      <c r="C249" s="36" t="s">
        <v>30</v>
      </c>
      <c r="D249" s="36" t="s">
        <v>31</v>
      </c>
      <c r="E249" s="37"/>
    </row>
    <row r="250" spans="1:5" ht="12.75" x14ac:dyDescent="0.2">
      <c r="A250" s="37"/>
      <c r="B250" s="37"/>
      <c r="C250" s="37"/>
      <c r="D250" s="37"/>
      <c r="E250" s="37"/>
    </row>
    <row r="251" spans="1:5" ht="12.75" x14ac:dyDescent="0.2">
      <c r="A251" s="36" t="s">
        <v>103</v>
      </c>
      <c r="B251" s="37"/>
      <c r="C251" s="37"/>
      <c r="D251" s="37"/>
      <c r="E251" s="37"/>
    </row>
    <row r="252" spans="1:5" ht="12.75" x14ac:dyDescent="0.2">
      <c r="A252" s="37"/>
      <c r="B252" s="36" t="s">
        <v>398</v>
      </c>
      <c r="C252" s="37"/>
      <c r="D252" s="37"/>
      <c r="E252" s="37"/>
    </row>
    <row r="253" spans="1:5" ht="12.75" x14ac:dyDescent="0.2">
      <c r="A253" s="37"/>
      <c r="B253" s="36" t="s">
        <v>399</v>
      </c>
      <c r="C253" s="37"/>
      <c r="D253" s="37"/>
      <c r="E253" s="37"/>
    </row>
    <row r="254" spans="1:5" ht="12.75" x14ac:dyDescent="0.2">
      <c r="A254" s="37"/>
      <c r="B254" s="36" t="s">
        <v>400</v>
      </c>
      <c r="C254" s="37"/>
      <c r="D254" s="37"/>
      <c r="E254" s="37"/>
    </row>
    <row r="255" spans="1:5" ht="12.75" x14ac:dyDescent="0.2">
      <c r="A255" s="37"/>
      <c r="B255" s="36" t="s">
        <v>401</v>
      </c>
      <c r="C255" s="36" t="s">
        <v>103</v>
      </c>
      <c r="D255" s="37"/>
      <c r="E255" s="37"/>
    </row>
    <row r="256" spans="1:5" ht="25.5" x14ac:dyDescent="0.2">
      <c r="A256" s="36" t="s">
        <v>472</v>
      </c>
      <c r="B256" s="36" t="s">
        <v>402</v>
      </c>
      <c r="C256" s="36" t="s">
        <v>189</v>
      </c>
      <c r="D256" s="37"/>
      <c r="E256" s="37"/>
    </row>
    <row r="257" spans="1:5" ht="12.75" x14ac:dyDescent="0.2">
      <c r="A257" s="36" t="s">
        <v>473</v>
      </c>
      <c r="B257" s="36" t="s">
        <v>402</v>
      </c>
      <c r="C257" s="36" t="s">
        <v>19</v>
      </c>
      <c r="D257" s="37"/>
      <c r="E257" s="37"/>
    </row>
    <row r="258" spans="1:5" ht="12.75" x14ac:dyDescent="0.2">
      <c r="A258" s="36" t="s">
        <v>474</v>
      </c>
      <c r="B258" s="37"/>
      <c r="C258" s="37"/>
      <c r="D258" s="37"/>
      <c r="E258" s="37"/>
    </row>
    <row r="259" spans="1:5" ht="12.75" x14ac:dyDescent="0.2">
      <c r="A259" s="36" t="s">
        <v>475</v>
      </c>
      <c r="B259" s="37"/>
      <c r="C259" s="37"/>
      <c r="D259" s="37"/>
      <c r="E259" s="37"/>
    </row>
    <row r="260" spans="1:5" ht="12.75" x14ac:dyDescent="0.2">
      <c r="A260" s="36" t="s">
        <v>476</v>
      </c>
      <c r="B260" s="37"/>
      <c r="C260" s="37"/>
      <c r="D260" s="37"/>
      <c r="E260" s="37"/>
    </row>
    <row r="261" spans="1:5" ht="12.75" x14ac:dyDescent="0.2">
      <c r="A261" s="36" t="s">
        <v>102</v>
      </c>
      <c r="B261" s="37"/>
      <c r="C261" s="37"/>
      <c r="D261" s="37"/>
      <c r="E261" s="37"/>
    </row>
    <row r="262" spans="1:5" ht="12.75" x14ac:dyDescent="0.2">
      <c r="A262" s="37"/>
      <c r="B262" s="36" t="s">
        <v>422</v>
      </c>
      <c r="C262" s="36" t="s">
        <v>477</v>
      </c>
      <c r="D262" s="36" t="s">
        <v>478</v>
      </c>
      <c r="E262" s="37"/>
    </row>
    <row r="263" spans="1:5" ht="12.75" x14ac:dyDescent="0.2">
      <c r="A263" s="37"/>
      <c r="B263" s="36" t="s">
        <v>403</v>
      </c>
      <c r="C263" s="36" t="s">
        <v>24</v>
      </c>
      <c r="D263" s="36" t="s">
        <v>26</v>
      </c>
      <c r="E263" s="37"/>
    </row>
    <row r="264" spans="1:5" ht="12.75" x14ac:dyDescent="0.2">
      <c r="A264" s="37"/>
      <c r="B264" s="36" t="s">
        <v>403</v>
      </c>
      <c r="C264" s="36" t="s">
        <v>32</v>
      </c>
      <c r="D264" s="36" t="s">
        <v>29</v>
      </c>
      <c r="E264" s="37"/>
    </row>
    <row r="265" spans="1:5" ht="12.75" x14ac:dyDescent="0.2">
      <c r="A265" s="37"/>
      <c r="B265" s="36" t="s">
        <v>403</v>
      </c>
      <c r="C265" s="36" t="s">
        <v>25</v>
      </c>
      <c r="D265" s="36" t="s">
        <v>27</v>
      </c>
      <c r="E265" s="37"/>
    </row>
    <row r="266" spans="1:5" ht="12.75" x14ac:dyDescent="0.2">
      <c r="A266" s="37"/>
      <c r="B266" s="36" t="s">
        <v>403</v>
      </c>
      <c r="C266" s="36" t="s">
        <v>30</v>
      </c>
      <c r="D266" s="36" t="s">
        <v>31</v>
      </c>
      <c r="E266" s="37"/>
    </row>
    <row r="267" spans="1:5" ht="12.75" x14ac:dyDescent="0.2">
      <c r="A267" s="37"/>
      <c r="B267" s="37"/>
      <c r="C267" s="37"/>
      <c r="D267" s="37"/>
      <c r="E267" s="37"/>
    </row>
    <row r="268" spans="1:5" ht="12.75" x14ac:dyDescent="0.2">
      <c r="A268" s="36" t="s">
        <v>106</v>
      </c>
      <c r="B268" s="37"/>
      <c r="C268" s="37"/>
      <c r="D268" s="37"/>
      <c r="E268" s="37"/>
    </row>
    <row r="269" spans="1:5" ht="12.75" x14ac:dyDescent="0.2">
      <c r="A269" s="37"/>
      <c r="B269" s="36" t="s">
        <v>398</v>
      </c>
      <c r="C269" s="37"/>
      <c r="D269" s="37"/>
      <c r="E269" s="37"/>
    </row>
    <row r="270" spans="1:5" ht="12.75" x14ac:dyDescent="0.2">
      <c r="A270" s="37"/>
      <c r="B270" s="36" t="s">
        <v>399</v>
      </c>
      <c r="C270" s="37"/>
      <c r="D270" s="37"/>
      <c r="E270" s="37"/>
    </row>
    <row r="271" spans="1:5" ht="12.75" x14ac:dyDescent="0.2">
      <c r="A271" s="37"/>
      <c r="B271" s="36" t="s">
        <v>400</v>
      </c>
      <c r="C271" s="37"/>
      <c r="D271" s="37"/>
      <c r="E271" s="37"/>
    </row>
    <row r="272" spans="1:5" ht="12.75" x14ac:dyDescent="0.2">
      <c r="A272" s="37"/>
      <c r="B272" s="36" t="s">
        <v>401</v>
      </c>
      <c r="C272" s="36" t="s">
        <v>106</v>
      </c>
      <c r="D272" s="37"/>
      <c r="E272" s="37"/>
    </row>
    <row r="273" spans="1:5" ht="25.5" x14ac:dyDescent="0.2">
      <c r="A273" s="36" t="s">
        <v>479</v>
      </c>
      <c r="B273" s="36" t="s">
        <v>402</v>
      </c>
      <c r="C273" s="36" t="s">
        <v>480</v>
      </c>
      <c r="D273" s="37"/>
      <c r="E273" s="37"/>
    </row>
    <row r="274" spans="1:5" ht="12.75" x14ac:dyDescent="0.2">
      <c r="A274" s="36" t="s">
        <v>481</v>
      </c>
      <c r="B274" s="36" t="s">
        <v>402</v>
      </c>
      <c r="C274" s="36" t="s">
        <v>19</v>
      </c>
      <c r="D274" s="37"/>
      <c r="E274" s="37"/>
    </row>
    <row r="275" spans="1:5" ht="12.75" x14ac:dyDescent="0.2">
      <c r="A275" s="36" t="s">
        <v>482</v>
      </c>
      <c r="B275" s="37"/>
      <c r="C275" s="37"/>
      <c r="D275" s="37"/>
      <c r="E275" s="37"/>
    </row>
    <row r="276" spans="1:5" ht="12.75" x14ac:dyDescent="0.2">
      <c r="A276" s="36" t="s">
        <v>483</v>
      </c>
      <c r="B276" s="37"/>
      <c r="C276" s="37"/>
      <c r="D276" s="37"/>
      <c r="E276" s="37"/>
    </row>
    <row r="277" spans="1:5" ht="12.75" x14ac:dyDescent="0.2">
      <c r="A277" s="36" t="s">
        <v>484</v>
      </c>
      <c r="B277" s="37"/>
      <c r="C277" s="37"/>
      <c r="D277" s="37"/>
      <c r="E277" s="37"/>
    </row>
    <row r="278" spans="1:5" ht="12.75" x14ac:dyDescent="0.2">
      <c r="A278" s="36" t="s">
        <v>485</v>
      </c>
      <c r="B278" s="37"/>
      <c r="C278" s="37"/>
      <c r="D278" s="37"/>
      <c r="E278" s="37"/>
    </row>
    <row r="279" spans="1:5" ht="12.75" x14ac:dyDescent="0.2">
      <c r="A279" s="36" t="s">
        <v>105</v>
      </c>
      <c r="B279" s="37"/>
      <c r="C279" s="37"/>
      <c r="D279" s="37"/>
      <c r="E279" s="37"/>
    </row>
    <row r="280" spans="1:5" ht="12.75" x14ac:dyDescent="0.2">
      <c r="A280" s="37"/>
      <c r="B280" s="36" t="s">
        <v>422</v>
      </c>
      <c r="C280" s="36" t="s">
        <v>486</v>
      </c>
      <c r="D280" s="36" t="s">
        <v>487</v>
      </c>
      <c r="E280" s="37"/>
    </row>
    <row r="281" spans="1:5" ht="12.75" x14ac:dyDescent="0.2">
      <c r="A281" s="37"/>
      <c r="B281" s="36" t="s">
        <v>422</v>
      </c>
      <c r="C281" s="36" t="s">
        <v>488</v>
      </c>
      <c r="D281" s="36" t="s">
        <v>489</v>
      </c>
      <c r="E281" s="37"/>
    </row>
    <row r="282" spans="1:5" ht="12.75" x14ac:dyDescent="0.2">
      <c r="A282" s="37"/>
      <c r="B282" s="36" t="s">
        <v>403</v>
      </c>
      <c r="C282" s="36" t="s">
        <v>24</v>
      </c>
      <c r="D282" s="36" t="s">
        <v>26</v>
      </c>
      <c r="E282" s="37"/>
    </row>
    <row r="283" spans="1:5" ht="12.75" x14ac:dyDescent="0.2">
      <c r="A283" s="37"/>
      <c r="B283" s="36" t="s">
        <v>403</v>
      </c>
      <c r="C283" s="36" t="s">
        <v>32</v>
      </c>
      <c r="D283" s="36" t="s">
        <v>29</v>
      </c>
      <c r="E283" s="37"/>
    </row>
    <row r="284" spans="1:5" ht="12.75" x14ac:dyDescent="0.2">
      <c r="A284" s="37"/>
      <c r="B284" s="36" t="s">
        <v>403</v>
      </c>
      <c r="C284" s="36" t="s">
        <v>25</v>
      </c>
      <c r="D284" s="36" t="s">
        <v>27</v>
      </c>
      <c r="E284" s="37"/>
    </row>
    <row r="285" spans="1:5" ht="12.75" x14ac:dyDescent="0.2">
      <c r="A285" s="37"/>
      <c r="B285" s="36" t="s">
        <v>403</v>
      </c>
      <c r="C285" s="36" t="s">
        <v>30</v>
      </c>
      <c r="D285" s="36" t="s">
        <v>31</v>
      </c>
      <c r="E285" s="37"/>
    </row>
    <row r="286" spans="1:5" ht="12.75" x14ac:dyDescent="0.2">
      <c r="A286" s="37"/>
      <c r="B286" s="37"/>
      <c r="C286" s="37"/>
      <c r="D286" s="37"/>
      <c r="E286" s="37"/>
    </row>
    <row r="287" spans="1:5" ht="12.75" x14ac:dyDescent="0.2">
      <c r="A287" s="36" t="s">
        <v>109</v>
      </c>
      <c r="B287" s="37"/>
      <c r="C287" s="37"/>
      <c r="D287" s="37"/>
      <c r="E287" s="37"/>
    </row>
    <row r="288" spans="1:5" ht="12.75" x14ac:dyDescent="0.2">
      <c r="A288" s="37"/>
      <c r="B288" s="36" t="s">
        <v>398</v>
      </c>
      <c r="C288" s="37"/>
      <c r="D288" s="37"/>
      <c r="E288" s="37"/>
    </row>
    <row r="289" spans="1:5" ht="12.75" x14ac:dyDescent="0.2">
      <c r="A289" s="37"/>
      <c r="B289" s="36" t="s">
        <v>399</v>
      </c>
      <c r="C289" s="37"/>
      <c r="D289" s="37"/>
      <c r="E289" s="37"/>
    </row>
    <row r="290" spans="1:5" ht="12.75" x14ac:dyDescent="0.2">
      <c r="A290" s="37"/>
      <c r="B290" s="36" t="s">
        <v>400</v>
      </c>
      <c r="C290" s="37"/>
      <c r="D290" s="37"/>
      <c r="E290" s="37"/>
    </row>
    <row r="291" spans="1:5" ht="12.75" x14ac:dyDescent="0.2">
      <c r="A291" s="37"/>
      <c r="B291" s="36" t="s">
        <v>401</v>
      </c>
      <c r="C291" s="36" t="s">
        <v>109</v>
      </c>
      <c r="D291" s="37"/>
      <c r="E291" s="37"/>
    </row>
    <row r="292" spans="1:5" ht="25.5" x14ac:dyDescent="0.2">
      <c r="A292" s="36" t="s">
        <v>491</v>
      </c>
      <c r="B292" s="36" t="s">
        <v>402</v>
      </c>
      <c r="C292" s="36" t="s">
        <v>218</v>
      </c>
      <c r="D292" s="37"/>
      <c r="E292" s="37"/>
    </row>
    <row r="293" spans="1:5" ht="12.75" x14ac:dyDescent="0.2">
      <c r="A293" s="36" t="s">
        <v>492</v>
      </c>
      <c r="B293" s="36" t="s">
        <v>402</v>
      </c>
      <c r="C293" s="36" t="s">
        <v>19</v>
      </c>
      <c r="D293" s="37"/>
      <c r="E293" s="37"/>
    </row>
    <row r="294" spans="1:5" ht="12.75" x14ac:dyDescent="0.2">
      <c r="A294" s="36" t="s">
        <v>493</v>
      </c>
      <c r="B294" s="37"/>
      <c r="C294" s="37"/>
      <c r="D294" s="37"/>
      <c r="E294" s="37"/>
    </row>
    <row r="295" spans="1:5" ht="12.75" x14ac:dyDescent="0.2">
      <c r="A295" s="36" t="s">
        <v>494</v>
      </c>
      <c r="B295" s="37"/>
      <c r="C295" s="37"/>
      <c r="D295" s="37"/>
      <c r="E295" s="37"/>
    </row>
    <row r="296" spans="1:5" ht="12.75" x14ac:dyDescent="0.2">
      <c r="A296" s="36" t="s">
        <v>495</v>
      </c>
      <c r="B296" s="37"/>
      <c r="C296" s="37"/>
      <c r="D296" s="37"/>
      <c r="E296" s="37"/>
    </row>
    <row r="297" spans="1:5" ht="12.75" x14ac:dyDescent="0.2">
      <c r="A297" s="36" t="s">
        <v>496</v>
      </c>
      <c r="B297" s="37"/>
      <c r="C297" s="37"/>
      <c r="D297" s="37"/>
      <c r="E297" s="37"/>
    </row>
    <row r="298" spans="1:5" ht="12.75" x14ac:dyDescent="0.2">
      <c r="A298" s="36" t="s">
        <v>108</v>
      </c>
      <c r="B298" s="37"/>
      <c r="C298" s="37"/>
      <c r="D298" s="37"/>
      <c r="E298" s="37"/>
    </row>
    <row r="299" spans="1:5" ht="12.75" x14ac:dyDescent="0.2">
      <c r="A299" s="37"/>
      <c r="B299" s="36" t="s">
        <v>403</v>
      </c>
      <c r="C299" s="36" t="s">
        <v>24</v>
      </c>
      <c r="D299" s="36" t="s">
        <v>26</v>
      </c>
      <c r="E299" s="37"/>
    </row>
    <row r="300" spans="1:5" ht="12.75" x14ac:dyDescent="0.2">
      <c r="A300" s="37"/>
      <c r="B300" s="36" t="s">
        <v>403</v>
      </c>
      <c r="C300" s="36" t="s">
        <v>32</v>
      </c>
      <c r="D300" s="36" t="s">
        <v>29</v>
      </c>
      <c r="E300" s="37"/>
    </row>
    <row r="301" spans="1:5" ht="12.75" x14ac:dyDescent="0.2">
      <c r="A301" s="37"/>
      <c r="B301" s="36" t="s">
        <v>403</v>
      </c>
      <c r="C301" s="36" t="s">
        <v>25</v>
      </c>
      <c r="D301" s="36" t="s">
        <v>27</v>
      </c>
      <c r="E301" s="37"/>
    </row>
    <row r="302" spans="1:5" ht="12.75" x14ac:dyDescent="0.2">
      <c r="A302" s="37"/>
      <c r="B302" s="36" t="s">
        <v>403</v>
      </c>
      <c r="C302" s="36" t="s">
        <v>30</v>
      </c>
      <c r="D302" s="36" t="s">
        <v>31</v>
      </c>
      <c r="E302" s="37"/>
    </row>
    <row r="303" spans="1:5" ht="12.75" x14ac:dyDescent="0.2">
      <c r="A303" s="37"/>
      <c r="B303" s="37"/>
      <c r="C303" s="37"/>
      <c r="D303" s="37"/>
      <c r="E303" s="37"/>
    </row>
    <row r="304" spans="1:5" ht="12.75" x14ac:dyDescent="0.2">
      <c r="A304" s="36" t="s">
        <v>111</v>
      </c>
      <c r="B304" s="37"/>
      <c r="C304" s="37"/>
      <c r="D304" s="37"/>
      <c r="E304" s="37"/>
    </row>
    <row r="305" spans="1:5" ht="12.75" x14ac:dyDescent="0.2">
      <c r="A305" s="37"/>
      <c r="B305" s="36" t="s">
        <v>398</v>
      </c>
      <c r="C305" s="37"/>
      <c r="D305" s="37"/>
      <c r="E305" s="37"/>
    </row>
    <row r="306" spans="1:5" ht="12.75" x14ac:dyDescent="0.2">
      <c r="A306" s="37"/>
      <c r="B306" s="36" t="s">
        <v>399</v>
      </c>
      <c r="C306" s="37"/>
      <c r="D306" s="37"/>
      <c r="E306" s="37"/>
    </row>
    <row r="307" spans="1:5" ht="12.75" x14ac:dyDescent="0.2">
      <c r="A307" s="37"/>
      <c r="B307" s="36" t="s">
        <v>400</v>
      </c>
      <c r="C307" s="37"/>
      <c r="D307" s="37"/>
      <c r="E307" s="37"/>
    </row>
    <row r="308" spans="1:5" ht="12.75" x14ac:dyDescent="0.2">
      <c r="A308" s="37"/>
      <c r="B308" s="36" t="s">
        <v>401</v>
      </c>
      <c r="C308" s="36" t="s">
        <v>111</v>
      </c>
      <c r="D308" s="37"/>
      <c r="E308" s="37"/>
    </row>
    <row r="309" spans="1:5" ht="25.5" x14ac:dyDescent="0.2">
      <c r="A309" s="36" t="s">
        <v>497</v>
      </c>
      <c r="B309" s="36" t="s">
        <v>402</v>
      </c>
      <c r="C309" s="36" t="s">
        <v>233</v>
      </c>
      <c r="D309" s="37"/>
      <c r="E309" s="37"/>
    </row>
    <row r="310" spans="1:5" ht="12.75" x14ac:dyDescent="0.2">
      <c r="A310" s="36" t="s">
        <v>498</v>
      </c>
      <c r="B310" s="36" t="s">
        <v>402</v>
      </c>
      <c r="C310" s="36" t="s">
        <v>19</v>
      </c>
      <c r="D310" s="37"/>
      <c r="E310" s="37"/>
    </row>
    <row r="311" spans="1:5" ht="12.75" x14ac:dyDescent="0.2">
      <c r="A311" s="36" t="s">
        <v>499</v>
      </c>
      <c r="B311" s="37"/>
      <c r="C311" s="37"/>
      <c r="D311" s="37"/>
      <c r="E311" s="37"/>
    </row>
    <row r="312" spans="1:5" ht="12.75" x14ac:dyDescent="0.2">
      <c r="A312" s="36" t="s">
        <v>500</v>
      </c>
      <c r="B312" s="37"/>
      <c r="C312" s="37"/>
      <c r="D312" s="37"/>
      <c r="E312" s="37"/>
    </row>
    <row r="313" spans="1:5" ht="12.75" x14ac:dyDescent="0.2">
      <c r="A313" s="36" t="s">
        <v>501</v>
      </c>
      <c r="B313" s="37"/>
      <c r="C313" s="37"/>
      <c r="D313" s="37"/>
      <c r="E313" s="37"/>
    </row>
    <row r="314" spans="1:5" ht="12.75" x14ac:dyDescent="0.2">
      <c r="A314" s="36" t="s">
        <v>502</v>
      </c>
      <c r="B314" s="37"/>
      <c r="C314" s="37"/>
      <c r="D314" s="37"/>
      <c r="E314" s="37"/>
    </row>
    <row r="315" spans="1:5" ht="12.75" x14ac:dyDescent="0.2">
      <c r="A315" s="36" t="s">
        <v>503</v>
      </c>
      <c r="B315" s="37"/>
      <c r="C315" s="37"/>
      <c r="D315" s="37"/>
      <c r="E315" s="37"/>
    </row>
    <row r="316" spans="1:5" ht="12.75" x14ac:dyDescent="0.2">
      <c r="A316" s="36" t="s">
        <v>110</v>
      </c>
      <c r="B316" s="37"/>
      <c r="C316" s="37"/>
      <c r="D316" s="37"/>
      <c r="E316" s="37"/>
    </row>
    <row r="317" spans="1:5" ht="12.75" x14ac:dyDescent="0.2">
      <c r="A317" s="37"/>
      <c r="B317" s="36" t="s">
        <v>403</v>
      </c>
      <c r="C317" s="36" t="s">
        <v>24</v>
      </c>
      <c r="D317" s="36" t="s">
        <v>26</v>
      </c>
      <c r="E317" s="37"/>
    </row>
    <row r="318" spans="1:5" ht="12.75" x14ac:dyDescent="0.2">
      <c r="A318" s="37"/>
      <c r="B318" s="36" t="s">
        <v>403</v>
      </c>
      <c r="C318" s="36" t="s">
        <v>32</v>
      </c>
      <c r="D318" s="36" t="s">
        <v>29</v>
      </c>
      <c r="E318" s="37"/>
    </row>
    <row r="319" spans="1:5" ht="12.75" x14ac:dyDescent="0.2">
      <c r="A319" s="37"/>
      <c r="B319" s="36" t="s">
        <v>403</v>
      </c>
      <c r="C319" s="36" t="s">
        <v>25</v>
      </c>
      <c r="D319" s="36" t="s">
        <v>27</v>
      </c>
      <c r="E319" s="37"/>
    </row>
    <row r="320" spans="1:5" ht="12.75" x14ac:dyDescent="0.2">
      <c r="A320" s="37"/>
      <c r="B320" s="36" t="s">
        <v>403</v>
      </c>
      <c r="C320" s="36" t="s">
        <v>30</v>
      </c>
      <c r="D320" s="36" t="s">
        <v>31</v>
      </c>
      <c r="E320" s="37"/>
    </row>
    <row r="321" spans="1:5" ht="12.75" x14ac:dyDescent="0.2">
      <c r="A321" s="37"/>
      <c r="B321" s="37"/>
      <c r="C321" s="37"/>
      <c r="D321" s="37"/>
      <c r="E321" s="37"/>
    </row>
    <row r="322" spans="1:5" ht="12.75" x14ac:dyDescent="0.2">
      <c r="A322" s="36" t="s">
        <v>114</v>
      </c>
      <c r="B322" s="37"/>
      <c r="C322" s="37"/>
      <c r="D322" s="37"/>
      <c r="E322" s="37"/>
    </row>
    <row r="323" spans="1:5" ht="12.75" x14ac:dyDescent="0.2">
      <c r="A323" s="37"/>
      <c r="B323" s="36" t="s">
        <v>398</v>
      </c>
      <c r="C323" s="37"/>
      <c r="D323" s="37"/>
      <c r="E323" s="37"/>
    </row>
    <row r="324" spans="1:5" ht="12.75" x14ac:dyDescent="0.2">
      <c r="A324" s="37"/>
      <c r="B324" s="36" t="s">
        <v>399</v>
      </c>
      <c r="C324" s="37"/>
      <c r="D324" s="37"/>
      <c r="E324" s="37"/>
    </row>
    <row r="325" spans="1:5" ht="12.75" x14ac:dyDescent="0.2">
      <c r="A325" s="37"/>
      <c r="B325" s="36" t="s">
        <v>400</v>
      </c>
      <c r="C325" s="37"/>
      <c r="D325" s="37"/>
      <c r="E325" s="37"/>
    </row>
    <row r="326" spans="1:5" ht="12.75" x14ac:dyDescent="0.2">
      <c r="A326" s="37"/>
      <c r="B326" s="36" t="s">
        <v>401</v>
      </c>
      <c r="C326" s="36" t="s">
        <v>114</v>
      </c>
      <c r="D326" s="37"/>
      <c r="E326" s="37"/>
    </row>
    <row r="327" spans="1:5" ht="25.5" x14ac:dyDescent="0.2">
      <c r="A327" s="36" t="s">
        <v>504</v>
      </c>
      <c r="B327" s="36" t="s">
        <v>402</v>
      </c>
      <c r="C327" s="36" t="s">
        <v>249</v>
      </c>
      <c r="D327" s="37"/>
      <c r="E327" s="37"/>
    </row>
    <row r="328" spans="1:5" ht="12.75" x14ac:dyDescent="0.2">
      <c r="A328" s="36" t="s">
        <v>505</v>
      </c>
      <c r="B328" s="36" t="s">
        <v>402</v>
      </c>
      <c r="C328" s="36" t="s">
        <v>19</v>
      </c>
      <c r="D328" s="37"/>
      <c r="E328" s="37"/>
    </row>
    <row r="329" spans="1:5" ht="12.75" x14ac:dyDescent="0.2">
      <c r="A329" s="36" t="s">
        <v>506</v>
      </c>
      <c r="B329" s="37"/>
      <c r="C329" s="37"/>
      <c r="D329" s="37"/>
      <c r="E329" s="37"/>
    </row>
    <row r="330" spans="1:5" ht="12.75" x14ac:dyDescent="0.2">
      <c r="A330" s="36" t="s">
        <v>507</v>
      </c>
      <c r="B330" s="37"/>
      <c r="C330" s="37"/>
      <c r="D330" s="37"/>
      <c r="E330" s="37"/>
    </row>
    <row r="331" spans="1:5" ht="12.75" x14ac:dyDescent="0.2">
      <c r="A331" s="36" t="s">
        <v>112</v>
      </c>
      <c r="B331" s="37"/>
      <c r="C331" s="37"/>
      <c r="D331" s="37"/>
      <c r="E331" s="37"/>
    </row>
    <row r="332" spans="1:5" ht="12.75" x14ac:dyDescent="0.2">
      <c r="A332" s="37"/>
      <c r="B332" s="36" t="s">
        <v>422</v>
      </c>
      <c r="C332" s="36" t="s">
        <v>508</v>
      </c>
      <c r="D332" s="36" t="s">
        <v>509</v>
      </c>
      <c r="E332" s="37"/>
    </row>
    <row r="333" spans="1:5" ht="12.75" x14ac:dyDescent="0.2">
      <c r="A333" s="37"/>
      <c r="B333" s="36" t="s">
        <v>403</v>
      </c>
      <c r="C333" s="36" t="s">
        <v>24</v>
      </c>
      <c r="D333" s="36" t="s">
        <v>26</v>
      </c>
      <c r="E333" s="37"/>
    </row>
    <row r="334" spans="1:5" ht="12.75" x14ac:dyDescent="0.2">
      <c r="A334" s="37"/>
      <c r="B334" s="36" t="s">
        <v>403</v>
      </c>
      <c r="C334" s="36" t="s">
        <v>32</v>
      </c>
      <c r="D334" s="36" t="s">
        <v>29</v>
      </c>
      <c r="E334" s="37"/>
    </row>
    <row r="335" spans="1:5" ht="12.75" x14ac:dyDescent="0.2">
      <c r="A335" s="37"/>
      <c r="B335" s="36" t="s">
        <v>403</v>
      </c>
      <c r="C335" s="36" t="s">
        <v>25</v>
      </c>
      <c r="D335" s="36" t="s">
        <v>27</v>
      </c>
      <c r="E335" s="37"/>
    </row>
    <row r="336" spans="1:5" ht="12.75" x14ac:dyDescent="0.2">
      <c r="A336" s="37"/>
      <c r="B336" s="36" t="s">
        <v>403</v>
      </c>
      <c r="C336" s="36" t="s">
        <v>30</v>
      </c>
      <c r="D336" s="36" t="s">
        <v>31</v>
      </c>
      <c r="E336" s="37"/>
    </row>
    <row r="337" spans="1:5" ht="12.75" x14ac:dyDescent="0.2">
      <c r="A337" s="37"/>
      <c r="B337" s="37"/>
      <c r="C337" s="37"/>
      <c r="D337" s="37"/>
      <c r="E337" s="37"/>
    </row>
    <row r="338" spans="1:5" ht="12.75" x14ac:dyDescent="0.2">
      <c r="A338" s="36" t="s">
        <v>87</v>
      </c>
      <c r="B338" s="37"/>
      <c r="C338" s="37"/>
      <c r="D338" s="37"/>
      <c r="E338" s="37"/>
    </row>
    <row r="339" spans="1:5" ht="12.75" x14ac:dyDescent="0.2">
      <c r="A339" s="37"/>
      <c r="B339" s="36" t="s">
        <v>398</v>
      </c>
      <c r="C339" s="37"/>
      <c r="D339" s="37"/>
      <c r="E339" s="37"/>
    </row>
    <row r="340" spans="1:5" ht="12.75" x14ac:dyDescent="0.2">
      <c r="A340" s="37"/>
      <c r="B340" s="36" t="s">
        <v>399</v>
      </c>
      <c r="C340" s="37"/>
      <c r="D340" s="37"/>
      <c r="E340" s="37"/>
    </row>
    <row r="341" spans="1:5" ht="12.75" x14ac:dyDescent="0.2">
      <c r="A341" s="37"/>
      <c r="B341" s="36" t="s">
        <v>400</v>
      </c>
      <c r="C341" s="37"/>
      <c r="D341" s="37"/>
      <c r="E341" s="37"/>
    </row>
    <row r="342" spans="1:5" ht="12.75" x14ac:dyDescent="0.2">
      <c r="A342" s="37"/>
      <c r="B342" s="36" t="s">
        <v>401</v>
      </c>
      <c r="C342" s="36" t="s">
        <v>87</v>
      </c>
      <c r="D342" s="37"/>
      <c r="E342" s="37"/>
    </row>
    <row r="343" spans="1:5" ht="12.75" x14ac:dyDescent="0.2">
      <c r="A343" s="36" t="s">
        <v>510</v>
      </c>
      <c r="B343" s="36" t="s">
        <v>402</v>
      </c>
      <c r="C343" s="36" t="s">
        <v>88</v>
      </c>
      <c r="D343" s="37"/>
      <c r="E343" s="37"/>
    </row>
    <row r="344" spans="1:5" ht="12.75" x14ac:dyDescent="0.2">
      <c r="A344" s="36" t="s">
        <v>48</v>
      </c>
      <c r="B344" s="37"/>
      <c r="C344" s="37"/>
      <c r="D344" s="37"/>
      <c r="E344" s="37"/>
    </row>
    <row r="345" spans="1:5" ht="12.75" x14ac:dyDescent="0.2">
      <c r="A345" s="37"/>
      <c r="B345" s="36" t="s">
        <v>422</v>
      </c>
      <c r="C345" s="36" t="s">
        <v>423</v>
      </c>
      <c r="D345" s="36" t="s">
        <v>424</v>
      </c>
      <c r="E345" s="37"/>
    </row>
    <row r="346" spans="1:5" ht="12.75" x14ac:dyDescent="0.2">
      <c r="A346" s="37"/>
      <c r="B346" s="36" t="s">
        <v>403</v>
      </c>
      <c r="C346" s="36" t="s">
        <v>90</v>
      </c>
      <c r="D346" s="36" t="s">
        <v>91</v>
      </c>
      <c r="E346" s="37"/>
    </row>
    <row r="347" spans="1:5" ht="12.75" x14ac:dyDescent="0.2">
      <c r="A347" s="37"/>
      <c r="B347" s="36" t="s">
        <v>403</v>
      </c>
      <c r="C347" s="36" t="s">
        <v>97</v>
      </c>
      <c r="D347" s="36" t="s">
        <v>98</v>
      </c>
      <c r="E347" s="37"/>
    </row>
    <row r="348" spans="1:5" ht="12.75" x14ac:dyDescent="0.2">
      <c r="A348" s="37"/>
      <c r="B348" s="36" t="s">
        <v>403</v>
      </c>
      <c r="C348" s="36" t="s">
        <v>100</v>
      </c>
      <c r="D348" s="36" t="s">
        <v>101</v>
      </c>
      <c r="E348" s="37"/>
    </row>
    <row r="349" spans="1:5" ht="12.75" x14ac:dyDescent="0.2">
      <c r="A349" s="37"/>
      <c r="B349" s="36" t="s">
        <v>403</v>
      </c>
      <c r="C349" s="36" t="s">
        <v>102</v>
      </c>
      <c r="D349" s="36" t="s">
        <v>103</v>
      </c>
      <c r="E349" s="37"/>
    </row>
    <row r="350" spans="1:5" ht="12.75" x14ac:dyDescent="0.2">
      <c r="A350" s="37"/>
      <c r="B350" s="36" t="s">
        <v>403</v>
      </c>
      <c r="C350" s="36" t="s">
        <v>105</v>
      </c>
      <c r="D350" s="36" t="s">
        <v>106</v>
      </c>
      <c r="E350" s="37"/>
    </row>
    <row r="351" spans="1:5" ht="12.75" x14ac:dyDescent="0.2">
      <c r="A351" s="37"/>
      <c r="B351" s="36" t="s">
        <v>403</v>
      </c>
      <c r="C351" s="36" t="s">
        <v>108</v>
      </c>
      <c r="D351" s="36" t="s">
        <v>109</v>
      </c>
      <c r="E351" s="37"/>
    </row>
    <row r="352" spans="1:5" ht="12.75" x14ac:dyDescent="0.2">
      <c r="A352" s="37"/>
      <c r="B352" s="36" t="s">
        <v>403</v>
      </c>
      <c r="C352" s="36" t="s">
        <v>110</v>
      </c>
      <c r="D352" s="36" t="s">
        <v>111</v>
      </c>
      <c r="E352" s="37"/>
    </row>
    <row r="353" spans="1:5" ht="12.75" x14ac:dyDescent="0.2">
      <c r="A353" s="37"/>
      <c r="B353" s="36" t="s">
        <v>403</v>
      </c>
      <c r="C353" s="36" t="s">
        <v>112</v>
      </c>
      <c r="D353" s="36" t="s">
        <v>114</v>
      </c>
      <c r="E353" s="37"/>
    </row>
    <row r="354" spans="1:5" ht="12.75" x14ac:dyDescent="0.2">
      <c r="A354" s="37"/>
      <c r="B354" s="36" t="s">
        <v>403</v>
      </c>
      <c r="C354" s="36" t="s">
        <v>24</v>
      </c>
      <c r="D354" s="36" t="s">
        <v>26</v>
      </c>
      <c r="E354" s="37"/>
    </row>
    <row r="355" spans="1:5" ht="12.75" x14ac:dyDescent="0.2">
      <c r="A355" s="37"/>
      <c r="B355" s="37"/>
      <c r="C355" s="37"/>
      <c r="D355" s="37"/>
      <c r="E355" s="37"/>
    </row>
    <row r="356" spans="1:5" ht="12.75" x14ac:dyDescent="0.2">
      <c r="A356" s="36" t="s">
        <v>120</v>
      </c>
      <c r="B356" s="37"/>
      <c r="C356" s="37"/>
      <c r="D356" s="37"/>
      <c r="E356" s="37"/>
    </row>
    <row r="357" spans="1:5" ht="12.75" x14ac:dyDescent="0.2">
      <c r="A357" s="37"/>
      <c r="B357" s="36" t="s">
        <v>398</v>
      </c>
      <c r="C357" s="37"/>
      <c r="D357" s="37"/>
      <c r="E357" s="37"/>
    </row>
    <row r="358" spans="1:5" ht="12.75" x14ac:dyDescent="0.2">
      <c r="A358" s="37"/>
      <c r="B358" s="36" t="s">
        <v>399</v>
      </c>
      <c r="C358" s="37"/>
      <c r="D358" s="37"/>
      <c r="E358" s="37"/>
    </row>
    <row r="359" spans="1:5" ht="12.75" x14ac:dyDescent="0.2">
      <c r="A359" s="37"/>
      <c r="B359" s="36" t="s">
        <v>400</v>
      </c>
      <c r="C359" s="37"/>
      <c r="D359" s="37"/>
      <c r="E359" s="37"/>
    </row>
    <row r="360" spans="1:5" ht="12.75" x14ac:dyDescent="0.2">
      <c r="A360" s="37"/>
      <c r="B360" s="36" t="s">
        <v>401</v>
      </c>
      <c r="C360" s="36" t="s">
        <v>120</v>
      </c>
      <c r="D360" s="37"/>
      <c r="E360" s="37"/>
    </row>
    <row r="361" spans="1:5" ht="25.5" x14ac:dyDescent="0.2">
      <c r="A361" s="36" t="s">
        <v>511</v>
      </c>
      <c r="B361" s="36" t="s">
        <v>402</v>
      </c>
      <c r="C361" s="36" t="s">
        <v>266</v>
      </c>
      <c r="D361" s="37"/>
      <c r="E361" s="37"/>
    </row>
    <row r="362" spans="1:5" ht="12.75" x14ac:dyDescent="0.2">
      <c r="A362" s="36" t="s">
        <v>512</v>
      </c>
      <c r="B362" s="36" t="s">
        <v>402</v>
      </c>
      <c r="C362" s="36" t="s">
        <v>19</v>
      </c>
      <c r="D362" s="37"/>
      <c r="E362" s="37"/>
    </row>
    <row r="363" spans="1:5" ht="12.75" x14ac:dyDescent="0.2">
      <c r="A363" s="36" t="s">
        <v>513</v>
      </c>
      <c r="B363" s="37"/>
      <c r="C363" s="37"/>
      <c r="D363" s="37"/>
      <c r="E363" s="37"/>
    </row>
    <row r="364" spans="1:5" ht="12.75" x14ac:dyDescent="0.2">
      <c r="A364" s="36" t="s">
        <v>514</v>
      </c>
      <c r="B364" s="37"/>
      <c r="C364" s="37"/>
      <c r="D364" s="37"/>
      <c r="E364" s="37"/>
    </row>
    <row r="365" spans="1:5" ht="12.75" x14ac:dyDescent="0.2">
      <c r="A365" s="36" t="s">
        <v>515</v>
      </c>
      <c r="B365" s="37"/>
      <c r="C365" s="37"/>
      <c r="D365" s="37"/>
      <c r="E365" s="37"/>
    </row>
    <row r="366" spans="1:5" ht="12.75" x14ac:dyDescent="0.2">
      <c r="A366" s="36" t="s">
        <v>516</v>
      </c>
      <c r="B366" s="37"/>
      <c r="C366" s="37"/>
      <c r="D366" s="37"/>
      <c r="E366" s="37"/>
    </row>
    <row r="367" spans="1:5" ht="12.75" x14ac:dyDescent="0.2">
      <c r="A367" s="36" t="s">
        <v>119</v>
      </c>
      <c r="B367" s="37"/>
      <c r="C367" s="37"/>
      <c r="D367" s="37"/>
      <c r="E367" s="37"/>
    </row>
    <row r="368" spans="1:5" ht="12.75" x14ac:dyDescent="0.2">
      <c r="A368" s="37"/>
      <c r="B368" s="36" t="s">
        <v>422</v>
      </c>
      <c r="C368" s="36" t="s">
        <v>423</v>
      </c>
      <c r="D368" s="36" t="s">
        <v>424</v>
      </c>
      <c r="E368" s="37"/>
    </row>
    <row r="369" spans="1:5" ht="12.75" x14ac:dyDescent="0.2">
      <c r="A369" s="37"/>
      <c r="B369" s="36" t="s">
        <v>403</v>
      </c>
      <c r="C369" s="36" t="s">
        <v>24</v>
      </c>
      <c r="D369" s="36" t="s">
        <v>26</v>
      </c>
      <c r="E369" s="37"/>
    </row>
    <row r="370" spans="1:5" ht="12.75" x14ac:dyDescent="0.2">
      <c r="A370" s="37"/>
      <c r="B370" s="36" t="s">
        <v>403</v>
      </c>
      <c r="C370" s="36" t="s">
        <v>32</v>
      </c>
      <c r="D370" s="36" t="s">
        <v>29</v>
      </c>
      <c r="E370" s="37"/>
    </row>
    <row r="371" spans="1:5" ht="12.75" x14ac:dyDescent="0.2">
      <c r="A371" s="37"/>
      <c r="B371" s="36" t="s">
        <v>403</v>
      </c>
      <c r="C371" s="36" t="s">
        <v>25</v>
      </c>
      <c r="D371" s="36" t="s">
        <v>27</v>
      </c>
      <c r="E371" s="37"/>
    </row>
    <row r="372" spans="1:5" ht="12.75" x14ac:dyDescent="0.2">
      <c r="A372" s="37"/>
      <c r="B372" s="36" t="s">
        <v>403</v>
      </c>
      <c r="C372" s="36" t="s">
        <v>30</v>
      </c>
      <c r="D372" s="36" t="s">
        <v>31</v>
      </c>
      <c r="E372" s="37"/>
    </row>
    <row r="373" spans="1:5" ht="12.75" x14ac:dyDescent="0.2">
      <c r="A373" s="37"/>
      <c r="B373" s="37"/>
      <c r="C373" s="37"/>
      <c r="D373" s="37"/>
      <c r="E373" s="37"/>
    </row>
    <row r="374" spans="1:5" ht="12.75" x14ac:dyDescent="0.2">
      <c r="A374" s="36" t="s">
        <v>127</v>
      </c>
      <c r="B374" s="37"/>
      <c r="C374" s="37"/>
      <c r="D374" s="37"/>
      <c r="E374" s="37"/>
    </row>
    <row r="375" spans="1:5" ht="12.75" x14ac:dyDescent="0.2">
      <c r="A375" s="37"/>
      <c r="B375" s="36" t="s">
        <v>398</v>
      </c>
      <c r="C375" s="37"/>
      <c r="D375" s="37"/>
      <c r="E375" s="37"/>
    </row>
    <row r="376" spans="1:5" ht="12.75" x14ac:dyDescent="0.2">
      <c r="A376" s="37"/>
      <c r="B376" s="36" t="s">
        <v>399</v>
      </c>
      <c r="C376" s="37"/>
      <c r="D376" s="37"/>
      <c r="E376" s="37"/>
    </row>
    <row r="377" spans="1:5" ht="12.75" x14ac:dyDescent="0.2">
      <c r="A377" s="37"/>
      <c r="B377" s="36" t="s">
        <v>400</v>
      </c>
      <c r="C377" s="37"/>
      <c r="D377" s="37"/>
      <c r="E377" s="37"/>
    </row>
    <row r="378" spans="1:5" ht="12.75" x14ac:dyDescent="0.2">
      <c r="A378" s="37"/>
      <c r="B378" s="36" t="s">
        <v>401</v>
      </c>
      <c r="C378" s="36" t="s">
        <v>127</v>
      </c>
      <c r="D378" s="37"/>
      <c r="E378" s="37"/>
    </row>
    <row r="379" spans="1:5" ht="38.25" x14ac:dyDescent="0.2">
      <c r="A379" s="36" t="s">
        <v>517</v>
      </c>
      <c r="B379" s="36" t="s">
        <v>402</v>
      </c>
      <c r="C379" s="36" t="s">
        <v>292</v>
      </c>
      <c r="D379" s="37"/>
      <c r="E379" s="37"/>
    </row>
    <row r="380" spans="1:5" ht="12.75" x14ac:dyDescent="0.2">
      <c r="A380" s="36" t="s">
        <v>518</v>
      </c>
      <c r="B380" s="36" t="s">
        <v>402</v>
      </c>
      <c r="C380" s="36" t="s">
        <v>19</v>
      </c>
      <c r="D380" s="37"/>
      <c r="E380" s="37"/>
    </row>
    <row r="381" spans="1:5" ht="12.75" x14ac:dyDescent="0.2">
      <c r="A381" s="36" t="s">
        <v>519</v>
      </c>
      <c r="B381" s="37"/>
      <c r="C381" s="37"/>
      <c r="D381" s="37"/>
      <c r="E381" s="37"/>
    </row>
    <row r="382" spans="1:5" ht="12.75" x14ac:dyDescent="0.2">
      <c r="A382" s="36" t="s">
        <v>520</v>
      </c>
      <c r="B382" s="37"/>
      <c r="C382" s="37"/>
      <c r="D382" s="37"/>
      <c r="E382" s="37"/>
    </row>
    <row r="383" spans="1:5" ht="12.75" x14ac:dyDescent="0.2">
      <c r="A383" s="36" t="s">
        <v>521</v>
      </c>
      <c r="B383" s="37"/>
      <c r="C383" s="37"/>
      <c r="D383" s="37"/>
      <c r="E383" s="37"/>
    </row>
    <row r="384" spans="1:5" ht="12.75" x14ac:dyDescent="0.2">
      <c r="A384" s="36" t="s">
        <v>522</v>
      </c>
      <c r="B384" s="37"/>
      <c r="C384" s="37"/>
      <c r="D384" s="37"/>
      <c r="E384" s="37"/>
    </row>
    <row r="385" spans="1:5" ht="12.75" x14ac:dyDescent="0.2">
      <c r="A385" s="36" t="s">
        <v>523</v>
      </c>
      <c r="B385" s="37"/>
      <c r="C385" s="37"/>
      <c r="D385" s="37"/>
      <c r="E385" s="37"/>
    </row>
    <row r="386" spans="1:5" ht="12.75" x14ac:dyDescent="0.2">
      <c r="A386" s="36" t="s">
        <v>524</v>
      </c>
      <c r="B386" s="37"/>
      <c r="C386" s="37"/>
      <c r="D386" s="37"/>
      <c r="E386" s="37"/>
    </row>
    <row r="387" spans="1:5" ht="12.75" x14ac:dyDescent="0.2">
      <c r="A387" s="36" t="s">
        <v>525</v>
      </c>
      <c r="B387" s="37"/>
      <c r="C387" s="37"/>
      <c r="D387" s="37"/>
      <c r="E387" s="37"/>
    </row>
    <row r="388" spans="1:5" ht="12.75" x14ac:dyDescent="0.2">
      <c r="A388" s="36" t="s">
        <v>526</v>
      </c>
      <c r="B388" s="37"/>
      <c r="C388" s="37"/>
      <c r="D388" s="37"/>
      <c r="E388" s="37"/>
    </row>
    <row r="389" spans="1:5" ht="12.75" x14ac:dyDescent="0.2">
      <c r="A389" s="36" t="s">
        <v>527</v>
      </c>
      <c r="B389" s="37"/>
      <c r="C389" s="37"/>
      <c r="D389" s="37"/>
      <c r="E389" s="37"/>
    </row>
    <row r="390" spans="1:5" ht="12.75" x14ac:dyDescent="0.2">
      <c r="A390" s="36" t="s">
        <v>126</v>
      </c>
      <c r="B390" s="37"/>
      <c r="C390" s="37"/>
      <c r="D390" s="37"/>
      <c r="E390" s="37"/>
    </row>
    <row r="391" spans="1:5" ht="12.75" x14ac:dyDescent="0.2">
      <c r="A391" s="37"/>
      <c r="B391" s="36" t="s">
        <v>403</v>
      </c>
      <c r="C391" s="36" t="s">
        <v>24</v>
      </c>
      <c r="D391" s="36" t="s">
        <v>26</v>
      </c>
      <c r="E391" s="37"/>
    </row>
    <row r="392" spans="1:5" ht="12.75" x14ac:dyDescent="0.2">
      <c r="A392" s="37"/>
      <c r="B392" s="36" t="s">
        <v>403</v>
      </c>
      <c r="C392" s="36" t="s">
        <v>32</v>
      </c>
      <c r="D392" s="36" t="s">
        <v>29</v>
      </c>
      <c r="E392" s="37"/>
    </row>
    <row r="393" spans="1:5" ht="12.75" x14ac:dyDescent="0.2">
      <c r="A393" s="37"/>
      <c r="B393" s="36" t="s">
        <v>403</v>
      </c>
      <c r="C393" s="36" t="s">
        <v>25</v>
      </c>
      <c r="D393" s="36" t="s">
        <v>27</v>
      </c>
      <c r="E393" s="37"/>
    </row>
    <row r="394" spans="1:5" ht="12.75" x14ac:dyDescent="0.2">
      <c r="A394" s="37"/>
      <c r="B394" s="36" t="s">
        <v>403</v>
      </c>
      <c r="C394" s="36" t="s">
        <v>30</v>
      </c>
      <c r="D394" s="36" t="s">
        <v>31</v>
      </c>
      <c r="E394" s="37"/>
    </row>
    <row r="395" spans="1:5" ht="12.75" x14ac:dyDescent="0.2">
      <c r="A395" s="37"/>
      <c r="B395" s="37"/>
      <c r="C395" s="37"/>
      <c r="D395" s="37"/>
      <c r="E395" s="37"/>
    </row>
    <row r="396" spans="1:5" ht="12.75" x14ac:dyDescent="0.2">
      <c r="A396" s="36" t="s">
        <v>131</v>
      </c>
      <c r="B396" s="37"/>
      <c r="C396" s="37"/>
      <c r="D396" s="37"/>
      <c r="E396" s="37"/>
    </row>
    <row r="397" spans="1:5" ht="12.75" x14ac:dyDescent="0.2">
      <c r="A397" s="37"/>
      <c r="B397" s="36" t="s">
        <v>398</v>
      </c>
      <c r="C397" s="37"/>
      <c r="D397" s="37"/>
      <c r="E397" s="37"/>
    </row>
    <row r="398" spans="1:5" ht="12.75" x14ac:dyDescent="0.2">
      <c r="A398" s="37"/>
      <c r="B398" s="36" t="s">
        <v>399</v>
      </c>
      <c r="C398" s="37"/>
      <c r="D398" s="37"/>
      <c r="E398" s="37"/>
    </row>
    <row r="399" spans="1:5" ht="12.75" x14ac:dyDescent="0.2">
      <c r="A399" s="37"/>
      <c r="B399" s="36" t="s">
        <v>400</v>
      </c>
      <c r="C399" s="37"/>
      <c r="D399" s="37"/>
      <c r="E399" s="37"/>
    </row>
    <row r="400" spans="1:5" ht="12.75" x14ac:dyDescent="0.2">
      <c r="A400" s="37"/>
      <c r="B400" s="36" t="s">
        <v>401</v>
      </c>
      <c r="C400" s="36" t="s">
        <v>131</v>
      </c>
      <c r="D400" s="37"/>
      <c r="E400" s="37"/>
    </row>
    <row r="401" spans="1:5" ht="25.5" x14ac:dyDescent="0.2">
      <c r="A401" s="36" t="s">
        <v>528</v>
      </c>
      <c r="B401" s="36" t="s">
        <v>402</v>
      </c>
      <c r="C401" s="36" t="s">
        <v>309</v>
      </c>
      <c r="D401" s="37"/>
      <c r="E401" s="37"/>
    </row>
    <row r="402" spans="1:5" ht="12.75" x14ac:dyDescent="0.2">
      <c r="A402" s="36" t="s">
        <v>529</v>
      </c>
      <c r="B402" s="36" t="s">
        <v>402</v>
      </c>
      <c r="C402" s="36" t="s">
        <v>19</v>
      </c>
      <c r="D402" s="37"/>
      <c r="E402" s="37"/>
    </row>
    <row r="403" spans="1:5" ht="12.75" x14ac:dyDescent="0.2">
      <c r="A403" s="36" t="s">
        <v>530</v>
      </c>
      <c r="B403" s="37"/>
      <c r="C403" s="37"/>
      <c r="D403" s="37"/>
      <c r="E403" s="37"/>
    </row>
    <row r="404" spans="1:5" ht="12.75" x14ac:dyDescent="0.2">
      <c r="A404" s="36" t="s">
        <v>531</v>
      </c>
      <c r="B404" s="37"/>
      <c r="C404" s="37"/>
      <c r="D404" s="37"/>
      <c r="E404" s="37"/>
    </row>
    <row r="405" spans="1:5" ht="12.75" x14ac:dyDescent="0.2">
      <c r="A405" s="36" t="s">
        <v>532</v>
      </c>
      <c r="B405" s="37"/>
      <c r="C405" s="37"/>
      <c r="D405" s="37"/>
      <c r="E405" s="37"/>
    </row>
    <row r="406" spans="1:5" ht="12.75" x14ac:dyDescent="0.2">
      <c r="A406" s="36" t="s">
        <v>533</v>
      </c>
      <c r="B406" s="37"/>
      <c r="C406" s="37"/>
      <c r="D406" s="37"/>
      <c r="E406" s="37"/>
    </row>
    <row r="407" spans="1:5" ht="12.75" x14ac:dyDescent="0.2">
      <c r="A407" s="36" t="s">
        <v>130</v>
      </c>
      <c r="B407" s="37"/>
      <c r="C407" s="37"/>
      <c r="D407" s="37"/>
      <c r="E407" s="37"/>
    </row>
    <row r="408" spans="1:5" ht="12.75" x14ac:dyDescent="0.2">
      <c r="A408" s="37"/>
      <c r="B408" s="36" t="s">
        <v>403</v>
      </c>
      <c r="C408" s="36" t="s">
        <v>24</v>
      </c>
      <c r="D408" s="36" t="s">
        <v>26</v>
      </c>
      <c r="E408" s="37"/>
    </row>
    <row r="409" spans="1:5" ht="12.75" x14ac:dyDescent="0.2">
      <c r="A409" s="37"/>
      <c r="B409" s="36" t="s">
        <v>403</v>
      </c>
      <c r="C409" s="36" t="s">
        <v>32</v>
      </c>
      <c r="D409" s="36" t="s">
        <v>29</v>
      </c>
      <c r="E409" s="37"/>
    </row>
    <row r="410" spans="1:5" ht="12.75" x14ac:dyDescent="0.2">
      <c r="A410" s="37"/>
      <c r="B410" s="36" t="s">
        <v>403</v>
      </c>
      <c r="C410" s="36" t="s">
        <v>25</v>
      </c>
      <c r="D410" s="36" t="s">
        <v>27</v>
      </c>
      <c r="E410" s="37"/>
    </row>
    <row r="411" spans="1:5" ht="12.75" x14ac:dyDescent="0.2">
      <c r="A411" s="37"/>
      <c r="B411" s="36" t="s">
        <v>403</v>
      </c>
      <c r="C411" s="36" t="s">
        <v>30</v>
      </c>
      <c r="D411" s="36" t="s">
        <v>31</v>
      </c>
      <c r="E411" s="37"/>
    </row>
    <row r="412" spans="1:5" ht="12.75" x14ac:dyDescent="0.2">
      <c r="A412" s="37"/>
      <c r="B412" s="37"/>
      <c r="C412" s="37"/>
      <c r="D412" s="37"/>
      <c r="E412" s="37"/>
    </row>
    <row r="413" spans="1:5" ht="12.75" x14ac:dyDescent="0.2">
      <c r="A413" s="36" t="s">
        <v>134</v>
      </c>
      <c r="B413" s="37"/>
      <c r="C413" s="37"/>
      <c r="D413" s="37"/>
      <c r="E413" s="37"/>
    </row>
    <row r="414" spans="1:5" ht="12.75" x14ac:dyDescent="0.2">
      <c r="A414" s="37"/>
      <c r="B414" s="36" t="s">
        <v>398</v>
      </c>
      <c r="C414" s="37"/>
      <c r="D414" s="37"/>
      <c r="E414" s="37"/>
    </row>
    <row r="415" spans="1:5" ht="12.75" x14ac:dyDescent="0.2">
      <c r="A415" s="37"/>
      <c r="B415" s="36" t="s">
        <v>399</v>
      </c>
      <c r="C415" s="37"/>
      <c r="D415" s="37"/>
      <c r="E415" s="37"/>
    </row>
    <row r="416" spans="1:5" ht="12.75" x14ac:dyDescent="0.2">
      <c r="A416" s="37"/>
      <c r="B416" s="36" t="s">
        <v>400</v>
      </c>
      <c r="C416" s="37"/>
      <c r="D416" s="37"/>
      <c r="E416" s="37"/>
    </row>
    <row r="417" spans="1:5" ht="12.75" x14ac:dyDescent="0.2">
      <c r="A417" s="37"/>
      <c r="B417" s="36" t="s">
        <v>401</v>
      </c>
      <c r="C417" s="36" t="s">
        <v>134</v>
      </c>
      <c r="D417" s="37"/>
      <c r="E417" s="37"/>
    </row>
    <row r="418" spans="1:5" ht="25.5" x14ac:dyDescent="0.2">
      <c r="A418" s="36" t="s">
        <v>534</v>
      </c>
      <c r="B418" s="36" t="s">
        <v>402</v>
      </c>
      <c r="C418" s="36" t="s">
        <v>332</v>
      </c>
      <c r="D418" s="37"/>
      <c r="E418" s="37"/>
    </row>
    <row r="419" spans="1:5" ht="12.75" x14ac:dyDescent="0.2">
      <c r="A419" s="36" t="s">
        <v>535</v>
      </c>
      <c r="B419" s="36" t="s">
        <v>402</v>
      </c>
      <c r="C419" s="36" t="s">
        <v>19</v>
      </c>
      <c r="D419" s="37"/>
      <c r="E419" s="37"/>
    </row>
    <row r="420" spans="1:5" ht="12.75" x14ac:dyDescent="0.2">
      <c r="A420" s="36" t="s">
        <v>536</v>
      </c>
      <c r="B420" s="37"/>
      <c r="C420" s="37"/>
      <c r="D420" s="37"/>
      <c r="E420" s="37"/>
    </row>
    <row r="421" spans="1:5" ht="12.75" x14ac:dyDescent="0.2">
      <c r="A421" s="36" t="s">
        <v>537</v>
      </c>
      <c r="B421" s="37"/>
      <c r="C421" s="37"/>
      <c r="D421" s="37"/>
      <c r="E421" s="37"/>
    </row>
    <row r="422" spans="1:5" ht="12.75" x14ac:dyDescent="0.2">
      <c r="A422" s="36" t="s">
        <v>538</v>
      </c>
      <c r="B422" s="37"/>
      <c r="C422" s="37"/>
      <c r="D422" s="37"/>
      <c r="E422" s="37"/>
    </row>
    <row r="423" spans="1:5" ht="12.75" x14ac:dyDescent="0.2">
      <c r="A423" s="36" t="s">
        <v>539</v>
      </c>
      <c r="B423" s="37"/>
      <c r="C423" s="37"/>
      <c r="D423" s="37"/>
      <c r="E423" s="37"/>
    </row>
    <row r="424" spans="1:5" ht="12.75" x14ac:dyDescent="0.2">
      <c r="A424" s="36" t="s">
        <v>540</v>
      </c>
      <c r="B424" s="37"/>
      <c r="C424" s="37"/>
      <c r="D424" s="37"/>
      <c r="E424" s="37"/>
    </row>
    <row r="425" spans="1:5" ht="12.75" x14ac:dyDescent="0.2">
      <c r="A425" s="36" t="s">
        <v>541</v>
      </c>
      <c r="B425" s="37"/>
      <c r="C425" s="37"/>
      <c r="D425" s="37"/>
      <c r="E425" s="37"/>
    </row>
    <row r="426" spans="1:5" ht="12.75" x14ac:dyDescent="0.2">
      <c r="A426" s="36" t="s">
        <v>542</v>
      </c>
      <c r="B426" s="37"/>
      <c r="C426" s="37"/>
      <c r="D426" s="37"/>
      <c r="E426" s="37"/>
    </row>
    <row r="427" spans="1:5" ht="12.75" x14ac:dyDescent="0.2">
      <c r="A427" s="36" t="s">
        <v>132</v>
      </c>
      <c r="B427" s="37"/>
      <c r="C427" s="37"/>
      <c r="D427" s="37"/>
      <c r="E427" s="37"/>
    </row>
    <row r="428" spans="1:5" ht="12.75" x14ac:dyDescent="0.2">
      <c r="A428" s="37"/>
      <c r="B428" s="36" t="s">
        <v>422</v>
      </c>
      <c r="C428" s="36" t="s">
        <v>423</v>
      </c>
      <c r="D428" s="36" t="s">
        <v>424</v>
      </c>
      <c r="E428" s="37"/>
    </row>
    <row r="429" spans="1:5" ht="12.75" x14ac:dyDescent="0.2">
      <c r="A429" s="37"/>
      <c r="B429" s="36" t="s">
        <v>403</v>
      </c>
      <c r="C429" s="36" t="s">
        <v>24</v>
      </c>
      <c r="D429" s="36" t="s">
        <v>26</v>
      </c>
      <c r="E429" s="37"/>
    </row>
    <row r="430" spans="1:5" ht="12.75" x14ac:dyDescent="0.2">
      <c r="A430" s="37"/>
      <c r="B430" s="36" t="s">
        <v>403</v>
      </c>
      <c r="C430" s="36" t="s">
        <v>32</v>
      </c>
      <c r="D430" s="36" t="s">
        <v>29</v>
      </c>
      <c r="E430" s="37"/>
    </row>
    <row r="431" spans="1:5" ht="12.75" x14ac:dyDescent="0.2">
      <c r="A431" s="37"/>
      <c r="B431" s="36" t="s">
        <v>403</v>
      </c>
      <c r="C431" s="36" t="s">
        <v>25</v>
      </c>
      <c r="D431" s="36" t="s">
        <v>27</v>
      </c>
      <c r="E431" s="37"/>
    </row>
    <row r="432" spans="1:5" ht="12.75" x14ac:dyDescent="0.2">
      <c r="A432" s="37"/>
      <c r="B432" s="36" t="s">
        <v>403</v>
      </c>
      <c r="C432" s="36" t="s">
        <v>30</v>
      </c>
      <c r="D432" s="36" t="s">
        <v>31</v>
      </c>
      <c r="E432" s="37"/>
    </row>
    <row r="433" spans="1:5" ht="12.75" x14ac:dyDescent="0.2">
      <c r="A433" s="37"/>
      <c r="B433" s="37"/>
      <c r="C433" s="37"/>
      <c r="D433" s="37"/>
      <c r="E433" s="37"/>
    </row>
    <row r="434" spans="1:5" ht="12.75" x14ac:dyDescent="0.2">
      <c r="A434" s="36" t="s">
        <v>137</v>
      </c>
      <c r="B434" s="37"/>
      <c r="C434" s="37"/>
      <c r="D434" s="37"/>
      <c r="E434" s="37"/>
    </row>
    <row r="435" spans="1:5" ht="12.75" x14ac:dyDescent="0.2">
      <c r="A435" s="37"/>
      <c r="B435" s="36" t="s">
        <v>398</v>
      </c>
      <c r="C435" s="37"/>
      <c r="D435" s="37"/>
      <c r="E435" s="37"/>
    </row>
    <row r="436" spans="1:5" ht="12.75" x14ac:dyDescent="0.2">
      <c r="A436" s="37"/>
      <c r="B436" s="36" t="s">
        <v>399</v>
      </c>
      <c r="C436" s="37"/>
      <c r="D436" s="37"/>
      <c r="E436" s="37"/>
    </row>
    <row r="437" spans="1:5" ht="12.75" x14ac:dyDescent="0.2">
      <c r="A437" s="37"/>
      <c r="B437" s="36" t="s">
        <v>400</v>
      </c>
      <c r="C437" s="37"/>
      <c r="D437" s="37"/>
      <c r="E437" s="37"/>
    </row>
    <row r="438" spans="1:5" ht="12.75" x14ac:dyDescent="0.2">
      <c r="A438" s="37"/>
      <c r="B438" s="36" t="s">
        <v>401</v>
      </c>
      <c r="C438" s="36" t="s">
        <v>137</v>
      </c>
      <c r="D438" s="37"/>
      <c r="E438" s="37"/>
    </row>
    <row r="439" spans="1:5" ht="25.5" x14ac:dyDescent="0.2">
      <c r="A439" s="36" t="s">
        <v>543</v>
      </c>
      <c r="B439" s="36" t="s">
        <v>402</v>
      </c>
      <c r="C439" s="36" t="s">
        <v>353</v>
      </c>
      <c r="D439" s="37"/>
      <c r="E439" s="37"/>
    </row>
    <row r="440" spans="1:5" ht="12.75" x14ac:dyDescent="0.2">
      <c r="A440" s="36" t="s">
        <v>545</v>
      </c>
      <c r="B440" s="36" t="s">
        <v>402</v>
      </c>
      <c r="C440" s="36" t="s">
        <v>19</v>
      </c>
      <c r="D440" s="37"/>
      <c r="E440" s="37"/>
    </row>
    <row r="441" spans="1:5" ht="12.75" x14ac:dyDescent="0.2">
      <c r="A441" s="36" t="s">
        <v>546</v>
      </c>
      <c r="B441" s="37"/>
      <c r="C441" s="37"/>
      <c r="D441" s="37"/>
      <c r="E441" s="37"/>
    </row>
    <row r="442" spans="1:5" ht="12.75" x14ac:dyDescent="0.2">
      <c r="A442" s="36" t="s">
        <v>547</v>
      </c>
      <c r="B442" s="37"/>
      <c r="C442" s="37"/>
      <c r="D442" s="37"/>
      <c r="E442" s="37"/>
    </row>
    <row r="443" spans="1:5" ht="12.75" x14ac:dyDescent="0.2">
      <c r="A443" s="36" t="s">
        <v>548</v>
      </c>
      <c r="B443" s="37"/>
      <c r="C443" s="37"/>
      <c r="D443" s="37"/>
      <c r="E443" s="37"/>
    </row>
    <row r="444" spans="1:5" ht="12.75" x14ac:dyDescent="0.2">
      <c r="A444" s="36" t="s">
        <v>549</v>
      </c>
      <c r="B444" s="37"/>
      <c r="C444" s="37"/>
      <c r="D444" s="37"/>
      <c r="E444" s="37"/>
    </row>
    <row r="445" spans="1:5" ht="12.75" x14ac:dyDescent="0.2">
      <c r="A445" s="36" t="s">
        <v>550</v>
      </c>
      <c r="B445" s="37"/>
      <c r="C445" s="37"/>
      <c r="D445" s="37"/>
      <c r="E445" s="37"/>
    </row>
    <row r="446" spans="1:5" ht="12.75" x14ac:dyDescent="0.2">
      <c r="A446" s="36" t="s">
        <v>551</v>
      </c>
      <c r="B446" s="37"/>
      <c r="C446" s="37"/>
      <c r="D446" s="37"/>
      <c r="E446" s="37"/>
    </row>
    <row r="447" spans="1:5" ht="12.75" x14ac:dyDescent="0.2">
      <c r="A447" s="36" t="s">
        <v>552</v>
      </c>
      <c r="B447" s="37"/>
      <c r="C447" s="37"/>
      <c r="D447" s="37"/>
      <c r="E447" s="37"/>
    </row>
    <row r="448" spans="1:5" ht="12.75" x14ac:dyDescent="0.2">
      <c r="A448" s="36" t="s">
        <v>553</v>
      </c>
      <c r="B448" s="37"/>
      <c r="C448" s="37"/>
      <c r="D448" s="37"/>
      <c r="E448" s="37"/>
    </row>
    <row r="449" spans="1:5" ht="12.75" x14ac:dyDescent="0.2">
      <c r="A449" s="36" t="s">
        <v>136</v>
      </c>
      <c r="B449" s="37"/>
      <c r="C449" s="37"/>
      <c r="D449" s="37"/>
      <c r="E449" s="37"/>
    </row>
    <row r="450" spans="1:5" ht="12.75" x14ac:dyDescent="0.2">
      <c r="A450" s="37"/>
      <c r="B450" s="36" t="s">
        <v>422</v>
      </c>
      <c r="C450" s="36" t="s">
        <v>554</v>
      </c>
      <c r="D450" s="36" t="s">
        <v>555</v>
      </c>
      <c r="E450" s="37"/>
    </row>
    <row r="451" spans="1:5" ht="12.75" x14ac:dyDescent="0.2">
      <c r="A451" s="37"/>
      <c r="B451" s="36" t="s">
        <v>403</v>
      </c>
      <c r="C451" s="36" t="s">
        <v>24</v>
      </c>
      <c r="D451" s="36" t="s">
        <v>26</v>
      </c>
      <c r="E451" s="37"/>
    </row>
    <row r="452" spans="1:5" ht="12.75" x14ac:dyDescent="0.2">
      <c r="A452" s="37"/>
      <c r="B452" s="36" t="s">
        <v>403</v>
      </c>
      <c r="C452" s="36" t="s">
        <v>32</v>
      </c>
      <c r="D452" s="36" t="s">
        <v>29</v>
      </c>
      <c r="E452" s="37"/>
    </row>
    <row r="453" spans="1:5" ht="12.75" x14ac:dyDescent="0.2">
      <c r="A453" s="37"/>
      <c r="B453" s="36" t="s">
        <v>403</v>
      </c>
      <c r="C453" s="36" t="s">
        <v>25</v>
      </c>
      <c r="D453" s="36" t="s">
        <v>27</v>
      </c>
      <c r="E453" s="37"/>
    </row>
    <row r="454" spans="1:5" ht="12.75" x14ac:dyDescent="0.2">
      <c r="A454" s="37"/>
      <c r="B454" s="36" t="s">
        <v>403</v>
      </c>
      <c r="C454" s="36" t="s">
        <v>30</v>
      </c>
      <c r="D454" s="36" t="s">
        <v>31</v>
      </c>
      <c r="E454" s="37"/>
    </row>
    <row r="455" spans="1:5" ht="12.75" x14ac:dyDescent="0.2">
      <c r="A455" s="37"/>
      <c r="B455" s="37"/>
      <c r="C455" s="37"/>
      <c r="D455" s="37"/>
      <c r="E455" s="37"/>
    </row>
    <row r="456" spans="1:5" ht="12.75" x14ac:dyDescent="0.2">
      <c r="A456" s="36" t="s">
        <v>140</v>
      </c>
      <c r="B456" s="37"/>
      <c r="C456" s="37"/>
      <c r="D456" s="37"/>
      <c r="E456" s="37"/>
    </row>
    <row r="457" spans="1:5" ht="12.75" x14ac:dyDescent="0.2">
      <c r="A457" s="37"/>
      <c r="B457" s="36" t="s">
        <v>398</v>
      </c>
      <c r="C457" s="37"/>
      <c r="D457" s="37"/>
      <c r="E457" s="37"/>
    </row>
    <row r="458" spans="1:5" ht="12.75" x14ac:dyDescent="0.2">
      <c r="A458" s="37"/>
      <c r="B458" s="36" t="s">
        <v>399</v>
      </c>
      <c r="C458" s="37"/>
      <c r="D458" s="37"/>
      <c r="E458" s="37"/>
    </row>
    <row r="459" spans="1:5" ht="12.75" x14ac:dyDescent="0.2">
      <c r="A459" s="37"/>
      <c r="B459" s="36" t="s">
        <v>400</v>
      </c>
      <c r="C459" s="37"/>
      <c r="D459" s="37"/>
      <c r="E459" s="37"/>
    </row>
    <row r="460" spans="1:5" ht="12.75" x14ac:dyDescent="0.2">
      <c r="A460" s="37"/>
      <c r="B460" s="36" t="s">
        <v>401</v>
      </c>
      <c r="C460" s="36" t="s">
        <v>140</v>
      </c>
      <c r="D460" s="37"/>
      <c r="E460" s="37"/>
    </row>
    <row r="461" spans="1:5" ht="38.25" x14ac:dyDescent="0.2">
      <c r="A461" s="36" t="s">
        <v>556</v>
      </c>
      <c r="B461" s="36" t="s">
        <v>402</v>
      </c>
      <c r="C461" s="36" t="s">
        <v>364</v>
      </c>
      <c r="D461" s="37"/>
      <c r="E461" s="37"/>
    </row>
    <row r="462" spans="1:5" ht="12.75" x14ac:dyDescent="0.2">
      <c r="A462" s="36" t="s">
        <v>557</v>
      </c>
      <c r="B462" s="36" t="s">
        <v>402</v>
      </c>
      <c r="C462" s="36" t="s">
        <v>19</v>
      </c>
      <c r="D462" s="37"/>
      <c r="E462" s="37"/>
    </row>
    <row r="463" spans="1:5" ht="12.75" x14ac:dyDescent="0.2">
      <c r="A463" s="36" t="s">
        <v>558</v>
      </c>
      <c r="B463" s="37"/>
      <c r="C463" s="37"/>
      <c r="D463" s="37"/>
      <c r="E463" s="37"/>
    </row>
    <row r="464" spans="1:5" ht="12.75" x14ac:dyDescent="0.2">
      <c r="A464" s="36" t="s">
        <v>559</v>
      </c>
      <c r="B464" s="37"/>
      <c r="C464" s="37"/>
      <c r="D464" s="37"/>
      <c r="E464" s="37"/>
    </row>
    <row r="465" spans="1:5" ht="12.75" x14ac:dyDescent="0.2">
      <c r="A465" s="36" t="s">
        <v>560</v>
      </c>
      <c r="B465" s="37"/>
      <c r="C465" s="37"/>
      <c r="D465" s="37"/>
      <c r="E465" s="37"/>
    </row>
    <row r="466" spans="1:5" ht="12.75" x14ac:dyDescent="0.2">
      <c r="A466" s="36" t="s">
        <v>561</v>
      </c>
      <c r="B466" s="37"/>
      <c r="C466" s="37"/>
      <c r="D466" s="37"/>
      <c r="E466" s="37"/>
    </row>
    <row r="467" spans="1:5" ht="12.75" x14ac:dyDescent="0.2">
      <c r="A467" s="36" t="s">
        <v>562</v>
      </c>
      <c r="B467" s="37"/>
      <c r="C467" s="37"/>
      <c r="D467" s="37"/>
      <c r="E467" s="37"/>
    </row>
    <row r="468" spans="1:5" ht="12.75" x14ac:dyDescent="0.2">
      <c r="A468" s="36" t="s">
        <v>563</v>
      </c>
      <c r="B468" s="37"/>
      <c r="C468" s="37"/>
      <c r="D468" s="37"/>
      <c r="E468" s="37"/>
    </row>
    <row r="469" spans="1:5" ht="12.75" x14ac:dyDescent="0.2">
      <c r="A469" s="36" t="s">
        <v>564</v>
      </c>
      <c r="B469" s="37"/>
      <c r="C469" s="37"/>
      <c r="D469" s="37"/>
      <c r="E469" s="37"/>
    </row>
    <row r="470" spans="1:5" ht="12.75" x14ac:dyDescent="0.2">
      <c r="A470" s="36" t="s">
        <v>565</v>
      </c>
      <c r="B470" s="37"/>
      <c r="C470" s="37"/>
      <c r="D470" s="37"/>
      <c r="E470" s="37"/>
    </row>
    <row r="471" spans="1:5" ht="12.75" x14ac:dyDescent="0.2">
      <c r="A471" s="36" t="s">
        <v>566</v>
      </c>
      <c r="B471" s="37"/>
      <c r="C471" s="37"/>
      <c r="D471" s="37"/>
      <c r="E471" s="37"/>
    </row>
    <row r="472" spans="1:5" ht="12.75" x14ac:dyDescent="0.2">
      <c r="A472" s="36" t="s">
        <v>138</v>
      </c>
      <c r="B472" s="37"/>
      <c r="C472" s="37"/>
      <c r="D472" s="37"/>
      <c r="E472" s="37"/>
    </row>
    <row r="473" spans="1:5" ht="12.75" x14ac:dyDescent="0.2">
      <c r="A473" s="37"/>
      <c r="B473" s="36" t="s">
        <v>422</v>
      </c>
      <c r="C473" s="36" t="s">
        <v>423</v>
      </c>
      <c r="D473" s="36" t="s">
        <v>424</v>
      </c>
      <c r="E473" s="37"/>
    </row>
    <row r="474" spans="1:5" ht="12.75" x14ac:dyDescent="0.2">
      <c r="A474" s="37"/>
      <c r="B474" s="36" t="s">
        <v>422</v>
      </c>
      <c r="C474" s="36" t="s">
        <v>567</v>
      </c>
      <c r="D474" s="36" t="s">
        <v>568</v>
      </c>
      <c r="E474" s="37"/>
    </row>
    <row r="475" spans="1:5" ht="12.75" x14ac:dyDescent="0.2">
      <c r="A475" s="37"/>
      <c r="B475" s="36" t="s">
        <v>403</v>
      </c>
      <c r="C475" s="36" t="s">
        <v>24</v>
      </c>
      <c r="D475" s="36" t="s">
        <v>26</v>
      </c>
      <c r="E475" s="37"/>
    </row>
    <row r="476" spans="1:5" ht="12.75" x14ac:dyDescent="0.2">
      <c r="A476" s="37"/>
      <c r="B476" s="36" t="s">
        <v>403</v>
      </c>
      <c r="C476" s="36" t="s">
        <v>32</v>
      </c>
      <c r="D476" s="36" t="s">
        <v>29</v>
      </c>
      <c r="E476" s="37"/>
    </row>
    <row r="477" spans="1:5" ht="12.75" x14ac:dyDescent="0.2">
      <c r="A477" s="37"/>
      <c r="B477" s="36" t="s">
        <v>403</v>
      </c>
      <c r="C477" s="36" t="s">
        <v>25</v>
      </c>
      <c r="D477" s="36" t="s">
        <v>27</v>
      </c>
      <c r="E477" s="37"/>
    </row>
    <row r="478" spans="1:5" ht="12.75" x14ac:dyDescent="0.2">
      <c r="A478" s="37"/>
      <c r="B478" s="36" t="s">
        <v>403</v>
      </c>
      <c r="C478" s="36" t="s">
        <v>30</v>
      </c>
      <c r="D478" s="36" t="s">
        <v>31</v>
      </c>
      <c r="E478" s="37"/>
    </row>
    <row r="479" spans="1:5" ht="12.75" x14ac:dyDescent="0.2">
      <c r="A479" s="37"/>
      <c r="B479" s="37"/>
      <c r="C479" s="37"/>
      <c r="D479" s="37"/>
      <c r="E479" s="37"/>
    </row>
    <row r="480" spans="1:5" ht="12.75" x14ac:dyDescent="0.2">
      <c r="A480" s="36" t="s">
        <v>115</v>
      </c>
      <c r="B480" s="37"/>
      <c r="C480" s="37"/>
      <c r="D480" s="37"/>
      <c r="E480" s="37"/>
    </row>
    <row r="481" spans="1:5" ht="12.75" x14ac:dyDescent="0.2">
      <c r="A481" s="37"/>
      <c r="B481" s="36" t="s">
        <v>398</v>
      </c>
      <c r="C481" s="37"/>
      <c r="D481" s="37"/>
      <c r="E481" s="37"/>
    </row>
    <row r="482" spans="1:5" ht="12.75" x14ac:dyDescent="0.2">
      <c r="A482" s="37"/>
      <c r="B482" s="36" t="s">
        <v>399</v>
      </c>
      <c r="C482" s="37"/>
      <c r="D482" s="37"/>
      <c r="E482" s="37"/>
    </row>
    <row r="483" spans="1:5" ht="12.75" x14ac:dyDescent="0.2">
      <c r="A483" s="37"/>
      <c r="B483" s="36" t="s">
        <v>400</v>
      </c>
      <c r="C483" s="37"/>
      <c r="D483" s="37"/>
      <c r="E483" s="37"/>
    </row>
    <row r="484" spans="1:5" ht="12.75" x14ac:dyDescent="0.2">
      <c r="A484" s="37"/>
      <c r="B484" s="36" t="s">
        <v>401</v>
      </c>
      <c r="C484" s="36" t="s">
        <v>115</v>
      </c>
      <c r="D484" s="37"/>
      <c r="E484" s="37"/>
    </row>
    <row r="485" spans="1:5" ht="12.75" x14ac:dyDescent="0.2">
      <c r="A485" s="36" t="s">
        <v>569</v>
      </c>
      <c r="B485" s="36" t="s">
        <v>402</v>
      </c>
      <c r="C485" s="36" t="s">
        <v>117</v>
      </c>
      <c r="D485" s="37"/>
      <c r="E485" s="37"/>
    </row>
    <row r="486" spans="1:5" ht="12.75" x14ac:dyDescent="0.2">
      <c r="A486" s="36" t="s">
        <v>570</v>
      </c>
      <c r="B486" s="37"/>
      <c r="C486" s="37"/>
      <c r="D486" s="37"/>
      <c r="E486" s="37"/>
    </row>
    <row r="487" spans="1:5" ht="12.75" x14ac:dyDescent="0.2">
      <c r="A487" s="36" t="s">
        <v>571</v>
      </c>
      <c r="B487" s="37"/>
      <c r="C487" s="37"/>
      <c r="D487" s="37"/>
      <c r="E487" s="37"/>
    </row>
    <row r="488" spans="1:5" ht="12.75" x14ac:dyDescent="0.2">
      <c r="A488" s="36" t="s">
        <v>572</v>
      </c>
      <c r="B488" s="37"/>
      <c r="C488" s="37"/>
      <c r="D488" s="37"/>
      <c r="E488" s="37"/>
    </row>
    <row r="489" spans="1:5" ht="12.75" x14ac:dyDescent="0.2">
      <c r="A489" s="36" t="s">
        <v>51</v>
      </c>
      <c r="B489" s="37"/>
      <c r="C489" s="37"/>
      <c r="D489" s="37"/>
      <c r="E489" s="37"/>
    </row>
    <row r="490" spans="1:5" ht="12.75" x14ac:dyDescent="0.2">
      <c r="A490" s="37"/>
      <c r="B490" s="36" t="s">
        <v>403</v>
      </c>
      <c r="C490" s="36" t="s">
        <v>119</v>
      </c>
      <c r="D490" s="36" t="s">
        <v>120</v>
      </c>
      <c r="E490" s="37"/>
    </row>
    <row r="491" spans="1:5" ht="12.75" x14ac:dyDescent="0.2">
      <c r="A491" s="37"/>
      <c r="B491" s="36" t="s">
        <v>403</v>
      </c>
      <c r="C491" s="36" t="s">
        <v>126</v>
      </c>
      <c r="D491" s="36" t="s">
        <v>127</v>
      </c>
      <c r="E491" s="37"/>
    </row>
    <row r="492" spans="1:5" ht="12.75" x14ac:dyDescent="0.2">
      <c r="A492" s="37"/>
      <c r="B492" s="36" t="s">
        <v>403</v>
      </c>
      <c r="C492" s="36" t="s">
        <v>130</v>
      </c>
      <c r="D492" s="36" t="s">
        <v>131</v>
      </c>
      <c r="E492" s="37"/>
    </row>
    <row r="493" spans="1:5" ht="12.75" x14ac:dyDescent="0.2">
      <c r="A493" s="37"/>
      <c r="B493" s="36" t="s">
        <v>403</v>
      </c>
      <c r="C493" s="36" t="s">
        <v>132</v>
      </c>
      <c r="D493" s="36" t="s">
        <v>134</v>
      </c>
      <c r="E493" s="37"/>
    </row>
    <row r="494" spans="1:5" ht="12.75" x14ac:dyDescent="0.2">
      <c r="A494" s="37"/>
      <c r="B494" s="36" t="s">
        <v>403</v>
      </c>
      <c r="C494" s="36" t="s">
        <v>136</v>
      </c>
      <c r="D494" s="36" t="s">
        <v>137</v>
      </c>
      <c r="E494" s="37"/>
    </row>
    <row r="495" spans="1:5" ht="12.75" x14ac:dyDescent="0.2">
      <c r="A495" s="37"/>
      <c r="B495" s="36" t="s">
        <v>403</v>
      </c>
      <c r="C495" s="36" t="s">
        <v>138</v>
      </c>
      <c r="D495" s="36" t="s">
        <v>140</v>
      </c>
      <c r="E495" s="37"/>
    </row>
    <row r="496" spans="1:5" ht="12.75" x14ac:dyDescent="0.2">
      <c r="A496" s="37"/>
      <c r="B496" s="36" t="s">
        <v>403</v>
      </c>
      <c r="C496" s="36" t="s">
        <v>24</v>
      </c>
      <c r="D496" s="36" t="s">
        <v>26</v>
      </c>
      <c r="E496" s="37"/>
    </row>
    <row r="497" spans="1:5" ht="12.75" x14ac:dyDescent="0.2">
      <c r="A497" s="37"/>
      <c r="B497" s="37"/>
      <c r="C497" s="37"/>
      <c r="D497" s="37"/>
      <c r="E497" s="37"/>
    </row>
    <row r="498" spans="1:5" ht="12.75" x14ac:dyDescent="0.2">
      <c r="A498" s="36" t="s">
        <v>146</v>
      </c>
      <c r="B498" s="37"/>
      <c r="C498" s="37"/>
      <c r="D498" s="37"/>
      <c r="E498" s="37"/>
    </row>
    <row r="499" spans="1:5" ht="12.75" x14ac:dyDescent="0.2">
      <c r="A499" s="37"/>
      <c r="B499" s="36" t="s">
        <v>398</v>
      </c>
      <c r="C499" s="37"/>
      <c r="D499" s="37"/>
      <c r="E499" s="37"/>
    </row>
    <row r="500" spans="1:5" ht="12.75" x14ac:dyDescent="0.2">
      <c r="A500" s="37"/>
      <c r="B500" s="36" t="s">
        <v>399</v>
      </c>
      <c r="C500" s="37"/>
      <c r="D500" s="37"/>
      <c r="E500" s="37"/>
    </row>
    <row r="501" spans="1:5" ht="12.75" x14ac:dyDescent="0.2">
      <c r="A501" s="37"/>
      <c r="B501" s="36" t="s">
        <v>400</v>
      </c>
      <c r="C501" s="37"/>
      <c r="D501" s="37"/>
      <c r="E501" s="37"/>
    </row>
    <row r="502" spans="1:5" ht="12.75" x14ac:dyDescent="0.2">
      <c r="A502" s="37"/>
      <c r="B502" s="36" t="s">
        <v>401</v>
      </c>
      <c r="C502" s="36" t="s">
        <v>146</v>
      </c>
      <c r="D502" s="37"/>
      <c r="E502" s="37"/>
    </row>
    <row r="503" spans="1:5" ht="12.75" x14ac:dyDescent="0.2">
      <c r="A503" s="36" t="s">
        <v>573</v>
      </c>
      <c r="B503" s="36" t="s">
        <v>402</v>
      </c>
      <c r="C503" s="36" t="s">
        <v>365</v>
      </c>
      <c r="D503" s="37"/>
      <c r="E503" s="37"/>
    </row>
    <row r="504" spans="1:5" ht="12.75" x14ac:dyDescent="0.2">
      <c r="A504" s="36" t="s">
        <v>574</v>
      </c>
      <c r="B504" s="36" t="s">
        <v>402</v>
      </c>
      <c r="C504" s="36" t="s">
        <v>19</v>
      </c>
      <c r="D504" s="37"/>
      <c r="E504" s="37"/>
    </row>
    <row r="505" spans="1:5" ht="12.75" x14ac:dyDescent="0.2">
      <c r="A505" s="36" t="s">
        <v>575</v>
      </c>
      <c r="B505" s="37"/>
      <c r="C505" s="37"/>
      <c r="D505" s="37"/>
      <c r="E505" s="37"/>
    </row>
    <row r="506" spans="1:5" ht="12.75" x14ac:dyDescent="0.2">
      <c r="A506" s="36" t="s">
        <v>576</v>
      </c>
      <c r="B506" s="37"/>
      <c r="C506" s="37"/>
      <c r="D506" s="37"/>
      <c r="E506" s="37"/>
    </row>
    <row r="507" spans="1:5" ht="12.75" x14ac:dyDescent="0.2">
      <c r="A507" s="36" t="s">
        <v>577</v>
      </c>
      <c r="B507" s="37"/>
      <c r="C507" s="37"/>
      <c r="D507" s="37"/>
      <c r="E507" s="37"/>
    </row>
    <row r="508" spans="1:5" ht="12.75" x14ac:dyDescent="0.2">
      <c r="A508" s="36" t="s">
        <v>578</v>
      </c>
      <c r="B508" s="37"/>
      <c r="C508" s="37"/>
      <c r="D508" s="37"/>
      <c r="E508" s="37"/>
    </row>
    <row r="509" spans="1:5" ht="12.75" x14ac:dyDescent="0.2">
      <c r="A509" s="36" t="s">
        <v>579</v>
      </c>
      <c r="B509" s="37"/>
      <c r="C509" s="37"/>
      <c r="D509" s="37"/>
      <c r="E509" s="37"/>
    </row>
    <row r="510" spans="1:5" ht="12.75" x14ac:dyDescent="0.2">
      <c r="A510" s="36" t="s">
        <v>145</v>
      </c>
      <c r="B510" s="37"/>
      <c r="C510" s="37"/>
      <c r="D510" s="37"/>
      <c r="E510" s="37"/>
    </row>
    <row r="511" spans="1:5" ht="12.75" x14ac:dyDescent="0.2">
      <c r="A511" s="37"/>
      <c r="B511" s="36" t="s">
        <v>403</v>
      </c>
      <c r="C511" s="36" t="s">
        <v>24</v>
      </c>
      <c r="D511" s="36" t="s">
        <v>26</v>
      </c>
      <c r="E511" s="37"/>
    </row>
    <row r="512" spans="1:5" ht="12.75" x14ac:dyDescent="0.2">
      <c r="A512" s="37"/>
      <c r="B512" s="36" t="s">
        <v>403</v>
      </c>
      <c r="C512" s="36" t="s">
        <v>32</v>
      </c>
      <c r="D512" s="36" t="s">
        <v>29</v>
      </c>
      <c r="E512" s="37"/>
    </row>
    <row r="513" spans="1:5" ht="12.75" x14ac:dyDescent="0.2">
      <c r="A513" s="37"/>
      <c r="B513" s="36" t="s">
        <v>403</v>
      </c>
      <c r="C513" s="36" t="s">
        <v>25</v>
      </c>
      <c r="D513" s="36" t="s">
        <v>27</v>
      </c>
      <c r="E513" s="37"/>
    </row>
    <row r="514" spans="1:5" ht="12.75" x14ac:dyDescent="0.2">
      <c r="A514" s="37"/>
      <c r="B514" s="36" t="s">
        <v>403</v>
      </c>
      <c r="C514" s="36" t="s">
        <v>30</v>
      </c>
      <c r="D514" s="36" t="s">
        <v>31</v>
      </c>
      <c r="E514" s="37"/>
    </row>
    <row r="515" spans="1:5" ht="12.75" x14ac:dyDescent="0.2">
      <c r="A515" s="37"/>
      <c r="B515" s="37"/>
      <c r="C515" s="37"/>
      <c r="D515" s="37"/>
      <c r="E515" s="37"/>
    </row>
    <row r="516" spans="1:5" ht="12.75" x14ac:dyDescent="0.2">
      <c r="A516" s="36" t="s">
        <v>153</v>
      </c>
      <c r="B516" s="37"/>
      <c r="C516" s="37"/>
      <c r="D516" s="37"/>
      <c r="E516" s="37"/>
    </row>
    <row r="517" spans="1:5" ht="12.75" x14ac:dyDescent="0.2">
      <c r="A517" s="37"/>
      <c r="B517" s="36" t="s">
        <v>398</v>
      </c>
      <c r="C517" s="37"/>
      <c r="D517" s="37"/>
      <c r="E517" s="37"/>
    </row>
    <row r="518" spans="1:5" ht="12.75" x14ac:dyDescent="0.2">
      <c r="A518" s="37"/>
      <c r="B518" s="36" t="s">
        <v>399</v>
      </c>
      <c r="C518" s="37"/>
      <c r="D518" s="37"/>
      <c r="E518" s="37"/>
    </row>
    <row r="519" spans="1:5" ht="12.75" x14ac:dyDescent="0.2">
      <c r="A519" s="37"/>
      <c r="B519" s="36" t="s">
        <v>400</v>
      </c>
      <c r="C519" s="37"/>
      <c r="D519" s="37"/>
      <c r="E519" s="37"/>
    </row>
    <row r="520" spans="1:5" ht="12.75" x14ac:dyDescent="0.2">
      <c r="A520" s="37"/>
      <c r="B520" s="36" t="s">
        <v>401</v>
      </c>
      <c r="C520" s="36" t="s">
        <v>153</v>
      </c>
      <c r="D520" s="37"/>
      <c r="E520" s="37"/>
    </row>
    <row r="521" spans="1:5" ht="25.5" x14ac:dyDescent="0.2">
      <c r="A521" s="36" t="s">
        <v>152</v>
      </c>
      <c r="B521" s="36" t="s">
        <v>402</v>
      </c>
      <c r="C521" s="36" t="s">
        <v>366</v>
      </c>
      <c r="D521" s="37"/>
      <c r="E521" s="37"/>
    </row>
    <row r="522" spans="1:5" ht="12.75" x14ac:dyDescent="0.2">
      <c r="A522" s="37"/>
      <c r="B522" s="36" t="s">
        <v>402</v>
      </c>
      <c r="C522" s="36" t="s">
        <v>19</v>
      </c>
      <c r="D522" s="37"/>
      <c r="E522" s="37"/>
    </row>
    <row r="523" spans="1:5" ht="12.75" x14ac:dyDescent="0.2">
      <c r="A523" s="37"/>
      <c r="B523" s="36" t="s">
        <v>403</v>
      </c>
      <c r="C523" s="36" t="s">
        <v>24</v>
      </c>
      <c r="D523" s="36" t="s">
        <v>26</v>
      </c>
      <c r="E523" s="37"/>
    </row>
    <row r="524" spans="1:5" ht="12.75" x14ac:dyDescent="0.2">
      <c r="A524" s="37"/>
      <c r="B524" s="36" t="s">
        <v>403</v>
      </c>
      <c r="C524" s="36" t="s">
        <v>32</v>
      </c>
      <c r="D524" s="36" t="s">
        <v>29</v>
      </c>
      <c r="E524" s="37"/>
    </row>
    <row r="525" spans="1:5" ht="12.75" x14ac:dyDescent="0.2">
      <c r="A525" s="37"/>
      <c r="B525" s="36" t="s">
        <v>403</v>
      </c>
      <c r="C525" s="36" t="s">
        <v>25</v>
      </c>
      <c r="D525" s="36" t="s">
        <v>27</v>
      </c>
      <c r="E525" s="37"/>
    </row>
    <row r="526" spans="1:5" ht="12.75" x14ac:dyDescent="0.2">
      <c r="A526" s="37"/>
      <c r="B526" s="36" t="s">
        <v>403</v>
      </c>
      <c r="C526" s="36" t="s">
        <v>30</v>
      </c>
      <c r="D526" s="36" t="s">
        <v>31</v>
      </c>
      <c r="E526" s="37"/>
    </row>
    <row r="527" spans="1:5" ht="12.75" x14ac:dyDescent="0.2">
      <c r="A527" s="37"/>
      <c r="B527" s="37"/>
      <c r="C527" s="37"/>
      <c r="D527" s="37"/>
      <c r="E527" s="37"/>
    </row>
    <row r="528" spans="1:5" ht="12.75" x14ac:dyDescent="0.2">
      <c r="A528" s="36" t="s">
        <v>156</v>
      </c>
      <c r="B528" s="37"/>
      <c r="C528" s="37"/>
      <c r="D528" s="37"/>
      <c r="E528" s="37"/>
    </row>
    <row r="529" spans="1:5" ht="12.75" x14ac:dyDescent="0.2">
      <c r="A529" s="37"/>
      <c r="B529" s="36" t="s">
        <v>398</v>
      </c>
      <c r="C529" s="37"/>
      <c r="D529" s="37"/>
      <c r="E529" s="37"/>
    </row>
    <row r="530" spans="1:5" ht="12.75" x14ac:dyDescent="0.2">
      <c r="A530" s="37"/>
      <c r="B530" s="36" t="s">
        <v>399</v>
      </c>
      <c r="C530" s="37"/>
      <c r="D530" s="37"/>
      <c r="E530" s="37"/>
    </row>
    <row r="531" spans="1:5" ht="12.75" x14ac:dyDescent="0.2">
      <c r="A531" s="37"/>
      <c r="B531" s="36" t="s">
        <v>400</v>
      </c>
      <c r="C531" s="37"/>
      <c r="D531" s="37"/>
      <c r="E531" s="37"/>
    </row>
    <row r="532" spans="1:5" ht="12.75" x14ac:dyDescent="0.2">
      <c r="A532" s="37"/>
      <c r="B532" s="36" t="s">
        <v>401</v>
      </c>
      <c r="C532" s="36" t="s">
        <v>156</v>
      </c>
      <c r="D532" s="37"/>
      <c r="E532" s="37"/>
    </row>
    <row r="533" spans="1:5" ht="12.75" x14ac:dyDescent="0.2">
      <c r="A533" s="36" t="s">
        <v>155</v>
      </c>
      <c r="B533" s="36" t="s">
        <v>402</v>
      </c>
      <c r="C533" s="36" t="s">
        <v>371</v>
      </c>
      <c r="D533" s="37"/>
      <c r="E533" s="37"/>
    </row>
    <row r="534" spans="1:5" ht="12.75" x14ac:dyDescent="0.2">
      <c r="A534" s="37"/>
      <c r="B534" s="36" t="s">
        <v>402</v>
      </c>
      <c r="C534" s="36" t="s">
        <v>19</v>
      </c>
      <c r="D534" s="37"/>
      <c r="E534" s="37"/>
    </row>
    <row r="535" spans="1:5" ht="12.75" x14ac:dyDescent="0.2">
      <c r="A535" s="37"/>
      <c r="B535" s="36" t="s">
        <v>403</v>
      </c>
      <c r="C535" s="36" t="s">
        <v>24</v>
      </c>
      <c r="D535" s="36" t="s">
        <v>26</v>
      </c>
      <c r="E535" s="37"/>
    </row>
    <row r="536" spans="1:5" ht="12.75" x14ac:dyDescent="0.2">
      <c r="A536" s="37"/>
      <c r="B536" s="36" t="s">
        <v>403</v>
      </c>
      <c r="C536" s="36" t="s">
        <v>32</v>
      </c>
      <c r="D536" s="36" t="s">
        <v>29</v>
      </c>
      <c r="E536" s="37"/>
    </row>
    <row r="537" spans="1:5" ht="12.75" x14ac:dyDescent="0.2">
      <c r="A537" s="37"/>
      <c r="B537" s="36" t="s">
        <v>403</v>
      </c>
      <c r="C537" s="36" t="s">
        <v>25</v>
      </c>
      <c r="D537" s="36" t="s">
        <v>27</v>
      </c>
      <c r="E537" s="37"/>
    </row>
    <row r="538" spans="1:5" ht="12.75" x14ac:dyDescent="0.2">
      <c r="A538" s="37"/>
      <c r="B538" s="36" t="s">
        <v>403</v>
      </c>
      <c r="C538" s="36" t="s">
        <v>30</v>
      </c>
      <c r="D538" s="36" t="s">
        <v>31</v>
      </c>
      <c r="E538" s="37"/>
    </row>
    <row r="539" spans="1:5" ht="12.75" x14ac:dyDescent="0.2">
      <c r="A539" s="37"/>
      <c r="B539" s="37"/>
      <c r="C539" s="37"/>
      <c r="D539" s="37"/>
      <c r="E539" s="37"/>
    </row>
    <row r="540" spans="1:5" ht="12.75" x14ac:dyDescent="0.2">
      <c r="A540" s="36" t="s">
        <v>159</v>
      </c>
      <c r="B540" s="37"/>
      <c r="C540" s="37"/>
      <c r="D540" s="37"/>
      <c r="E540" s="37"/>
    </row>
    <row r="541" spans="1:5" ht="12.75" x14ac:dyDescent="0.2">
      <c r="A541" s="37"/>
      <c r="B541" s="36" t="s">
        <v>398</v>
      </c>
      <c r="C541" s="37"/>
      <c r="D541" s="37"/>
      <c r="E541" s="37"/>
    </row>
    <row r="542" spans="1:5" ht="12.75" x14ac:dyDescent="0.2">
      <c r="A542" s="37"/>
      <c r="B542" s="36" t="s">
        <v>399</v>
      </c>
      <c r="C542" s="37"/>
      <c r="D542" s="37"/>
      <c r="E542" s="37"/>
    </row>
    <row r="543" spans="1:5" ht="12.75" x14ac:dyDescent="0.2">
      <c r="A543" s="37"/>
      <c r="B543" s="36" t="s">
        <v>400</v>
      </c>
      <c r="C543" s="37"/>
      <c r="D543" s="37"/>
      <c r="E543" s="37"/>
    </row>
    <row r="544" spans="1:5" ht="12.75" x14ac:dyDescent="0.2">
      <c r="A544" s="37"/>
      <c r="B544" s="36" t="s">
        <v>401</v>
      </c>
      <c r="C544" s="36" t="s">
        <v>159</v>
      </c>
      <c r="D544" s="37"/>
      <c r="E544" s="37"/>
    </row>
    <row r="545" spans="1:5" ht="25.5" x14ac:dyDescent="0.2">
      <c r="A545" s="36" t="s">
        <v>580</v>
      </c>
      <c r="B545" s="36" t="s">
        <v>402</v>
      </c>
      <c r="C545" s="36" t="s">
        <v>377</v>
      </c>
      <c r="D545" s="37"/>
      <c r="E545" s="37"/>
    </row>
    <row r="546" spans="1:5" ht="12.75" x14ac:dyDescent="0.2">
      <c r="A546" s="36" t="s">
        <v>581</v>
      </c>
      <c r="B546" s="36" t="s">
        <v>402</v>
      </c>
      <c r="C546" s="36" t="s">
        <v>19</v>
      </c>
      <c r="D546" s="37"/>
      <c r="E546" s="37"/>
    </row>
    <row r="547" spans="1:5" ht="12.75" x14ac:dyDescent="0.2">
      <c r="A547" s="36" t="s">
        <v>582</v>
      </c>
      <c r="B547" s="37"/>
      <c r="C547" s="37"/>
      <c r="D547" s="37"/>
      <c r="E547" s="37"/>
    </row>
    <row r="548" spans="1:5" ht="12.75" x14ac:dyDescent="0.2">
      <c r="A548" s="36" t="s">
        <v>583</v>
      </c>
      <c r="B548" s="37"/>
      <c r="C548" s="37"/>
      <c r="D548" s="37"/>
      <c r="E548" s="37"/>
    </row>
    <row r="549" spans="1:5" ht="12.75" x14ac:dyDescent="0.2">
      <c r="A549" s="36" t="s">
        <v>584</v>
      </c>
      <c r="B549" s="37"/>
      <c r="C549" s="37"/>
      <c r="D549" s="37"/>
      <c r="E549" s="37"/>
    </row>
    <row r="550" spans="1:5" ht="12.75" x14ac:dyDescent="0.2">
      <c r="A550" s="36" t="s">
        <v>585</v>
      </c>
      <c r="B550" s="37"/>
      <c r="C550" s="37"/>
      <c r="D550" s="37"/>
      <c r="E550" s="37"/>
    </row>
    <row r="551" spans="1:5" ht="12.75" x14ac:dyDescent="0.2">
      <c r="A551" s="36" t="s">
        <v>158</v>
      </c>
      <c r="B551" s="37"/>
      <c r="C551" s="37"/>
      <c r="D551" s="37"/>
      <c r="E551" s="37"/>
    </row>
    <row r="552" spans="1:5" ht="12.75" x14ac:dyDescent="0.2">
      <c r="A552" s="37"/>
      <c r="B552" s="36" t="s">
        <v>403</v>
      </c>
      <c r="C552" s="36" t="s">
        <v>24</v>
      </c>
      <c r="D552" s="36" t="s">
        <v>26</v>
      </c>
      <c r="E552" s="37"/>
    </row>
    <row r="553" spans="1:5" ht="12.75" x14ac:dyDescent="0.2">
      <c r="A553" s="37"/>
      <c r="B553" s="36" t="s">
        <v>403</v>
      </c>
      <c r="C553" s="36" t="s">
        <v>32</v>
      </c>
      <c r="D553" s="36" t="s">
        <v>29</v>
      </c>
      <c r="E553" s="37"/>
    </row>
    <row r="554" spans="1:5" ht="12.75" x14ac:dyDescent="0.2">
      <c r="A554" s="37"/>
      <c r="B554" s="36" t="s">
        <v>403</v>
      </c>
      <c r="C554" s="36" t="s">
        <v>25</v>
      </c>
      <c r="D554" s="36" t="s">
        <v>27</v>
      </c>
      <c r="E554" s="37"/>
    </row>
    <row r="555" spans="1:5" ht="12.75" x14ac:dyDescent="0.2">
      <c r="A555" s="37"/>
      <c r="B555" s="36" t="s">
        <v>403</v>
      </c>
      <c r="C555" s="36" t="s">
        <v>30</v>
      </c>
      <c r="D555" s="36" t="s">
        <v>31</v>
      </c>
      <c r="E555" s="37"/>
    </row>
    <row r="556" spans="1:5" ht="12.75" x14ac:dyDescent="0.2">
      <c r="A556" s="37"/>
      <c r="B556" s="37"/>
      <c r="C556" s="37"/>
      <c r="D556" s="37"/>
      <c r="E556" s="37"/>
    </row>
    <row r="557" spans="1:5" ht="12.75" x14ac:dyDescent="0.2">
      <c r="A557" s="36" t="s">
        <v>142</v>
      </c>
      <c r="B557" s="37"/>
      <c r="C557" s="37"/>
      <c r="D557" s="37"/>
      <c r="E557" s="37"/>
    </row>
    <row r="558" spans="1:5" ht="12.75" x14ac:dyDescent="0.2">
      <c r="A558" s="37"/>
      <c r="B558" s="36" t="s">
        <v>398</v>
      </c>
      <c r="C558" s="37"/>
      <c r="D558" s="37"/>
      <c r="E558" s="37"/>
    </row>
    <row r="559" spans="1:5" ht="12.75" x14ac:dyDescent="0.2">
      <c r="A559" s="37"/>
      <c r="B559" s="36" t="s">
        <v>399</v>
      </c>
      <c r="C559" s="37"/>
      <c r="D559" s="37"/>
      <c r="E559" s="37"/>
    </row>
    <row r="560" spans="1:5" ht="12.75" x14ac:dyDescent="0.2">
      <c r="A560" s="37"/>
      <c r="B560" s="36" t="s">
        <v>400</v>
      </c>
      <c r="C560" s="37"/>
      <c r="D560" s="37"/>
      <c r="E560" s="37"/>
    </row>
    <row r="561" spans="1:5" ht="12.75" x14ac:dyDescent="0.2">
      <c r="A561" s="37"/>
      <c r="B561" s="36" t="s">
        <v>401</v>
      </c>
      <c r="C561" s="36" t="s">
        <v>142</v>
      </c>
      <c r="D561" s="37"/>
      <c r="E561" s="37"/>
    </row>
    <row r="562" spans="1:5" ht="12.75" x14ac:dyDescent="0.2">
      <c r="A562" s="36" t="s">
        <v>587</v>
      </c>
      <c r="B562" s="36" t="s">
        <v>402</v>
      </c>
      <c r="C562" s="36" t="s">
        <v>144</v>
      </c>
      <c r="D562" s="37"/>
      <c r="E562" s="37"/>
    </row>
    <row r="563" spans="1:5" ht="12.75" x14ac:dyDescent="0.2">
      <c r="A563" s="36" t="s">
        <v>588</v>
      </c>
      <c r="B563" s="37"/>
      <c r="C563" s="37"/>
      <c r="D563" s="37"/>
      <c r="E563" s="37"/>
    </row>
    <row r="564" spans="1:5" ht="12.75" x14ac:dyDescent="0.2">
      <c r="A564" s="36" t="s">
        <v>589</v>
      </c>
      <c r="B564" s="37"/>
      <c r="C564" s="37"/>
      <c r="D564" s="37"/>
      <c r="E564" s="37"/>
    </row>
    <row r="565" spans="1:5" ht="12.75" x14ac:dyDescent="0.2">
      <c r="A565" s="36" t="s">
        <v>143</v>
      </c>
      <c r="B565" s="37"/>
      <c r="C565" s="37"/>
      <c r="D565" s="37"/>
      <c r="E565" s="37"/>
    </row>
    <row r="566" spans="1:5" ht="12.75" x14ac:dyDescent="0.2">
      <c r="A566" s="37"/>
      <c r="B566" s="36" t="s">
        <v>403</v>
      </c>
      <c r="C566" s="36" t="s">
        <v>145</v>
      </c>
      <c r="D566" s="36" t="s">
        <v>146</v>
      </c>
      <c r="E566" s="37"/>
    </row>
    <row r="567" spans="1:5" ht="12.75" x14ac:dyDescent="0.2">
      <c r="A567" s="37"/>
      <c r="B567" s="36" t="s">
        <v>403</v>
      </c>
      <c r="C567" s="36" t="s">
        <v>152</v>
      </c>
      <c r="D567" s="36" t="s">
        <v>153</v>
      </c>
      <c r="E567" s="37"/>
    </row>
    <row r="568" spans="1:5" ht="12.75" x14ac:dyDescent="0.2">
      <c r="A568" s="37"/>
      <c r="B568" s="36" t="s">
        <v>403</v>
      </c>
      <c r="C568" s="36" t="s">
        <v>155</v>
      </c>
      <c r="D568" s="36" t="s">
        <v>156</v>
      </c>
      <c r="E568" s="37"/>
    </row>
    <row r="569" spans="1:5" ht="12.75" x14ac:dyDescent="0.2">
      <c r="A569" s="37"/>
      <c r="B569" s="36" t="s">
        <v>403</v>
      </c>
      <c r="C569" s="36" t="s">
        <v>158</v>
      </c>
      <c r="D569" s="36" t="s">
        <v>159</v>
      </c>
      <c r="E569" s="37"/>
    </row>
    <row r="570" spans="1:5" ht="12.75" x14ac:dyDescent="0.2">
      <c r="A570" s="37"/>
      <c r="B570" s="36" t="s">
        <v>403</v>
      </c>
      <c r="C570" s="36" t="s">
        <v>24</v>
      </c>
      <c r="D570" s="36" t="s">
        <v>26</v>
      </c>
      <c r="E570" s="37"/>
    </row>
    <row r="571" spans="1:5" ht="12.75" x14ac:dyDescent="0.2">
      <c r="A571" s="37"/>
      <c r="B571" s="37"/>
      <c r="C571" s="37"/>
      <c r="D571" s="37"/>
      <c r="E571" s="37"/>
    </row>
    <row r="572" spans="1:5" ht="12.75" x14ac:dyDescent="0.2">
      <c r="A572" s="36" t="s">
        <v>167</v>
      </c>
      <c r="B572" s="37"/>
      <c r="C572" s="37"/>
      <c r="D572" s="37"/>
      <c r="E572" s="37"/>
    </row>
    <row r="573" spans="1:5" ht="12.75" x14ac:dyDescent="0.2">
      <c r="A573" s="37"/>
      <c r="B573" s="36" t="s">
        <v>398</v>
      </c>
      <c r="C573" s="37"/>
      <c r="D573" s="37"/>
      <c r="E573" s="37"/>
    </row>
    <row r="574" spans="1:5" ht="12.75" x14ac:dyDescent="0.2">
      <c r="A574" s="37"/>
      <c r="B574" s="36" t="s">
        <v>399</v>
      </c>
      <c r="C574" s="37"/>
      <c r="D574" s="37"/>
      <c r="E574" s="37"/>
    </row>
    <row r="575" spans="1:5" ht="12.75" x14ac:dyDescent="0.2">
      <c r="A575" s="37"/>
      <c r="B575" s="36" t="s">
        <v>400</v>
      </c>
      <c r="C575" s="37"/>
      <c r="D575" s="37"/>
      <c r="E575" s="37"/>
    </row>
    <row r="576" spans="1:5" ht="12.75" x14ac:dyDescent="0.2">
      <c r="A576" s="37"/>
      <c r="B576" s="36" t="s">
        <v>401</v>
      </c>
      <c r="C576" s="36" t="s">
        <v>167</v>
      </c>
      <c r="D576" s="37"/>
      <c r="E576" s="37"/>
    </row>
    <row r="577" spans="1:5" ht="38.25" x14ac:dyDescent="0.2">
      <c r="A577" s="36" t="s">
        <v>590</v>
      </c>
      <c r="B577" s="36" t="s">
        <v>402</v>
      </c>
      <c r="C577" s="36" t="s">
        <v>381</v>
      </c>
      <c r="D577" s="37"/>
      <c r="E577" s="37"/>
    </row>
    <row r="578" spans="1:5" ht="12.75" x14ac:dyDescent="0.2">
      <c r="A578" s="36" t="s">
        <v>591</v>
      </c>
      <c r="B578" s="36" t="s">
        <v>402</v>
      </c>
      <c r="C578" s="36" t="s">
        <v>19</v>
      </c>
      <c r="D578" s="37"/>
      <c r="E578" s="37"/>
    </row>
    <row r="579" spans="1:5" ht="12.75" x14ac:dyDescent="0.2">
      <c r="A579" s="36" t="s">
        <v>592</v>
      </c>
      <c r="B579" s="37"/>
      <c r="C579" s="37"/>
      <c r="D579" s="37"/>
      <c r="E579" s="37"/>
    </row>
    <row r="580" spans="1:5" ht="12.75" x14ac:dyDescent="0.2">
      <c r="A580" s="36" t="s">
        <v>593</v>
      </c>
      <c r="B580" s="37"/>
      <c r="C580" s="37"/>
      <c r="D580" s="37"/>
      <c r="E580" s="37"/>
    </row>
    <row r="581" spans="1:5" ht="12.75" x14ac:dyDescent="0.2">
      <c r="A581" s="36" t="s">
        <v>594</v>
      </c>
      <c r="B581" s="37"/>
      <c r="C581" s="37"/>
      <c r="D581" s="37"/>
      <c r="E581" s="37"/>
    </row>
    <row r="582" spans="1:5" ht="12.75" x14ac:dyDescent="0.2">
      <c r="A582" s="36" t="s">
        <v>595</v>
      </c>
      <c r="B582" s="37"/>
      <c r="C582" s="37"/>
      <c r="D582" s="37"/>
      <c r="E582" s="37"/>
    </row>
    <row r="583" spans="1:5" ht="12.75" x14ac:dyDescent="0.2">
      <c r="A583" s="36" t="s">
        <v>596</v>
      </c>
      <c r="B583" s="37"/>
      <c r="C583" s="37"/>
      <c r="D583" s="37"/>
      <c r="E583" s="37"/>
    </row>
    <row r="584" spans="1:5" ht="12.75" x14ac:dyDescent="0.2">
      <c r="A584" s="36" t="s">
        <v>166</v>
      </c>
      <c r="B584" s="37"/>
      <c r="C584" s="37"/>
      <c r="D584" s="37"/>
      <c r="E584" s="37"/>
    </row>
    <row r="585" spans="1:5" ht="12.75" x14ac:dyDescent="0.2">
      <c r="A585" s="37"/>
      <c r="B585" s="36" t="s">
        <v>403</v>
      </c>
      <c r="C585" s="36" t="s">
        <v>24</v>
      </c>
      <c r="D585" s="36" t="s">
        <v>26</v>
      </c>
      <c r="E585" s="37"/>
    </row>
    <row r="586" spans="1:5" ht="12.75" x14ac:dyDescent="0.2">
      <c r="A586" s="37"/>
      <c r="B586" s="36" t="s">
        <v>403</v>
      </c>
      <c r="C586" s="36" t="s">
        <v>32</v>
      </c>
      <c r="D586" s="36" t="s">
        <v>29</v>
      </c>
      <c r="E586" s="37"/>
    </row>
    <row r="587" spans="1:5" ht="12.75" x14ac:dyDescent="0.2">
      <c r="A587" s="37"/>
      <c r="B587" s="36" t="s">
        <v>403</v>
      </c>
      <c r="C587" s="36" t="s">
        <v>25</v>
      </c>
      <c r="D587" s="36" t="s">
        <v>27</v>
      </c>
      <c r="E587" s="37"/>
    </row>
    <row r="588" spans="1:5" ht="12.75" x14ac:dyDescent="0.2">
      <c r="A588" s="37"/>
      <c r="B588" s="36" t="s">
        <v>403</v>
      </c>
      <c r="C588" s="36" t="s">
        <v>30</v>
      </c>
      <c r="D588" s="36" t="s">
        <v>31</v>
      </c>
      <c r="E588" s="37"/>
    </row>
    <row r="589" spans="1:5" ht="12.75" x14ac:dyDescent="0.2">
      <c r="A589" s="37"/>
      <c r="B589" s="37"/>
      <c r="C589" s="37"/>
      <c r="D589" s="37"/>
      <c r="E589" s="37"/>
    </row>
    <row r="590" spans="1:5" ht="12.75" x14ac:dyDescent="0.2">
      <c r="A590" s="36" t="s">
        <v>174</v>
      </c>
      <c r="B590" s="37"/>
      <c r="C590" s="37"/>
      <c r="D590" s="37"/>
      <c r="E590" s="37"/>
    </row>
    <row r="591" spans="1:5" ht="12.75" x14ac:dyDescent="0.2">
      <c r="A591" s="37"/>
      <c r="B591" s="36" t="s">
        <v>398</v>
      </c>
      <c r="C591" s="37"/>
      <c r="D591" s="37"/>
      <c r="E591" s="37"/>
    </row>
    <row r="592" spans="1:5" ht="12.75" x14ac:dyDescent="0.2">
      <c r="A592" s="37"/>
      <c r="B592" s="36" t="s">
        <v>399</v>
      </c>
      <c r="C592" s="37"/>
      <c r="D592" s="37"/>
      <c r="E592" s="37"/>
    </row>
    <row r="593" spans="1:5" ht="12.75" x14ac:dyDescent="0.2">
      <c r="A593" s="37"/>
      <c r="B593" s="36" t="s">
        <v>400</v>
      </c>
      <c r="C593" s="37"/>
      <c r="D593" s="37"/>
      <c r="E593" s="37"/>
    </row>
    <row r="594" spans="1:5" ht="12.75" x14ac:dyDescent="0.2">
      <c r="A594" s="37"/>
      <c r="B594" s="36" t="s">
        <v>401</v>
      </c>
      <c r="C594" s="36" t="s">
        <v>174</v>
      </c>
      <c r="D594" s="37"/>
      <c r="E594" s="37"/>
    </row>
    <row r="595" spans="1:5" ht="25.5" x14ac:dyDescent="0.2">
      <c r="A595" s="36" t="s">
        <v>597</v>
      </c>
      <c r="B595" s="36" t="s">
        <v>402</v>
      </c>
      <c r="C595" s="36" t="s">
        <v>383</v>
      </c>
      <c r="D595" s="37"/>
      <c r="E595" s="37"/>
    </row>
    <row r="596" spans="1:5" ht="12.75" x14ac:dyDescent="0.2">
      <c r="A596" s="36" t="s">
        <v>598</v>
      </c>
      <c r="B596" s="36" t="s">
        <v>402</v>
      </c>
      <c r="C596" s="36" t="s">
        <v>19</v>
      </c>
      <c r="D596" s="37"/>
      <c r="E596" s="37"/>
    </row>
    <row r="597" spans="1:5" ht="12.75" x14ac:dyDescent="0.2">
      <c r="A597" s="36" t="s">
        <v>599</v>
      </c>
      <c r="B597" s="37"/>
      <c r="C597" s="37"/>
      <c r="D597" s="37"/>
      <c r="E597" s="37"/>
    </row>
    <row r="598" spans="1:5" ht="12.75" x14ac:dyDescent="0.2">
      <c r="A598" s="36" t="s">
        <v>600</v>
      </c>
      <c r="B598" s="37"/>
      <c r="C598" s="37"/>
      <c r="D598" s="37"/>
      <c r="E598" s="37"/>
    </row>
    <row r="599" spans="1:5" ht="12.75" x14ac:dyDescent="0.2">
      <c r="A599" s="36" t="s">
        <v>173</v>
      </c>
      <c r="B599" s="37"/>
      <c r="C599" s="37"/>
      <c r="D599" s="37"/>
      <c r="E599" s="37"/>
    </row>
    <row r="600" spans="1:5" ht="12.75" x14ac:dyDescent="0.2">
      <c r="A600" s="37"/>
      <c r="B600" s="36" t="s">
        <v>403</v>
      </c>
      <c r="C600" s="36" t="s">
        <v>24</v>
      </c>
      <c r="D600" s="36" t="s">
        <v>26</v>
      </c>
      <c r="E600" s="37"/>
    </row>
    <row r="601" spans="1:5" ht="12.75" x14ac:dyDescent="0.2">
      <c r="A601" s="37"/>
      <c r="B601" s="36" t="s">
        <v>403</v>
      </c>
      <c r="C601" s="36" t="s">
        <v>32</v>
      </c>
      <c r="D601" s="36" t="s">
        <v>29</v>
      </c>
      <c r="E601" s="37"/>
    </row>
    <row r="602" spans="1:5" ht="12.75" x14ac:dyDescent="0.2">
      <c r="A602" s="37"/>
      <c r="B602" s="36" t="s">
        <v>403</v>
      </c>
      <c r="C602" s="36" t="s">
        <v>25</v>
      </c>
      <c r="D602" s="36" t="s">
        <v>27</v>
      </c>
      <c r="E602" s="37"/>
    </row>
    <row r="603" spans="1:5" ht="12.75" x14ac:dyDescent="0.2">
      <c r="A603" s="37"/>
      <c r="B603" s="36" t="s">
        <v>403</v>
      </c>
      <c r="C603" s="36" t="s">
        <v>30</v>
      </c>
      <c r="D603" s="36" t="s">
        <v>31</v>
      </c>
      <c r="E603" s="37"/>
    </row>
    <row r="604" spans="1:5" ht="12.75" x14ac:dyDescent="0.2">
      <c r="A604" s="37"/>
      <c r="B604" s="37"/>
      <c r="C604" s="37"/>
      <c r="D604" s="37"/>
      <c r="E604" s="37"/>
    </row>
    <row r="605" spans="1:5" ht="12.75" x14ac:dyDescent="0.2">
      <c r="A605" s="36" t="s">
        <v>178</v>
      </c>
      <c r="B605" s="37"/>
      <c r="C605" s="37"/>
      <c r="D605" s="37"/>
      <c r="E605" s="37"/>
    </row>
    <row r="606" spans="1:5" ht="12.75" x14ac:dyDescent="0.2">
      <c r="A606" s="37"/>
      <c r="B606" s="36" t="s">
        <v>398</v>
      </c>
      <c r="C606" s="37"/>
      <c r="D606" s="37"/>
      <c r="E606" s="37"/>
    </row>
    <row r="607" spans="1:5" ht="12.75" x14ac:dyDescent="0.2">
      <c r="A607" s="37"/>
      <c r="B607" s="36" t="s">
        <v>399</v>
      </c>
      <c r="C607" s="37"/>
      <c r="D607" s="37"/>
      <c r="E607" s="37"/>
    </row>
    <row r="608" spans="1:5" ht="12.75" x14ac:dyDescent="0.2">
      <c r="A608" s="37"/>
      <c r="B608" s="36" t="s">
        <v>400</v>
      </c>
      <c r="C608" s="37"/>
      <c r="D608" s="37"/>
      <c r="E608" s="37"/>
    </row>
    <row r="609" spans="1:5" ht="12.75" x14ac:dyDescent="0.2">
      <c r="A609" s="37"/>
      <c r="B609" s="36" t="s">
        <v>401</v>
      </c>
      <c r="C609" s="36" t="s">
        <v>178</v>
      </c>
      <c r="D609" s="37"/>
      <c r="E609" s="37"/>
    </row>
    <row r="610" spans="1:5" ht="25.5" x14ac:dyDescent="0.2">
      <c r="A610" s="36" t="s">
        <v>601</v>
      </c>
      <c r="B610" s="36" t="s">
        <v>402</v>
      </c>
      <c r="C610" s="36" t="s">
        <v>602</v>
      </c>
      <c r="D610" s="37"/>
      <c r="E610" s="37"/>
    </row>
    <row r="611" spans="1:5" ht="12.75" x14ac:dyDescent="0.2">
      <c r="A611" s="36" t="s">
        <v>603</v>
      </c>
      <c r="B611" s="36" t="s">
        <v>402</v>
      </c>
      <c r="C611" s="36" t="s">
        <v>19</v>
      </c>
      <c r="D611" s="37"/>
      <c r="E611" s="37"/>
    </row>
    <row r="612" spans="1:5" ht="12.75" x14ac:dyDescent="0.2">
      <c r="A612" s="36" t="s">
        <v>604</v>
      </c>
      <c r="B612" s="37"/>
      <c r="C612" s="37"/>
      <c r="D612" s="37"/>
      <c r="E612" s="37"/>
    </row>
    <row r="613" spans="1:5" ht="12.75" x14ac:dyDescent="0.2">
      <c r="A613" s="36" t="s">
        <v>591</v>
      </c>
      <c r="B613" s="37"/>
      <c r="C613" s="37"/>
      <c r="D613" s="37"/>
      <c r="E613" s="37"/>
    </row>
    <row r="614" spans="1:5" ht="12.75" x14ac:dyDescent="0.2">
      <c r="A614" s="36" t="s">
        <v>605</v>
      </c>
      <c r="B614" s="37"/>
      <c r="C614" s="37"/>
      <c r="D614" s="37"/>
      <c r="E614" s="37"/>
    </row>
    <row r="615" spans="1:5" ht="12.75" x14ac:dyDescent="0.2">
      <c r="A615" s="36" t="s">
        <v>606</v>
      </c>
      <c r="B615" s="37"/>
      <c r="C615" s="37"/>
      <c r="D615" s="37"/>
      <c r="E615" s="37"/>
    </row>
    <row r="616" spans="1:5" ht="12.75" x14ac:dyDescent="0.2">
      <c r="A616" s="36" t="s">
        <v>177</v>
      </c>
      <c r="B616" s="37"/>
      <c r="C616" s="37"/>
      <c r="D616" s="37"/>
      <c r="E616" s="37"/>
    </row>
    <row r="617" spans="1:5" ht="12.75" x14ac:dyDescent="0.2">
      <c r="A617" s="37"/>
      <c r="B617" s="36" t="s">
        <v>403</v>
      </c>
      <c r="C617" s="36" t="s">
        <v>24</v>
      </c>
      <c r="D617" s="36" t="s">
        <v>26</v>
      </c>
      <c r="E617" s="37"/>
    </row>
    <row r="618" spans="1:5" ht="12.75" x14ac:dyDescent="0.2">
      <c r="A618" s="37"/>
      <c r="B618" s="36" t="s">
        <v>403</v>
      </c>
      <c r="C618" s="36" t="s">
        <v>32</v>
      </c>
      <c r="D618" s="36" t="s">
        <v>29</v>
      </c>
      <c r="E618" s="37"/>
    </row>
    <row r="619" spans="1:5" ht="12.75" x14ac:dyDescent="0.2">
      <c r="A619" s="37"/>
      <c r="B619" s="36" t="s">
        <v>403</v>
      </c>
      <c r="C619" s="36" t="s">
        <v>25</v>
      </c>
      <c r="D619" s="36" t="s">
        <v>27</v>
      </c>
      <c r="E619" s="37"/>
    </row>
    <row r="620" spans="1:5" ht="12.75" x14ac:dyDescent="0.2">
      <c r="A620" s="37"/>
      <c r="B620" s="36" t="s">
        <v>403</v>
      </c>
      <c r="C620" s="36" t="s">
        <v>30</v>
      </c>
      <c r="D620" s="36" t="s">
        <v>31</v>
      </c>
      <c r="E620" s="37"/>
    </row>
    <row r="621" spans="1:5" ht="12.75" x14ac:dyDescent="0.2">
      <c r="A621" s="37"/>
      <c r="B621" s="37"/>
      <c r="C621" s="37"/>
      <c r="D621" s="37"/>
      <c r="E621" s="37"/>
    </row>
    <row r="622" spans="1:5" ht="12.75" x14ac:dyDescent="0.2">
      <c r="A622" s="36" t="s">
        <v>164</v>
      </c>
      <c r="B622" s="37"/>
      <c r="C622" s="37"/>
      <c r="D622" s="37"/>
      <c r="E622" s="37"/>
    </row>
    <row r="623" spans="1:5" ht="12.75" x14ac:dyDescent="0.2">
      <c r="A623" s="37"/>
      <c r="B623" s="36" t="s">
        <v>398</v>
      </c>
      <c r="C623" s="37"/>
      <c r="D623" s="37"/>
      <c r="E623" s="37"/>
    </row>
    <row r="624" spans="1:5" ht="12.75" x14ac:dyDescent="0.2">
      <c r="A624" s="37"/>
      <c r="B624" s="36" t="s">
        <v>399</v>
      </c>
      <c r="C624" s="37"/>
      <c r="D624" s="37"/>
      <c r="E624" s="37"/>
    </row>
    <row r="625" spans="1:5" ht="12.75" x14ac:dyDescent="0.2">
      <c r="A625" s="37"/>
      <c r="B625" s="36" t="s">
        <v>400</v>
      </c>
      <c r="C625" s="37"/>
      <c r="D625" s="37"/>
      <c r="E625" s="37"/>
    </row>
    <row r="626" spans="1:5" ht="12.75" x14ac:dyDescent="0.2">
      <c r="A626" s="37"/>
      <c r="B626" s="36" t="s">
        <v>401</v>
      </c>
      <c r="C626" s="36" t="s">
        <v>164</v>
      </c>
      <c r="D626" s="37"/>
      <c r="E626" s="37"/>
    </row>
    <row r="627" spans="1:5" ht="12.75" x14ac:dyDescent="0.2">
      <c r="A627" s="36" t="s">
        <v>607</v>
      </c>
      <c r="B627" s="36" t="s">
        <v>402</v>
      </c>
      <c r="C627" s="36" t="s">
        <v>165</v>
      </c>
      <c r="D627" s="37"/>
      <c r="E627" s="37"/>
    </row>
    <row r="628" spans="1:5" ht="12.75" x14ac:dyDescent="0.2">
      <c r="A628" s="36" t="s">
        <v>608</v>
      </c>
      <c r="B628" s="37"/>
      <c r="C628" s="37"/>
      <c r="D628" s="37"/>
      <c r="E628" s="37"/>
    </row>
    <row r="629" spans="1:5" ht="12.75" x14ac:dyDescent="0.2">
      <c r="A629" s="36" t="s">
        <v>53</v>
      </c>
      <c r="B629" s="37"/>
      <c r="C629" s="37"/>
      <c r="D629" s="37"/>
      <c r="E629" s="37"/>
    </row>
    <row r="630" spans="1:5" ht="12.75" x14ac:dyDescent="0.2">
      <c r="A630" s="37"/>
      <c r="B630" s="36" t="s">
        <v>403</v>
      </c>
      <c r="C630" s="36" t="s">
        <v>166</v>
      </c>
      <c r="D630" s="36" t="s">
        <v>167</v>
      </c>
      <c r="E630" s="37"/>
    </row>
    <row r="631" spans="1:5" ht="12.75" x14ac:dyDescent="0.2">
      <c r="A631" s="37"/>
      <c r="B631" s="36" t="s">
        <v>403</v>
      </c>
      <c r="C631" s="36" t="s">
        <v>173</v>
      </c>
      <c r="D631" s="36" t="s">
        <v>174</v>
      </c>
      <c r="E631" s="37"/>
    </row>
    <row r="632" spans="1:5" ht="12.75" x14ac:dyDescent="0.2">
      <c r="A632" s="37"/>
      <c r="B632" s="36" t="s">
        <v>403</v>
      </c>
      <c r="C632" s="36" t="s">
        <v>177</v>
      </c>
      <c r="D632" s="36" t="s">
        <v>178</v>
      </c>
      <c r="E632" s="37"/>
    </row>
    <row r="633" spans="1:5" ht="12.75" x14ac:dyDescent="0.2">
      <c r="A633" s="37"/>
      <c r="B633" s="36" t="s">
        <v>403</v>
      </c>
      <c r="C633" s="36" t="s">
        <v>24</v>
      </c>
      <c r="D633" s="36" t="s">
        <v>26</v>
      </c>
      <c r="E633" s="37"/>
    </row>
    <row r="634" spans="1:5" ht="12.75" x14ac:dyDescent="0.2">
      <c r="A634" s="37"/>
      <c r="B634" s="36" t="s">
        <v>403</v>
      </c>
      <c r="C634" s="36" t="s">
        <v>32</v>
      </c>
      <c r="D634" s="36" t="s">
        <v>29</v>
      </c>
      <c r="E634" s="37"/>
    </row>
    <row r="635" spans="1:5" ht="12.75" x14ac:dyDescent="0.2">
      <c r="A635" s="37"/>
      <c r="B635" s="37"/>
      <c r="C635" s="37"/>
      <c r="D635" s="37"/>
      <c r="E635" s="37"/>
    </row>
    <row r="636" spans="1:5" ht="12.75" x14ac:dyDescent="0.2">
      <c r="A636" s="36" t="s">
        <v>29</v>
      </c>
      <c r="B636" s="37"/>
      <c r="C636" s="37"/>
      <c r="D636" s="37"/>
      <c r="E636" s="37"/>
    </row>
    <row r="637" spans="1:5" ht="12.75" x14ac:dyDescent="0.2">
      <c r="A637" s="37"/>
      <c r="B637" s="36" t="s">
        <v>398</v>
      </c>
      <c r="C637" s="37"/>
      <c r="D637" s="37"/>
      <c r="E637" s="37"/>
    </row>
    <row r="638" spans="1:5" ht="12.75" x14ac:dyDescent="0.2">
      <c r="A638" s="37"/>
      <c r="B638" s="36" t="s">
        <v>399</v>
      </c>
      <c r="C638" s="37"/>
      <c r="D638" s="37"/>
      <c r="E638" s="37"/>
    </row>
    <row r="639" spans="1:5" ht="12.75" x14ac:dyDescent="0.2">
      <c r="A639" s="37"/>
      <c r="B639" s="36" t="s">
        <v>400</v>
      </c>
      <c r="C639" s="37"/>
      <c r="D639" s="37"/>
      <c r="E639" s="37"/>
    </row>
    <row r="640" spans="1:5" ht="12.75" x14ac:dyDescent="0.2">
      <c r="A640" s="37"/>
      <c r="B640" s="36" t="s">
        <v>401</v>
      </c>
      <c r="C640" s="36" t="s">
        <v>29</v>
      </c>
      <c r="D640" s="37"/>
      <c r="E640" s="37"/>
    </row>
    <row r="641" spans="1:5" ht="51" x14ac:dyDescent="0.2">
      <c r="A641" s="36" t="s">
        <v>609</v>
      </c>
      <c r="B641" s="36" t="s">
        <v>402</v>
      </c>
      <c r="C641" s="36" t="s">
        <v>647</v>
      </c>
      <c r="D641" s="37"/>
      <c r="E641" s="37"/>
    </row>
    <row r="642" spans="1:5" ht="12.75" x14ac:dyDescent="0.2">
      <c r="A642" s="36" t="s">
        <v>610</v>
      </c>
      <c r="B642" s="37"/>
      <c r="C642" s="37"/>
      <c r="D642" s="37"/>
      <c r="E642" s="37"/>
    </row>
    <row r="643" spans="1:5" ht="12.75" x14ac:dyDescent="0.2">
      <c r="A643" s="36" t="s">
        <v>611</v>
      </c>
      <c r="B643" s="37"/>
      <c r="C643" s="37"/>
      <c r="D643" s="37"/>
      <c r="E643" s="37"/>
    </row>
    <row r="644" spans="1:5" ht="12.75" x14ac:dyDescent="0.2">
      <c r="A644" s="36" t="s">
        <v>612</v>
      </c>
      <c r="B644" s="37"/>
      <c r="C644" s="37"/>
      <c r="D644" s="37"/>
      <c r="E644" s="37"/>
    </row>
    <row r="645" spans="1:5" ht="12.75" x14ac:dyDescent="0.2">
      <c r="A645" s="36" t="s">
        <v>613</v>
      </c>
      <c r="B645" s="37"/>
      <c r="C645" s="37"/>
      <c r="D645" s="37"/>
      <c r="E645" s="37"/>
    </row>
    <row r="646" spans="1:5" ht="12.75" x14ac:dyDescent="0.2">
      <c r="A646" s="36" t="s">
        <v>614</v>
      </c>
      <c r="B646" s="37"/>
      <c r="C646" s="37"/>
      <c r="D646" s="37"/>
      <c r="E646" s="37"/>
    </row>
    <row r="647" spans="1:5" ht="12.75" x14ac:dyDescent="0.2">
      <c r="A647" s="36" t="s">
        <v>615</v>
      </c>
      <c r="B647" s="37"/>
      <c r="C647" s="37"/>
      <c r="D647" s="37"/>
      <c r="E647" s="37"/>
    </row>
    <row r="648" spans="1:5" ht="12.75" x14ac:dyDescent="0.2">
      <c r="A648" s="36" t="s">
        <v>616</v>
      </c>
      <c r="B648" s="37"/>
      <c r="C648" s="37"/>
      <c r="D648" s="37"/>
      <c r="E648" s="37"/>
    </row>
    <row r="649" spans="1:5" ht="12.75" x14ac:dyDescent="0.2">
      <c r="A649" s="36" t="s">
        <v>56</v>
      </c>
      <c r="B649" s="37"/>
      <c r="C649" s="37"/>
      <c r="D649" s="37"/>
      <c r="E649" s="37"/>
    </row>
    <row r="650" spans="1:5" ht="12.75" x14ac:dyDescent="0.2">
      <c r="A650" s="36" t="s">
        <v>32</v>
      </c>
      <c r="B650" s="37"/>
      <c r="C650" s="37"/>
      <c r="D650" s="37"/>
      <c r="E650" s="37"/>
    </row>
    <row r="651" spans="1:5" ht="12.75" x14ac:dyDescent="0.2">
      <c r="A651" s="36" t="s">
        <v>28</v>
      </c>
      <c r="B651" s="37"/>
      <c r="C651" s="37"/>
      <c r="D651" s="37"/>
      <c r="E651" s="37"/>
    </row>
    <row r="652" spans="1:5" ht="12.75" x14ac:dyDescent="0.2">
      <c r="A652" s="37"/>
      <c r="B652" s="36" t="s">
        <v>422</v>
      </c>
      <c r="C652" s="36" t="s">
        <v>508</v>
      </c>
      <c r="D652" s="36" t="s">
        <v>509</v>
      </c>
      <c r="E652" s="37"/>
    </row>
    <row r="653" spans="1:5" ht="12.75" x14ac:dyDescent="0.2">
      <c r="A653" s="37"/>
      <c r="B653" s="36" t="s">
        <v>422</v>
      </c>
      <c r="C653" s="36" t="s">
        <v>423</v>
      </c>
      <c r="D653" s="36" t="s">
        <v>424</v>
      </c>
      <c r="E653" s="37"/>
    </row>
    <row r="654" spans="1:5" ht="12.75" x14ac:dyDescent="0.2">
      <c r="A654" s="37"/>
      <c r="B654" s="36" t="s">
        <v>403</v>
      </c>
      <c r="C654" s="36" t="s">
        <v>617</v>
      </c>
      <c r="D654" s="36" t="s">
        <v>239</v>
      </c>
      <c r="E654" s="37"/>
    </row>
    <row r="655" spans="1:5" ht="12.75" x14ac:dyDescent="0.2">
      <c r="A655" s="37"/>
      <c r="B655" s="36" t="s">
        <v>403</v>
      </c>
      <c r="C655" s="36" t="s">
        <v>618</v>
      </c>
      <c r="D655" s="36" t="s">
        <v>256</v>
      </c>
      <c r="E655" s="37"/>
    </row>
    <row r="656" spans="1:5" ht="12.75" x14ac:dyDescent="0.2">
      <c r="A656" s="37"/>
      <c r="B656" s="36" t="s">
        <v>403</v>
      </c>
      <c r="C656" s="36" t="s">
        <v>229</v>
      </c>
      <c r="D656" s="36" t="s">
        <v>300</v>
      </c>
      <c r="E656" s="37"/>
    </row>
    <row r="657" spans="1:5" ht="12.75" x14ac:dyDescent="0.2">
      <c r="A657" s="37"/>
      <c r="B657" s="36" t="s">
        <v>403</v>
      </c>
      <c r="C657" s="36" t="s">
        <v>232</v>
      </c>
      <c r="D657" s="36" t="s">
        <v>325</v>
      </c>
      <c r="E657" s="37"/>
    </row>
    <row r="658" spans="1:5" ht="12.75" x14ac:dyDescent="0.2">
      <c r="A658" s="37"/>
      <c r="B658" s="36" t="s">
        <v>403</v>
      </c>
      <c r="C658" s="36" t="s">
        <v>53</v>
      </c>
      <c r="D658" s="36" t="s">
        <v>164</v>
      </c>
      <c r="E658" s="37"/>
    </row>
    <row r="659" spans="1:5" ht="12.75" x14ac:dyDescent="0.2">
      <c r="A659" s="37"/>
      <c r="B659" s="36" t="s">
        <v>403</v>
      </c>
      <c r="C659" s="36" t="s">
        <v>38</v>
      </c>
      <c r="D659" s="36" t="s">
        <v>26</v>
      </c>
      <c r="E659" s="37"/>
    </row>
    <row r="660" spans="1:5" ht="12.75" x14ac:dyDescent="0.2">
      <c r="A660" s="37"/>
      <c r="B660" s="37"/>
      <c r="C660" s="37"/>
      <c r="D660" s="37"/>
      <c r="E660" s="37"/>
    </row>
    <row r="661" spans="1:5" ht="12.75" x14ac:dyDescent="0.2">
      <c r="A661" s="36" t="s">
        <v>244</v>
      </c>
      <c r="B661" s="37"/>
      <c r="C661" s="37"/>
      <c r="D661" s="37"/>
      <c r="E661" s="37"/>
    </row>
    <row r="662" spans="1:5" ht="12.75" x14ac:dyDescent="0.2">
      <c r="A662" s="37"/>
      <c r="B662" s="36" t="s">
        <v>398</v>
      </c>
      <c r="C662" s="37"/>
      <c r="D662" s="37"/>
      <c r="E662" s="37"/>
    </row>
    <row r="663" spans="1:5" ht="12.75" x14ac:dyDescent="0.2">
      <c r="A663" s="37"/>
      <c r="B663" s="36" t="s">
        <v>399</v>
      </c>
      <c r="C663" s="37"/>
      <c r="D663" s="37"/>
      <c r="E663" s="37"/>
    </row>
    <row r="664" spans="1:5" ht="12.75" x14ac:dyDescent="0.2">
      <c r="A664" s="37"/>
      <c r="B664" s="36" t="s">
        <v>400</v>
      </c>
      <c r="C664" s="37"/>
      <c r="D664" s="37"/>
      <c r="E664" s="37"/>
    </row>
    <row r="665" spans="1:5" ht="12.75" x14ac:dyDescent="0.2">
      <c r="A665" s="37"/>
      <c r="B665" s="36" t="s">
        <v>401</v>
      </c>
      <c r="C665" s="36" t="s">
        <v>244</v>
      </c>
      <c r="D665" s="37"/>
      <c r="E665" s="37"/>
    </row>
    <row r="666" spans="1:5" ht="25.5" x14ac:dyDescent="0.2">
      <c r="A666" s="36" t="s">
        <v>619</v>
      </c>
      <c r="B666" s="36" t="s">
        <v>402</v>
      </c>
      <c r="C666" s="36" t="s">
        <v>620</v>
      </c>
      <c r="D666" s="37"/>
      <c r="E666" s="37"/>
    </row>
    <row r="667" spans="1:5" ht="12.75" x14ac:dyDescent="0.2">
      <c r="A667" s="36" t="s">
        <v>621</v>
      </c>
      <c r="B667" s="36" t="s">
        <v>402</v>
      </c>
      <c r="C667" s="36" t="s">
        <v>19</v>
      </c>
      <c r="D667" s="37"/>
      <c r="E667" s="37"/>
    </row>
    <row r="668" spans="1:5" ht="12.75" x14ac:dyDescent="0.2">
      <c r="A668" s="36" t="s">
        <v>622</v>
      </c>
      <c r="B668" s="37"/>
      <c r="C668" s="37"/>
      <c r="D668" s="37"/>
      <c r="E668" s="37"/>
    </row>
    <row r="669" spans="1:5" ht="12.75" x14ac:dyDescent="0.2">
      <c r="A669" s="36" t="s">
        <v>623</v>
      </c>
      <c r="B669" s="37"/>
      <c r="C669" s="37"/>
      <c r="D669" s="37"/>
      <c r="E669" s="37"/>
    </row>
    <row r="670" spans="1:5" ht="12.75" x14ac:dyDescent="0.2">
      <c r="A670" s="36" t="s">
        <v>624</v>
      </c>
      <c r="B670" s="37"/>
      <c r="C670" s="37"/>
      <c r="D670" s="37"/>
      <c r="E670" s="37"/>
    </row>
    <row r="671" spans="1:5" ht="12.75" x14ac:dyDescent="0.2">
      <c r="A671" s="36" t="s">
        <v>625</v>
      </c>
      <c r="B671" s="37"/>
      <c r="C671" s="37"/>
      <c r="D671" s="37"/>
      <c r="E671" s="37"/>
    </row>
    <row r="672" spans="1:5" ht="12.75" x14ac:dyDescent="0.2">
      <c r="A672" s="36" t="s">
        <v>626</v>
      </c>
      <c r="B672" s="37"/>
      <c r="C672" s="37"/>
      <c r="D672" s="37"/>
      <c r="E672" s="37"/>
    </row>
    <row r="673" spans="1:5" ht="12.75" x14ac:dyDescent="0.2">
      <c r="A673" s="36" t="s">
        <v>243</v>
      </c>
      <c r="B673" s="37"/>
      <c r="C673" s="37"/>
      <c r="D673" s="37"/>
      <c r="E673" s="37"/>
    </row>
    <row r="674" spans="1:5" ht="12.75" x14ac:dyDescent="0.2">
      <c r="A674" s="37"/>
      <c r="B674" s="36" t="s">
        <v>403</v>
      </c>
      <c r="C674" s="36" t="s">
        <v>24</v>
      </c>
      <c r="D674" s="36" t="s">
        <v>26</v>
      </c>
      <c r="E674" s="37"/>
    </row>
    <row r="675" spans="1:5" ht="12.75" x14ac:dyDescent="0.2">
      <c r="A675" s="37"/>
      <c r="B675" s="36" t="s">
        <v>403</v>
      </c>
      <c r="C675" s="36" t="s">
        <v>32</v>
      </c>
      <c r="D675" s="36" t="s">
        <v>29</v>
      </c>
      <c r="E675" s="37"/>
    </row>
    <row r="676" spans="1:5" ht="12.75" x14ac:dyDescent="0.2">
      <c r="A676" s="37"/>
      <c r="B676" s="36" t="s">
        <v>403</v>
      </c>
      <c r="C676" s="36" t="s">
        <v>25</v>
      </c>
      <c r="D676" s="36" t="s">
        <v>27</v>
      </c>
      <c r="E676" s="37"/>
    </row>
    <row r="677" spans="1:5" ht="12.75" x14ac:dyDescent="0.2">
      <c r="A677" s="37"/>
      <c r="B677" s="36" t="s">
        <v>403</v>
      </c>
      <c r="C677" s="36" t="s">
        <v>30</v>
      </c>
      <c r="D677" s="36" t="s">
        <v>31</v>
      </c>
      <c r="E677" s="37"/>
    </row>
    <row r="678" spans="1:5" ht="12.75" x14ac:dyDescent="0.2">
      <c r="A678" s="37"/>
      <c r="B678" s="37"/>
      <c r="C678" s="37"/>
      <c r="D678" s="37"/>
      <c r="E678" s="37"/>
    </row>
    <row r="679" spans="1:5" ht="12.75" x14ac:dyDescent="0.2">
      <c r="A679" s="36" t="s">
        <v>239</v>
      </c>
      <c r="B679" s="37"/>
      <c r="C679" s="37"/>
      <c r="D679" s="37"/>
      <c r="E679" s="37"/>
    </row>
    <row r="680" spans="1:5" ht="12.75" x14ac:dyDescent="0.2">
      <c r="A680" s="37"/>
      <c r="B680" s="36" t="s">
        <v>398</v>
      </c>
      <c r="C680" s="37"/>
      <c r="D680" s="37"/>
      <c r="E680" s="37"/>
    </row>
    <row r="681" spans="1:5" ht="12.75" x14ac:dyDescent="0.2">
      <c r="A681" s="37"/>
      <c r="B681" s="36" t="s">
        <v>399</v>
      </c>
      <c r="C681" s="37"/>
      <c r="D681" s="37"/>
      <c r="E681" s="37"/>
    </row>
    <row r="682" spans="1:5" ht="12.75" x14ac:dyDescent="0.2">
      <c r="A682" s="37"/>
      <c r="B682" s="36" t="s">
        <v>400</v>
      </c>
      <c r="C682" s="37"/>
      <c r="D682" s="37"/>
      <c r="E682" s="37"/>
    </row>
    <row r="683" spans="1:5" ht="12.75" x14ac:dyDescent="0.2">
      <c r="A683" s="37"/>
      <c r="B683" s="36" t="s">
        <v>401</v>
      </c>
      <c r="C683" s="36" t="s">
        <v>239</v>
      </c>
      <c r="D683" s="37"/>
      <c r="E683" s="37"/>
    </row>
    <row r="684" spans="1:5" ht="12.75" x14ac:dyDescent="0.2">
      <c r="A684" s="36" t="s">
        <v>627</v>
      </c>
      <c r="B684" s="36" t="s">
        <v>402</v>
      </c>
      <c r="C684" s="36" t="s">
        <v>241</v>
      </c>
      <c r="D684" s="37"/>
      <c r="E684" s="37"/>
    </row>
    <row r="685" spans="1:5" ht="12.75" x14ac:dyDescent="0.2">
      <c r="A685" s="36" t="s">
        <v>215</v>
      </c>
      <c r="B685" s="37"/>
      <c r="C685" s="37"/>
      <c r="D685" s="37"/>
      <c r="E685" s="37"/>
    </row>
    <row r="686" spans="1:5" ht="12.75" x14ac:dyDescent="0.2">
      <c r="A686" s="37"/>
      <c r="B686" s="36" t="s">
        <v>422</v>
      </c>
      <c r="C686" s="36" t="s">
        <v>508</v>
      </c>
      <c r="D686" s="36" t="s">
        <v>509</v>
      </c>
      <c r="E686" s="37"/>
    </row>
    <row r="687" spans="1:5" ht="12.75" x14ac:dyDescent="0.2">
      <c r="A687" s="37"/>
      <c r="B687" s="36" t="s">
        <v>403</v>
      </c>
      <c r="C687" s="36" t="s">
        <v>243</v>
      </c>
      <c r="D687" s="36" t="s">
        <v>244</v>
      </c>
      <c r="E687" s="37"/>
    </row>
    <row r="688" spans="1:5" ht="12.75" x14ac:dyDescent="0.2">
      <c r="A688" s="37"/>
      <c r="B688" s="36" t="s">
        <v>403</v>
      </c>
      <c r="C688" s="36" t="s">
        <v>37</v>
      </c>
      <c r="D688" s="36" t="s">
        <v>36</v>
      </c>
      <c r="E688" s="37"/>
    </row>
    <row r="689" spans="1:5" ht="12.75" x14ac:dyDescent="0.2">
      <c r="A689" s="37"/>
      <c r="B689" s="36" t="s">
        <v>403</v>
      </c>
      <c r="C689" s="36" t="s">
        <v>58</v>
      </c>
      <c r="D689" s="36" t="s">
        <v>55</v>
      </c>
      <c r="E689" s="37"/>
    </row>
    <row r="690" spans="1:5" ht="12.75" x14ac:dyDescent="0.2">
      <c r="A690" s="37"/>
      <c r="B690" s="36" t="s">
        <v>403</v>
      </c>
      <c r="C690" s="36" t="s">
        <v>83</v>
      </c>
      <c r="D690" s="36" t="s">
        <v>84</v>
      </c>
      <c r="E690" s="37"/>
    </row>
    <row r="691" spans="1:5" ht="12.75" x14ac:dyDescent="0.2">
      <c r="A691" s="37"/>
      <c r="B691" s="36" t="s">
        <v>403</v>
      </c>
      <c r="C691" s="36" t="s">
        <v>32</v>
      </c>
      <c r="D691" s="36" t="s">
        <v>29</v>
      </c>
      <c r="E691" s="37"/>
    </row>
    <row r="692" spans="1:5" ht="12.75" x14ac:dyDescent="0.2">
      <c r="A692" s="37"/>
      <c r="B692" s="37"/>
      <c r="C692" s="37"/>
      <c r="D692" s="37"/>
      <c r="E692" s="37"/>
    </row>
    <row r="693" spans="1:5" ht="12.75" x14ac:dyDescent="0.2">
      <c r="A693" s="36" t="s">
        <v>261</v>
      </c>
      <c r="B693" s="37"/>
      <c r="C693" s="37"/>
      <c r="D693" s="37"/>
      <c r="E693" s="37"/>
    </row>
    <row r="694" spans="1:5" ht="12.75" x14ac:dyDescent="0.2">
      <c r="A694" s="37"/>
      <c r="B694" s="36" t="s">
        <v>398</v>
      </c>
      <c r="C694" s="37"/>
      <c r="D694" s="37"/>
      <c r="E694" s="37"/>
    </row>
    <row r="695" spans="1:5" ht="12.75" x14ac:dyDescent="0.2">
      <c r="A695" s="37"/>
      <c r="B695" s="36" t="s">
        <v>399</v>
      </c>
      <c r="C695" s="37"/>
      <c r="D695" s="37"/>
      <c r="E695" s="37"/>
    </row>
    <row r="696" spans="1:5" ht="12.75" x14ac:dyDescent="0.2">
      <c r="A696" s="37"/>
      <c r="B696" s="36" t="s">
        <v>400</v>
      </c>
      <c r="C696" s="37"/>
      <c r="D696" s="37"/>
      <c r="E696" s="37"/>
    </row>
    <row r="697" spans="1:5" ht="12.75" x14ac:dyDescent="0.2">
      <c r="A697" s="37"/>
      <c r="B697" s="36" t="s">
        <v>401</v>
      </c>
      <c r="C697" s="36" t="s">
        <v>261</v>
      </c>
      <c r="D697" s="37"/>
      <c r="E697" s="37"/>
    </row>
    <row r="698" spans="1:5" ht="12.75" x14ac:dyDescent="0.2">
      <c r="A698" s="36" t="s">
        <v>628</v>
      </c>
      <c r="B698" s="36" t="s">
        <v>402</v>
      </c>
      <c r="C698" s="36" t="s">
        <v>372</v>
      </c>
      <c r="D698" s="37"/>
      <c r="E698" s="37"/>
    </row>
    <row r="699" spans="1:5" ht="12.75" x14ac:dyDescent="0.2">
      <c r="A699" s="36" t="s">
        <v>629</v>
      </c>
      <c r="B699" s="36" t="s">
        <v>402</v>
      </c>
      <c r="C699" s="36" t="s">
        <v>19</v>
      </c>
      <c r="D699" s="37"/>
      <c r="E699" s="37"/>
    </row>
    <row r="700" spans="1:5" ht="12.75" x14ac:dyDescent="0.2">
      <c r="A700" s="36" t="s">
        <v>630</v>
      </c>
      <c r="B700" s="37"/>
      <c r="C700" s="37"/>
      <c r="D700" s="37"/>
      <c r="E700" s="37"/>
    </row>
    <row r="701" spans="1:5" ht="12.75" x14ac:dyDescent="0.2">
      <c r="A701" s="36" t="s">
        <v>631</v>
      </c>
      <c r="B701" s="37"/>
      <c r="C701" s="37"/>
      <c r="D701" s="37"/>
      <c r="E701" s="37"/>
    </row>
    <row r="702" spans="1:5" ht="12.75" x14ac:dyDescent="0.2">
      <c r="A702" s="36" t="s">
        <v>632</v>
      </c>
      <c r="B702" s="37"/>
      <c r="C702" s="37"/>
      <c r="D702" s="37"/>
      <c r="E702" s="37"/>
    </row>
    <row r="703" spans="1:5" ht="12.75" x14ac:dyDescent="0.2">
      <c r="A703" s="36" t="s">
        <v>633</v>
      </c>
      <c r="B703" s="37"/>
      <c r="C703" s="37"/>
      <c r="D703" s="37"/>
      <c r="E703" s="37"/>
    </row>
    <row r="704" spans="1:5" ht="12.75" x14ac:dyDescent="0.2">
      <c r="A704" s="36" t="s">
        <v>634</v>
      </c>
      <c r="B704" s="37"/>
      <c r="C704" s="37"/>
      <c r="D704" s="37"/>
      <c r="E704" s="37"/>
    </row>
    <row r="705" spans="1:5" ht="12.75" x14ac:dyDescent="0.2">
      <c r="A705" s="36" t="s">
        <v>635</v>
      </c>
      <c r="B705" s="37"/>
      <c r="C705" s="37"/>
      <c r="D705" s="37"/>
      <c r="E705" s="37"/>
    </row>
    <row r="706" spans="1:5" ht="12.75" x14ac:dyDescent="0.2">
      <c r="A706" s="36" t="s">
        <v>260</v>
      </c>
      <c r="B706" s="37"/>
      <c r="C706" s="37"/>
      <c r="D706" s="37"/>
      <c r="E706" s="37"/>
    </row>
    <row r="707" spans="1:5" ht="12.75" x14ac:dyDescent="0.2">
      <c r="A707" s="37"/>
      <c r="B707" s="36" t="s">
        <v>422</v>
      </c>
      <c r="C707" s="36" t="s">
        <v>423</v>
      </c>
      <c r="D707" s="36" t="s">
        <v>424</v>
      </c>
      <c r="E707" s="37"/>
    </row>
    <row r="708" spans="1:5" ht="12.75" x14ac:dyDescent="0.2">
      <c r="A708" s="37"/>
      <c r="B708" s="36" t="s">
        <v>403</v>
      </c>
      <c r="C708" s="36" t="s">
        <v>24</v>
      </c>
      <c r="D708" s="36" t="s">
        <v>26</v>
      </c>
      <c r="E708" s="37"/>
    </row>
    <row r="709" spans="1:5" ht="12.75" x14ac:dyDescent="0.2">
      <c r="A709" s="37"/>
      <c r="B709" s="36" t="s">
        <v>403</v>
      </c>
      <c r="C709" s="36" t="s">
        <v>32</v>
      </c>
      <c r="D709" s="36" t="s">
        <v>29</v>
      </c>
      <c r="E709" s="37"/>
    </row>
    <row r="710" spans="1:5" ht="12.75" x14ac:dyDescent="0.2">
      <c r="A710" s="37"/>
      <c r="B710" s="36" t="s">
        <v>403</v>
      </c>
      <c r="C710" s="36" t="s">
        <v>25</v>
      </c>
      <c r="D710" s="36" t="s">
        <v>27</v>
      </c>
      <c r="E710" s="37"/>
    </row>
    <row r="711" spans="1:5" ht="12.75" x14ac:dyDescent="0.2">
      <c r="A711" s="37"/>
      <c r="B711" s="36" t="s">
        <v>403</v>
      </c>
      <c r="C711" s="36" t="s">
        <v>30</v>
      </c>
      <c r="D711" s="36" t="s">
        <v>31</v>
      </c>
      <c r="E711" s="37"/>
    </row>
    <row r="712" spans="1:5" ht="12.75" x14ac:dyDescent="0.2">
      <c r="A712" s="37"/>
      <c r="B712" s="37"/>
      <c r="C712" s="37"/>
      <c r="D712" s="37"/>
      <c r="E712" s="37"/>
    </row>
    <row r="713" spans="1:5" ht="12.75" x14ac:dyDescent="0.2">
      <c r="A713" s="36" t="s">
        <v>272</v>
      </c>
      <c r="B713" s="37"/>
      <c r="C713" s="37"/>
      <c r="D713" s="37"/>
      <c r="E713" s="37"/>
    </row>
    <row r="714" spans="1:5" ht="12.75" x14ac:dyDescent="0.2">
      <c r="A714" s="37"/>
      <c r="B714" s="36" t="s">
        <v>398</v>
      </c>
      <c r="C714" s="37"/>
      <c r="D714" s="37"/>
      <c r="E714" s="37"/>
    </row>
    <row r="715" spans="1:5" ht="12.75" x14ac:dyDescent="0.2">
      <c r="A715" s="37"/>
      <c r="B715" s="36" t="s">
        <v>399</v>
      </c>
      <c r="C715" s="37"/>
      <c r="D715" s="37"/>
      <c r="E715" s="37"/>
    </row>
    <row r="716" spans="1:5" ht="12.75" x14ac:dyDescent="0.2">
      <c r="A716" s="37"/>
      <c r="B716" s="36" t="s">
        <v>400</v>
      </c>
      <c r="C716" s="37"/>
      <c r="D716" s="37"/>
      <c r="E716" s="37"/>
    </row>
    <row r="717" spans="1:5" ht="12.75" x14ac:dyDescent="0.2">
      <c r="A717" s="37"/>
      <c r="B717" s="36" t="s">
        <v>401</v>
      </c>
      <c r="C717" s="36" t="s">
        <v>272</v>
      </c>
      <c r="D717" s="37"/>
      <c r="E717" s="37"/>
    </row>
    <row r="718" spans="1:5" ht="25.5" x14ac:dyDescent="0.2">
      <c r="A718" s="36" t="s">
        <v>637</v>
      </c>
      <c r="B718" s="36" t="s">
        <v>402</v>
      </c>
      <c r="C718" s="36" t="s">
        <v>376</v>
      </c>
      <c r="D718" s="37"/>
      <c r="E718" s="37"/>
    </row>
    <row r="719" spans="1:5" ht="12.75" x14ac:dyDescent="0.2">
      <c r="A719" s="36" t="s">
        <v>638</v>
      </c>
      <c r="B719" s="36" t="s">
        <v>402</v>
      </c>
      <c r="C719" s="36" t="s">
        <v>19</v>
      </c>
      <c r="D719" s="37"/>
      <c r="E719" s="37"/>
    </row>
    <row r="720" spans="1:5" ht="12.75" x14ac:dyDescent="0.2">
      <c r="A720" s="36" t="s">
        <v>639</v>
      </c>
      <c r="B720" s="37"/>
      <c r="C720" s="37"/>
      <c r="D720" s="37"/>
      <c r="E720" s="37"/>
    </row>
    <row r="721" spans="1:5" ht="12.75" x14ac:dyDescent="0.2">
      <c r="A721" s="36" t="s">
        <v>640</v>
      </c>
      <c r="B721" s="37"/>
      <c r="C721" s="37"/>
      <c r="D721" s="37"/>
      <c r="E721" s="37"/>
    </row>
    <row r="722" spans="1:5" ht="12.75" x14ac:dyDescent="0.2">
      <c r="A722" s="36" t="s">
        <v>641</v>
      </c>
      <c r="B722" s="37"/>
      <c r="C722" s="37"/>
      <c r="D722" s="37"/>
      <c r="E722" s="37"/>
    </row>
    <row r="723" spans="1:5" ht="12.75" x14ac:dyDescent="0.2">
      <c r="A723" s="36" t="s">
        <v>642</v>
      </c>
      <c r="B723" s="37"/>
      <c r="C723" s="37"/>
      <c r="D723" s="37"/>
      <c r="E723" s="37"/>
    </row>
    <row r="724" spans="1:5" ht="12.75" x14ac:dyDescent="0.2">
      <c r="A724" s="36" t="s">
        <v>643</v>
      </c>
      <c r="B724" s="37"/>
      <c r="C724" s="37"/>
      <c r="D724" s="37"/>
      <c r="E724" s="37"/>
    </row>
    <row r="725" spans="1:5" ht="12.75" x14ac:dyDescent="0.2">
      <c r="A725" s="36" t="s">
        <v>644</v>
      </c>
      <c r="B725" s="37"/>
      <c r="C725" s="37"/>
      <c r="D725" s="37"/>
      <c r="E725" s="37"/>
    </row>
    <row r="726" spans="1:5" ht="12.75" x14ac:dyDescent="0.2">
      <c r="A726" s="36" t="s">
        <v>645</v>
      </c>
      <c r="B726" s="37"/>
      <c r="C726" s="37"/>
      <c r="D726" s="37"/>
      <c r="E726" s="37"/>
    </row>
    <row r="727" spans="1:5" ht="12.75" x14ac:dyDescent="0.2">
      <c r="A727" s="36" t="s">
        <v>271</v>
      </c>
      <c r="B727" s="37"/>
      <c r="C727" s="37"/>
      <c r="D727" s="37"/>
      <c r="E727" s="37"/>
    </row>
    <row r="728" spans="1:5" ht="12.75" x14ac:dyDescent="0.2">
      <c r="A728" s="37"/>
      <c r="B728" s="36" t="s">
        <v>422</v>
      </c>
      <c r="C728" s="36" t="s">
        <v>423</v>
      </c>
      <c r="D728" s="36" t="s">
        <v>424</v>
      </c>
      <c r="E728" s="37"/>
    </row>
    <row r="729" spans="1:5" ht="12.75" x14ac:dyDescent="0.2">
      <c r="A729" s="37"/>
      <c r="B729" s="36" t="s">
        <v>422</v>
      </c>
      <c r="C729" s="36" t="s">
        <v>646</v>
      </c>
      <c r="D729" s="36" t="s">
        <v>424</v>
      </c>
      <c r="E729" s="37"/>
    </row>
    <row r="730" spans="1:5" ht="12.75" x14ac:dyDescent="0.2">
      <c r="A730" s="37"/>
      <c r="B730" s="36" t="s">
        <v>422</v>
      </c>
      <c r="C730" s="36" t="s">
        <v>488</v>
      </c>
      <c r="D730" s="36" t="s">
        <v>489</v>
      </c>
      <c r="E730" s="37"/>
    </row>
    <row r="731" spans="1:5" ht="12.75" x14ac:dyDescent="0.2">
      <c r="A731" s="37"/>
      <c r="B731" s="36" t="s">
        <v>403</v>
      </c>
      <c r="C731" s="36" t="s">
        <v>24</v>
      </c>
      <c r="D731" s="36" t="s">
        <v>26</v>
      </c>
      <c r="E731" s="37"/>
    </row>
    <row r="732" spans="1:5" ht="12.75" x14ac:dyDescent="0.2">
      <c r="A732" s="37"/>
      <c r="B732" s="36" t="s">
        <v>403</v>
      </c>
      <c r="C732" s="36" t="s">
        <v>32</v>
      </c>
      <c r="D732" s="36" t="s">
        <v>29</v>
      </c>
      <c r="E732" s="37"/>
    </row>
    <row r="733" spans="1:5" ht="12.75" x14ac:dyDescent="0.2">
      <c r="A733" s="37"/>
      <c r="B733" s="36" t="s">
        <v>403</v>
      </c>
      <c r="C733" s="36" t="s">
        <v>25</v>
      </c>
      <c r="D733" s="36" t="s">
        <v>27</v>
      </c>
      <c r="E733" s="37"/>
    </row>
    <row r="734" spans="1:5" ht="12.75" x14ac:dyDescent="0.2">
      <c r="A734" s="37"/>
      <c r="B734" s="36" t="s">
        <v>403</v>
      </c>
      <c r="C734" s="36" t="s">
        <v>30</v>
      </c>
      <c r="D734" s="36" t="s">
        <v>31</v>
      </c>
      <c r="E734" s="37"/>
    </row>
    <row r="735" spans="1:5" ht="12.75" x14ac:dyDescent="0.2">
      <c r="A735" s="37"/>
      <c r="B735" s="37"/>
      <c r="C735" s="37"/>
      <c r="D735" s="37"/>
      <c r="E735" s="37"/>
    </row>
    <row r="736" spans="1:5" ht="12.75" x14ac:dyDescent="0.2">
      <c r="A736" s="36" t="s">
        <v>276</v>
      </c>
      <c r="B736" s="37"/>
      <c r="C736" s="37"/>
      <c r="D736" s="37"/>
      <c r="E736" s="37"/>
    </row>
    <row r="737" spans="1:5" ht="12.75" x14ac:dyDescent="0.2">
      <c r="A737" s="37"/>
      <c r="B737" s="36" t="s">
        <v>398</v>
      </c>
      <c r="C737" s="37"/>
      <c r="D737" s="37"/>
      <c r="E737" s="37"/>
    </row>
    <row r="738" spans="1:5" ht="12.75" x14ac:dyDescent="0.2">
      <c r="A738" s="37"/>
      <c r="B738" s="36" t="s">
        <v>399</v>
      </c>
      <c r="C738" s="37"/>
      <c r="D738" s="37"/>
      <c r="E738" s="37"/>
    </row>
    <row r="739" spans="1:5" ht="12.75" x14ac:dyDescent="0.2">
      <c r="A739" s="37"/>
      <c r="B739" s="36" t="s">
        <v>400</v>
      </c>
      <c r="C739" s="37"/>
      <c r="D739" s="37"/>
      <c r="E739" s="37"/>
    </row>
    <row r="740" spans="1:5" ht="12.75" x14ac:dyDescent="0.2">
      <c r="A740" s="37"/>
      <c r="B740" s="36" t="s">
        <v>401</v>
      </c>
      <c r="C740" s="36" t="s">
        <v>276</v>
      </c>
      <c r="D740" s="37"/>
      <c r="E740" s="37"/>
    </row>
    <row r="741" spans="1:5" ht="38.25" x14ac:dyDescent="0.2">
      <c r="A741" s="36" t="s">
        <v>648</v>
      </c>
      <c r="B741" s="36" t="s">
        <v>402</v>
      </c>
      <c r="C741" s="36" t="s">
        <v>382</v>
      </c>
      <c r="D741" s="37"/>
      <c r="E741" s="37"/>
    </row>
    <row r="742" spans="1:5" ht="12.75" x14ac:dyDescent="0.2">
      <c r="A742" s="36" t="s">
        <v>649</v>
      </c>
      <c r="B742" s="36" t="s">
        <v>402</v>
      </c>
      <c r="C742" s="36" t="s">
        <v>19</v>
      </c>
      <c r="D742" s="37"/>
      <c r="E742" s="37"/>
    </row>
    <row r="743" spans="1:5" ht="12.75" x14ac:dyDescent="0.2">
      <c r="A743" s="36" t="s">
        <v>650</v>
      </c>
      <c r="B743" s="37"/>
      <c r="C743" s="37"/>
      <c r="D743" s="37"/>
      <c r="E743" s="37"/>
    </row>
    <row r="744" spans="1:5" ht="12.75" x14ac:dyDescent="0.2">
      <c r="A744" s="36" t="s">
        <v>651</v>
      </c>
      <c r="B744" s="37"/>
      <c r="C744" s="37"/>
      <c r="D744" s="37"/>
      <c r="E744" s="37"/>
    </row>
    <row r="745" spans="1:5" ht="12.75" x14ac:dyDescent="0.2">
      <c r="A745" s="36" t="s">
        <v>652</v>
      </c>
      <c r="B745" s="37"/>
      <c r="C745" s="37"/>
      <c r="D745" s="37"/>
      <c r="E745" s="37"/>
    </row>
    <row r="746" spans="1:5" ht="12.75" x14ac:dyDescent="0.2">
      <c r="A746" s="36" t="s">
        <v>653</v>
      </c>
      <c r="B746" s="37"/>
      <c r="C746" s="37"/>
      <c r="D746" s="37"/>
      <c r="E746" s="37"/>
    </row>
    <row r="747" spans="1:5" ht="12.75" x14ac:dyDescent="0.2">
      <c r="A747" s="36" t="s">
        <v>654</v>
      </c>
      <c r="B747" s="37"/>
      <c r="C747" s="37"/>
      <c r="D747" s="37"/>
      <c r="E747" s="37"/>
    </row>
    <row r="748" spans="1:5" ht="12.75" x14ac:dyDescent="0.2">
      <c r="A748" s="36" t="s">
        <v>655</v>
      </c>
      <c r="B748" s="37"/>
      <c r="C748" s="37"/>
      <c r="D748" s="37"/>
      <c r="E748" s="37"/>
    </row>
    <row r="749" spans="1:5" ht="12.75" x14ac:dyDescent="0.2">
      <c r="A749" s="36" t="s">
        <v>656</v>
      </c>
      <c r="B749" s="37"/>
      <c r="C749" s="37"/>
      <c r="D749" s="37"/>
      <c r="E749" s="37"/>
    </row>
    <row r="750" spans="1:5" ht="12.75" x14ac:dyDescent="0.2">
      <c r="A750" s="36" t="s">
        <v>657</v>
      </c>
      <c r="B750" s="37"/>
      <c r="C750" s="37"/>
      <c r="D750" s="37"/>
      <c r="E750" s="37"/>
    </row>
    <row r="751" spans="1:5" ht="12.75" x14ac:dyDescent="0.2">
      <c r="A751" s="36" t="s">
        <v>658</v>
      </c>
      <c r="B751" s="37"/>
      <c r="C751" s="37"/>
      <c r="D751" s="37"/>
      <c r="E751" s="37"/>
    </row>
    <row r="752" spans="1:5" ht="12.75" x14ac:dyDescent="0.2">
      <c r="A752" s="36" t="s">
        <v>275</v>
      </c>
      <c r="B752" s="37"/>
      <c r="C752" s="37"/>
      <c r="D752" s="37"/>
      <c r="E752" s="37"/>
    </row>
    <row r="753" spans="1:5" ht="12.75" x14ac:dyDescent="0.2">
      <c r="A753" s="37"/>
      <c r="B753" s="36" t="s">
        <v>422</v>
      </c>
      <c r="C753" s="36" t="s">
        <v>423</v>
      </c>
      <c r="D753" s="36" t="s">
        <v>424</v>
      </c>
      <c r="E753" s="37"/>
    </row>
    <row r="754" spans="1:5" ht="12.75" x14ac:dyDescent="0.2">
      <c r="A754" s="37"/>
      <c r="B754" s="36" t="s">
        <v>403</v>
      </c>
      <c r="C754" s="36" t="s">
        <v>24</v>
      </c>
      <c r="D754" s="36" t="s">
        <v>26</v>
      </c>
      <c r="E754" s="37"/>
    </row>
    <row r="755" spans="1:5" ht="12.75" x14ac:dyDescent="0.2">
      <c r="A755" s="37"/>
      <c r="B755" s="36" t="s">
        <v>403</v>
      </c>
      <c r="C755" s="36" t="s">
        <v>32</v>
      </c>
      <c r="D755" s="36" t="s">
        <v>29</v>
      </c>
      <c r="E755" s="37"/>
    </row>
    <row r="756" spans="1:5" ht="12.75" x14ac:dyDescent="0.2">
      <c r="A756" s="37"/>
      <c r="B756" s="36" t="s">
        <v>403</v>
      </c>
      <c r="C756" s="36" t="s">
        <v>25</v>
      </c>
      <c r="D756" s="36" t="s">
        <v>27</v>
      </c>
      <c r="E756" s="37"/>
    </row>
    <row r="757" spans="1:5" ht="12.75" x14ac:dyDescent="0.2">
      <c r="A757" s="37"/>
      <c r="B757" s="36" t="s">
        <v>403</v>
      </c>
      <c r="C757" s="36" t="s">
        <v>30</v>
      </c>
      <c r="D757" s="36" t="s">
        <v>31</v>
      </c>
      <c r="E757" s="37"/>
    </row>
    <row r="758" spans="1:5" ht="12.75" x14ac:dyDescent="0.2">
      <c r="A758" s="37"/>
      <c r="B758" s="37"/>
      <c r="C758" s="37"/>
      <c r="D758" s="37"/>
      <c r="E758" s="37"/>
    </row>
    <row r="759" spans="1:5" ht="12.75" x14ac:dyDescent="0.2">
      <c r="A759" s="36" t="s">
        <v>279</v>
      </c>
      <c r="B759" s="37"/>
      <c r="C759" s="37"/>
      <c r="D759" s="37"/>
      <c r="E759" s="37"/>
    </row>
    <row r="760" spans="1:5" ht="12.75" x14ac:dyDescent="0.2">
      <c r="A760" s="37"/>
      <c r="B760" s="36" t="s">
        <v>398</v>
      </c>
      <c r="C760" s="37"/>
      <c r="D760" s="37"/>
      <c r="E760" s="37"/>
    </row>
    <row r="761" spans="1:5" ht="12.75" x14ac:dyDescent="0.2">
      <c r="A761" s="37"/>
      <c r="B761" s="36" t="s">
        <v>399</v>
      </c>
      <c r="C761" s="37"/>
      <c r="D761" s="37"/>
      <c r="E761" s="37"/>
    </row>
    <row r="762" spans="1:5" ht="12.75" x14ac:dyDescent="0.2">
      <c r="A762" s="37"/>
      <c r="B762" s="36" t="s">
        <v>400</v>
      </c>
      <c r="C762" s="37"/>
      <c r="D762" s="37"/>
      <c r="E762" s="37"/>
    </row>
    <row r="763" spans="1:5" ht="12.75" x14ac:dyDescent="0.2">
      <c r="A763" s="37"/>
      <c r="B763" s="36" t="s">
        <v>401</v>
      </c>
      <c r="C763" s="36" t="s">
        <v>279</v>
      </c>
      <c r="D763" s="37"/>
      <c r="E763" s="37"/>
    </row>
    <row r="764" spans="1:5" ht="25.5" x14ac:dyDescent="0.2">
      <c r="A764" s="36" t="s">
        <v>659</v>
      </c>
      <c r="B764" s="36" t="s">
        <v>402</v>
      </c>
      <c r="C764" s="36" t="s">
        <v>384</v>
      </c>
      <c r="D764" s="37"/>
      <c r="E764" s="37"/>
    </row>
    <row r="765" spans="1:5" ht="12.75" x14ac:dyDescent="0.2">
      <c r="A765" s="36" t="s">
        <v>660</v>
      </c>
      <c r="B765" s="36" t="s">
        <v>402</v>
      </c>
      <c r="C765" s="36" t="s">
        <v>19</v>
      </c>
      <c r="D765" s="37"/>
      <c r="E765" s="37"/>
    </row>
    <row r="766" spans="1:5" ht="12.75" x14ac:dyDescent="0.2">
      <c r="A766" s="36" t="s">
        <v>661</v>
      </c>
      <c r="B766" s="37"/>
      <c r="C766" s="37"/>
      <c r="D766" s="37"/>
      <c r="E766" s="37"/>
    </row>
    <row r="767" spans="1:5" ht="12.75" x14ac:dyDescent="0.2">
      <c r="A767" s="36" t="s">
        <v>662</v>
      </c>
      <c r="B767" s="37"/>
      <c r="C767" s="37"/>
      <c r="D767" s="37"/>
      <c r="E767" s="37"/>
    </row>
    <row r="768" spans="1:5" ht="12.75" x14ac:dyDescent="0.2">
      <c r="A768" s="36" t="s">
        <v>663</v>
      </c>
      <c r="B768" s="37"/>
      <c r="C768" s="37"/>
      <c r="D768" s="37"/>
      <c r="E768" s="37"/>
    </row>
    <row r="769" spans="1:5" ht="12.75" x14ac:dyDescent="0.2">
      <c r="A769" s="36" t="s">
        <v>664</v>
      </c>
      <c r="B769" s="37"/>
      <c r="C769" s="37"/>
      <c r="D769" s="37"/>
      <c r="E769" s="37"/>
    </row>
    <row r="770" spans="1:5" ht="12.75" x14ac:dyDescent="0.2">
      <c r="A770" s="36" t="s">
        <v>278</v>
      </c>
      <c r="B770" s="37"/>
      <c r="C770" s="37"/>
      <c r="D770" s="37"/>
      <c r="E770" s="37"/>
    </row>
    <row r="771" spans="1:5" ht="12.75" x14ac:dyDescent="0.2">
      <c r="A771" s="37"/>
      <c r="B771" s="36" t="s">
        <v>422</v>
      </c>
      <c r="C771" s="36" t="s">
        <v>423</v>
      </c>
      <c r="D771" s="36" t="s">
        <v>424</v>
      </c>
      <c r="E771" s="37"/>
    </row>
    <row r="772" spans="1:5" ht="12.75" x14ac:dyDescent="0.2">
      <c r="A772" s="37"/>
      <c r="B772" s="36" t="s">
        <v>403</v>
      </c>
      <c r="C772" s="36" t="s">
        <v>24</v>
      </c>
      <c r="D772" s="36" t="s">
        <v>26</v>
      </c>
      <c r="E772" s="37"/>
    </row>
    <row r="773" spans="1:5" ht="12.75" x14ac:dyDescent="0.2">
      <c r="A773" s="37"/>
      <c r="B773" s="36" t="s">
        <v>403</v>
      </c>
      <c r="C773" s="36" t="s">
        <v>32</v>
      </c>
      <c r="D773" s="36" t="s">
        <v>29</v>
      </c>
      <c r="E773" s="37"/>
    </row>
    <row r="774" spans="1:5" ht="12.75" x14ac:dyDescent="0.2">
      <c r="A774" s="37"/>
      <c r="B774" s="36" t="s">
        <v>403</v>
      </c>
      <c r="C774" s="36" t="s">
        <v>25</v>
      </c>
      <c r="D774" s="36" t="s">
        <v>27</v>
      </c>
      <c r="E774" s="37"/>
    </row>
    <row r="775" spans="1:5" ht="12.75" x14ac:dyDescent="0.2">
      <c r="A775" s="37"/>
      <c r="B775" s="36" t="s">
        <v>403</v>
      </c>
      <c r="C775" s="36" t="s">
        <v>30</v>
      </c>
      <c r="D775" s="36" t="s">
        <v>31</v>
      </c>
      <c r="E775" s="37"/>
    </row>
    <row r="776" spans="1:5" ht="12.75" x14ac:dyDescent="0.2">
      <c r="A776" s="37"/>
      <c r="B776" s="37"/>
      <c r="C776" s="37"/>
      <c r="D776" s="37"/>
      <c r="E776" s="37"/>
    </row>
    <row r="777" spans="1:5" ht="12.75" x14ac:dyDescent="0.2">
      <c r="A777" s="36" t="s">
        <v>282</v>
      </c>
      <c r="B777" s="37"/>
      <c r="C777" s="37"/>
      <c r="D777" s="37"/>
      <c r="E777" s="37"/>
    </row>
    <row r="778" spans="1:5" ht="12.75" x14ac:dyDescent="0.2">
      <c r="A778" s="37"/>
      <c r="B778" s="36" t="s">
        <v>398</v>
      </c>
      <c r="C778" s="37"/>
      <c r="D778" s="37"/>
      <c r="E778" s="37"/>
    </row>
    <row r="779" spans="1:5" ht="12.75" x14ac:dyDescent="0.2">
      <c r="A779" s="37"/>
      <c r="B779" s="36" t="s">
        <v>399</v>
      </c>
      <c r="C779" s="37"/>
      <c r="D779" s="37"/>
      <c r="E779" s="37"/>
    </row>
    <row r="780" spans="1:5" ht="12.75" x14ac:dyDescent="0.2">
      <c r="A780" s="37"/>
      <c r="B780" s="36" t="s">
        <v>400</v>
      </c>
      <c r="C780" s="37"/>
      <c r="D780" s="37"/>
      <c r="E780" s="37"/>
    </row>
    <row r="781" spans="1:5" ht="12.75" x14ac:dyDescent="0.2">
      <c r="A781" s="37"/>
      <c r="B781" s="36" t="s">
        <v>401</v>
      </c>
      <c r="C781" s="36" t="s">
        <v>282</v>
      </c>
      <c r="D781" s="37"/>
      <c r="E781" s="37"/>
    </row>
    <row r="782" spans="1:5" ht="25.5" x14ac:dyDescent="0.2">
      <c r="A782" s="36" t="s">
        <v>665</v>
      </c>
      <c r="B782" s="36" t="s">
        <v>402</v>
      </c>
      <c r="C782" s="36" t="s">
        <v>388</v>
      </c>
      <c r="D782" s="37"/>
      <c r="E782" s="37"/>
    </row>
    <row r="783" spans="1:5" ht="12.75" x14ac:dyDescent="0.2">
      <c r="A783" s="36" t="s">
        <v>666</v>
      </c>
      <c r="B783" s="36" t="s">
        <v>402</v>
      </c>
      <c r="C783" s="36" t="s">
        <v>19</v>
      </c>
      <c r="D783" s="37"/>
      <c r="E783" s="37"/>
    </row>
    <row r="784" spans="1:5" ht="12.75" x14ac:dyDescent="0.2">
      <c r="A784" s="36" t="s">
        <v>667</v>
      </c>
      <c r="B784" s="37"/>
      <c r="C784" s="37"/>
      <c r="D784" s="37"/>
      <c r="E784" s="37"/>
    </row>
    <row r="785" spans="1:5" ht="12.75" x14ac:dyDescent="0.2">
      <c r="A785" s="36" t="s">
        <v>668</v>
      </c>
      <c r="B785" s="37"/>
      <c r="C785" s="37"/>
      <c r="D785" s="37"/>
      <c r="E785" s="37"/>
    </row>
    <row r="786" spans="1:5" ht="12.75" x14ac:dyDescent="0.2">
      <c r="A786" s="36" t="s">
        <v>669</v>
      </c>
      <c r="B786" s="37"/>
      <c r="C786" s="37"/>
      <c r="D786" s="37"/>
      <c r="E786" s="37"/>
    </row>
    <row r="787" spans="1:5" ht="12.75" x14ac:dyDescent="0.2">
      <c r="A787" s="36" t="s">
        <v>281</v>
      </c>
      <c r="B787" s="37"/>
      <c r="C787" s="37"/>
      <c r="D787" s="37"/>
      <c r="E787" s="37"/>
    </row>
    <row r="788" spans="1:5" ht="12.75" x14ac:dyDescent="0.2">
      <c r="A788" s="37"/>
      <c r="B788" s="36" t="s">
        <v>422</v>
      </c>
      <c r="C788" s="36" t="s">
        <v>423</v>
      </c>
      <c r="D788" s="36" t="s">
        <v>424</v>
      </c>
      <c r="E788" s="37"/>
    </row>
    <row r="789" spans="1:5" ht="12.75" x14ac:dyDescent="0.2">
      <c r="A789" s="37"/>
      <c r="B789" s="36" t="s">
        <v>403</v>
      </c>
      <c r="C789" s="36" t="s">
        <v>24</v>
      </c>
      <c r="D789" s="36" t="s">
        <v>26</v>
      </c>
      <c r="E789" s="37"/>
    </row>
    <row r="790" spans="1:5" ht="12.75" x14ac:dyDescent="0.2">
      <c r="A790" s="37"/>
      <c r="B790" s="36" t="s">
        <v>403</v>
      </c>
      <c r="C790" s="36" t="s">
        <v>32</v>
      </c>
      <c r="D790" s="36" t="s">
        <v>29</v>
      </c>
      <c r="E790" s="37"/>
    </row>
    <row r="791" spans="1:5" ht="12.75" x14ac:dyDescent="0.2">
      <c r="A791" s="37"/>
      <c r="B791" s="36" t="s">
        <v>403</v>
      </c>
      <c r="C791" s="36" t="s">
        <v>25</v>
      </c>
      <c r="D791" s="36" t="s">
        <v>27</v>
      </c>
      <c r="E791" s="37"/>
    </row>
    <row r="792" spans="1:5" ht="12.75" x14ac:dyDescent="0.2">
      <c r="A792" s="37"/>
      <c r="B792" s="36" t="s">
        <v>403</v>
      </c>
      <c r="C792" s="36" t="s">
        <v>30</v>
      </c>
      <c r="D792" s="36" t="s">
        <v>31</v>
      </c>
      <c r="E792" s="37"/>
    </row>
    <row r="793" spans="1:5" ht="12.75" x14ac:dyDescent="0.2">
      <c r="A793" s="37"/>
      <c r="B793" s="37"/>
      <c r="C793" s="37"/>
      <c r="D793" s="37"/>
      <c r="E793" s="37"/>
    </row>
    <row r="794" spans="1:5" ht="12.75" x14ac:dyDescent="0.2">
      <c r="A794" s="36" t="s">
        <v>286</v>
      </c>
      <c r="B794" s="37"/>
      <c r="C794" s="37"/>
      <c r="D794" s="37"/>
      <c r="E794" s="37"/>
    </row>
    <row r="795" spans="1:5" ht="12.75" x14ac:dyDescent="0.2">
      <c r="A795" s="37"/>
      <c r="B795" s="36" t="s">
        <v>398</v>
      </c>
      <c r="C795" s="37"/>
      <c r="D795" s="37"/>
      <c r="E795" s="37"/>
    </row>
    <row r="796" spans="1:5" ht="12.75" x14ac:dyDescent="0.2">
      <c r="A796" s="37"/>
      <c r="B796" s="36" t="s">
        <v>399</v>
      </c>
      <c r="C796" s="37"/>
      <c r="D796" s="37"/>
      <c r="E796" s="37"/>
    </row>
    <row r="797" spans="1:5" ht="12.75" x14ac:dyDescent="0.2">
      <c r="A797" s="37"/>
      <c r="B797" s="36" t="s">
        <v>400</v>
      </c>
      <c r="C797" s="37"/>
      <c r="D797" s="37"/>
      <c r="E797" s="37"/>
    </row>
    <row r="798" spans="1:5" ht="12.75" x14ac:dyDescent="0.2">
      <c r="A798" s="37"/>
      <c r="B798" s="36" t="s">
        <v>401</v>
      </c>
      <c r="C798" s="36" t="s">
        <v>286</v>
      </c>
      <c r="D798" s="37"/>
      <c r="E798" s="37"/>
    </row>
    <row r="799" spans="1:5" ht="12.75" x14ac:dyDescent="0.2">
      <c r="A799" s="36" t="s">
        <v>670</v>
      </c>
      <c r="B799" s="36" t="s">
        <v>402</v>
      </c>
      <c r="C799" s="36" t="s">
        <v>389</v>
      </c>
      <c r="D799" s="37"/>
      <c r="E799" s="37"/>
    </row>
    <row r="800" spans="1:5" ht="12.75" x14ac:dyDescent="0.2">
      <c r="A800" s="36" t="s">
        <v>671</v>
      </c>
      <c r="B800" s="36" t="s">
        <v>402</v>
      </c>
      <c r="C800" s="36" t="s">
        <v>19</v>
      </c>
      <c r="D800" s="37"/>
      <c r="E800" s="37"/>
    </row>
    <row r="801" spans="1:5" ht="12.75" x14ac:dyDescent="0.2">
      <c r="A801" s="36" t="s">
        <v>672</v>
      </c>
      <c r="B801" s="37"/>
      <c r="C801" s="37"/>
      <c r="D801" s="37"/>
      <c r="E801" s="37"/>
    </row>
    <row r="802" spans="1:5" ht="12.75" x14ac:dyDescent="0.2">
      <c r="A802" s="36" t="s">
        <v>673</v>
      </c>
      <c r="B802" s="37"/>
      <c r="C802" s="37"/>
      <c r="D802" s="37"/>
      <c r="E802" s="37"/>
    </row>
    <row r="803" spans="1:5" ht="12.75" x14ac:dyDescent="0.2">
      <c r="A803" s="36" t="s">
        <v>674</v>
      </c>
      <c r="B803" s="37"/>
      <c r="C803" s="37"/>
      <c r="D803" s="37"/>
      <c r="E803" s="37"/>
    </row>
    <row r="804" spans="1:5" ht="12.75" x14ac:dyDescent="0.2">
      <c r="A804" s="36" t="s">
        <v>675</v>
      </c>
      <c r="B804" s="37"/>
      <c r="C804" s="37"/>
      <c r="D804" s="37"/>
      <c r="E804" s="37"/>
    </row>
    <row r="805" spans="1:5" ht="12.75" x14ac:dyDescent="0.2">
      <c r="A805" s="36" t="s">
        <v>285</v>
      </c>
      <c r="B805" s="37"/>
      <c r="C805" s="37"/>
      <c r="D805" s="37"/>
      <c r="E805" s="37"/>
    </row>
    <row r="806" spans="1:5" ht="12.75" x14ac:dyDescent="0.2">
      <c r="A806" s="37"/>
      <c r="B806" s="36" t="s">
        <v>403</v>
      </c>
      <c r="C806" s="36" t="s">
        <v>24</v>
      </c>
      <c r="D806" s="36" t="s">
        <v>26</v>
      </c>
      <c r="E806" s="37"/>
    </row>
    <row r="807" spans="1:5" ht="12.75" x14ac:dyDescent="0.2">
      <c r="A807" s="37"/>
      <c r="B807" s="36" t="s">
        <v>403</v>
      </c>
      <c r="C807" s="36" t="s">
        <v>32</v>
      </c>
      <c r="D807" s="36" t="s">
        <v>29</v>
      </c>
      <c r="E807" s="37"/>
    </row>
    <row r="808" spans="1:5" ht="12.75" x14ac:dyDescent="0.2">
      <c r="A808" s="37"/>
      <c r="B808" s="36" t="s">
        <v>403</v>
      </c>
      <c r="C808" s="36" t="s">
        <v>25</v>
      </c>
      <c r="D808" s="36" t="s">
        <v>27</v>
      </c>
      <c r="E808" s="37"/>
    </row>
    <row r="809" spans="1:5" ht="12.75" x14ac:dyDescent="0.2">
      <c r="A809" s="37"/>
      <c r="B809" s="36" t="s">
        <v>403</v>
      </c>
      <c r="C809" s="36" t="s">
        <v>30</v>
      </c>
      <c r="D809" s="36" t="s">
        <v>31</v>
      </c>
      <c r="E809" s="37"/>
    </row>
    <row r="810" spans="1:5" ht="12.75" x14ac:dyDescent="0.2">
      <c r="A810" s="37"/>
      <c r="B810" s="37"/>
      <c r="C810" s="37"/>
      <c r="D810" s="37"/>
      <c r="E810" s="37"/>
    </row>
    <row r="811" spans="1:5" ht="12.75" x14ac:dyDescent="0.2">
      <c r="A811" s="36" t="s">
        <v>289</v>
      </c>
      <c r="B811" s="37"/>
      <c r="C811" s="37"/>
      <c r="D811" s="37"/>
      <c r="E811" s="37"/>
    </row>
    <row r="812" spans="1:5" ht="12.75" x14ac:dyDescent="0.2">
      <c r="A812" s="37"/>
      <c r="B812" s="36" t="s">
        <v>398</v>
      </c>
      <c r="C812" s="37"/>
      <c r="D812" s="37"/>
      <c r="E812" s="37"/>
    </row>
    <row r="813" spans="1:5" ht="12.75" x14ac:dyDescent="0.2">
      <c r="A813" s="37"/>
      <c r="B813" s="36" t="s">
        <v>399</v>
      </c>
      <c r="C813" s="37"/>
      <c r="D813" s="37"/>
      <c r="E813" s="37"/>
    </row>
    <row r="814" spans="1:5" ht="12.75" x14ac:dyDescent="0.2">
      <c r="A814" s="37"/>
      <c r="B814" s="36" t="s">
        <v>400</v>
      </c>
      <c r="C814" s="37"/>
      <c r="D814" s="37"/>
      <c r="E814" s="37"/>
    </row>
    <row r="815" spans="1:5" ht="12.75" x14ac:dyDescent="0.2">
      <c r="A815" s="37"/>
      <c r="B815" s="36" t="s">
        <v>401</v>
      </c>
      <c r="C815" s="36" t="s">
        <v>289</v>
      </c>
      <c r="D815" s="37"/>
      <c r="E815" s="37"/>
    </row>
    <row r="816" spans="1:5" ht="12.75" x14ac:dyDescent="0.2">
      <c r="A816" s="36" t="s">
        <v>676</v>
      </c>
      <c r="B816" s="36" t="s">
        <v>402</v>
      </c>
      <c r="C816" s="36" t="s">
        <v>393</v>
      </c>
      <c r="D816" s="37"/>
      <c r="E816" s="37"/>
    </row>
    <row r="817" spans="1:5" ht="12.75" x14ac:dyDescent="0.2">
      <c r="A817" s="36" t="s">
        <v>677</v>
      </c>
      <c r="B817" s="36" t="s">
        <v>402</v>
      </c>
      <c r="C817" s="36" t="s">
        <v>19</v>
      </c>
      <c r="D817" s="37"/>
      <c r="E817" s="37"/>
    </row>
    <row r="818" spans="1:5" ht="12.75" x14ac:dyDescent="0.2">
      <c r="A818" s="36" t="s">
        <v>678</v>
      </c>
      <c r="B818" s="37"/>
      <c r="C818" s="37"/>
      <c r="D818" s="37"/>
      <c r="E818" s="37"/>
    </row>
    <row r="819" spans="1:5" ht="12.75" x14ac:dyDescent="0.2">
      <c r="A819" s="36" t="s">
        <v>679</v>
      </c>
      <c r="B819" s="37"/>
      <c r="C819" s="37"/>
      <c r="D819" s="37"/>
      <c r="E819" s="37"/>
    </row>
    <row r="820" spans="1:5" ht="12.75" x14ac:dyDescent="0.2">
      <c r="A820" s="36" t="s">
        <v>288</v>
      </c>
      <c r="B820" s="37"/>
      <c r="C820" s="37"/>
      <c r="D820" s="37"/>
      <c r="E820" s="37"/>
    </row>
    <row r="821" spans="1:5" ht="12.75" x14ac:dyDescent="0.2">
      <c r="A821" s="37"/>
      <c r="B821" s="36" t="s">
        <v>422</v>
      </c>
      <c r="C821" s="36" t="s">
        <v>423</v>
      </c>
      <c r="D821" s="36" t="s">
        <v>424</v>
      </c>
      <c r="E821" s="37"/>
    </row>
    <row r="822" spans="1:5" ht="12.75" x14ac:dyDescent="0.2">
      <c r="A822" s="37"/>
      <c r="B822" s="36" t="s">
        <v>403</v>
      </c>
      <c r="C822" s="36" t="s">
        <v>24</v>
      </c>
      <c r="D822" s="36" t="s">
        <v>26</v>
      </c>
      <c r="E822" s="37"/>
    </row>
    <row r="823" spans="1:5" ht="12.75" x14ac:dyDescent="0.2">
      <c r="A823" s="37"/>
      <c r="B823" s="36" t="s">
        <v>403</v>
      </c>
      <c r="C823" s="36" t="s">
        <v>32</v>
      </c>
      <c r="D823" s="36" t="s">
        <v>29</v>
      </c>
      <c r="E823" s="37"/>
    </row>
    <row r="824" spans="1:5" ht="12.75" x14ac:dyDescent="0.2">
      <c r="A824" s="37"/>
      <c r="B824" s="36" t="s">
        <v>403</v>
      </c>
      <c r="C824" s="36" t="s">
        <v>25</v>
      </c>
      <c r="D824" s="36" t="s">
        <v>27</v>
      </c>
      <c r="E824" s="37"/>
    </row>
    <row r="825" spans="1:5" ht="12.75" x14ac:dyDescent="0.2">
      <c r="A825" s="37"/>
      <c r="B825" s="36" t="s">
        <v>403</v>
      </c>
      <c r="C825" s="36" t="s">
        <v>30</v>
      </c>
      <c r="D825" s="36" t="s">
        <v>31</v>
      </c>
      <c r="E825" s="37"/>
    </row>
    <row r="826" spans="1:5" ht="12.75" x14ac:dyDescent="0.2">
      <c r="A826" s="37"/>
      <c r="B826" s="37"/>
      <c r="C826" s="37"/>
      <c r="D826" s="37"/>
      <c r="E826" s="37"/>
    </row>
    <row r="827" spans="1:5" ht="12.75" x14ac:dyDescent="0.2">
      <c r="A827" s="36" t="s">
        <v>294</v>
      </c>
      <c r="B827" s="37"/>
      <c r="C827" s="37"/>
      <c r="D827" s="37"/>
      <c r="E827" s="37"/>
    </row>
    <row r="828" spans="1:5" ht="12.75" x14ac:dyDescent="0.2">
      <c r="A828" s="37"/>
      <c r="B828" s="36" t="s">
        <v>398</v>
      </c>
      <c r="C828" s="37"/>
      <c r="D828" s="37"/>
      <c r="E828" s="37"/>
    </row>
    <row r="829" spans="1:5" ht="12.75" x14ac:dyDescent="0.2">
      <c r="A829" s="37"/>
      <c r="B829" s="36" t="s">
        <v>399</v>
      </c>
      <c r="C829" s="37"/>
      <c r="D829" s="37"/>
      <c r="E829" s="37"/>
    </row>
    <row r="830" spans="1:5" ht="12.75" x14ac:dyDescent="0.2">
      <c r="A830" s="37"/>
      <c r="B830" s="36" t="s">
        <v>400</v>
      </c>
      <c r="C830" s="37"/>
      <c r="D830" s="37"/>
      <c r="E830" s="37"/>
    </row>
    <row r="831" spans="1:5" ht="12.75" x14ac:dyDescent="0.2">
      <c r="A831" s="37"/>
      <c r="B831" s="36" t="s">
        <v>401</v>
      </c>
      <c r="C831" s="36" t="s">
        <v>294</v>
      </c>
      <c r="D831" s="37"/>
      <c r="E831" s="37"/>
    </row>
    <row r="832" spans="1:5" ht="25.5" x14ac:dyDescent="0.2">
      <c r="A832" s="36" t="s">
        <v>680</v>
      </c>
      <c r="B832" s="36" t="s">
        <v>402</v>
      </c>
      <c r="C832" s="36" t="s">
        <v>404</v>
      </c>
      <c r="D832" s="37"/>
      <c r="E832" s="37"/>
    </row>
    <row r="833" spans="1:5" ht="12.75" x14ac:dyDescent="0.2">
      <c r="A833" s="36" t="s">
        <v>681</v>
      </c>
      <c r="B833" s="36" t="s">
        <v>402</v>
      </c>
      <c r="C833" s="36" t="s">
        <v>19</v>
      </c>
      <c r="D833" s="37"/>
      <c r="E833" s="37"/>
    </row>
    <row r="834" spans="1:5" ht="12.75" x14ac:dyDescent="0.2">
      <c r="A834" s="36" t="s">
        <v>682</v>
      </c>
      <c r="B834" s="37"/>
      <c r="C834" s="37"/>
      <c r="D834" s="37"/>
      <c r="E834" s="37"/>
    </row>
    <row r="835" spans="1:5" ht="12.75" x14ac:dyDescent="0.2">
      <c r="A835" s="36" t="s">
        <v>683</v>
      </c>
      <c r="B835" s="37"/>
      <c r="C835" s="37"/>
      <c r="D835" s="37"/>
      <c r="E835" s="37"/>
    </row>
    <row r="836" spans="1:5" ht="12.75" x14ac:dyDescent="0.2">
      <c r="A836" s="36" t="s">
        <v>684</v>
      </c>
      <c r="B836" s="37"/>
      <c r="C836" s="37"/>
      <c r="D836" s="37"/>
      <c r="E836" s="37"/>
    </row>
    <row r="837" spans="1:5" ht="12.75" x14ac:dyDescent="0.2">
      <c r="A837" s="36" t="s">
        <v>685</v>
      </c>
      <c r="B837" s="37"/>
      <c r="C837" s="37"/>
      <c r="D837" s="37"/>
      <c r="E837" s="37"/>
    </row>
    <row r="838" spans="1:5" ht="12.75" x14ac:dyDescent="0.2">
      <c r="A838" s="36" t="s">
        <v>686</v>
      </c>
      <c r="B838" s="37"/>
      <c r="C838" s="37"/>
      <c r="D838" s="37"/>
      <c r="E838" s="37"/>
    </row>
    <row r="839" spans="1:5" ht="12.75" x14ac:dyDescent="0.2">
      <c r="A839" s="36" t="s">
        <v>687</v>
      </c>
      <c r="B839" s="37"/>
      <c r="C839" s="37"/>
      <c r="D839" s="37"/>
      <c r="E839" s="37"/>
    </row>
    <row r="840" spans="1:5" ht="12.75" x14ac:dyDescent="0.2">
      <c r="A840" s="36" t="s">
        <v>293</v>
      </c>
      <c r="B840" s="37"/>
      <c r="C840" s="37"/>
      <c r="D840" s="37"/>
      <c r="E840" s="37"/>
    </row>
    <row r="841" spans="1:5" ht="12.75" x14ac:dyDescent="0.2">
      <c r="A841" s="37"/>
      <c r="B841" s="36" t="s">
        <v>422</v>
      </c>
      <c r="C841" s="36" t="s">
        <v>423</v>
      </c>
      <c r="D841" s="36" t="s">
        <v>424</v>
      </c>
      <c r="E841" s="37"/>
    </row>
    <row r="842" spans="1:5" ht="12.75" x14ac:dyDescent="0.2">
      <c r="A842" s="37"/>
      <c r="B842" s="36" t="s">
        <v>422</v>
      </c>
      <c r="C842" s="36" t="s">
        <v>688</v>
      </c>
      <c r="D842" s="36" t="s">
        <v>689</v>
      </c>
      <c r="E842" s="37"/>
    </row>
    <row r="843" spans="1:5" ht="12.75" x14ac:dyDescent="0.2">
      <c r="A843" s="37"/>
      <c r="B843" s="36" t="s">
        <v>403</v>
      </c>
      <c r="C843" s="36" t="s">
        <v>24</v>
      </c>
      <c r="D843" s="36" t="s">
        <v>26</v>
      </c>
      <c r="E843" s="37"/>
    </row>
    <row r="844" spans="1:5" ht="12.75" x14ac:dyDescent="0.2">
      <c r="A844" s="37"/>
      <c r="B844" s="36" t="s">
        <v>403</v>
      </c>
      <c r="C844" s="36" t="s">
        <v>32</v>
      </c>
      <c r="D844" s="36" t="s">
        <v>29</v>
      </c>
      <c r="E844" s="37"/>
    </row>
    <row r="845" spans="1:5" ht="12.75" x14ac:dyDescent="0.2">
      <c r="A845" s="37"/>
      <c r="B845" s="36" t="s">
        <v>403</v>
      </c>
      <c r="C845" s="36" t="s">
        <v>25</v>
      </c>
      <c r="D845" s="36" t="s">
        <v>27</v>
      </c>
      <c r="E845" s="37"/>
    </row>
    <row r="846" spans="1:5" ht="12.75" x14ac:dyDescent="0.2">
      <c r="A846" s="37"/>
      <c r="B846" s="36" t="s">
        <v>403</v>
      </c>
      <c r="C846" s="36" t="s">
        <v>30</v>
      </c>
      <c r="D846" s="36" t="s">
        <v>31</v>
      </c>
      <c r="E846" s="37"/>
    </row>
    <row r="847" spans="1:5" ht="12.75" x14ac:dyDescent="0.2">
      <c r="A847" s="37"/>
      <c r="B847" s="37"/>
      <c r="C847" s="37"/>
      <c r="D847" s="37"/>
      <c r="E847" s="37"/>
    </row>
    <row r="848" spans="1:5" ht="12.75" x14ac:dyDescent="0.2">
      <c r="A848" s="36" t="s">
        <v>297</v>
      </c>
      <c r="B848" s="37"/>
      <c r="C848" s="37"/>
      <c r="D848" s="37"/>
      <c r="E848" s="37"/>
    </row>
    <row r="849" spans="1:5" ht="12.75" x14ac:dyDescent="0.2">
      <c r="A849" s="37"/>
      <c r="B849" s="36" t="s">
        <v>398</v>
      </c>
      <c r="C849" s="37"/>
      <c r="D849" s="37"/>
      <c r="E849" s="37"/>
    </row>
    <row r="850" spans="1:5" ht="12.75" x14ac:dyDescent="0.2">
      <c r="A850" s="37"/>
      <c r="B850" s="36" t="s">
        <v>399</v>
      </c>
      <c r="C850" s="37"/>
      <c r="D850" s="37"/>
      <c r="E850" s="37"/>
    </row>
    <row r="851" spans="1:5" ht="12.75" x14ac:dyDescent="0.2">
      <c r="A851" s="37"/>
      <c r="B851" s="36" t="s">
        <v>400</v>
      </c>
      <c r="C851" s="37"/>
      <c r="D851" s="37"/>
      <c r="E851" s="37"/>
    </row>
    <row r="852" spans="1:5" ht="12.75" x14ac:dyDescent="0.2">
      <c r="A852" s="37"/>
      <c r="B852" s="36" t="s">
        <v>401</v>
      </c>
      <c r="C852" s="36" t="s">
        <v>297</v>
      </c>
      <c r="D852" s="37"/>
      <c r="E852" s="37"/>
    </row>
    <row r="853" spans="1:5" ht="25.5" x14ac:dyDescent="0.2">
      <c r="A853" s="36" t="s">
        <v>690</v>
      </c>
      <c r="B853" s="36" t="s">
        <v>402</v>
      </c>
      <c r="C853" s="36" t="s">
        <v>443</v>
      </c>
      <c r="D853" s="37"/>
      <c r="E853" s="37"/>
    </row>
    <row r="854" spans="1:5" ht="12.75" x14ac:dyDescent="0.2">
      <c r="A854" s="36" t="s">
        <v>691</v>
      </c>
      <c r="B854" s="36" t="s">
        <v>402</v>
      </c>
      <c r="C854" s="36" t="s">
        <v>19</v>
      </c>
      <c r="D854" s="37"/>
      <c r="E854" s="37"/>
    </row>
    <row r="855" spans="1:5" ht="12.75" x14ac:dyDescent="0.2">
      <c r="A855" s="36" t="s">
        <v>692</v>
      </c>
      <c r="B855" s="37"/>
      <c r="C855" s="37"/>
      <c r="D855" s="37"/>
      <c r="E855" s="37"/>
    </row>
    <row r="856" spans="1:5" ht="12.75" x14ac:dyDescent="0.2">
      <c r="A856" s="36" t="s">
        <v>693</v>
      </c>
      <c r="B856" s="37"/>
      <c r="C856" s="37"/>
      <c r="D856" s="37"/>
      <c r="E856" s="37"/>
    </row>
    <row r="857" spans="1:5" ht="12.75" x14ac:dyDescent="0.2">
      <c r="A857" s="36" t="s">
        <v>296</v>
      </c>
      <c r="B857" s="37"/>
      <c r="C857" s="37"/>
      <c r="D857" s="37"/>
      <c r="E857" s="37"/>
    </row>
    <row r="858" spans="1:5" ht="12.75" x14ac:dyDescent="0.2">
      <c r="A858" s="37"/>
      <c r="B858" s="36" t="s">
        <v>403</v>
      </c>
      <c r="C858" s="36" t="s">
        <v>24</v>
      </c>
      <c r="D858" s="36" t="s">
        <v>26</v>
      </c>
      <c r="E858" s="37"/>
    </row>
    <row r="859" spans="1:5" ht="12.75" x14ac:dyDescent="0.2">
      <c r="A859" s="37"/>
      <c r="B859" s="36" t="s">
        <v>403</v>
      </c>
      <c r="C859" s="36" t="s">
        <v>32</v>
      </c>
      <c r="D859" s="36" t="s">
        <v>29</v>
      </c>
      <c r="E859" s="37"/>
    </row>
    <row r="860" spans="1:5" ht="12.75" x14ac:dyDescent="0.2">
      <c r="A860" s="37"/>
      <c r="B860" s="36" t="s">
        <v>403</v>
      </c>
      <c r="C860" s="36" t="s">
        <v>25</v>
      </c>
      <c r="D860" s="36" t="s">
        <v>27</v>
      </c>
      <c r="E860" s="37"/>
    </row>
    <row r="861" spans="1:5" ht="12.75" x14ac:dyDescent="0.2">
      <c r="A861" s="37"/>
      <c r="B861" s="36" t="s">
        <v>403</v>
      </c>
      <c r="C861" s="36" t="s">
        <v>30</v>
      </c>
      <c r="D861" s="36" t="s">
        <v>31</v>
      </c>
      <c r="E861" s="37"/>
    </row>
    <row r="862" spans="1:5" ht="12.75" x14ac:dyDescent="0.2">
      <c r="A862" s="37"/>
      <c r="B862" s="37"/>
      <c r="C862" s="37"/>
      <c r="D862" s="37"/>
      <c r="E862" s="37"/>
    </row>
    <row r="863" spans="1:5" ht="12.75" x14ac:dyDescent="0.2">
      <c r="A863" s="36" t="s">
        <v>256</v>
      </c>
      <c r="B863" s="37"/>
      <c r="C863" s="37"/>
      <c r="D863" s="37"/>
      <c r="E863" s="37"/>
    </row>
    <row r="864" spans="1:5" ht="12.75" x14ac:dyDescent="0.2">
      <c r="A864" s="37"/>
      <c r="B864" s="36" t="s">
        <v>398</v>
      </c>
      <c r="C864" s="37"/>
      <c r="D864" s="37"/>
      <c r="E864" s="37"/>
    </row>
    <row r="865" spans="1:5" ht="12.75" x14ac:dyDescent="0.2">
      <c r="A865" s="37"/>
      <c r="B865" s="36" t="s">
        <v>399</v>
      </c>
      <c r="C865" s="37"/>
      <c r="D865" s="37"/>
      <c r="E865" s="37"/>
    </row>
    <row r="866" spans="1:5" ht="12.75" x14ac:dyDescent="0.2">
      <c r="A866" s="37"/>
      <c r="B866" s="36" t="s">
        <v>400</v>
      </c>
      <c r="C866" s="37"/>
      <c r="D866" s="37"/>
      <c r="E866" s="37"/>
    </row>
    <row r="867" spans="1:5" ht="12.75" x14ac:dyDescent="0.2">
      <c r="A867" s="37"/>
      <c r="B867" s="36" t="s">
        <v>401</v>
      </c>
      <c r="C867" s="36" t="s">
        <v>256</v>
      </c>
      <c r="D867" s="37"/>
      <c r="E867" s="37"/>
    </row>
    <row r="868" spans="1:5" ht="12.75" x14ac:dyDescent="0.2">
      <c r="A868" s="36" t="s">
        <v>695</v>
      </c>
      <c r="B868" s="36" t="s">
        <v>402</v>
      </c>
      <c r="C868" s="36" t="s">
        <v>258</v>
      </c>
      <c r="D868" s="37"/>
      <c r="E868" s="37"/>
    </row>
    <row r="869" spans="1:5" ht="12.75" x14ac:dyDescent="0.2">
      <c r="A869" s="36" t="s">
        <v>696</v>
      </c>
      <c r="B869" s="37"/>
      <c r="C869" s="37"/>
      <c r="D869" s="37"/>
      <c r="E869" s="37"/>
    </row>
    <row r="870" spans="1:5" ht="12.75" x14ac:dyDescent="0.2">
      <c r="A870" s="36" t="s">
        <v>697</v>
      </c>
      <c r="B870" s="37"/>
      <c r="C870" s="37"/>
      <c r="D870" s="37"/>
      <c r="E870" s="37"/>
    </row>
    <row r="871" spans="1:5" ht="12.75" x14ac:dyDescent="0.2">
      <c r="A871" s="36" t="s">
        <v>227</v>
      </c>
      <c r="B871" s="37"/>
      <c r="C871" s="37"/>
      <c r="D871" s="37"/>
      <c r="E871" s="37"/>
    </row>
    <row r="872" spans="1:5" ht="12.75" x14ac:dyDescent="0.2">
      <c r="A872" s="37"/>
      <c r="B872" s="36" t="s">
        <v>422</v>
      </c>
      <c r="C872" s="36" t="s">
        <v>423</v>
      </c>
      <c r="D872" s="36" t="s">
        <v>424</v>
      </c>
      <c r="E872" s="37"/>
    </row>
    <row r="873" spans="1:5" ht="12.75" x14ac:dyDescent="0.2">
      <c r="A873" s="37"/>
      <c r="B873" s="36" t="s">
        <v>403</v>
      </c>
      <c r="C873" s="36" t="s">
        <v>260</v>
      </c>
      <c r="D873" s="36" t="s">
        <v>261</v>
      </c>
      <c r="E873" s="37"/>
    </row>
    <row r="874" spans="1:5" ht="12.75" x14ac:dyDescent="0.2">
      <c r="A874" s="37"/>
      <c r="B874" s="36" t="s">
        <v>403</v>
      </c>
      <c r="C874" s="36" t="s">
        <v>271</v>
      </c>
      <c r="D874" s="36" t="s">
        <v>272</v>
      </c>
      <c r="E874" s="37"/>
    </row>
    <row r="875" spans="1:5" ht="12.75" x14ac:dyDescent="0.2">
      <c r="A875" s="37"/>
      <c r="B875" s="36" t="s">
        <v>403</v>
      </c>
      <c r="C875" s="36" t="s">
        <v>275</v>
      </c>
      <c r="D875" s="36" t="s">
        <v>276</v>
      </c>
      <c r="E875" s="37"/>
    </row>
    <row r="876" spans="1:5" ht="12.75" x14ac:dyDescent="0.2">
      <c r="A876" s="37"/>
      <c r="B876" s="36" t="s">
        <v>403</v>
      </c>
      <c r="C876" s="36" t="s">
        <v>278</v>
      </c>
      <c r="D876" s="36" t="s">
        <v>279</v>
      </c>
      <c r="E876" s="37"/>
    </row>
    <row r="877" spans="1:5" ht="12.75" x14ac:dyDescent="0.2">
      <c r="A877" s="37"/>
      <c r="B877" s="36" t="s">
        <v>403</v>
      </c>
      <c r="C877" s="36" t="s">
        <v>281</v>
      </c>
      <c r="D877" s="36" t="s">
        <v>282</v>
      </c>
      <c r="E877" s="37"/>
    </row>
    <row r="878" spans="1:5" ht="12.75" x14ac:dyDescent="0.2">
      <c r="A878" s="37"/>
      <c r="B878" s="36" t="s">
        <v>403</v>
      </c>
      <c r="C878" s="36" t="s">
        <v>285</v>
      </c>
      <c r="D878" s="36" t="s">
        <v>286</v>
      </c>
      <c r="E878" s="37"/>
    </row>
    <row r="879" spans="1:5" ht="12.75" x14ac:dyDescent="0.2">
      <c r="A879" s="37"/>
      <c r="B879" s="36" t="s">
        <v>403</v>
      </c>
      <c r="C879" s="36" t="s">
        <v>288</v>
      </c>
      <c r="D879" s="36" t="s">
        <v>289</v>
      </c>
      <c r="E879" s="37"/>
    </row>
    <row r="880" spans="1:5" ht="12.75" x14ac:dyDescent="0.2">
      <c r="A880" s="37"/>
      <c r="B880" s="36" t="s">
        <v>403</v>
      </c>
      <c r="C880" s="36" t="s">
        <v>293</v>
      </c>
      <c r="D880" s="36" t="s">
        <v>294</v>
      </c>
      <c r="E880" s="37"/>
    </row>
    <row r="881" spans="1:5" ht="12.75" x14ac:dyDescent="0.2">
      <c r="A881" s="37"/>
      <c r="B881" s="36" t="s">
        <v>403</v>
      </c>
      <c r="C881" s="36" t="s">
        <v>296</v>
      </c>
      <c r="D881" s="36" t="s">
        <v>297</v>
      </c>
      <c r="E881" s="37"/>
    </row>
    <row r="882" spans="1:5" ht="12.75" x14ac:dyDescent="0.2">
      <c r="A882" s="37"/>
      <c r="B882" s="36" t="s">
        <v>403</v>
      </c>
      <c r="C882" s="36" t="s">
        <v>32</v>
      </c>
      <c r="D882" s="36" t="s">
        <v>29</v>
      </c>
      <c r="E882" s="37"/>
    </row>
    <row r="883" spans="1:5" ht="12.75" x14ac:dyDescent="0.2">
      <c r="A883" s="37"/>
      <c r="B883" s="37"/>
      <c r="C883" s="37"/>
      <c r="D883" s="37"/>
      <c r="E883" s="37"/>
    </row>
    <row r="884" spans="1:5" ht="12.75" x14ac:dyDescent="0.2">
      <c r="A884" s="36" t="s">
        <v>305</v>
      </c>
      <c r="B884" s="37"/>
      <c r="C884" s="37"/>
      <c r="D884" s="37"/>
      <c r="E884" s="37"/>
    </row>
    <row r="885" spans="1:5" ht="12.75" x14ac:dyDescent="0.2">
      <c r="A885" s="37"/>
      <c r="B885" s="36" t="s">
        <v>398</v>
      </c>
      <c r="C885" s="37"/>
      <c r="D885" s="37"/>
      <c r="E885" s="37"/>
    </row>
    <row r="886" spans="1:5" ht="12.75" x14ac:dyDescent="0.2">
      <c r="A886" s="37"/>
      <c r="B886" s="36" t="s">
        <v>399</v>
      </c>
      <c r="C886" s="37"/>
      <c r="D886" s="37"/>
      <c r="E886" s="37"/>
    </row>
    <row r="887" spans="1:5" ht="12.75" x14ac:dyDescent="0.2">
      <c r="A887" s="37"/>
      <c r="B887" s="36" t="s">
        <v>400</v>
      </c>
      <c r="C887" s="37"/>
      <c r="D887" s="37"/>
      <c r="E887" s="37"/>
    </row>
    <row r="888" spans="1:5" ht="12.75" x14ac:dyDescent="0.2">
      <c r="A888" s="37"/>
      <c r="B888" s="36" t="s">
        <v>401</v>
      </c>
      <c r="C888" s="36" t="s">
        <v>305</v>
      </c>
      <c r="D888" s="37"/>
      <c r="E888" s="37"/>
    </row>
    <row r="889" spans="1:5" ht="25.5" x14ac:dyDescent="0.2">
      <c r="A889" s="36" t="s">
        <v>698</v>
      </c>
      <c r="B889" s="36" t="s">
        <v>402</v>
      </c>
      <c r="C889" s="36" t="s">
        <v>490</v>
      </c>
      <c r="D889" s="37"/>
      <c r="E889" s="37"/>
    </row>
    <row r="890" spans="1:5" ht="38.25" x14ac:dyDescent="0.2">
      <c r="A890" s="36" t="s">
        <v>699</v>
      </c>
      <c r="B890" s="36" t="s">
        <v>402</v>
      </c>
      <c r="C890" s="36" t="s">
        <v>749</v>
      </c>
      <c r="D890" s="37"/>
      <c r="E890" s="37"/>
    </row>
    <row r="891" spans="1:5" ht="12.75" x14ac:dyDescent="0.2">
      <c r="A891" s="36" t="s">
        <v>700</v>
      </c>
      <c r="B891" s="37"/>
      <c r="C891" s="37"/>
      <c r="D891" s="37"/>
      <c r="E891" s="37"/>
    </row>
    <row r="892" spans="1:5" ht="12.75" x14ac:dyDescent="0.2">
      <c r="A892" s="36" t="s">
        <v>304</v>
      </c>
      <c r="B892" s="37"/>
      <c r="C892" s="37"/>
      <c r="D892" s="37"/>
      <c r="E892" s="37"/>
    </row>
    <row r="893" spans="1:5" ht="12.75" x14ac:dyDescent="0.2">
      <c r="A893" s="37"/>
      <c r="B893" s="36" t="s">
        <v>422</v>
      </c>
      <c r="C893" s="36" t="s">
        <v>488</v>
      </c>
      <c r="D893" s="36" t="s">
        <v>489</v>
      </c>
      <c r="E893" s="37"/>
    </row>
    <row r="894" spans="1:5" ht="12.75" x14ac:dyDescent="0.2">
      <c r="A894" s="37"/>
      <c r="B894" s="36" t="s">
        <v>403</v>
      </c>
      <c r="C894" s="36" t="s">
        <v>24</v>
      </c>
      <c r="D894" s="36" t="s">
        <v>26</v>
      </c>
      <c r="E894" s="37"/>
    </row>
    <row r="895" spans="1:5" ht="12.75" x14ac:dyDescent="0.2">
      <c r="A895" s="37"/>
      <c r="B895" s="36" t="s">
        <v>403</v>
      </c>
      <c r="C895" s="36" t="s">
        <v>32</v>
      </c>
      <c r="D895" s="36" t="s">
        <v>29</v>
      </c>
      <c r="E895" s="37"/>
    </row>
    <row r="896" spans="1:5" ht="12.75" x14ac:dyDescent="0.2">
      <c r="A896" s="37"/>
      <c r="B896" s="36" t="s">
        <v>403</v>
      </c>
      <c r="C896" s="36" t="s">
        <v>25</v>
      </c>
      <c r="D896" s="36" t="s">
        <v>27</v>
      </c>
      <c r="E896" s="37"/>
    </row>
    <row r="897" spans="1:5" ht="12.75" x14ac:dyDescent="0.2">
      <c r="A897" s="37"/>
      <c r="B897" s="36" t="s">
        <v>403</v>
      </c>
      <c r="C897" s="36" t="s">
        <v>30</v>
      </c>
      <c r="D897" s="36" t="s">
        <v>31</v>
      </c>
      <c r="E897" s="37"/>
    </row>
    <row r="898" spans="1:5" ht="12.75" x14ac:dyDescent="0.2">
      <c r="A898" s="37"/>
      <c r="B898" s="37"/>
      <c r="C898" s="37"/>
      <c r="D898" s="37"/>
      <c r="E898" s="37"/>
    </row>
    <row r="899" spans="1:5" ht="12.75" x14ac:dyDescent="0.2">
      <c r="A899" s="36" t="s">
        <v>313</v>
      </c>
      <c r="B899" s="37"/>
      <c r="C899" s="37"/>
      <c r="D899" s="37"/>
      <c r="E899" s="37"/>
    </row>
    <row r="900" spans="1:5" ht="12.75" x14ac:dyDescent="0.2">
      <c r="A900" s="37"/>
      <c r="B900" s="36" t="s">
        <v>398</v>
      </c>
      <c r="C900" s="37"/>
      <c r="D900" s="37"/>
      <c r="E900" s="37"/>
    </row>
    <row r="901" spans="1:5" ht="12.75" x14ac:dyDescent="0.2">
      <c r="A901" s="37"/>
      <c r="B901" s="36" t="s">
        <v>399</v>
      </c>
      <c r="C901" s="37"/>
      <c r="D901" s="37"/>
      <c r="E901" s="37"/>
    </row>
    <row r="902" spans="1:5" ht="12.75" x14ac:dyDescent="0.2">
      <c r="A902" s="37"/>
      <c r="B902" s="36" t="s">
        <v>400</v>
      </c>
      <c r="C902" s="37"/>
      <c r="D902" s="37"/>
      <c r="E902" s="37"/>
    </row>
    <row r="903" spans="1:5" ht="12.75" x14ac:dyDescent="0.2">
      <c r="A903" s="37"/>
      <c r="B903" s="36" t="s">
        <v>401</v>
      </c>
      <c r="C903" s="36" t="s">
        <v>313</v>
      </c>
      <c r="D903" s="37"/>
      <c r="E903" s="37"/>
    </row>
    <row r="904" spans="1:5" ht="25.5" x14ac:dyDescent="0.2">
      <c r="A904" s="36" t="s">
        <v>701</v>
      </c>
      <c r="B904" s="36" t="s">
        <v>402</v>
      </c>
      <c r="C904" s="36" t="s">
        <v>544</v>
      </c>
      <c r="D904" s="37"/>
      <c r="E904" s="37"/>
    </row>
    <row r="905" spans="1:5" ht="12.75" x14ac:dyDescent="0.2">
      <c r="A905" s="36" t="s">
        <v>702</v>
      </c>
      <c r="B905" s="36" t="s">
        <v>402</v>
      </c>
      <c r="C905" s="36" t="s">
        <v>19</v>
      </c>
      <c r="D905" s="37"/>
      <c r="E905" s="37"/>
    </row>
    <row r="906" spans="1:5" ht="12.75" x14ac:dyDescent="0.2">
      <c r="A906" s="36" t="s">
        <v>703</v>
      </c>
      <c r="B906" s="37"/>
      <c r="C906" s="37"/>
      <c r="D906" s="37"/>
      <c r="E906" s="37"/>
    </row>
    <row r="907" spans="1:5" ht="12.75" x14ac:dyDescent="0.2">
      <c r="A907" s="36" t="s">
        <v>312</v>
      </c>
      <c r="B907" s="37"/>
      <c r="C907" s="37"/>
      <c r="D907" s="37"/>
      <c r="E907" s="37"/>
    </row>
    <row r="908" spans="1:5" ht="12.75" x14ac:dyDescent="0.2">
      <c r="A908" s="37"/>
      <c r="B908" s="36" t="s">
        <v>403</v>
      </c>
      <c r="C908" s="36" t="s">
        <v>24</v>
      </c>
      <c r="D908" s="36" t="s">
        <v>26</v>
      </c>
      <c r="E908" s="37"/>
    </row>
    <row r="909" spans="1:5" ht="12.75" x14ac:dyDescent="0.2">
      <c r="A909" s="37"/>
      <c r="B909" s="36" t="s">
        <v>403</v>
      </c>
      <c r="C909" s="36" t="s">
        <v>32</v>
      </c>
      <c r="D909" s="36" t="s">
        <v>29</v>
      </c>
      <c r="E909" s="37"/>
    </row>
    <row r="910" spans="1:5" ht="12.75" x14ac:dyDescent="0.2">
      <c r="A910" s="37"/>
      <c r="B910" s="36" t="s">
        <v>403</v>
      </c>
      <c r="C910" s="36" t="s">
        <v>25</v>
      </c>
      <c r="D910" s="36" t="s">
        <v>27</v>
      </c>
      <c r="E910" s="37"/>
    </row>
    <row r="911" spans="1:5" ht="12.75" x14ac:dyDescent="0.2">
      <c r="A911" s="37"/>
      <c r="B911" s="36" t="s">
        <v>403</v>
      </c>
      <c r="C911" s="36" t="s">
        <v>30</v>
      </c>
      <c r="D911" s="36" t="s">
        <v>31</v>
      </c>
      <c r="E911" s="37"/>
    </row>
    <row r="912" spans="1:5" ht="12.75" x14ac:dyDescent="0.2">
      <c r="A912" s="37"/>
      <c r="B912" s="37"/>
      <c r="C912" s="37"/>
      <c r="D912" s="37"/>
      <c r="E912" s="37"/>
    </row>
    <row r="913" spans="1:5" ht="12.75" x14ac:dyDescent="0.2">
      <c r="A913" s="36" t="s">
        <v>318</v>
      </c>
      <c r="B913" s="37"/>
      <c r="C913" s="37"/>
      <c r="D913" s="37"/>
      <c r="E913" s="37"/>
    </row>
    <row r="914" spans="1:5" ht="12.75" x14ac:dyDescent="0.2">
      <c r="A914" s="37"/>
      <c r="B914" s="36" t="s">
        <v>398</v>
      </c>
      <c r="C914" s="37"/>
      <c r="D914" s="37"/>
      <c r="E914" s="37"/>
    </row>
    <row r="915" spans="1:5" ht="12.75" x14ac:dyDescent="0.2">
      <c r="A915" s="37"/>
      <c r="B915" s="36" t="s">
        <v>399</v>
      </c>
      <c r="C915" s="37"/>
      <c r="D915" s="37"/>
      <c r="E915" s="37"/>
    </row>
    <row r="916" spans="1:5" ht="12.75" x14ac:dyDescent="0.2">
      <c r="A916" s="37"/>
      <c r="B916" s="36" t="s">
        <v>400</v>
      </c>
      <c r="C916" s="37"/>
      <c r="D916" s="37"/>
      <c r="E916" s="37"/>
    </row>
    <row r="917" spans="1:5" ht="12.75" x14ac:dyDescent="0.2">
      <c r="A917" s="37"/>
      <c r="B917" s="36" t="s">
        <v>401</v>
      </c>
      <c r="C917" s="36" t="s">
        <v>318</v>
      </c>
      <c r="D917" s="37"/>
      <c r="E917" s="37"/>
    </row>
    <row r="918" spans="1:5" ht="25.5" x14ac:dyDescent="0.2">
      <c r="A918" s="36" t="s">
        <v>704</v>
      </c>
      <c r="B918" s="36" t="s">
        <v>402</v>
      </c>
      <c r="C918" s="36" t="s">
        <v>586</v>
      </c>
      <c r="D918" s="37"/>
      <c r="E918" s="37"/>
    </row>
    <row r="919" spans="1:5" ht="12.75" x14ac:dyDescent="0.2">
      <c r="A919" s="36" t="s">
        <v>705</v>
      </c>
      <c r="B919" s="36" t="s">
        <v>402</v>
      </c>
      <c r="C919" s="36" t="s">
        <v>19</v>
      </c>
      <c r="D919" s="37"/>
      <c r="E919" s="37"/>
    </row>
    <row r="920" spans="1:5" ht="12.75" x14ac:dyDescent="0.2">
      <c r="A920" s="36" t="s">
        <v>706</v>
      </c>
      <c r="B920" s="37"/>
      <c r="C920" s="37"/>
      <c r="D920" s="37"/>
      <c r="E920" s="37"/>
    </row>
    <row r="921" spans="1:5" ht="12.75" x14ac:dyDescent="0.2">
      <c r="A921" s="36" t="s">
        <v>707</v>
      </c>
      <c r="B921" s="37"/>
      <c r="C921" s="37"/>
      <c r="D921" s="37"/>
      <c r="E921" s="37"/>
    </row>
    <row r="922" spans="1:5" ht="12.75" x14ac:dyDescent="0.2">
      <c r="A922" s="36" t="s">
        <v>708</v>
      </c>
      <c r="B922" s="37"/>
      <c r="C922" s="37"/>
      <c r="D922" s="37"/>
      <c r="E922" s="37"/>
    </row>
    <row r="923" spans="1:5" ht="12.75" x14ac:dyDescent="0.2">
      <c r="A923" s="36" t="s">
        <v>317</v>
      </c>
      <c r="B923" s="37"/>
      <c r="C923" s="37"/>
      <c r="D923" s="37"/>
      <c r="E923" s="37"/>
    </row>
    <row r="924" spans="1:5" ht="12.75" x14ac:dyDescent="0.2">
      <c r="A924" s="37"/>
      <c r="B924" s="36" t="s">
        <v>403</v>
      </c>
      <c r="C924" s="36" t="s">
        <v>24</v>
      </c>
      <c r="D924" s="36" t="s">
        <v>26</v>
      </c>
      <c r="E924" s="37"/>
    </row>
    <row r="925" spans="1:5" ht="12.75" x14ac:dyDescent="0.2">
      <c r="A925" s="37"/>
      <c r="B925" s="36" t="s">
        <v>403</v>
      </c>
      <c r="C925" s="36" t="s">
        <v>32</v>
      </c>
      <c r="D925" s="36" t="s">
        <v>29</v>
      </c>
      <c r="E925" s="37"/>
    </row>
    <row r="926" spans="1:5" ht="12.75" x14ac:dyDescent="0.2">
      <c r="A926" s="37"/>
      <c r="B926" s="36" t="s">
        <v>403</v>
      </c>
      <c r="C926" s="36" t="s">
        <v>25</v>
      </c>
      <c r="D926" s="36" t="s">
        <v>27</v>
      </c>
      <c r="E926" s="37"/>
    </row>
    <row r="927" spans="1:5" ht="12.75" x14ac:dyDescent="0.2">
      <c r="A927" s="37"/>
      <c r="B927" s="36" t="s">
        <v>403</v>
      </c>
      <c r="C927" s="36" t="s">
        <v>30</v>
      </c>
      <c r="D927" s="36" t="s">
        <v>31</v>
      </c>
      <c r="E927" s="37"/>
    </row>
    <row r="928" spans="1:5" ht="12.75" x14ac:dyDescent="0.2">
      <c r="A928" s="37"/>
      <c r="B928" s="37"/>
      <c r="C928" s="37"/>
      <c r="D928" s="37"/>
      <c r="E928" s="37"/>
    </row>
    <row r="929" spans="1:5" ht="12.75" x14ac:dyDescent="0.2">
      <c r="A929" s="36" t="s">
        <v>321</v>
      </c>
      <c r="B929" s="37"/>
      <c r="C929" s="37"/>
      <c r="D929" s="37"/>
      <c r="E929" s="37"/>
    </row>
    <row r="930" spans="1:5" ht="12.75" x14ac:dyDescent="0.2">
      <c r="A930" s="37"/>
      <c r="B930" s="36" t="s">
        <v>398</v>
      </c>
      <c r="C930" s="37"/>
      <c r="D930" s="37"/>
      <c r="E930" s="37"/>
    </row>
    <row r="931" spans="1:5" ht="12.75" x14ac:dyDescent="0.2">
      <c r="A931" s="37"/>
      <c r="B931" s="36" t="s">
        <v>399</v>
      </c>
      <c r="C931" s="37"/>
      <c r="D931" s="37"/>
      <c r="E931" s="37"/>
    </row>
    <row r="932" spans="1:5" ht="12.75" x14ac:dyDescent="0.2">
      <c r="A932" s="37"/>
      <c r="B932" s="36" t="s">
        <v>400</v>
      </c>
      <c r="C932" s="37"/>
      <c r="D932" s="37"/>
      <c r="E932" s="37"/>
    </row>
    <row r="933" spans="1:5" ht="12.75" x14ac:dyDescent="0.2">
      <c r="A933" s="37"/>
      <c r="B933" s="36" t="s">
        <v>401</v>
      </c>
      <c r="C933" s="36" t="s">
        <v>321</v>
      </c>
      <c r="D933" s="37"/>
      <c r="E933" s="37"/>
    </row>
    <row r="934" spans="1:5" ht="38.25" x14ac:dyDescent="0.2">
      <c r="A934" s="36" t="s">
        <v>709</v>
      </c>
      <c r="B934" s="36" t="s">
        <v>402</v>
      </c>
      <c r="C934" s="36" t="s">
        <v>710</v>
      </c>
      <c r="D934" s="37"/>
      <c r="E934" s="37"/>
    </row>
    <row r="935" spans="1:5" ht="12.75" x14ac:dyDescent="0.2">
      <c r="A935" s="36" t="s">
        <v>711</v>
      </c>
      <c r="B935" s="36" t="s">
        <v>402</v>
      </c>
      <c r="C935" s="36" t="s">
        <v>19</v>
      </c>
      <c r="D935" s="37"/>
      <c r="E935" s="37"/>
    </row>
    <row r="936" spans="1:5" ht="12.75" x14ac:dyDescent="0.2">
      <c r="A936" s="36" t="s">
        <v>712</v>
      </c>
      <c r="B936" s="37"/>
      <c r="C936" s="37"/>
      <c r="D936" s="37"/>
      <c r="E936" s="37"/>
    </row>
    <row r="937" spans="1:5" ht="12.75" x14ac:dyDescent="0.2">
      <c r="A937" s="36" t="s">
        <v>320</v>
      </c>
      <c r="B937" s="37"/>
      <c r="C937" s="37"/>
      <c r="D937" s="37"/>
      <c r="E937" s="37"/>
    </row>
    <row r="938" spans="1:5" ht="12.75" x14ac:dyDescent="0.2">
      <c r="A938" s="37"/>
      <c r="B938" s="36" t="s">
        <v>403</v>
      </c>
      <c r="C938" s="36" t="s">
        <v>24</v>
      </c>
      <c r="D938" s="36" t="s">
        <v>26</v>
      </c>
      <c r="E938" s="37"/>
    </row>
    <row r="939" spans="1:5" ht="12.75" x14ac:dyDescent="0.2">
      <c r="A939" s="37"/>
      <c r="B939" s="36" t="s">
        <v>403</v>
      </c>
      <c r="C939" s="36" t="s">
        <v>32</v>
      </c>
      <c r="D939" s="36" t="s">
        <v>29</v>
      </c>
      <c r="E939" s="37"/>
    </row>
    <row r="940" spans="1:5" ht="12.75" x14ac:dyDescent="0.2">
      <c r="A940" s="37"/>
      <c r="B940" s="36" t="s">
        <v>403</v>
      </c>
      <c r="C940" s="36" t="s">
        <v>25</v>
      </c>
      <c r="D940" s="36" t="s">
        <v>27</v>
      </c>
      <c r="E940" s="37"/>
    </row>
    <row r="941" spans="1:5" ht="12.75" x14ac:dyDescent="0.2">
      <c r="A941" s="37"/>
      <c r="B941" s="36" t="s">
        <v>403</v>
      </c>
      <c r="C941" s="36" t="s">
        <v>30</v>
      </c>
      <c r="D941" s="36" t="s">
        <v>31</v>
      </c>
      <c r="E941" s="37"/>
    </row>
    <row r="942" spans="1:5" ht="12.75" x14ac:dyDescent="0.2">
      <c r="A942" s="37"/>
      <c r="B942" s="37"/>
      <c r="C942" s="37"/>
      <c r="D942" s="37"/>
      <c r="E942" s="37"/>
    </row>
    <row r="943" spans="1:5" ht="12.75" x14ac:dyDescent="0.2">
      <c r="A943" s="36" t="s">
        <v>300</v>
      </c>
      <c r="B943" s="37"/>
      <c r="C943" s="37"/>
      <c r="D943" s="37"/>
      <c r="E943" s="37"/>
    </row>
    <row r="944" spans="1:5" ht="12.75" x14ac:dyDescent="0.2">
      <c r="A944" s="37"/>
      <c r="B944" s="36" t="s">
        <v>398</v>
      </c>
      <c r="C944" s="37"/>
      <c r="D944" s="37"/>
      <c r="E944" s="37"/>
    </row>
    <row r="945" spans="1:5" ht="12.75" x14ac:dyDescent="0.2">
      <c r="A945" s="37"/>
      <c r="B945" s="36" t="s">
        <v>399</v>
      </c>
      <c r="C945" s="37"/>
      <c r="D945" s="37"/>
      <c r="E945" s="37"/>
    </row>
    <row r="946" spans="1:5" ht="12.75" x14ac:dyDescent="0.2">
      <c r="A946" s="37"/>
      <c r="B946" s="36" t="s">
        <v>400</v>
      </c>
      <c r="C946" s="37"/>
      <c r="D946" s="37"/>
      <c r="E946" s="37"/>
    </row>
    <row r="947" spans="1:5" ht="12.75" x14ac:dyDescent="0.2">
      <c r="A947" s="37"/>
      <c r="B947" s="36" t="s">
        <v>401</v>
      </c>
      <c r="C947" s="36" t="s">
        <v>300</v>
      </c>
      <c r="D947" s="37"/>
      <c r="E947" s="37"/>
    </row>
    <row r="948" spans="1:5" ht="12.75" x14ac:dyDescent="0.2">
      <c r="A948" s="36" t="s">
        <v>713</v>
      </c>
      <c r="B948" s="36" t="s">
        <v>402</v>
      </c>
      <c r="C948" s="36" t="s">
        <v>302</v>
      </c>
      <c r="D948" s="37"/>
      <c r="E948" s="37"/>
    </row>
    <row r="949" spans="1:5" ht="12.75" x14ac:dyDescent="0.2">
      <c r="A949" s="36" t="s">
        <v>714</v>
      </c>
      <c r="B949" s="37"/>
      <c r="C949" s="37"/>
      <c r="D949" s="37"/>
      <c r="E949" s="37"/>
    </row>
    <row r="950" spans="1:5" ht="12.75" x14ac:dyDescent="0.2">
      <c r="A950" s="36" t="s">
        <v>715</v>
      </c>
      <c r="B950" s="37"/>
      <c r="C950" s="37"/>
      <c r="D950" s="37"/>
      <c r="E950" s="37"/>
    </row>
    <row r="951" spans="1:5" ht="12.75" x14ac:dyDescent="0.2">
      <c r="A951" s="36" t="s">
        <v>716</v>
      </c>
      <c r="B951" s="37"/>
      <c r="C951" s="37"/>
      <c r="D951" s="37"/>
      <c r="E951" s="37"/>
    </row>
    <row r="952" spans="1:5" ht="12.75" x14ac:dyDescent="0.2">
      <c r="A952" s="36" t="s">
        <v>229</v>
      </c>
      <c r="B952" s="37"/>
      <c r="C952" s="37"/>
      <c r="D952" s="37"/>
      <c r="E952" s="37"/>
    </row>
    <row r="953" spans="1:5" ht="12.75" x14ac:dyDescent="0.2">
      <c r="A953" s="37"/>
      <c r="B953" s="36" t="s">
        <v>403</v>
      </c>
      <c r="C953" s="36" t="s">
        <v>304</v>
      </c>
      <c r="D953" s="36" t="s">
        <v>305</v>
      </c>
      <c r="E953" s="37"/>
    </row>
    <row r="954" spans="1:5" ht="12.75" x14ac:dyDescent="0.2">
      <c r="A954" s="37"/>
      <c r="B954" s="36" t="s">
        <v>403</v>
      </c>
      <c r="C954" s="36" t="s">
        <v>312</v>
      </c>
      <c r="D954" s="36" t="s">
        <v>313</v>
      </c>
      <c r="E954" s="37"/>
    </row>
    <row r="955" spans="1:5" ht="12.75" x14ac:dyDescent="0.2">
      <c r="A955" s="37"/>
      <c r="B955" s="36" t="s">
        <v>403</v>
      </c>
      <c r="C955" s="36" t="s">
        <v>317</v>
      </c>
      <c r="D955" s="36" t="s">
        <v>318</v>
      </c>
      <c r="E955" s="37"/>
    </row>
    <row r="956" spans="1:5" ht="12.75" x14ac:dyDescent="0.2">
      <c r="A956" s="37"/>
      <c r="B956" s="36" t="s">
        <v>403</v>
      </c>
      <c r="C956" s="36" t="s">
        <v>320</v>
      </c>
      <c r="D956" s="36" t="s">
        <v>321</v>
      </c>
      <c r="E956" s="37"/>
    </row>
    <row r="957" spans="1:5" ht="12.75" x14ac:dyDescent="0.2">
      <c r="A957" s="37"/>
      <c r="B957" s="36" t="s">
        <v>403</v>
      </c>
      <c r="C957" s="36" t="s">
        <v>32</v>
      </c>
      <c r="D957" s="36" t="s">
        <v>29</v>
      </c>
      <c r="E957" s="37"/>
    </row>
    <row r="958" spans="1:5" ht="12.75" x14ac:dyDescent="0.2">
      <c r="A958" s="37"/>
      <c r="B958" s="37"/>
      <c r="C958" s="37"/>
      <c r="D958" s="37"/>
      <c r="E958" s="37"/>
    </row>
    <row r="959" spans="1:5" ht="12.75" x14ac:dyDescent="0.2">
      <c r="A959" s="36" t="s">
        <v>330</v>
      </c>
      <c r="B959" s="37"/>
      <c r="C959" s="37"/>
      <c r="D959" s="37"/>
      <c r="E959" s="37"/>
    </row>
    <row r="960" spans="1:5" ht="12.75" x14ac:dyDescent="0.2">
      <c r="A960" s="37"/>
      <c r="B960" s="36" t="s">
        <v>398</v>
      </c>
      <c r="C960" s="37"/>
      <c r="D960" s="37"/>
      <c r="E960" s="37"/>
    </row>
    <row r="961" spans="1:5" ht="12.75" x14ac:dyDescent="0.2">
      <c r="A961" s="37"/>
      <c r="B961" s="36" t="s">
        <v>399</v>
      </c>
      <c r="C961" s="37"/>
      <c r="D961" s="37"/>
      <c r="E961" s="37"/>
    </row>
    <row r="962" spans="1:5" ht="12.75" x14ac:dyDescent="0.2">
      <c r="A962" s="37"/>
      <c r="B962" s="36" t="s">
        <v>400</v>
      </c>
      <c r="C962" s="37"/>
      <c r="D962" s="37"/>
      <c r="E962" s="37"/>
    </row>
    <row r="963" spans="1:5" ht="12.75" x14ac:dyDescent="0.2">
      <c r="A963" s="37"/>
      <c r="B963" s="36" t="s">
        <v>401</v>
      </c>
      <c r="C963" s="36" t="s">
        <v>330</v>
      </c>
      <c r="D963" s="37"/>
      <c r="E963" s="37"/>
    </row>
    <row r="964" spans="1:5" ht="25.5" x14ac:dyDescent="0.2">
      <c r="A964" s="36" t="s">
        <v>718</v>
      </c>
      <c r="B964" s="36" t="s">
        <v>402</v>
      </c>
      <c r="C964" s="36" t="s">
        <v>694</v>
      </c>
      <c r="D964" s="37"/>
      <c r="E964" s="37"/>
    </row>
    <row r="965" spans="1:5" ht="12.75" x14ac:dyDescent="0.2">
      <c r="A965" s="36" t="s">
        <v>719</v>
      </c>
      <c r="B965" s="36" t="s">
        <v>402</v>
      </c>
      <c r="C965" s="36" t="s">
        <v>19</v>
      </c>
      <c r="D965" s="37"/>
      <c r="E965" s="37"/>
    </row>
    <row r="966" spans="1:5" ht="12.75" x14ac:dyDescent="0.2">
      <c r="A966" s="36" t="s">
        <v>720</v>
      </c>
      <c r="B966" s="37"/>
      <c r="C966" s="37"/>
      <c r="D966" s="37"/>
      <c r="E966" s="37"/>
    </row>
    <row r="967" spans="1:5" ht="12.75" x14ac:dyDescent="0.2">
      <c r="A967" s="36" t="s">
        <v>721</v>
      </c>
      <c r="B967" s="37"/>
      <c r="C967" s="37"/>
      <c r="D967" s="37"/>
      <c r="E967" s="37"/>
    </row>
    <row r="968" spans="1:5" ht="12.75" x14ac:dyDescent="0.2">
      <c r="A968" s="36" t="s">
        <v>722</v>
      </c>
      <c r="B968" s="37"/>
      <c r="C968" s="37"/>
      <c r="D968" s="37"/>
      <c r="E968" s="37"/>
    </row>
    <row r="969" spans="1:5" ht="12.75" x14ac:dyDescent="0.2">
      <c r="A969" s="36" t="s">
        <v>329</v>
      </c>
      <c r="B969" s="37"/>
      <c r="C969" s="37"/>
      <c r="D969" s="37"/>
      <c r="E969" s="37"/>
    </row>
    <row r="970" spans="1:5" ht="12.75" x14ac:dyDescent="0.2">
      <c r="A970" s="37"/>
      <c r="B970" s="36" t="s">
        <v>403</v>
      </c>
      <c r="C970" s="36" t="s">
        <v>24</v>
      </c>
      <c r="D970" s="36" t="s">
        <v>26</v>
      </c>
      <c r="E970" s="37"/>
    </row>
    <row r="971" spans="1:5" ht="12.75" x14ac:dyDescent="0.2">
      <c r="A971" s="37"/>
      <c r="B971" s="36" t="s">
        <v>403</v>
      </c>
      <c r="C971" s="36" t="s">
        <v>32</v>
      </c>
      <c r="D971" s="36" t="s">
        <v>29</v>
      </c>
      <c r="E971" s="37"/>
    </row>
    <row r="972" spans="1:5" ht="12.75" x14ac:dyDescent="0.2">
      <c r="A972" s="37"/>
      <c r="B972" s="36" t="s">
        <v>403</v>
      </c>
      <c r="C972" s="36" t="s">
        <v>25</v>
      </c>
      <c r="D972" s="36" t="s">
        <v>27</v>
      </c>
      <c r="E972" s="37"/>
    </row>
    <row r="973" spans="1:5" ht="12.75" x14ac:dyDescent="0.2">
      <c r="A973" s="37"/>
      <c r="B973" s="36" t="s">
        <v>403</v>
      </c>
      <c r="C973" s="36" t="s">
        <v>30</v>
      </c>
      <c r="D973" s="36" t="s">
        <v>31</v>
      </c>
      <c r="E973" s="37"/>
    </row>
    <row r="974" spans="1:5" ht="12.75" x14ac:dyDescent="0.2">
      <c r="A974" s="37"/>
      <c r="B974" s="37"/>
      <c r="C974" s="37"/>
      <c r="D974" s="37"/>
      <c r="E974" s="37"/>
    </row>
    <row r="975" spans="1:5" ht="12.75" x14ac:dyDescent="0.2">
      <c r="A975" s="36" t="s">
        <v>342</v>
      </c>
      <c r="B975" s="37"/>
      <c r="C975" s="37"/>
      <c r="D975" s="37"/>
      <c r="E975" s="37"/>
    </row>
    <row r="976" spans="1:5" ht="12.75" x14ac:dyDescent="0.2">
      <c r="A976" s="37"/>
      <c r="B976" s="36" t="s">
        <v>398</v>
      </c>
      <c r="C976" s="37"/>
      <c r="D976" s="37"/>
      <c r="E976" s="37"/>
    </row>
    <row r="977" spans="1:5" ht="12.75" x14ac:dyDescent="0.2">
      <c r="A977" s="37"/>
      <c r="B977" s="36" t="s">
        <v>399</v>
      </c>
      <c r="C977" s="37"/>
      <c r="D977" s="37"/>
      <c r="E977" s="37"/>
    </row>
    <row r="978" spans="1:5" ht="12.75" x14ac:dyDescent="0.2">
      <c r="A978" s="37"/>
      <c r="B978" s="36" t="s">
        <v>400</v>
      </c>
      <c r="C978" s="37"/>
      <c r="D978" s="37"/>
      <c r="E978" s="37"/>
    </row>
    <row r="979" spans="1:5" ht="12.75" x14ac:dyDescent="0.2">
      <c r="A979" s="37"/>
      <c r="B979" s="36" t="s">
        <v>401</v>
      </c>
      <c r="C979" s="36" t="s">
        <v>342</v>
      </c>
      <c r="D979" s="37"/>
      <c r="E979" s="37"/>
    </row>
    <row r="980" spans="1:5" ht="12.75" x14ac:dyDescent="0.2">
      <c r="A980" s="36" t="s">
        <v>723</v>
      </c>
      <c r="B980" s="36" t="s">
        <v>402</v>
      </c>
      <c r="C980" s="36" t="s">
        <v>724</v>
      </c>
      <c r="D980" s="37"/>
      <c r="E980" s="37"/>
    </row>
    <row r="981" spans="1:5" ht="12.75" x14ac:dyDescent="0.2">
      <c r="A981" s="36" t="s">
        <v>725</v>
      </c>
      <c r="B981" s="36" t="s">
        <v>402</v>
      </c>
      <c r="C981" s="36" t="s">
        <v>19</v>
      </c>
      <c r="D981" s="37"/>
      <c r="E981" s="37"/>
    </row>
    <row r="982" spans="1:5" ht="12.75" x14ac:dyDescent="0.2">
      <c r="A982" s="36" t="s">
        <v>726</v>
      </c>
      <c r="B982" s="37"/>
      <c r="C982" s="37"/>
      <c r="D982" s="37"/>
      <c r="E982" s="37"/>
    </row>
    <row r="983" spans="1:5" ht="12.75" x14ac:dyDescent="0.2">
      <c r="A983" s="36" t="s">
        <v>727</v>
      </c>
      <c r="B983" s="37"/>
      <c r="C983" s="37"/>
      <c r="D983" s="37"/>
      <c r="E983" s="37"/>
    </row>
    <row r="984" spans="1:5" ht="12.75" x14ac:dyDescent="0.2">
      <c r="A984" s="36" t="s">
        <v>728</v>
      </c>
      <c r="B984" s="37"/>
      <c r="C984" s="37"/>
      <c r="D984" s="37"/>
      <c r="E984" s="37"/>
    </row>
    <row r="985" spans="1:5" ht="12.75" x14ac:dyDescent="0.2">
      <c r="A985" s="36" t="s">
        <v>729</v>
      </c>
      <c r="B985" s="37"/>
      <c r="C985" s="37"/>
      <c r="D985" s="37"/>
      <c r="E985" s="37"/>
    </row>
    <row r="986" spans="1:5" ht="12.75" x14ac:dyDescent="0.2">
      <c r="A986" s="36" t="s">
        <v>730</v>
      </c>
      <c r="B986" s="37"/>
      <c r="C986" s="37"/>
      <c r="D986" s="37"/>
      <c r="E986" s="37"/>
    </row>
    <row r="987" spans="1:5" ht="12.75" x14ac:dyDescent="0.2">
      <c r="A987" s="36" t="s">
        <v>341</v>
      </c>
      <c r="B987" s="37"/>
      <c r="C987" s="37"/>
      <c r="D987" s="37"/>
      <c r="E987" s="37"/>
    </row>
    <row r="988" spans="1:5" ht="12.75" x14ac:dyDescent="0.2">
      <c r="A988" s="37"/>
      <c r="B988" s="36" t="s">
        <v>403</v>
      </c>
      <c r="C988" s="36" t="s">
        <v>24</v>
      </c>
      <c r="D988" s="36" t="s">
        <v>26</v>
      </c>
      <c r="E988" s="37"/>
    </row>
    <row r="989" spans="1:5" ht="12.75" x14ac:dyDescent="0.2">
      <c r="A989" s="37"/>
      <c r="B989" s="36" t="s">
        <v>403</v>
      </c>
      <c r="C989" s="36" t="s">
        <v>32</v>
      </c>
      <c r="D989" s="36" t="s">
        <v>29</v>
      </c>
      <c r="E989" s="37"/>
    </row>
    <row r="990" spans="1:5" ht="12.75" x14ac:dyDescent="0.2">
      <c r="A990" s="37"/>
      <c r="B990" s="36" t="s">
        <v>403</v>
      </c>
      <c r="C990" s="36" t="s">
        <v>25</v>
      </c>
      <c r="D990" s="36" t="s">
        <v>27</v>
      </c>
      <c r="E990" s="37"/>
    </row>
    <row r="991" spans="1:5" ht="12.75" x14ac:dyDescent="0.2">
      <c r="A991" s="37"/>
      <c r="B991" s="36" t="s">
        <v>403</v>
      </c>
      <c r="C991" s="36" t="s">
        <v>30</v>
      </c>
      <c r="D991" s="36" t="s">
        <v>31</v>
      </c>
      <c r="E991" s="37"/>
    </row>
    <row r="992" spans="1:5" ht="12.75" x14ac:dyDescent="0.2">
      <c r="A992" s="37"/>
      <c r="B992" s="37"/>
      <c r="C992" s="37"/>
      <c r="D992" s="37"/>
      <c r="E992" s="37"/>
    </row>
    <row r="993" spans="1:5" ht="12.75" x14ac:dyDescent="0.2">
      <c r="A993" s="36" t="s">
        <v>345</v>
      </c>
      <c r="B993" s="37"/>
      <c r="C993" s="37"/>
      <c r="D993" s="37"/>
      <c r="E993" s="37"/>
    </row>
    <row r="994" spans="1:5" ht="12.75" x14ac:dyDescent="0.2">
      <c r="A994" s="37"/>
      <c r="B994" s="36" t="s">
        <v>398</v>
      </c>
      <c r="C994" s="37"/>
      <c r="D994" s="37"/>
      <c r="E994" s="37"/>
    </row>
    <row r="995" spans="1:5" ht="12.75" x14ac:dyDescent="0.2">
      <c r="A995" s="37"/>
      <c r="B995" s="36" t="s">
        <v>399</v>
      </c>
      <c r="C995" s="37"/>
      <c r="D995" s="37"/>
      <c r="E995" s="37"/>
    </row>
    <row r="996" spans="1:5" ht="12.75" x14ac:dyDescent="0.2">
      <c r="A996" s="37"/>
      <c r="B996" s="36" t="s">
        <v>400</v>
      </c>
      <c r="C996" s="37"/>
      <c r="D996" s="37"/>
      <c r="E996" s="37"/>
    </row>
    <row r="997" spans="1:5" ht="12.75" x14ac:dyDescent="0.2">
      <c r="A997" s="37"/>
      <c r="B997" s="36" t="s">
        <v>401</v>
      </c>
      <c r="C997" s="36" t="s">
        <v>345</v>
      </c>
      <c r="D997" s="37"/>
      <c r="E997" s="37"/>
    </row>
    <row r="998" spans="1:5" ht="12.75" x14ac:dyDescent="0.2">
      <c r="A998" s="36" t="s">
        <v>731</v>
      </c>
      <c r="B998" s="36" t="s">
        <v>402</v>
      </c>
      <c r="C998" s="36" t="s">
        <v>732</v>
      </c>
      <c r="D998" s="37"/>
      <c r="E998" s="37"/>
    </row>
    <row r="999" spans="1:5" ht="12.75" x14ac:dyDescent="0.2">
      <c r="A999" s="36" t="s">
        <v>733</v>
      </c>
      <c r="B999" s="36" t="s">
        <v>402</v>
      </c>
      <c r="C999" s="36" t="s">
        <v>19</v>
      </c>
      <c r="D999" s="37"/>
      <c r="E999" s="37"/>
    </row>
    <row r="1000" spans="1:5" ht="12.75" x14ac:dyDescent="0.2">
      <c r="A1000" s="36" t="s">
        <v>734</v>
      </c>
      <c r="B1000" s="37"/>
      <c r="C1000" s="37"/>
      <c r="D1000" s="37"/>
      <c r="E1000" s="37"/>
    </row>
    <row r="1001" spans="1:5" ht="12.75" x14ac:dyDescent="0.2">
      <c r="A1001" s="36" t="s">
        <v>735</v>
      </c>
      <c r="B1001" s="37"/>
      <c r="C1001" s="37"/>
      <c r="D1001" s="37"/>
      <c r="E1001" s="37"/>
    </row>
    <row r="1002" spans="1:5" ht="12.75" x14ac:dyDescent="0.2">
      <c r="A1002" s="36" t="s">
        <v>736</v>
      </c>
      <c r="B1002" s="37"/>
      <c r="C1002" s="37"/>
      <c r="D1002" s="37"/>
      <c r="E1002" s="37"/>
    </row>
    <row r="1003" spans="1:5" ht="12.75" x14ac:dyDescent="0.2">
      <c r="A1003" s="36" t="s">
        <v>737</v>
      </c>
      <c r="B1003" s="37"/>
      <c r="C1003" s="37"/>
      <c r="D1003" s="37"/>
      <c r="E1003" s="37"/>
    </row>
    <row r="1004" spans="1:5" ht="12.75" x14ac:dyDescent="0.2">
      <c r="A1004" s="36" t="s">
        <v>738</v>
      </c>
      <c r="B1004" s="37"/>
      <c r="C1004" s="37"/>
      <c r="D1004" s="37"/>
      <c r="E1004" s="37"/>
    </row>
    <row r="1005" spans="1:5" ht="12.75" x14ac:dyDescent="0.2">
      <c r="A1005" s="36" t="s">
        <v>739</v>
      </c>
      <c r="B1005" s="37"/>
      <c r="C1005" s="37"/>
      <c r="D1005" s="37"/>
      <c r="E1005" s="37"/>
    </row>
    <row r="1006" spans="1:5" ht="12.75" x14ac:dyDescent="0.2">
      <c r="A1006" s="36" t="s">
        <v>740</v>
      </c>
      <c r="B1006" s="37"/>
      <c r="C1006" s="37"/>
      <c r="D1006" s="37"/>
      <c r="E1006" s="37"/>
    </row>
    <row r="1007" spans="1:5" ht="12.75" x14ac:dyDescent="0.2">
      <c r="A1007" s="36" t="s">
        <v>344</v>
      </c>
      <c r="B1007" s="37"/>
      <c r="C1007" s="37"/>
      <c r="D1007" s="37"/>
      <c r="E1007" s="37"/>
    </row>
    <row r="1008" spans="1:5" ht="12.75" x14ac:dyDescent="0.2">
      <c r="A1008" s="37"/>
      <c r="B1008" s="36" t="s">
        <v>403</v>
      </c>
      <c r="C1008" s="36" t="s">
        <v>24</v>
      </c>
      <c r="D1008" s="36" t="s">
        <v>26</v>
      </c>
      <c r="E1008" s="37"/>
    </row>
    <row r="1009" spans="1:5" ht="12.75" x14ac:dyDescent="0.2">
      <c r="A1009" s="37"/>
      <c r="B1009" s="36" t="s">
        <v>403</v>
      </c>
      <c r="C1009" s="36" t="s">
        <v>32</v>
      </c>
      <c r="D1009" s="36" t="s">
        <v>29</v>
      </c>
      <c r="E1009" s="37"/>
    </row>
    <row r="1010" spans="1:5" ht="12.75" x14ac:dyDescent="0.2">
      <c r="A1010" s="37"/>
      <c r="B1010" s="36" t="s">
        <v>403</v>
      </c>
      <c r="C1010" s="36" t="s">
        <v>25</v>
      </c>
      <c r="D1010" s="36" t="s">
        <v>27</v>
      </c>
      <c r="E1010" s="37"/>
    </row>
    <row r="1011" spans="1:5" ht="12.75" x14ac:dyDescent="0.2">
      <c r="A1011" s="37"/>
      <c r="B1011" s="36" t="s">
        <v>403</v>
      </c>
      <c r="C1011" s="36" t="s">
        <v>30</v>
      </c>
      <c r="D1011" s="36" t="s">
        <v>31</v>
      </c>
      <c r="E1011" s="37"/>
    </row>
    <row r="1012" spans="1:5" ht="12.75" x14ac:dyDescent="0.2">
      <c r="A1012" s="37"/>
      <c r="B1012" s="37"/>
      <c r="C1012" s="37"/>
      <c r="D1012" s="37"/>
      <c r="E1012" s="37"/>
    </row>
    <row r="1013" spans="1:5" ht="12.75" x14ac:dyDescent="0.2">
      <c r="A1013" s="36" t="s">
        <v>349</v>
      </c>
      <c r="B1013" s="37"/>
      <c r="C1013" s="37"/>
      <c r="D1013" s="37"/>
      <c r="E1013" s="37"/>
    </row>
    <row r="1014" spans="1:5" ht="12.75" x14ac:dyDescent="0.2">
      <c r="A1014" s="37"/>
      <c r="B1014" s="36" t="s">
        <v>398</v>
      </c>
      <c r="C1014" s="37"/>
      <c r="D1014" s="37"/>
      <c r="E1014" s="37"/>
    </row>
    <row r="1015" spans="1:5" ht="12.75" x14ac:dyDescent="0.2">
      <c r="A1015" s="37"/>
      <c r="B1015" s="36" t="s">
        <v>399</v>
      </c>
      <c r="C1015" s="37"/>
      <c r="D1015" s="37"/>
      <c r="E1015" s="37"/>
    </row>
    <row r="1016" spans="1:5" ht="12.75" x14ac:dyDescent="0.2">
      <c r="A1016" s="37"/>
      <c r="B1016" s="36" t="s">
        <v>400</v>
      </c>
      <c r="C1016" s="37"/>
      <c r="D1016" s="37"/>
      <c r="E1016" s="37"/>
    </row>
    <row r="1017" spans="1:5" ht="12.75" x14ac:dyDescent="0.2">
      <c r="A1017" s="37"/>
      <c r="B1017" s="36" t="s">
        <v>401</v>
      </c>
      <c r="C1017" s="36" t="s">
        <v>349</v>
      </c>
      <c r="D1017" s="37"/>
      <c r="E1017" s="37"/>
    </row>
    <row r="1018" spans="1:5" ht="25.5" x14ac:dyDescent="0.2">
      <c r="A1018" s="36" t="s">
        <v>741</v>
      </c>
      <c r="B1018" s="36" t="s">
        <v>402</v>
      </c>
      <c r="C1018" s="36" t="s">
        <v>742</v>
      </c>
      <c r="D1018" s="37"/>
      <c r="E1018" s="37"/>
    </row>
    <row r="1019" spans="1:5" ht="12.75" x14ac:dyDescent="0.2">
      <c r="A1019" s="36" t="s">
        <v>743</v>
      </c>
      <c r="B1019" s="36" t="s">
        <v>402</v>
      </c>
      <c r="C1019" s="36" t="s">
        <v>19</v>
      </c>
      <c r="D1019" s="37"/>
      <c r="E1019" s="37"/>
    </row>
    <row r="1020" spans="1:5" ht="12.75" x14ac:dyDescent="0.2">
      <c r="A1020" s="36" t="s">
        <v>744</v>
      </c>
      <c r="B1020" s="37"/>
      <c r="C1020" s="37"/>
      <c r="D1020" s="37"/>
      <c r="E1020" s="37"/>
    </row>
    <row r="1021" spans="1:5" ht="12.75" x14ac:dyDescent="0.2">
      <c r="A1021" s="36" t="s">
        <v>745</v>
      </c>
      <c r="B1021" s="37"/>
      <c r="C1021" s="37"/>
      <c r="D1021" s="37"/>
      <c r="E1021" s="37"/>
    </row>
    <row r="1022" spans="1:5" ht="12.75" x14ac:dyDescent="0.2">
      <c r="A1022" s="36" t="s">
        <v>746</v>
      </c>
      <c r="B1022" s="37"/>
      <c r="C1022" s="37"/>
      <c r="D1022" s="37"/>
      <c r="E1022" s="37"/>
    </row>
    <row r="1023" spans="1:5" ht="12.75" x14ac:dyDescent="0.2">
      <c r="A1023" s="36" t="s">
        <v>747</v>
      </c>
      <c r="B1023" s="37"/>
      <c r="C1023" s="37"/>
      <c r="D1023" s="37"/>
      <c r="E1023" s="37"/>
    </row>
    <row r="1024" spans="1:5" ht="12.75" x14ac:dyDescent="0.2">
      <c r="A1024" s="36" t="s">
        <v>748</v>
      </c>
      <c r="B1024" s="37"/>
      <c r="C1024" s="37"/>
      <c r="D1024" s="37"/>
      <c r="E1024" s="37"/>
    </row>
    <row r="1025" spans="1:5" ht="12.75" x14ac:dyDescent="0.2">
      <c r="A1025" s="36" t="s">
        <v>348</v>
      </c>
      <c r="B1025" s="37"/>
      <c r="C1025" s="37"/>
      <c r="D1025" s="37"/>
      <c r="E1025" s="37"/>
    </row>
    <row r="1026" spans="1:5" ht="12.75" x14ac:dyDescent="0.2">
      <c r="A1026" s="37"/>
      <c r="B1026" s="36" t="s">
        <v>403</v>
      </c>
      <c r="C1026" s="36" t="s">
        <v>24</v>
      </c>
      <c r="D1026" s="36" t="s">
        <v>26</v>
      </c>
      <c r="E1026" s="37"/>
    </row>
    <row r="1027" spans="1:5" ht="12.75" x14ac:dyDescent="0.2">
      <c r="A1027" s="37"/>
      <c r="B1027" s="36" t="s">
        <v>403</v>
      </c>
      <c r="C1027" s="36" t="s">
        <v>32</v>
      </c>
      <c r="D1027" s="36" t="s">
        <v>29</v>
      </c>
      <c r="E1027" s="37"/>
    </row>
    <row r="1028" spans="1:5" ht="12.75" x14ac:dyDescent="0.2">
      <c r="A1028" s="37"/>
      <c r="B1028" s="36" t="s">
        <v>403</v>
      </c>
      <c r="C1028" s="36" t="s">
        <v>25</v>
      </c>
      <c r="D1028" s="36" t="s">
        <v>27</v>
      </c>
      <c r="E1028" s="37"/>
    </row>
    <row r="1029" spans="1:5" ht="12.75" x14ac:dyDescent="0.2">
      <c r="A1029" s="37"/>
      <c r="B1029" s="36" t="s">
        <v>403</v>
      </c>
      <c r="C1029" s="36" t="s">
        <v>30</v>
      </c>
      <c r="D1029" s="36" t="s">
        <v>31</v>
      </c>
      <c r="E1029" s="37"/>
    </row>
    <row r="1030" spans="1:5" ht="12.75" x14ac:dyDescent="0.2">
      <c r="A1030" s="37"/>
      <c r="B1030" s="37"/>
      <c r="C1030" s="37"/>
      <c r="D1030" s="37"/>
      <c r="E1030" s="37"/>
    </row>
    <row r="1031" spans="1:5" ht="12.75" x14ac:dyDescent="0.2">
      <c r="A1031" s="36" t="s">
        <v>352</v>
      </c>
      <c r="B1031" s="37"/>
      <c r="C1031" s="37"/>
      <c r="D1031" s="37"/>
      <c r="E1031" s="37"/>
    </row>
    <row r="1032" spans="1:5" ht="12.75" x14ac:dyDescent="0.2">
      <c r="A1032" s="37"/>
      <c r="B1032" s="36" t="s">
        <v>398</v>
      </c>
      <c r="C1032" s="37"/>
      <c r="D1032" s="37"/>
      <c r="E1032" s="37"/>
    </row>
    <row r="1033" spans="1:5" ht="12.75" x14ac:dyDescent="0.2">
      <c r="A1033" s="37"/>
      <c r="B1033" s="36" t="s">
        <v>399</v>
      </c>
      <c r="C1033" s="37"/>
      <c r="D1033" s="37"/>
      <c r="E1033" s="37"/>
    </row>
    <row r="1034" spans="1:5" ht="12.75" x14ac:dyDescent="0.2">
      <c r="A1034" s="37"/>
      <c r="B1034" s="36" t="s">
        <v>400</v>
      </c>
      <c r="C1034" s="37"/>
      <c r="D1034" s="37"/>
      <c r="E1034" s="37"/>
    </row>
    <row r="1035" spans="1:5" ht="12.75" x14ac:dyDescent="0.2">
      <c r="A1035" s="37"/>
      <c r="B1035" s="36" t="s">
        <v>401</v>
      </c>
      <c r="C1035" s="36" t="s">
        <v>352</v>
      </c>
      <c r="D1035" s="37"/>
      <c r="E1035" s="37"/>
    </row>
    <row r="1036" spans="1:5" ht="38.25" x14ac:dyDescent="0.2">
      <c r="A1036" s="36" t="s">
        <v>750</v>
      </c>
      <c r="B1036" s="36" t="s">
        <v>402</v>
      </c>
      <c r="C1036" s="36" t="s">
        <v>751</v>
      </c>
      <c r="D1036" s="37"/>
      <c r="E1036" s="37"/>
    </row>
    <row r="1037" spans="1:5" ht="12.75" x14ac:dyDescent="0.2">
      <c r="A1037" s="36" t="s">
        <v>752</v>
      </c>
      <c r="B1037" s="36" t="s">
        <v>402</v>
      </c>
      <c r="C1037" s="36" t="s">
        <v>19</v>
      </c>
      <c r="D1037" s="37"/>
      <c r="E1037" s="37"/>
    </row>
    <row r="1038" spans="1:5" ht="12.75" x14ac:dyDescent="0.2">
      <c r="A1038" s="36" t="s">
        <v>753</v>
      </c>
      <c r="B1038" s="37"/>
      <c r="C1038" s="37"/>
      <c r="D1038" s="37"/>
      <c r="E1038" s="37"/>
    </row>
    <row r="1039" spans="1:5" ht="12.75" x14ac:dyDescent="0.2">
      <c r="A1039" s="36" t="s">
        <v>754</v>
      </c>
      <c r="B1039" s="37"/>
      <c r="C1039" s="37"/>
      <c r="D1039" s="37"/>
      <c r="E1039" s="37"/>
    </row>
    <row r="1040" spans="1:5" ht="12.75" x14ac:dyDescent="0.2">
      <c r="A1040" s="36" t="s">
        <v>755</v>
      </c>
      <c r="B1040" s="37"/>
      <c r="C1040" s="37"/>
      <c r="D1040" s="37"/>
      <c r="E1040" s="37"/>
    </row>
    <row r="1041" spans="1:5" ht="12.75" x14ac:dyDescent="0.2">
      <c r="A1041" s="36" t="s">
        <v>756</v>
      </c>
      <c r="B1041" s="37"/>
      <c r="C1041" s="37"/>
      <c r="D1041" s="37"/>
      <c r="E1041" s="37"/>
    </row>
    <row r="1042" spans="1:5" ht="12.75" x14ac:dyDescent="0.2">
      <c r="A1042" s="36" t="s">
        <v>757</v>
      </c>
      <c r="B1042" s="37"/>
      <c r="C1042" s="37"/>
      <c r="D1042" s="37"/>
      <c r="E1042" s="37"/>
    </row>
    <row r="1043" spans="1:5" ht="12.75" x14ac:dyDescent="0.2">
      <c r="A1043" s="36" t="s">
        <v>758</v>
      </c>
      <c r="B1043" s="37"/>
      <c r="C1043" s="37"/>
      <c r="D1043" s="37"/>
      <c r="E1043" s="37"/>
    </row>
    <row r="1044" spans="1:5" ht="12.75" x14ac:dyDescent="0.2">
      <c r="A1044" s="36" t="s">
        <v>759</v>
      </c>
      <c r="B1044" s="37"/>
      <c r="C1044" s="37"/>
      <c r="D1044" s="37"/>
      <c r="E1044" s="37"/>
    </row>
    <row r="1045" spans="1:5" ht="12.75" x14ac:dyDescent="0.2">
      <c r="A1045" s="36" t="s">
        <v>760</v>
      </c>
      <c r="B1045" s="37"/>
      <c r="C1045" s="37"/>
      <c r="D1045" s="37"/>
      <c r="E1045" s="37"/>
    </row>
    <row r="1046" spans="1:5" ht="12.75" x14ac:dyDescent="0.2">
      <c r="A1046" s="36" t="s">
        <v>761</v>
      </c>
      <c r="B1046" s="37"/>
      <c r="C1046" s="37"/>
      <c r="D1046" s="37"/>
      <c r="E1046" s="37"/>
    </row>
    <row r="1047" spans="1:5" ht="12.75" x14ac:dyDescent="0.2">
      <c r="A1047" s="36" t="s">
        <v>762</v>
      </c>
      <c r="B1047" s="37"/>
      <c r="C1047" s="37"/>
      <c r="D1047" s="37"/>
      <c r="E1047" s="37"/>
    </row>
    <row r="1048" spans="1:5" ht="12.75" x14ac:dyDescent="0.2">
      <c r="A1048" s="36" t="s">
        <v>763</v>
      </c>
      <c r="B1048" s="37"/>
      <c r="C1048" s="37"/>
      <c r="D1048" s="37"/>
      <c r="E1048" s="37"/>
    </row>
    <row r="1049" spans="1:5" ht="12.75" x14ac:dyDescent="0.2">
      <c r="A1049" s="36" t="s">
        <v>764</v>
      </c>
      <c r="B1049" s="37"/>
      <c r="C1049" s="37"/>
      <c r="D1049" s="37"/>
      <c r="E1049" s="37"/>
    </row>
    <row r="1050" spans="1:5" ht="12.75" x14ac:dyDescent="0.2">
      <c r="A1050" s="36" t="s">
        <v>765</v>
      </c>
      <c r="B1050" s="37"/>
      <c r="C1050" s="37"/>
      <c r="D1050" s="37"/>
      <c r="E1050" s="37"/>
    </row>
    <row r="1051" spans="1:5" ht="12.75" x14ac:dyDescent="0.2">
      <c r="A1051" s="36" t="s">
        <v>766</v>
      </c>
      <c r="B1051" s="37"/>
      <c r="C1051" s="37"/>
      <c r="D1051" s="37"/>
      <c r="E1051" s="37"/>
    </row>
    <row r="1052" spans="1:5" ht="12.75" x14ac:dyDescent="0.2">
      <c r="A1052" s="36" t="s">
        <v>767</v>
      </c>
      <c r="B1052" s="37"/>
      <c r="C1052" s="37"/>
      <c r="D1052" s="37"/>
      <c r="E1052" s="37"/>
    </row>
    <row r="1053" spans="1:5" ht="12.75" x14ac:dyDescent="0.2">
      <c r="A1053" s="36" t="s">
        <v>351</v>
      </c>
      <c r="B1053" s="37"/>
      <c r="C1053" s="37"/>
      <c r="D1053" s="37"/>
      <c r="E1053" s="37"/>
    </row>
    <row r="1054" spans="1:5" ht="12.75" x14ac:dyDescent="0.2">
      <c r="A1054" s="37"/>
      <c r="B1054" s="36" t="s">
        <v>422</v>
      </c>
      <c r="C1054" s="36" t="s">
        <v>425</v>
      </c>
      <c r="D1054" s="36" t="s">
        <v>426</v>
      </c>
      <c r="E1054" s="37"/>
    </row>
    <row r="1055" spans="1:5" ht="12.75" x14ac:dyDescent="0.2">
      <c r="A1055" s="37"/>
      <c r="B1055" s="36" t="s">
        <v>403</v>
      </c>
      <c r="C1055" s="36" t="s">
        <v>24</v>
      </c>
      <c r="D1055" s="36" t="s">
        <v>26</v>
      </c>
      <c r="E1055" s="37"/>
    </row>
    <row r="1056" spans="1:5" ht="12.75" x14ac:dyDescent="0.2">
      <c r="A1056" s="37"/>
      <c r="B1056" s="36" t="s">
        <v>403</v>
      </c>
      <c r="C1056" s="36" t="s">
        <v>32</v>
      </c>
      <c r="D1056" s="36" t="s">
        <v>29</v>
      </c>
      <c r="E1056" s="37"/>
    </row>
    <row r="1057" spans="1:5" ht="12.75" x14ac:dyDescent="0.2">
      <c r="A1057" s="37"/>
      <c r="B1057" s="36" t="s">
        <v>403</v>
      </c>
      <c r="C1057" s="36" t="s">
        <v>25</v>
      </c>
      <c r="D1057" s="36" t="s">
        <v>27</v>
      </c>
      <c r="E1057" s="37"/>
    </row>
    <row r="1058" spans="1:5" ht="12.75" x14ac:dyDescent="0.2">
      <c r="A1058" s="37"/>
      <c r="B1058" s="36" t="s">
        <v>403</v>
      </c>
      <c r="C1058" s="36" t="s">
        <v>30</v>
      </c>
      <c r="D1058" s="36" t="s">
        <v>31</v>
      </c>
      <c r="E1058" s="37"/>
    </row>
    <row r="1059" spans="1:5" ht="12.75" x14ac:dyDescent="0.2">
      <c r="A1059" s="37"/>
      <c r="B1059" s="37"/>
      <c r="C1059" s="37"/>
      <c r="D1059" s="37"/>
      <c r="E1059" s="37"/>
    </row>
    <row r="1060" spans="1:5" ht="12.75" x14ac:dyDescent="0.2">
      <c r="A1060" s="36" t="s">
        <v>357</v>
      </c>
      <c r="B1060" s="37"/>
      <c r="C1060" s="37"/>
      <c r="D1060" s="37"/>
      <c r="E1060" s="37"/>
    </row>
    <row r="1061" spans="1:5" ht="12.75" x14ac:dyDescent="0.2">
      <c r="A1061" s="37"/>
      <c r="B1061" s="36" t="s">
        <v>398</v>
      </c>
      <c r="C1061" s="37"/>
      <c r="D1061" s="37"/>
      <c r="E1061" s="37"/>
    </row>
    <row r="1062" spans="1:5" ht="12.75" x14ac:dyDescent="0.2">
      <c r="A1062" s="37"/>
      <c r="B1062" s="36" t="s">
        <v>399</v>
      </c>
      <c r="C1062" s="37"/>
      <c r="D1062" s="37"/>
      <c r="E1062" s="37"/>
    </row>
    <row r="1063" spans="1:5" ht="12.75" x14ac:dyDescent="0.2">
      <c r="A1063" s="37"/>
      <c r="B1063" s="36" t="s">
        <v>400</v>
      </c>
      <c r="C1063" s="37"/>
      <c r="D1063" s="37"/>
      <c r="E1063" s="37"/>
    </row>
    <row r="1064" spans="1:5" ht="12.75" x14ac:dyDescent="0.2">
      <c r="A1064" s="37"/>
      <c r="B1064" s="36" t="s">
        <v>401</v>
      </c>
      <c r="C1064" s="36" t="s">
        <v>357</v>
      </c>
      <c r="D1064" s="37"/>
      <c r="E1064" s="37"/>
    </row>
    <row r="1065" spans="1:5" ht="25.5" x14ac:dyDescent="0.2">
      <c r="A1065" s="36" t="s">
        <v>768</v>
      </c>
      <c r="B1065" s="36" t="s">
        <v>402</v>
      </c>
      <c r="C1065" s="36" t="s">
        <v>769</v>
      </c>
      <c r="D1065" s="37"/>
      <c r="E1065" s="37"/>
    </row>
    <row r="1066" spans="1:5" ht="12.75" x14ac:dyDescent="0.2">
      <c r="A1066" s="36" t="s">
        <v>770</v>
      </c>
      <c r="B1066" s="36" t="s">
        <v>402</v>
      </c>
      <c r="C1066" s="36" t="s">
        <v>19</v>
      </c>
      <c r="D1066" s="37"/>
      <c r="E1066" s="37"/>
    </row>
    <row r="1067" spans="1:5" ht="12.75" x14ac:dyDescent="0.2">
      <c r="A1067" s="36" t="s">
        <v>771</v>
      </c>
      <c r="B1067" s="37"/>
      <c r="C1067" s="37"/>
      <c r="D1067" s="37"/>
      <c r="E1067" s="37"/>
    </row>
    <row r="1068" spans="1:5" ht="12.75" x14ac:dyDescent="0.2">
      <c r="A1068" s="36" t="s">
        <v>772</v>
      </c>
      <c r="B1068" s="37"/>
      <c r="C1068" s="37"/>
      <c r="D1068" s="37"/>
      <c r="E1068" s="37"/>
    </row>
    <row r="1069" spans="1:5" ht="12.75" x14ac:dyDescent="0.2">
      <c r="A1069" s="36" t="s">
        <v>773</v>
      </c>
      <c r="B1069" s="37"/>
      <c r="C1069" s="37"/>
      <c r="D1069" s="37"/>
      <c r="E1069" s="37"/>
    </row>
    <row r="1070" spans="1:5" ht="12.75" x14ac:dyDescent="0.2">
      <c r="A1070" s="36" t="s">
        <v>774</v>
      </c>
      <c r="B1070" s="37"/>
      <c r="C1070" s="37"/>
      <c r="D1070" s="37"/>
      <c r="E1070" s="37"/>
    </row>
    <row r="1071" spans="1:5" ht="12.75" x14ac:dyDescent="0.2">
      <c r="A1071" s="36" t="s">
        <v>775</v>
      </c>
      <c r="B1071" s="37"/>
      <c r="C1071" s="37"/>
      <c r="D1071" s="37"/>
      <c r="E1071" s="37"/>
    </row>
    <row r="1072" spans="1:5" ht="12.75" x14ac:dyDescent="0.2">
      <c r="A1072" s="36" t="s">
        <v>776</v>
      </c>
      <c r="B1072" s="37"/>
      <c r="C1072" s="37"/>
      <c r="D1072" s="37"/>
      <c r="E1072" s="37"/>
    </row>
    <row r="1073" spans="1:5" ht="12.75" x14ac:dyDescent="0.2">
      <c r="A1073" s="36" t="s">
        <v>777</v>
      </c>
      <c r="B1073" s="37"/>
      <c r="C1073" s="37"/>
      <c r="D1073" s="37"/>
      <c r="E1073" s="37"/>
    </row>
    <row r="1074" spans="1:5" ht="12.75" x14ac:dyDescent="0.2">
      <c r="A1074" s="36" t="s">
        <v>778</v>
      </c>
      <c r="B1074" s="37"/>
      <c r="C1074" s="37"/>
      <c r="D1074" s="37"/>
      <c r="E1074" s="37"/>
    </row>
    <row r="1075" spans="1:5" ht="12.75" x14ac:dyDescent="0.2">
      <c r="A1075" s="36" t="s">
        <v>779</v>
      </c>
      <c r="B1075" s="37"/>
      <c r="C1075" s="37"/>
      <c r="D1075" s="37"/>
      <c r="E1075" s="37"/>
    </row>
    <row r="1076" spans="1:5" ht="12.75" x14ac:dyDescent="0.2">
      <c r="A1076" s="36" t="s">
        <v>780</v>
      </c>
      <c r="B1076" s="37"/>
      <c r="C1076" s="37"/>
      <c r="D1076" s="37"/>
      <c r="E1076" s="37"/>
    </row>
    <row r="1077" spans="1:5" ht="12.75" x14ac:dyDescent="0.2">
      <c r="A1077" s="36" t="s">
        <v>781</v>
      </c>
      <c r="B1077" s="37"/>
      <c r="C1077" s="37"/>
      <c r="D1077" s="37"/>
      <c r="E1077" s="37"/>
    </row>
    <row r="1078" spans="1:5" ht="12.75" x14ac:dyDescent="0.2">
      <c r="A1078" s="36" t="s">
        <v>356</v>
      </c>
      <c r="B1078" s="37"/>
      <c r="C1078" s="37"/>
      <c r="D1078" s="37"/>
      <c r="E1078" s="37"/>
    </row>
    <row r="1079" spans="1:5" ht="12.75" x14ac:dyDescent="0.2">
      <c r="A1079" s="37"/>
      <c r="B1079" s="36" t="s">
        <v>422</v>
      </c>
      <c r="C1079" s="36" t="s">
        <v>425</v>
      </c>
      <c r="D1079" s="36" t="s">
        <v>426</v>
      </c>
      <c r="E1079" s="37"/>
    </row>
    <row r="1080" spans="1:5" ht="12.75" x14ac:dyDescent="0.2">
      <c r="A1080" s="37"/>
      <c r="B1080" s="36" t="s">
        <v>403</v>
      </c>
      <c r="C1080" s="36" t="s">
        <v>24</v>
      </c>
      <c r="D1080" s="36" t="s">
        <v>26</v>
      </c>
      <c r="E1080" s="37"/>
    </row>
    <row r="1081" spans="1:5" ht="12.75" x14ac:dyDescent="0.2">
      <c r="A1081" s="37"/>
      <c r="B1081" s="36" t="s">
        <v>403</v>
      </c>
      <c r="C1081" s="36" t="s">
        <v>32</v>
      </c>
      <c r="D1081" s="36" t="s">
        <v>29</v>
      </c>
      <c r="E1081" s="37"/>
    </row>
    <row r="1082" spans="1:5" ht="12.75" x14ac:dyDescent="0.2">
      <c r="A1082" s="37"/>
      <c r="B1082" s="36" t="s">
        <v>403</v>
      </c>
      <c r="C1082" s="36" t="s">
        <v>25</v>
      </c>
      <c r="D1082" s="36" t="s">
        <v>27</v>
      </c>
      <c r="E1082" s="37"/>
    </row>
    <row r="1083" spans="1:5" ht="12.75" x14ac:dyDescent="0.2">
      <c r="A1083" s="37"/>
      <c r="B1083" s="36" t="s">
        <v>403</v>
      </c>
      <c r="C1083" s="36" t="s">
        <v>30</v>
      </c>
      <c r="D1083" s="36" t="s">
        <v>31</v>
      </c>
      <c r="E1083" s="37"/>
    </row>
    <row r="1084" spans="1:5" ht="12.75" x14ac:dyDescent="0.2">
      <c r="A1084" s="37"/>
      <c r="B1084" s="37"/>
      <c r="C1084" s="37"/>
      <c r="D1084" s="37"/>
      <c r="E1084" s="37"/>
    </row>
    <row r="1085" spans="1:5" ht="12.75" x14ac:dyDescent="0.2">
      <c r="A1085" s="36" t="s">
        <v>359</v>
      </c>
      <c r="B1085" s="37"/>
      <c r="C1085" s="37"/>
      <c r="D1085" s="37"/>
      <c r="E1085" s="37"/>
    </row>
    <row r="1086" spans="1:5" ht="12.75" x14ac:dyDescent="0.2">
      <c r="A1086" s="37"/>
      <c r="B1086" s="36" t="s">
        <v>398</v>
      </c>
      <c r="C1086" s="37"/>
      <c r="D1086" s="37"/>
      <c r="E1086" s="37"/>
    </row>
    <row r="1087" spans="1:5" ht="12.75" x14ac:dyDescent="0.2">
      <c r="A1087" s="37"/>
      <c r="B1087" s="36" t="s">
        <v>399</v>
      </c>
      <c r="C1087" s="37"/>
      <c r="D1087" s="37"/>
      <c r="E1087" s="37"/>
    </row>
    <row r="1088" spans="1:5" ht="12.75" x14ac:dyDescent="0.2">
      <c r="A1088" s="37"/>
      <c r="B1088" s="36" t="s">
        <v>400</v>
      </c>
      <c r="C1088" s="37"/>
      <c r="D1088" s="37"/>
      <c r="E1088" s="37"/>
    </row>
    <row r="1089" spans="1:5" ht="12.75" x14ac:dyDescent="0.2">
      <c r="A1089" s="37"/>
      <c r="B1089" s="36" t="s">
        <v>401</v>
      </c>
      <c r="C1089" s="36" t="s">
        <v>359</v>
      </c>
      <c r="D1089" s="37"/>
      <c r="E1089" s="37"/>
    </row>
    <row r="1090" spans="1:5" ht="25.5" x14ac:dyDescent="0.2">
      <c r="A1090" s="36" t="s">
        <v>782</v>
      </c>
      <c r="B1090" s="36" t="s">
        <v>402</v>
      </c>
      <c r="C1090" s="36" t="s">
        <v>783</v>
      </c>
      <c r="D1090" s="37"/>
      <c r="E1090" s="37"/>
    </row>
    <row r="1091" spans="1:5" ht="12.75" x14ac:dyDescent="0.2">
      <c r="A1091" s="36" t="s">
        <v>784</v>
      </c>
      <c r="B1091" s="36" t="s">
        <v>402</v>
      </c>
      <c r="C1091" s="36" t="s">
        <v>19</v>
      </c>
      <c r="D1091" s="37"/>
      <c r="E1091" s="37"/>
    </row>
    <row r="1092" spans="1:5" ht="12.75" x14ac:dyDescent="0.2">
      <c r="A1092" s="36" t="s">
        <v>785</v>
      </c>
      <c r="B1092" s="37"/>
      <c r="C1092" s="37"/>
      <c r="D1092" s="37"/>
      <c r="E1092" s="37"/>
    </row>
    <row r="1093" spans="1:5" ht="12.75" x14ac:dyDescent="0.2">
      <c r="A1093" s="36" t="s">
        <v>786</v>
      </c>
      <c r="B1093" s="37"/>
      <c r="C1093" s="37"/>
      <c r="D1093" s="37"/>
      <c r="E1093" s="37"/>
    </row>
    <row r="1094" spans="1:5" ht="12.75" x14ac:dyDescent="0.2">
      <c r="A1094" s="36" t="s">
        <v>787</v>
      </c>
      <c r="B1094" s="37"/>
      <c r="C1094" s="37"/>
      <c r="D1094" s="37"/>
      <c r="E1094" s="37"/>
    </row>
    <row r="1095" spans="1:5" ht="12.75" x14ac:dyDescent="0.2">
      <c r="A1095" s="36" t="s">
        <v>788</v>
      </c>
      <c r="B1095" s="37"/>
      <c r="C1095" s="37"/>
      <c r="D1095" s="37"/>
      <c r="E1095" s="37"/>
    </row>
    <row r="1096" spans="1:5" ht="12.75" x14ac:dyDescent="0.2">
      <c r="A1096" s="36" t="s">
        <v>789</v>
      </c>
      <c r="B1096" s="37"/>
      <c r="C1096" s="37"/>
      <c r="D1096" s="37"/>
      <c r="E1096" s="37"/>
    </row>
    <row r="1097" spans="1:5" ht="12.75" x14ac:dyDescent="0.2">
      <c r="A1097" s="36" t="s">
        <v>790</v>
      </c>
      <c r="B1097" s="37"/>
      <c r="C1097" s="37"/>
      <c r="D1097" s="37"/>
      <c r="E1097" s="37"/>
    </row>
    <row r="1098" spans="1:5" ht="12.75" x14ac:dyDescent="0.2">
      <c r="A1098" s="36" t="s">
        <v>791</v>
      </c>
      <c r="B1098" s="37"/>
      <c r="C1098" s="37"/>
      <c r="D1098" s="37"/>
      <c r="E1098" s="37"/>
    </row>
    <row r="1099" spans="1:5" ht="12.75" x14ac:dyDescent="0.2">
      <c r="A1099" s="36" t="s">
        <v>792</v>
      </c>
      <c r="B1099" s="37"/>
      <c r="C1099" s="37"/>
      <c r="D1099" s="37"/>
      <c r="E1099" s="37"/>
    </row>
    <row r="1100" spans="1:5" ht="12.75" x14ac:dyDescent="0.2">
      <c r="A1100" s="36" t="s">
        <v>358</v>
      </c>
      <c r="B1100" s="37"/>
      <c r="C1100" s="37"/>
      <c r="D1100" s="37"/>
      <c r="E1100" s="37"/>
    </row>
    <row r="1101" spans="1:5" ht="12.75" x14ac:dyDescent="0.2">
      <c r="A1101" s="37"/>
      <c r="B1101" s="36" t="s">
        <v>422</v>
      </c>
      <c r="C1101" s="36" t="s">
        <v>425</v>
      </c>
      <c r="D1101" s="36" t="s">
        <v>426</v>
      </c>
      <c r="E1101" s="37"/>
    </row>
    <row r="1102" spans="1:5" ht="12.75" x14ac:dyDescent="0.2">
      <c r="A1102" s="37"/>
      <c r="B1102" s="36" t="s">
        <v>403</v>
      </c>
      <c r="C1102" s="36" t="s">
        <v>38</v>
      </c>
      <c r="D1102" s="36" t="s">
        <v>26</v>
      </c>
      <c r="E1102" s="37"/>
    </row>
    <row r="1103" spans="1:5" ht="12.75" x14ac:dyDescent="0.2">
      <c r="A1103" s="37"/>
      <c r="B1103" s="36" t="s">
        <v>403</v>
      </c>
      <c r="C1103" s="36" t="s">
        <v>56</v>
      </c>
      <c r="D1103" s="36" t="s">
        <v>29</v>
      </c>
      <c r="E1103" s="37"/>
    </row>
    <row r="1104" spans="1:5" ht="12.75" x14ac:dyDescent="0.2">
      <c r="A1104" s="37"/>
      <c r="B1104" s="36" t="s">
        <v>403</v>
      </c>
      <c r="C1104" s="36" t="s">
        <v>25</v>
      </c>
      <c r="D1104" s="36" t="s">
        <v>793</v>
      </c>
      <c r="E1104" s="37"/>
    </row>
    <row r="1105" spans="1:5" ht="12.75" x14ac:dyDescent="0.2">
      <c r="A1105" s="37"/>
      <c r="B1105" s="36" t="s">
        <v>403</v>
      </c>
      <c r="C1105" s="36" t="s">
        <v>794</v>
      </c>
      <c r="D1105" s="36" t="s">
        <v>793</v>
      </c>
      <c r="E1105" s="37"/>
    </row>
    <row r="1106" spans="1:5" ht="12.75" x14ac:dyDescent="0.2">
      <c r="A1106" s="37"/>
      <c r="B1106" s="37"/>
      <c r="C1106" s="37"/>
      <c r="D1106" s="37"/>
      <c r="E1106" s="37"/>
    </row>
    <row r="1107" spans="1:5" ht="12.75" x14ac:dyDescent="0.2">
      <c r="A1107" s="36" t="s">
        <v>325</v>
      </c>
      <c r="B1107" s="37"/>
      <c r="C1107" s="37"/>
      <c r="D1107" s="37"/>
      <c r="E1107" s="37"/>
    </row>
    <row r="1108" spans="1:5" ht="12.75" x14ac:dyDescent="0.2">
      <c r="A1108" s="37"/>
      <c r="B1108" s="36" t="s">
        <v>398</v>
      </c>
      <c r="C1108" s="37"/>
      <c r="D1108" s="37"/>
      <c r="E1108" s="37"/>
    </row>
    <row r="1109" spans="1:5" ht="12.75" x14ac:dyDescent="0.2">
      <c r="A1109" s="37"/>
      <c r="B1109" s="36" t="s">
        <v>399</v>
      </c>
      <c r="C1109" s="37"/>
      <c r="D1109" s="37"/>
      <c r="E1109" s="37"/>
    </row>
    <row r="1110" spans="1:5" ht="12.75" x14ac:dyDescent="0.2">
      <c r="A1110" s="37"/>
      <c r="B1110" s="36" t="s">
        <v>400</v>
      </c>
      <c r="C1110" s="37"/>
      <c r="D1110" s="37"/>
      <c r="E1110" s="37"/>
    </row>
    <row r="1111" spans="1:5" ht="12.75" x14ac:dyDescent="0.2">
      <c r="A1111" s="37"/>
      <c r="B1111" s="36" t="s">
        <v>401</v>
      </c>
      <c r="C1111" s="36" t="s">
        <v>325</v>
      </c>
      <c r="D1111" s="37"/>
      <c r="E1111" s="37"/>
    </row>
    <row r="1112" spans="1:5" ht="12.75" x14ac:dyDescent="0.2">
      <c r="A1112" s="36" t="s">
        <v>232</v>
      </c>
      <c r="B1112" s="36" t="s">
        <v>402</v>
      </c>
      <c r="C1112" s="36" t="s">
        <v>326</v>
      </c>
      <c r="D1112" s="37"/>
      <c r="E1112" s="37"/>
    </row>
    <row r="1113" spans="1:5" ht="12.75" x14ac:dyDescent="0.2">
      <c r="A1113" s="37"/>
      <c r="B1113" s="36" t="s">
        <v>403</v>
      </c>
      <c r="C1113" s="36" t="s">
        <v>329</v>
      </c>
      <c r="D1113" s="36" t="s">
        <v>330</v>
      </c>
      <c r="E1113" s="37"/>
    </row>
    <row r="1114" spans="1:5" ht="12.75" x14ac:dyDescent="0.2">
      <c r="A1114" s="37"/>
      <c r="B1114" s="36" t="s">
        <v>403</v>
      </c>
      <c r="C1114" s="36" t="s">
        <v>341</v>
      </c>
      <c r="D1114" s="36" t="s">
        <v>342</v>
      </c>
      <c r="E1114" s="37"/>
    </row>
    <row r="1115" spans="1:5" ht="12.75" x14ac:dyDescent="0.2">
      <c r="A1115" s="37"/>
      <c r="B1115" s="36" t="s">
        <v>403</v>
      </c>
      <c r="C1115" s="36" t="s">
        <v>344</v>
      </c>
      <c r="D1115" s="36" t="s">
        <v>345</v>
      </c>
      <c r="E1115" s="37"/>
    </row>
    <row r="1116" spans="1:5" ht="12.75" x14ac:dyDescent="0.2">
      <c r="A1116" s="37"/>
      <c r="B1116" s="36" t="s">
        <v>403</v>
      </c>
      <c r="C1116" s="36" t="s">
        <v>348</v>
      </c>
      <c r="D1116" s="36" t="s">
        <v>349</v>
      </c>
      <c r="E1116" s="37"/>
    </row>
    <row r="1117" spans="1:5" ht="12.75" x14ac:dyDescent="0.2">
      <c r="A1117" s="37"/>
      <c r="B1117" s="36" t="s">
        <v>403</v>
      </c>
      <c r="C1117" s="36" t="s">
        <v>351</v>
      </c>
      <c r="D1117" s="36" t="s">
        <v>352</v>
      </c>
      <c r="E1117" s="37"/>
    </row>
    <row r="1118" spans="1:5" ht="12.75" x14ac:dyDescent="0.2">
      <c r="A1118" s="37"/>
      <c r="B1118" s="36" t="s">
        <v>403</v>
      </c>
      <c r="C1118" s="36" t="s">
        <v>356</v>
      </c>
      <c r="D1118" s="36" t="s">
        <v>357</v>
      </c>
      <c r="E1118" s="37"/>
    </row>
    <row r="1119" spans="1:5" ht="12.75" x14ac:dyDescent="0.2">
      <c r="A1119" s="37"/>
      <c r="B1119" s="36" t="s">
        <v>403</v>
      </c>
      <c r="C1119" s="36" t="s">
        <v>358</v>
      </c>
      <c r="D1119" s="36" t="s">
        <v>359</v>
      </c>
      <c r="E1119" s="37"/>
    </row>
    <row r="1120" spans="1:5" ht="12.75" x14ac:dyDescent="0.2">
      <c r="A1120" s="37"/>
      <c r="B1120" s="36" t="s">
        <v>403</v>
      </c>
      <c r="C1120" s="36" t="s">
        <v>32</v>
      </c>
      <c r="D1120" s="36" t="s">
        <v>29</v>
      </c>
      <c r="E1120" s="37"/>
    </row>
    <row r="1121" spans="1:5" ht="12.75" x14ac:dyDescent="0.2">
      <c r="A1121" s="37"/>
      <c r="B1121" s="37"/>
      <c r="C1121" s="37"/>
      <c r="D1121" s="37"/>
      <c r="E1121" s="37"/>
    </row>
    <row r="1122" spans="1:5" ht="12.75" x14ac:dyDescent="0.2">
      <c r="A1122" s="36" t="s">
        <v>42</v>
      </c>
      <c r="B1122" s="37"/>
      <c r="C1122" s="37"/>
      <c r="D1122" s="37"/>
      <c r="E1122" s="37"/>
    </row>
    <row r="1123" spans="1:5" ht="12.75" x14ac:dyDescent="0.2">
      <c r="A1123" s="37"/>
      <c r="B1123" s="36" t="s">
        <v>398</v>
      </c>
      <c r="C1123" s="37"/>
      <c r="D1123" s="37"/>
      <c r="E1123" s="37"/>
    </row>
    <row r="1124" spans="1:5" ht="12.75" x14ac:dyDescent="0.2">
      <c r="A1124" s="37"/>
      <c r="B1124" s="36" t="s">
        <v>399</v>
      </c>
      <c r="C1124" s="37"/>
      <c r="D1124" s="37"/>
      <c r="E1124" s="37"/>
    </row>
    <row r="1125" spans="1:5" ht="12.75" x14ac:dyDescent="0.2">
      <c r="A1125" s="37"/>
      <c r="B1125" s="36" t="s">
        <v>400</v>
      </c>
      <c r="C1125" s="37"/>
      <c r="D1125" s="37"/>
      <c r="E1125" s="37"/>
    </row>
    <row r="1126" spans="1:5" ht="12.75" x14ac:dyDescent="0.2">
      <c r="A1126" s="37"/>
      <c r="B1126" s="36" t="s">
        <v>401</v>
      </c>
      <c r="C1126" s="37"/>
      <c r="D1126" s="37"/>
      <c r="E1126" s="37"/>
    </row>
    <row r="1127" spans="1:5" ht="12.75" x14ac:dyDescent="0.2">
      <c r="A1127" s="37"/>
      <c r="B1127" s="36" t="s">
        <v>402</v>
      </c>
      <c r="C1127" s="36" t="s">
        <v>43</v>
      </c>
      <c r="D1127" s="37"/>
      <c r="E1127" s="37"/>
    </row>
    <row r="1128" spans="1:5" ht="12.75" x14ac:dyDescent="0.2">
      <c r="A1128" s="37"/>
      <c r="B1128" s="37"/>
      <c r="C1128" s="37"/>
      <c r="D1128" s="37"/>
      <c r="E1128" s="37"/>
    </row>
    <row r="1129" spans="1:5" ht="12.75" x14ac:dyDescent="0.2">
      <c r="A1129" s="36" t="s">
        <v>31</v>
      </c>
      <c r="B1129" s="37"/>
      <c r="C1129" s="37"/>
      <c r="D1129" s="37"/>
      <c r="E1129" s="37"/>
    </row>
    <row r="1130" spans="1:5" ht="12.75" x14ac:dyDescent="0.2">
      <c r="A1130" s="37"/>
      <c r="B1130" s="36" t="s">
        <v>398</v>
      </c>
      <c r="C1130" s="37"/>
      <c r="D1130" s="37"/>
      <c r="E1130" s="37"/>
    </row>
    <row r="1131" spans="1:5" ht="12.75" x14ac:dyDescent="0.2">
      <c r="A1131" s="37"/>
      <c r="B1131" s="36" t="s">
        <v>399</v>
      </c>
      <c r="C1131" s="37"/>
      <c r="D1131" s="37"/>
      <c r="E1131" s="37"/>
    </row>
    <row r="1132" spans="1:5" ht="12.75" x14ac:dyDescent="0.2">
      <c r="A1132" s="37"/>
      <c r="B1132" s="36" t="s">
        <v>400</v>
      </c>
      <c r="C1132" s="37"/>
      <c r="D1132" s="37"/>
      <c r="E1132" s="37"/>
    </row>
    <row r="1133" spans="1:5" ht="12.75" x14ac:dyDescent="0.2">
      <c r="A1133" s="37"/>
      <c r="B1133" s="36" t="s">
        <v>401</v>
      </c>
      <c r="C1133" s="36" t="s">
        <v>31</v>
      </c>
      <c r="D1133" s="37"/>
      <c r="E1133" s="37"/>
    </row>
    <row r="1134" spans="1:5" ht="25.5" x14ac:dyDescent="0.2">
      <c r="A1134" s="36" t="s">
        <v>795</v>
      </c>
      <c r="B1134" s="36" t="s">
        <v>402</v>
      </c>
      <c r="C1134" s="36" t="s">
        <v>796</v>
      </c>
      <c r="D1134" s="37"/>
      <c r="E1134" s="37"/>
    </row>
    <row r="1135" spans="1:5" ht="12.75" x14ac:dyDescent="0.2">
      <c r="A1135" s="36" t="s">
        <v>797</v>
      </c>
      <c r="B1135" s="36" t="s">
        <v>402</v>
      </c>
      <c r="C1135" s="36" t="s">
        <v>386</v>
      </c>
      <c r="D1135" s="37"/>
      <c r="E1135" s="37"/>
    </row>
    <row r="1136" spans="1:5" ht="12.75" x14ac:dyDescent="0.2">
      <c r="A1136" s="36" t="s">
        <v>798</v>
      </c>
      <c r="B1136" s="37"/>
      <c r="C1136" s="37"/>
      <c r="D1136" s="37"/>
      <c r="E1136" s="37"/>
    </row>
    <row r="1137" spans="1:5" ht="12.75" x14ac:dyDescent="0.2">
      <c r="A1137" s="36" t="s">
        <v>30</v>
      </c>
      <c r="B1137" s="37"/>
      <c r="C1137" s="37"/>
      <c r="D1137" s="37"/>
      <c r="E1137" s="37"/>
    </row>
    <row r="1138" spans="1:5" ht="12.75" x14ac:dyDescent="0.2">
      <c r="A1138" s="37"/>
      <c r="B1138" s="36" t="s">
        <v>422</v>
      </c>
      <c r="C1138" s="36" t="s">
        <v>423</v>
      </c>
      <c r="D1138" s="36" t="s">
        <v>424</v>
      </c>
      <c r="E1138" s="37"/>
    </row>
    <row r="1139" spans="1:5" ht="12.75" x14ac:dyDescent="0.2">
      <c r="A1139" s="37"/>
      <c r="B1139" s="36" t="s">
        <v>403</v>
      </c>
      <c r="C1139" s="36" t="s">
        <v>227</v>
      </c>
      <c r="D1139" s="36" t="s">
        <v>256</v>
      </c>
      <c r="E1139" s="37"/>
    </row>
    <row r="1140" spans="1:5" ht="12.75" x14ac:dyDescent="0.2">
      <c r="A1140" s="37"/>
      <c r="B1140" s="36" t="s">
        <v>403</v>
      </c>
      <c r="C1140" s="36" t="s">
        <v>32</v>
      </c>
      <c r="D1140" s="36" t="s">
        <v>29</v>
      </c>
      <c r="E1140" s="37"/>
    </row>
    <row r="1141" spans="1:5" ht="12.75" x14ac:dyDescent="0.2">
      <c r="A1141" s="37"/>
      <c r="B1141" s="36" t="s">
        <v>403</v>
      </c>
      <c r="C1141" s="36" t="s">
        <v>24</v>
      </c>
      <c r="D1141" s="36" t="s">
        <v>26</v>
      </c>
      <c r="E1141" s="37"/>
    </row>
    <row r="1142" spans="1:5" ht="12.75" x14ac:dyDescent="0.2">
      <c r="A1142" s="37"/>
      <c r="B1142" s="36" t="s">
        <v>403</v>
      </c>
      <c r="C1142" s="36" t="s">
        <v>25</v>
      </c>
      <c r="D1142" s="36" t="s">
        <v>27</v>
      </c>
      <c r="E1142" s="37"/>
    </row>
    <row r="1143" spans="1:5" ht="12.75" x14ac:dyDescent="0.2">
      <c r="A1143" s="37"/>
      <c r="B1143" s="37"/>
      <c r="C1143" s="37"/>
      <c r="D1143" s="37"/>
      <c r="E1143" s="37"/>
    </row>
    <row r="1144" spans="1:5" ht="12.75" x14ac:dyDescent="0.2">
      <c r="A1144" s="36" t="s">
        <v>27</v>
      </c>
      <c r="B1144" s="37"/>
      <c r="C1144" s="37"/>
      <c r="D1144" s="37"/>
      <c r="E1144" s="37"/>
    </row>
    <row r="1145" spans="1:5" ht="12.75" x14ac:dyDescent="0.2">
      <c r="A1145" s="37"/>
      <c r="B1145" s="36" t="s">
        <v>398</v>
      </c>
      <c r="C1145" s="37"/>
      <c r="D1145" s="37"/>
      <c r="E1145" s="37"/>
    </row>
    <row r="1146" spans="1:5" ht="12.75" x14ac:dyDescent="0.2">
      <c r="A1146" s="37"/>
      <c r="B1146" s="36" t="s">
        <v>399</v>
      </c>
      <c r="C1146" s="37"/>
      <c r="D1146" s="37"/>
      <c r="E1146" s="37"/>
    </row>
    <row r="1147" spans="1:5" ht="12.75" x14ac:dyDescent="0.2">
      <c r="A1147" s="37"/>
      <c r="B1147" s="36" t="s">
        <v>400</v>
      </c>
      <c r="C1147" s="37"/>
      <c r="D1147" s="37"/>
      <c r="E1147" s="37"/>
    </row>
    <row r="1148" spans="1:5" ht="12.75" x14ac:dyDescent="0.2">
      <c r="A1148" s="37"/>
      <c r="B1148" s="36" t="s">
        <v>401</v>
      </c>
      <c r="C1148" s="36" t="s">
        <v>27</v>
      </c>
      <c r="D1148" s="37"/>
      <c r="E1148" s="37"/>
    </row>
    <row r="1149" spans="1:5" ht="25.5" x14ac:dyDescent="0.2">
      <c r="A1149" s="36" t="s">
        <v>799</v>
      </c>
      <c r="B1149" s="36" t="s">
        <v>402</v>
      </c>
      <c r="C1149" s="36" t="s">
        <v>396</v>
      </c>
      <c r="D1149" s="37"/>
      <c r="E1149" s="37"/>
    </row>
    <row r="1150" spans="1:5" ht="12.75" x14ac:dyDescent="0.2">
      <c r="A1150" s="36" t="s">
        <v>800</v>
      </c>
      <c r="B1150" s="37"/>
      <c r="C1150" s="37"/>
      <c r="D1150" s="37"/>
      <c r="E1150" s="37"/>
    </row>
    <row r="1151" spans="1:5" ht="12.75" x14ac:dyDescent="0.2">
      <c r="A1151" s="36" t="s">
        <v>801</v>
      </c>
      <c r="B1151" s="37"/>
      <c r="C1151" s="37"/>
      <c r="D1151" s="37"/>
      <c r="E1151" s="37"/>
    </row>
    <row r="1152" spans="1:5" ht="12.75" x14ac:dyDescent="0.2">
      <c r="A1152" s="36" t="s">
        <v>802</v>
      </c>
      <c r="B1152" s="37"/>
      <c r="C1152" s="37"/>
      <c r="D1152" s="37"/>
      <c r="E1152" s="37"/>
    </row>
    <row r="1153" spans="1:5" ht="12.75" x14ac:dyDescent="0.2">
      <c r="A1153" s="36" t="s">
        <v>803</v>
      </c>
      <c r="B1153" s="37"/>
      <c r="C1153" s="37"/>
      <c r="D1153" s="37"/>
      <c r="E1153" s="37"/>
    </row>
    <row r="1154" spans="1:5" ht="12.75" x14ac:dyDescent="0.2">
      <c r="A1154" s="36" t="s">
        <v>804</v>
      </c>
      <c r="B1154" s="37"/>
      <c r="C1154" s="37"/>
      <c r="D1154" s="37"/>
      <c r="E1154" s="37"/>
    </row>
    <row r="1155" spans="1:5" ht="12.75" x14ac:dyDescent="0.2">
      <c r="A1155" s="36" t="s">
        <v>25</v>
      </c>
      <c r="B1155" s="37"/>
      <c r="C1155" s="37"/>
      <c r="D1155" s="37"/>
      <c r="E1155" s="37"/>
    </row>
    <row r="1156" spans="1:5" ht="12.75" x14ac:dyDescent="0.2">
      <c r="A1156" s="37"/>
      <c r="B1156" s="36" t="s">
        <v>422</v>
      </c>
      <c r="C1156" s="36" t="s">
        <v>391</v>
      </c>
      <c r="D1156" s="36" t="s">
        <v>805</v>
      </c>
      <c r="E1156" s="37"/>
    </row>
    <row r="1157" spans="1:5" ht="12.75" x14ac:dyDescent="0.2">
      <c r="A1157" s="37"/>
      <c r="B1157" s="36" t="s">
        <v>422</v>
      </c>
      <c r="C1157" s="36" t="s">
        <v>392</v>
      </c>
      <c r="D1157" s="36" t="s">
        <v>806</v>
      </c>
      <c r="E1157" s="37"/>
    </row>
    <row r="1158" spans="1:5" ht="12.75" x14ac:dyDescent="0.2">
      <c r="A1158" s="37"/>
      <c r="B1158" s="36" t="s">
        <v>422</v>
      </c>
      <c r="C1158" s="36" t="s">
        <v>423</v>
      </c>
      <c r="D1158" s="36" t="s">
        <v>424</v>
      </c>
      <c r="E1158" s="37"/>
    </row>
    <row r="1159" spans="1:5" ht="12.75" x14ac:dyDescent="0.2">
      <c r="A1159" s="37"/>
      <c r="B1159" s="36" t="s">
        <v>422</v>
      </c>
      <c r="C1159" s="36" t="s">
        <v>807</v>
      </c>
      <c r="D1159" s="36" t="s">
        <v>808</v>
      </c>
      <c r="E1159" s="37"/>
    </row>
    <row r="1160" spans="1:5" ht="12.75" x14ac:dyDescent="0.2">
      <c r="A1160" s="37"/>
      <c r="B1160" s="36" t="s">
        <v>403</v>
      </c>
      <c r="C1160" s="36" t="s">
        <v>397</v>
      </c>
      <c r="D1160" s="36" t="s">
        <v>27</v>
      </c>
      <c r="E1160" s="37"/>
    </row>
    <row r="1161" spans="1:5" ht="12.75" x14ac:dyDescent="0.2">
      <c r="A1161" s="37"/>
      <c r="B1161" s="36" t="s">
        <v>403</v>
      </c>
      <c r="C1161" s="36" t="s">
        <v>30</v>
      </c>
      <c r="D1161" s="36" t="s">
        <v>31</v>
      </c>
      <c r="E1161" s="37"/>
    </row>
    <row r="1162" spans="1:5" ht="12.75" x14ac:dyDescent="0.2">
      <c r="A1162" s="37"/>
      <c r="B1162" s="36" t="s">
        <v>403</v>
      </c>
      <c r="C1162" s="36" t="s">
        <v>16</v>
      </c>
      <c r="D1162" s="36" t="s">
        <v>10</v>
      </c>
      <c r="E1162" s="37"/>
    </row>
    <row r="1163" spans="1:5" ht="12.75" x14ac:dyDescent="0.2">
      <c r="A1163" s="37"/>
      <c r="B1163" s="37"/>
      <c r="C1163" s="37"/>
      <c r="D1163" s="37"/>
      <c r="E1163" s="37"/>
    </row>
    <row r="1164" spans="1:5" ht="12.75" x14ac:dyDescent="0.2">
      <c r="A1164" s="36" t="s">
        <v>45</v>
      </c>
      <c r="B1164" s="37"/>
      <c r="C1164" s="37"/>
      <c r="D1164" s="37"/>
      <c r="E1164" s="37"/>
    </row>
    <row r="1165" spans="1:5" ht="12.75" x14ac:dyDescent="0.2">
      <c r="A1165" s="37"/>
      <c r="B1165" s="36" t="s">
        <v>398</v>
      </c>
      <c r="C1165" s="37"/>
      <c r="D1165" s="37"/>
      <c r="E1165" s="37"/>
    </row>
    <row r="1166" spans="1:5" ht="12.75" x14ac:dyDescent="0.2">
      <c r="A1166" s="37"/>
      <c r="B1166" s="36" t="s">
        <v>399</v>
      </c>
      <c r="C1166" s="36" t="s">
        <v>926</v>
      </c>
      <c r="D1166" s="37"/>
      <c r="E1166" s="37"/>
    </row>
    <row r="1167" spans="1:5" ht="12.75" x14ac:dyDescent="0.2">
      <c r="A1167" s="37"/>
      <c r="B1167" s="36" t="s">
        <v>400</v>
      </c>
      <c r="C1167" s="37"/>
      <c r="D1167" s="37"/>
      <c r="E1167" s="37"/>
    </row>
    <row r="1168" spans="1:5" ht="12.75" x14ac:dyDescent="0.2">
      <c r="A1168" s="37"/>
      <c r="B1168" s="36" t="s">
        <v>401</v>
      </c>
      <c r="C1168" s="37"/>
      <c r="D1168" s="37"/>
      <c r="E1168" s="37"/>
    </row>
    <row r="1169" spans="1:5" ht="25.5" x14ac:dyDescent="0.2">
      <c r="A1169" s="36" t="s">
        <v>66</v>
      </c>
      <c r="B1169" s="36" t="s">
        <v>402</v>
      </c>
      <c r="C1169" s="36" t="s">
        <v>809</v>
      </c>
      <c r="D1169" s="37"/>
      <c r="E1169" s="37"/>
    </row>
    <row r="1170" spans="1:5" ht="12.75" x14ac:dyDescent="0.2">
      <c r="A1170" s="36" t="s">
        <v>65</v>
      </c>
      <c r="B1170" s="37"/>
      <c r="C1170" s="37"/>
      <c r="D1170" s="37"/>
      <c r="E1170" s="37"/>
    </row>
    <row r="1171" spans="1:5" ht="12.75" x14ac:dyDescent="0.2">
      <c r="A1171" s="36" t="s">
        <v>64</v>
      </c>
      <c r="B1171" s="37"/>
      <c r="C1171" s="37"/>
      <c r="D1171" s="37"/>
      <c r="E1171" s="37"/>
    </row>
    <row r="1172" spans="1:5" ht="12.75" x14ac:dyDescent="0.2">
      <c r="A1172" s="36" t="s">
        <v>63</v>
      </c>
      <c r="B1172" s="37"/>
      <c r="C1172" s="37"/>
      <c r="D1172" s="37"/>
      <c r="E1172" s="37"/>
    </row>
    <row r="1173" spans="1:5" ht="12.75" x14ac:dyDescent="0.2">
      <c r="A1173" s="36" t="s">
        <v>61</v>
      </c>
      <c r="B1173" s="37"/>
      <c r="C1173" s="37"/>
      <c r="D1173" s="37"/>
      <c r="E1173" s="37"/>
    </row>
    <row r="1174" spans="1:5" ht="12.75" x14ac:dyDescent="0.2">
      <c r="A1174" s="36" t="s">
        <v>57</v>
      </c>
      <c r="B1174" s="37"/>
      <c r="C1174" s="37"/>
      <c r="D1174" s="37"/>
      <c r="E1174" s="37"/>
    </row>
    <row r="1175" spans="1:5" ht="12.75" x14ac:dyDescent="0.2">
      <c r="A1175" s="36" t="s">
        <v>54</v>
      </c>
      <c r="B1175" s="37"/>
      <c r="C1175" s="37"/>
      <c r="D1175" s="37"/>
      <c r="E1175" s="37"/>
    </row>
    <row r="1176" spans="1:5" ht="12.75" x14ac:dyDescent="0.2">
      <c r="A1176" s="36" t="s">
        <v>52</v>
      </c>
      <c r="B1176" s="37"/>
      <c r="C1176" s="37"/>
      <c r="D1176" s="37"/>
      <c r="E1176" s="37"/>
    </row>
    <row r="1177" spans="1:5" ht="12.75" x14ac:dyDescent="0.2">
      <c r="A1177" s="36" t="s">
        <v>50</v>
      </c>
      <c r="B1177" s="37"/>
      <c r="C1177" s="37"/>
      <c r="D1177" s="37"/>
      <c r="E1177" s="37"/>
    </row>
    <row r="1178" spans="1:5" ht="12.75" x14ac:dyDescent="0.2">
      <c r="A1178" s="36" t="s">
        <v>49</v>
      </c>
      <c r="B1178" s="37"/>
      <c r="C1178" s="37"/>
      <c r="D1178" s="37"/>
      <c r="E1178" s="37"/>
    </row>
    <row r="1179" spans="1:5" ht="12.75" x14ac:dyDescent="0.2">
      <c r="A1179" s="36" t="s">
        <v>46</v>
      </c>
      <c r="B1179" s="37"/>
      <c r="C1179" s="37"/>
      <c r="D1179" s="37"/>
      <c r="E1179" s="37"/>
    </row>
    <row r="1180" spans="1:5" ht="12.75" x14ac:dyDescent="0.2">
      <c r="A1180" s="37"/>
      <c r="B1180" s="37"/>
      <c r="C1180" s="37"/>
      <c r="D1180" s="37"/>
      <c r="E1180" s="37"/>
    </row>
    <row r="1181" spans="1:5" ht="12.75" x14ac:dyDescent="0.2">
      <c r="A1181" s="36" t="s">
        <v>945</v>
      </c>
      <c r="B1181" s="37"/>
      <c r="C1181" s="37"/>
      <c r="D1181" s="37"/>
      <c r="E1181" s="37"/>
    </row>
    <row r="1182" spans="1:5" ht="12.75" x14ac:dyDescent="0.2">
      <c r="A1182" s="37"/>
      <c r="B1182" s="36" t="s">
        <v>398</v>
      </c>
      <c r="C1182" s="36" t="s">
        <v>949</v>
      </c>
      <c r="D1182" s="37"/>
      <c r="E1182" s="37"/>
    </row>
    <row r="1183" spans="1:5" ht="12.75" x14ac:dyDescent="0.2">
      <c r="A1183" s="37"/>
      <c r="B1183" s="36" t="s">
        <v>399</v>
      </c>
      <c r="C1183" s="37"/>
      <c r="D1183" s="37"/>
      <c r="E1183" s="37"/>
    </row>
    <row r="1184" spans="1:5" ht="12.75" x14ac:dyDescent="0.2">
      <c r="A1184" s="37"/>
      <c r="B1184" s="36" t="s">
        <v>400</v>
      </c>
      <c r="C1184" s="36" t="s">
        <v>952</v>
      </c>
      <c r="D1184" s="37"/>
      <c r="E1184" s="37"/>
    </row>
    <row r="1185" spans="1:5" ht="12.75" x14ac:dyDescent="0.2">
      <c r="A1185" s="37"/>
      <c r="B1185" s="36" t="s">
        <v>401</v>
      </c>
      <c r="C1185" s="37"/>
      <c r="D1185" s="37"/>
      <c r="E1185" s="37"/>
    </row>
    <row r="1186" spans="1:5" ht="12.75" x14ac:dyDescent="0.2">
      <c r="A1186" s="36" t="s">
        <v>956</v>
      </c>
      <c r="B1186" s="36" t="s">
        <v>402</v>
      </c>
      <c r="C1186" s="36" t="s">
        <v>958</v>
      </c>
      <c r="D1186" s="37"/>
      <c r="E1186" s="37"/>
    </row>
    <row r="1187" spans="1:5" ht="12.75" x14ac:dyDescent="0.2">
      <c r="A1187" s="36" t="s">
        <v>960</v>
      </c>
      <c r="B1187" s="37"/>
      <c r="C1187" s="37"/>
      <c r="D1187" s="37"/>
      <c r="E1187" s="37"/>
    </row>
    <row r="1188" spans="1:5" ht="12.75" x14ac:dyDescent="0.2">
      <c r="A1188" s="36" t="s">
        <v>963</v>
      </c>
      <c r="B1188" s="37"/>
      <c r="C1188" s="37"/>
      <c r="D1188" s="37"/>
      <c r="E1188" s="37"/>
    </row>
    <row r="1189" spans="1:5" ht="12.75" x14ac:dyDescent="0.2">
      <c r="A1189" s="36" t="s">
        <v>966</v>
      </c>
      <c r="B1189" s="37"/>
      <c r="C1189" s="37"/>
      <c r="D1189" s="37"/>
      <c r="E1189" s="37"/>
    </row>
    <row r="1190" spans="1:5" ht="12.75" x14ac:dyDescent="0.2">
      <c r="A1190" s="36" t="s">
        <v>968</v>
      </c>
      <c r="B1190" s="37"/>
      <c r="C1190" s="37"/>
      <c r="D1190" s="37"/>
      <c r="E1190" s="37"/>
    </row>
    <row r="1191" spans="1:5" ht="12.75" x14ac:dyDescent="0.2">
      <c r="A1191" s="36" t="s">
        <v>970</v>
      </c>
      <c r="B1191" s="37"/>
      <c r="C1191" s="37"/>
      <c r="D1191" s="37"/>
      <c r="E1191" s="37"/>
    </row>
    <row r="1192" spans="1:5" ht="12.75" x14ac:dyDescent="0.2">
      <c r="A1192" s="36" t="s">
        <v>972</v>
      </c>
      <c r="B1192" s="37"/>
      <c r="C1192" s="37"/>
      <c r="D1192" s="37"/>
      <c r="E1192" s="37"/>
    </row>
    <row r="1193" spans="1:5" ht="12.75" x14ac:dyDescent="0.2">
      <c r="A1193" s="36" t="s">
        <v>975</v>
      </c>
      <c r="B1193" s="37"/>
      <c r="C1193" s="37"/>
      <c r="D1193" s="37"/>
      <c r="E1193" s="37"/>
    </row>
    <row r="1194" spans="1:5" ht="12.75" x14ac:dyDescent="0.2">
      <c r="A1194" s="36" t="s">
        <v>978</v>
      </c>
      <c r="B1194" s="37"/>
      <c r="C1194" s="37"/>
      <c r="D1194" s="37"/>
      <c r="E1194" s="37"/>
    </row>
    <row r="1195" spans="1:5" ht="12.75" x14ac:dyDescent="0.2">
      <c r="A1195" s="36" t="s">
        <v>980</v>
      </c>
      <c r="B1195" s="37"/>
      <c r="C1195" s="37"/>
      <c r="D1195" s="37"/>
      <c r="E1195" s="37"/>
    </row>
    <row r="1196" spans="1:5" ht="12.75" x14ac:dyDescent="0.2">
      <c r="A1196" s="36" t="s">
        <v>981</v>
      </c>
      <c r="B1196" s="37"/>
      <c r="C1196" s="37"/>
      <c r="D1196" s="37"/>
      <c r="E1196" s="37"/>
    </row>
    <row r="1197" spans="1:5" ht="12.75" x14ac:dyDescent="0.2">
      <c r="A1197" s="36" t="s">
        <v>983</v>
      </c>
      <c r="B1197" s="37"/>
      <c r="C1197" s="37"/>
      <c r="D1197" s="37"/>
      <c r="E1197" s="37"/>
    </row>
    <row r="1198" spans="1:5" ht="12.75" x14ac:dyDescent="0.2">
      <c r="A1198" s="36" t="s">
        <v>985</v>
      </c>
      <c r="B1198" s="37"/>
      <c r="C1198" s="37"/>
      <c r="D1198" s="37"/>
      <c r="E1198" s="37"/>
    </row>
    <row r="1199" spans="1:5" ht="12.75" x14ac:dyDescent="0.2">
      <c r="A1199" s="36" t="s">
        <v>987</v>
      </c>
      <c r="B1199" s="37"/>
      <c r="C1199" s="37"/>
      <c r="D1199" s="37"/>
      <c r="E1199" s="37"/>
    </row>
    <row r="1200" spans="1:5" ht="12.75" x14ac:dyDescent="0.2">
      <c r="A1200" s="37"/>
      <c r="B1200" s="37"/>
      <c r="C1200" s="37"/>
      <c r="D1200" s="37"/>
      <c r="E1200" s="37"/>
    </row>
    <row r="1201" spans="1:5" ht="12.75" x14ac:dyDescent="0.2">
      <c r="A1201" s="36" t="s">
        <v>991</v>
      </c>
      <c r="B1201" s="37"/>
      <c r="C1201" s="37"/>
      <c r="D1201" s="37"/>
      <c r="E1201" s="37"/>
    </row>
    <row r="1202" spans="1:5" ht="12.75" x14ac:dyDescent="0.2">
      <c r="A1202" s="37"/>
      <c r="B1202" s="36" t="s">
        <v>398</v>
      </c>
      <c r="C1202" s="36" t="s">
        <v>949</v>
      </c>
      <c r="D1202" s="37"/>
      <c r="E1202" s="37"/>
    </row>
    <row r="1203" spans="1:5" ht="12.75" x14ac:dyDescent="0.2">
      <c r="A1203" s="37"/>
      <c r="B1203" s="36" t="s">
        <v>399</v>
      </c>
      <c r="C1203" s="36" t="s">
        <v>1000</v>
      </c>
      <c r="D1203" s="37"/>
      <c r="E1203" s="37"/>
    </row>
    <row r="1204" spans="1:5" ht="12.75" x14ac:dyDescent="0.2">
      <c r="A1204" s="37"/>
      <c r="B1204" s="36" t="s">
        <v>400</v>
      </c>
      <c r="C1204" s="36" t="s">
        <v>1003</v>
      </c>
      <c r="D1204" s="37"/>
      <c r="E1204" s="37"/>
    </row>
    <row r="1205" spans="1:5" ht="12.75" x14ac:dyDescent="0.2">
      <c r="A1205" s="37"/>
      <c r="B1205" s="36" t="s">
        <v>401</v>
      </c>
      <c r="C1205" s="37"/>
      <c r="D1205" s="37"/>
      <c r="E1205" s="37"/>
    </row>
    <row r="1206" spans="1:5" ht="12.75" x14ac:dyDescent="0.2">
      <c r="A1206" s="36" t="s">
        <v>1005</v>
      </c>
      <c r="B1206" s="36" t="s">
        <v>402</v>
      </c>
      <c r="C1206" s="36" t="s">
        <v>1007</v>
      </c>
      <c r="D1206" s="37"/>
      <c r="E1206" s="37"/>
    </row>
    <row r="1207" spans="1:5" ht="12.75" x14ac:dyDescent="0.2">
      <c r="A1207" s="36" t="s">
        <v>1009</v>
      </c>
      <c r="B1207" s="37"/>
      <c r="C1207" s="37"/>
      <c r="D1207" s="37"/>
      <c r="E1207" s="37"/>
    </row>
    <row r="1208" spans="1:5" ht="12.75" x14ac:dyDescent="0.2">
      <c r="A1208" s="36" t="s">
        <v>1010</v>
      </c>
      <c r="B1208" s="37"/>
      <c r="C1208" s="37"/>
      <c r="D1208" s="37"/>
      <c r="E1208" s="37"/>
    </row>
    <row r="1209" spans="1:5" ht="12.75" x14ac:dyDescent="0.2">
      <c r="A1209" s="36" t="s">
        <v>1012</v>
      </c>
      <c r="B1209" s="37"/>
      <c r="C1209" s="37"/>
      <c r="D1209" s="37"/>
      <c r="E1209" s="37"/>
    </row>
    <row r="1210" spans="1:5" ht="12.75" x14ac:dyDescent="0.2">
      <c r="A1210" s="36" t="s">
        <v>1014</v>
      </c>
      <c r="B1210" s="37"/>
      <c r="C1210" s="37"/>
      <c r="D1210" s="37"/>
      <c r="E1210" s="37"/>
    </row>
    <row r="1211" spans="1:5" ht="12.75" x14ac:dyDescent="0.2">
      <c r="A1211" s="36" t="s">
        <v>1016</v>
      </c>
      <c r="B1211" s="37"/>
      <c r="C1211" s="37"/>
      <c r="D1211" s="37"/>
      <c r="E1211" s="37"/>
    </row>
    <row r="1212" spans="1:5" ht="12.75" x14ac:dyDescent="0.2">
      <c r="A1212" s="36" t="s">
        <v>1017</v>
      </c>
      <c r="B1212" s="37"/>
      <c r="C1212" s="37"/>
      <c r="D1212" s="37"/>
      <c r="E1212" s="37"/>
    </row>
    <row r="1213" spans="1:5" ht="12.75" x14ac:dyDescent="0.2">
      <c r="A1213" s="36" t="s">
        <v>1019</v>
      </c>
      <c r="B1213" s="37"/>
      <c r="C1213" s="37"/>
      <c r="D1213" s="37"/>
      <c r="E1213" s="37"/>
    </row>
    <row r="1214" spans="1:5" ht="12.75" x14ac:dyDescent="0.2">
      <c r="A1214" s="36" t="s">
        <v>1021</v>
      </c>
      <c r="B1214" s="37"/>
      <c r="C1214" s="37"/>
      <c r="D1214" s="37"/>
      <c r="E1214" s="37"/>
    </row>
    <row r="1215" spans="1:5" ht="12.75" x14ac:dyDescent="0.2">
      <c r="A1215" s="36" t="s">
        <v>1023</v>
      </c>
      <c r="B1215" s="37"/>
      <c r="C1215" s="37"/>
      <c r="D1215" s="37"/>
      <c r="E1215" s="37"/>
    </row>
    <row r="1216" spans="1:5" ht="12.75" x14ac:dyDescent="0.2">
      <c r="A1216" s="36" t="s">
        <v>1025</v>
      </c>
      <c r="B1216" s="37"/>
      <c r="C1216" s="37"/>
      <c r="D1216" s="37"/>
      <c r="E1216" s="37"/>
    </row>
    <row r="1217" spans="1:5" ht="12.75" x14ac:dyDescent="0.2">
      <c r="A1217" s="36" t="s">
        <v>1026</v>
      </c>
      <c r="B1217" s="37"/>
      <c r="C1217" s="37"/>
      <c r="D1217" s="37"/>
      <c r="E1217" s="37"/>
    </row>
    <row r="1218" spans="1:5" ht="12.75" x14ac:dyDescent="0.2">
      <c r="A1218" s="36" t="s">
        <v>1030</v>
      </c>
      <c r="B1218" s="37"/>
      <c r="C1218" s="37"/>
      <c r="D1218" s="37"/>
      <c r="E1218" s="37"/>
    </row>
    <row r="1219" spans="1:5" ht="12.75" x14ac:dyDescent="0.2">
      <c r="A1219" s="37"/>
      <c r="B1219" s="37"/>
      <c r="C1219" s="37"/>
      <c r="D1219" s="37"/>
      <c r="E1219" s="37"/>
    </row>
    <row r="1220" spans="1:5" ht="12.75" x14ac:dyDescent="0.2">
      <c r="A1220" s="36" t="s">
        <v>67</v>
      </c>
      <c r="B1220" s="37"/>
      <c r="C1220" s="37"/>
      <c r="D1220" s="37"/>
      <c r="E1220" s="37"/>
    </row>
    <row r="1221" spans="1:5" ht="12.75" x14ac:dyDescent="0.2">
      <c r="A1221" s="37"/>
      <c r="B1221" s="36" t="s">
        <v>398</v>
      </c>
      <c r="C1221" s="37"/>
      <c r="D1221" s="37"/>
      <c r="E1221" s="37"/>
    </row>
    <row r="1222" spans="1:5" ht="12.75" x14ac:dyDescent="0.2">
      <c r="A1222" s="37"/>
      <c r="B1222" s="36" t="s">
        <v>399</v>
      </c>
      <c r="C1222" s="36" t="s">
        <v>949</v>
      </c>
      <c r="D1222" s="37"/>
      <c r="E1222" s="37"/>
    </row>
    <row r="1223" spans="1:5" ht="12.75" x14ac:dyDescent="0.2">
      <c r="A1223" s="37"/>
      <c r="B1223" s="36" t="s">
        <v>400</v>
      </c>
      <c r="C1223" s="37"/>
      <c r="D1223" s="37"/>
      <c r="E1223" s="37"/>
    </row>
    <row r="1224" spans="1:5" ht="12.75" x14ac:dyDescent="0.2">
      <c r="A1224" s="37"/>
      <c r="B1224" s="36" t="s">
        <v>401</v>
      </c>
      <c r="C1224" s="37"/>
      <c r="D1224" s="37"/>
      <c r="E1224" s="37"/>
    </row>
    <row r="1225" spans="1:5" ht="25.5" x14ac:dyDescent="0.2">
      <c r="A1225" s="36" t="s">
        <v>89</v>
      </c>
      <c r="B1225" s="36" t="s">
        <v>402</v>
      </c>
      <c r="C1225" s="36" t="s">
        <v>1037</v>
      </c>
      <c r="D1225" s="37"/>
      <c r="E1225" s="37"/>
    </row>
    <row r="1226" spans="1:5" ht="12.75" x14ac:dyDescent="0.2">
      <c r="A1226" s="36" t="s">
        <v>810</v>
      </c>
      <c r="B1226" s="37"/>
      <c r="C1226" s="37"/>
      <c r="D1226" s="37"/>
      <c r="E1226" s="37"/>
    </row>
    <row r="1227" spans="1:5" ht="12.75" x14ac:dyDescent="0.2">
      <c r="A1227" s="36" t="s">
        <v>85</v>
      </c>
      <c r="B1227" s="37"/>
      <c r="C1227" s="37"/>
      <c r="D1227" s="37"/>
      <c r="E1227" s="37"/>
    </row>
    <row r="1228" spans="1:5" ht="12.75" x14ac:dyDescent="0.2">
      <c r="A1228" s="36" t="s">
        <v>82</v>
      </c>
      <c r="B1228" s="37"/>
      <c r="C1228" s="37"/>
      <c r="D1228" s="37"/>
      <c r="E1228" s="37"/>
    </row>
    <row r="1229" spans="1:5" ht="12.75" x14ac:dyDescent="0.2">
      <c r="A1229" s="36" t="s">
        <v>811</v>
      </c>
      <c r="B1229" s="37"/>
      <c r="C1229" s="37"/>
      <c r="D1229" s="37"/>
      <c r="E1229" s="37"/>
    </row>
    <row r="1230" spans="1:5" ht="12.75" x14ac:dyDescent="0.2">
      <c r="A1230" s="36" t="s">
        <v>80</v>
      </c>
      <c r="B1230" s="37"/>
      <c r="C1230" s="37"/>
      <c r="D1230" s="37"/>
      <c r="E1230" s="37"/>
    </row>
    <row r="1231" spans="1:5" ht="12.75" x14ac:dyDescent="0.2">
      <c r="A1231" s="36" t="s">
        <v>812</v>
      </c>
      <c r="B1231" s="37"/>
      <c r="C1231" s="37"/>
      <c r="D1231" s="37"/>
      <c r="E1231" s="37"/>
    </row>
    <row r="1232" spans="1:5" ht="12.75" x14ac:dyDescent="0.2">
      <c r="A1232" s="36" t="s">
        <v>813</v>
      </c>
      <c r="B1232" s="37"/>
      <c r="C1232" s="37"/>
      <c r="D1232" s="37"/>
      <c r="E1232" s="37"/>
    </row>
    <row r="1233" spans="1:5" ht="12.75" x14ac:dyDescent="0.2">
      <c r="A1233" s="36" t="s">
        <v>77</v>
      </c>
      <c r="B1233" s="37"/>
      <c r="C1233" s="37"/>
      <c r="D1233" s="37"/>
      <c r="E1233" s="37"/>
    </row>
    <row r="1234" spans="1:5" ht="12.75" x14ac:dyDescent="0.2">
      <c r="A1234" s="36" t="s">
        <v>74</v>
      </c>
      <c r="B1234" s="37"/>
      <c r="C1234" s="37"/>
      <c r="D1234" s="37"/>
      <c r="E1234" s="37"/>
    </row>
    <row r="1235" spans="1:5" ht="12.75" x14ac:dyDescent="0.2">
      <c r="A1235" s="36" t="s">
        <v>70</v>
      </c>
      <c r="B1235" s="37"/>
      <c r="C1235" s="37"/>
      <c r="D1235" s="37"/>
      <c r="E1235" s="37"/>
    </row>
    <row r="1236" spans="1:5" ht="12.75" x14ac:dyDescent="0.2">
      <c r="A1236" s="36" t="s">
        <v>68</v>
      </c>
      <c r="B1236" s="37"/>
      <c r="C1236" s="37"/>
      <c r="D1236" s="37"/>
      <c r="E1236" s="37"/>
    </row>
    <row r="1237" spans="1:5" ht="12.75" x14ac:dyDescent="0.2">
      <c r="A1237" s="37"/>
      <c r="B1237" s="37"/>
      <c r="C1237" s="37"/>
      <c r="D1237" s="37"/>
      <c r="E1237" s="37"/>
    </row>
    <row r="1238" spans="1:5" ht="12.75" x14ac:dyDescent="0.2">
      <c r="A1238" s="36" t="s">
        <v>92</v>
      </c>
      <c r="B1238" s="37"/>
      <c r="C1238" s="37"/>
      <c r="D1238" s="37"/>
      <c r="E1238" s="37"/>
    </row>
    <row r="1239" spans="1:5" ht="12.75" x14ac:dyDescent="0.2">
      <c r="A1239" s="37"/>
      <c r="B1239" s="36" t="s">
        <v>398</v>
      </c>
      <c r="C1239" s="37"/>
      <c r="D1239" s="37"/>
      <c r="E1239" s="37"/>
    </row>
    <row r="1240" spans="1:5" ht="12.75" x14ac:dyDescent="0.2">
      <c r="A1240" s="37"/>
      <c r="B1240" s="36" t="s">
        <v>399</v>
      </c>
      <c r="C1240" s="37"/>
      <c r="D1240" s="37"/>
      <c r="E1240" s="37"/>
    </row>
    <row r="1241" spans="1:5" ht="12.75" x14ac:dyDescent="0.2">
      <c r="A1241" s="37"/>
      <c r="B1241" s="36" t="s">
        <v>400</v>
      </c>
      <c r="C1241" s="37"/>
      <c r="D1241" s="37"/>
      <c r="E1241" s="37"/>
    </row>
    <row r="1242" spans="1:5" ht="12.75" x14ac:dyDescent="0.2">
      <c r="A1242" s="37"/>
      <c r="B1242" s="36" t="s">
        <v>401</v>
      </c>
      <c r="C1242" s="37"/>
      <c r="D1242" s="37"/>
      <c r="E1242" s="37"/>
    </row>
    <row r="1243" spans="1:5" ht="12.75" x14ac:dyDescent="0.2">
      <c r="A1243" s="36" t="s">
        <v>128</v>
      </c>
      <c r="B1243" s="36" t="s">
        <v>402</v>
      </c>
      <c r="C1243" s="36" t="s">
        <v>94</v>
      </c>
      <c r="D1243" s="37"/>
      <c r="E1243" s="37"/>
    </row>
    <row r="1244" spans="1:5" ht="12.75" x14ac:dyDescent="0.2">
      <c r="A1244" s="36" t="s">
        <v>814</v>
      </c>
      <c r="B1244" s="37"/>
      <c r="C1244" s="37"/>
      <c r="D1244" s="37"/>
      <c r="E1244" s="37"/>
    </row>
    <row r="1245" spans="1:5" ht="12.75" x14ac:dyDescent="0.2">
      <c r="A1245" s="36" t="s">
        <v>815</v>
      </c>
      <c r="B1245" s="37"/>
      <c r="C1245" s="37"/>
      <c r="D1245" s="37"/>
      <c r="E1245" s="37"/>
    </row>
    <row r="1246" spans="1:5" ht="12.75" x14ac:dyDescent="0.2">
      <c r="A1246" s="36" t="s">
        <v>122</v>
      </c>
      <c r="B1246" s="37"/>
      <c r="C1246" s="37"/>
      <c r="D1246" s="37"/>
      <c r="E1246" s="37"/>
    </row>
    <row r="1247" spans="1:5" ht="12.75" x14ac:dyDescent="0.2">
      <c r="A1247" s="36" t="s">
        <v>816</v>
      </c>
      <c r="B1247" s="37"/>
      <c r="C1247" s="37"/>
      <c r="D1247" s="37"/>
      <c r="E1247" s="37"/>
    </row>
    <row r="1248" spans="1:5" ht="12.75" x14ac:dyDescent="0.2">
      <c r="A1248" s="36" t="s">
        <v>817</v>
      </c>
      <c r="B1248" s="37"/>
      <c r="C1248" s="37"/>
      <c r="D1248" s="37"/>
      <c r="E1248" s="37"/>
    </row>
    <row r="1249" spans="1:5" ht="12.75" x14ac:dyDescent="0.2">
      <c r="A1249" s="36" t="s">
        <v>116</v>
      </c>
      <c r="B1249" s="37"/>
      <c r="C1249" s="37"/>
      <c r="D1249" s="37"/>
      <c r="E1249" s="37"/>
    </row>
    <row r="1250" spans="1:5" ht="12.75" x14ac:dyDescent="0.2">
      <c r="A1250" s="36" t="s">
        <v>818</v>
      </c>
      <c r="B1250" s="37"/>
      <c r="C1250" s="37"/>
      <c r="D1250" s="37"/>
      <c r="E1250" s="37"/>
    </row>
    <row r="1251" spans="1:5" ht="12.75" x14ac:dyDescent="0.2">
      <c r="A1251" s="36" t="s">
        <v>819</v>
      </c>
      <c r="B1251" s="37"/>
      <c r="C1251" s="37"/>
      <c r="D1251" s="37"/>
      <c r="E1251" s="37"/>
    </row>
    <row r="1252" spans="1:5" ht="12.75" x14ac:dyDescent="0.2">
      <c r="A1252" s="36" t="s">
        <v>104</v>
      </c>
      <c r="B1252" s="37"/>
      <c r="C1252" s="37"/>
      <c r="D1252" s="37"/>
      <c r="E1252" s="37"/>
    </row>
    <row r="1253" spans="1:5" ht="12.75" x14ac:dyDescent="0.2">
      <c r="A1253" s="36" t="s">
        <v>820</v>
      </c>
      <c r="B1253" s="37"/>
      <c r="C1253" s="37"/>
      <c r="D1253" s="37"/>
      <c r="E1253" s="37"/>
    </row>
    <row r="1254" spans="1:5" ht="12.75" x14ac:dyDescent="0.2">
      <c r="A1254" s="36" t="s">
        <v>821</v>
      </c>
      <c r="B1254" s="37"/>
      <c r="C1254" s="37"/>
      <c r="D1254" s="37"/>
      <c r="E1254" s="37"/>
    </row>
    <row r="1255" spans="1:5" ht="12.75" x14ac:dyDescent="0.2">
      <c r="A1255" s="36" t="s">
        <v>93</v>
      </c>
      <c r="B1255" s="37"/>
      <c r="C1255" s="37"/>
      <c r="D1255" s="37"/>
      <c r="E1255" s="37"/>
    </row>
    <row r="1256" spans="1:5" ht="12.75" x14ac:dyDescent="0.2">
      <c r="A1256" s="37"/>
      <c r="B1256" s="37"/>
      <c r="C1256" s="37"/>
      <c r="D1256" s="37"/>
      <c r="E1256" s="37"/>
    </row>
    <row r="1257" spans="1:5" ht="12.75" x14ac:dyDescent="0.2">
      <c r="A1257" s="36" t="s">
        <v>129</v>
      </c>
      <c r="B1257" s="37"/>
      <c r="C1257" s="37"/>
      <c r="D1257" s="37"/>
      <c r="E1257" s="37"/>
    </row>
    <row r="1258" spans="1:5" ht="12.75" x14ac:dyDescent="0.2">
      <c r="A1258" s="37"/>
      <c r="B1258" s="36" t="s">
        <v>398</v>
      </c>
      <c r="C1258" s="37"/>
      <c r="D1258" s="37"/>
      <c r="E1258" s="37"/>
    </row>
    <row r="1259" spans="1:5" ht="12.75" x14ac:dyDescent="0.2">
      <c r="A1259" s="37"/>
      <c r="B1259" s="36" t="s">
        <v>399</v>
      </c>
      <c r="C1259" s="37"/>
      <c r="D1259" s="37"/>
      <c r="E1259" s="37"/>
    </row>
    <row r="1260" spans="1:5" ht="12.75" x14ac:dyDescent="0.2">
      <c r="A1260" s="37"/>
      <c r="B1260" s="36" t="s">
        <v>400</v>
      </c>
      <c r="C1260" s="37"/>
      <c r="D1260" s="37"/>
      <c r="E1260" s="37"/>
    </row>
    <row r="1261" spans="1:5" ht="12.75" x14ac:dyDescent="0.2">
      <c r="A1261" s="37"/>
      <c r="B1261" s="36" t="s">
        <v>401</v>
      </c>
      <c r="C1261" s="37"/>
      <c r="D1261" s="37"/>
      <c r="E1261" s="37"/>
    </row>
    <row r="1262" spans="1:5" ht="12.75" x14ac:dyDescent="0.2">
      <c r="A1262" s="36" t="s">
        <v>157</v>
      </c>
      <c r="B1262" s="36" t="s">
        <v>402</v>
      </c>
      <c r="C1262" s="36" t="s">
        <v>135</v>
      </c>
      <c r="D1262" s="37"/>
      <c r="E1262" s="37"/>
    </row>
    <row r="1263" spans="1:5" ht="12.75" x14ac:dyDescent="0.2">
      <c r="A1263" s="36" t="s">
        <v>822</v>
      </c>
      <c r="B1263" s="37"/>
      <c r="C1263" s="37"/>
      <c r="D1263" s="37"/>
      <c r="E1263" s="37"/>
    </row>
    <row r="1264" spans="1:5" ht="12.75" x14ac:dyDescent="0.2">
      <c r="A1264" s="36" t="s">
        <v>823</v>
      </c>
      <c r="B1264" s="37"/>
      <c r="C1264" s="37"/>
      <c r="D1264" s="37"/>
      <c r="E1264" s="37"/>
    </row>
    <row r="1265" spans="1:5" ht="12.75" x14ac:dyDescent="0.2">
      <c r="A1265" s="36" t="s">
        <v>824</v>
      </c>
      <c r="B1265" s="37"/>
      <c r="C1265" s="37"/>
      <c r="D1265" s="37"/>
      <c r="E1265" s="37"/>
    </row>
    <row r="1266" spans="1:5" ht="12.75" x14ac:dyDescent="0.2">
      <c r="A1266" s="36" t="s">
        <v>148</v>
      </c>
      <c r="B1266" s="37"/>
      <c r="C1266" s="37"/>
      <c r="D1266" s="37"/>
      <c r="E1266" s="37"/>
    </row>
    <row r="1267" spans="1:5" ht="12.75" x14ac:dyDescent="0.2">
      <c r="A1267" s="36" t="s">
        <v>825</v>
      </c>
      <c r="B1267" s="37"/>
      <c r="C1267" s="37"/>
      <c r="D1267" s="37"/>
      <c r="E1267" s="37"/>
    </row>
    <row r="1268" spans="1:5" ht="12.75" x14ac:dyDescent="0.2">
      <c r="A1268" s="36" t="s">
        <v>826</v>
      </c>
      <c r="B1268" s="37"/>
      <c r="C1268" s="37"/>
      <c r="D1268" s="37"/>
      <c r="E1268" s="37"/>
    </row>
    <row r="1269" spans="1:5" ht="12.75" x14ac:dyDescent="0.2">
      <c r="A1269" s="36" t="s">
        <v>827</v>
      </c>
      <c r="B1269" s="37"/>
      <c r="C1269" s="37"/>
      <c r="D1269" s="37"/>
      <c r="E1269" s="37"/>
    </row>
    <row r="1270" spans="1:5" ht="12.75" x14ac:dyDescent="0.2">
      <c r="A1270" s="36" t="s">
        <v>133</v>
      </c>
      <c r="B1270" s="37"/>
      <c r="C1270" s="37"/>
      <c r="D1270" s="37"/>
      <c r="E1270" s="37"/>
    </row>
    <row r="1271" spans="1:5" ht="12.75" x14ac:dyDescent="0.2">
      <c r="A1271" s="37"/>
      <c r="B1271" s="37"/>
      <c r="C1271" s="37"/>
      <c r="D1271" s="37"/>
      <c r="E1271" s="37"/>
    </row>
    <row r="1272" spans="1:5" ht="12.75" x14ac:dyDescent="0.2">
      <c r="A1272" s="36" t="s">
        <v>160</v>
      </c>
      <c r="B1272" s="37"/>
      <c r="C1272" s="37"/>
      <c r="D1272" s="37"/>
      <c r="E1272" s="37"/>
    </row>
    <row r="1273" spans="1:5" ht="12.75" x14ac:dyDescent="0.2">
      <c r="A1273" s="37"/>
      <c r="B1273" s="36" t="s">
        <v>398</v>
      </c>
      <c r="C1273" s="37"/>
      <c r="D1273" s="37"/>
      <c r="E1273" s="37"/>
    </row>
    <row r="1274" spans="1:5" ht="12.75" x14ac:dyDescent="0.2">
      <c r="A1274" s="37"/>
      <c r="B1274" s="36" t="s">
        <v>399</v>
      </c>
      <c r="C1274" s="37"/>
      <c r="D1274" s="37"/>
      <c r="E1274" s="37"/>
    </row>
    <row r="1275" spans="1:5" ht="12.75" x14ac:dyDescent="0.2">
      <c r="A1275" s="37"/>
      <c r="B1275" s="36" t="s">
        <v>400</v>
      </c>
      <c r="C1275" s="37"/>
      <c r="D1275" s="37"/>
      <c r="E1275" s="37"/>
    </row>
    <row r="1276" spans="1:5" ht="12.75" x14ac:dyDescent="0.2">
      <c r="A1276" s="37"/>
      <c r="B1276" s="36" t="s">
        <v>401</v>
      </c>
      <c r="C1276" s="37"/>
      <c r="D1276" s="37"/>
      <c r="E1276" s="37"/>
    </row>
    <row r="1277" spans="1:5" ht="12.75" x14ac:dyDescent="0.2">
      <c r="A1277" s="36" t="s">
        <v>182</v>
      </c>
      <c r="B1277" s="36" t="s">
        <v>402</v>
      </c>
      <c r="C1277" s="36" t="s">
        <v>162</v>
      </c>
      <c r="D1277" s="37"/>
      <c r="E1277" s="37"/>
    </row>
    <row r="1278" spans="1:5" ht="12.75" x14ac:dyDescent="0.2">
      <c r="A1278" s="36" t="s">
        <v>181</v>
      </c>
      <c r="B1278" s="37"/>
      <c r="C1278" s="37"/>
      <c r="D1278" s="37"/>
      <c r="E1278" s="37"/>
    </row>
    <row r="1279" spans="1:5" ht="12.75" x14ac:dyDescent="0.2">
      <c r="A1279" s="36" t="s">
        <v>180</v>
      </c>
      <c r="B1279" s="37"/>
      <c r="C1279" s="37"/>
      <c r="D1279" s="37"/>
      <c r="E1279" s="37"/>
    </row>
    <row r="1280" spans="1:5" ht="12.75" x14ac:dyDescent="0.2">
      <c r="A1280" s="36" t="s">
        <v>179</v>
      </c>
      <c r="B1280" s="37"/>
      <c r="C1280" s="37"/>
      <c r="D1280" s="37"/>
      <c r="E1280" s="37"/>
    </row>
    <row r="1281" spans="1:5" ht="12.75" x14ac:dyDescent="0.2">
      <c r="A1281" s="36" t="s">
        <v>176</v>
      </c>
      <c r="B1281" s="37"/>
      <c r="C1281" s="37"/>
      <c r="D1281" s="37"/>
      <c r="E1281" s="37"/>
    </row>
    <row r="1282" spans="1:5" ht="12.75" x14ac:dyDescent="0.2">
      <c r="A1282" s="36" t="s">
        <v>175</v>
      </c>
      <c r="B1282" s="37"/>
      <c r="C1282" s="37"/>
      <c r="D1282" s="37"/>
      <c r="E1282" s="37"/>
    </row>
    <row r="1283" spans="1:5" ht="12.75" x14ac:dyDescent="0.2">
      <c r="A1283" s="36" t="s">
        <v>172</v>
      </c>
      <c r="B1283" s="37"/>
      <c r="C1283" s="37"/>
      <c r="D1283" s="37"/>
      <c r="E1283" s="37"/>
    </row>
    <row r="1284" spans="1:5" ht="12.75" x14ac:dyDescent="0.2">
      <c r="A1284" s="36" t="s">
        <v>171</v>
      </c>
      <c r="B1284" s="37"/>
      <c r="C1284" s="37"/>
      <c r="D1284" s="37"/>
      <c r="E1284" s="37"/>
    </row>
    <row r="1285" spans="1:5" ht="12.75" x14ac:dyDescent="0.2">
      <c r="A1285" s="36" t="s">
        <v>169</v>
      </c>
      <c r="B1285" s="37"/>
      <c r="C1285" s="37"/>
      <c r="D1285" s="37"/>
      <c r="E1285" s="37"/>
    </row>
    <row r="1286" spans="1:5" ht="12.75" x14ac:dyDescent="0.2">
      <c r="A1286" s="36" t="s">
        <v>168</v>
      </c>
      <c r="B1286" s="37"/>
      <c r="C1286" s="37"/>
      <c r="D1286" s="37"/>
      <c r="E1286" s="37"/>
    </row>
    <row r="1287" spans="1:5" ht="12.75" x14ac:dyDescent="0.2">
      <c r="A1287" s="36" t="s">
        <v>828</v>
      </c>
      <c r="B1287" s="37"/>
      <c r="C1287" s="37"/>
      <c r="D1287" s="37"/>
      <c r="E1287" s="37"/>
    </row>
    <row r="1288" spans="1:5" ht="12.75" x14ac:dyDescent="0.2">
      <c r="A1288" s="36" t="s">
        <v>161</v>
      </c>
      <c r="B1288" s="37"/>
      <c r="C1288" s="37"/>
      <c r="D1288" s="37"/>
      <c r="E1288" s="37"/>
    </row>
    <row r="1289" spans="1:5" ht="12.75" x14ac:dyDescent="0.2">
      <c r="A1289" s="37"/>
      <c r="B1289" s="37"/>
      <c r="C1289" s="37"/>
      <c r="D1289" s="37"/>
      <c r="E1289" s="37"/>
    </row>
    <row r="1290" spans="1:5" ht="12.75" x14ac:dyDescent="0.2">
      <c r="A1290" s="36" t="s">
        <v>183</v>
      </c>
      <c r="B1290" s="37"/>
      <c r="C1290" s="37"/>
      <c r="D1290" s="37"/>
      <c r="E1290" s="37"/>
    </row>
    <row r="1291" spans="1:5" ht="12.75" x14ac:dyDescent="0.2">
      <c r="A1291" s="37"/>
      <c r="B1291" s="36" t="s">
        <v>398</v>
      </c>
      <c r="C1291" s="37"/>
      <c r="D1291" s="37"/>
      <c r="E1291" s="37"/>
    </row>
    <row r="1292" spans="1:5" ht="12.75" x14ac:dyDescent="0.2">
      <c r="A1292" s="37"/>
      <c r="B1292" s="36" t="s">
        <v>399</v>
      </c>
      <c r="C1292" s="37"/>
      <c r="D1292" s="37"/>
      <c r="E1292" s="37"/>
    </row>
    <row r="1293" spans="1:5" ht="12.75" x14ac:dyDescent="0.2">
      <c r="A1293" s="37"/>
      <c r="B1293" s="36" t="s">
        <v>400</v>
      </c>
      <c r="C1293" s="37"/>
      <c r="D1293" s="37"/>
      <c r="E1293" s="37"/>
    </row>
    <row r="1294" spans="1:5" ht="12.75" x14ac:dyDescent="0.2">
      <c r="A1294" s="37"/>
      <c r="B1294" s="36" t="s">
        <v>401</v>
      </c>
      <c r="C1294" s="37"/>
      <c r="D1294" s="37"/>
      <c r="E1294" s="37"/>
    </row>
    <row r="1295" spans="1:5" ht="12.75" x14ac:dyDescent="0.2">
      <c r="A1295" s="36" t="s">
        <v>198</v>
      </c>
      <c r="B1295" s="36" t="s">
        <v>402</v>
      </c>
      <c r="C1295" s="36" t="s">
        <v>185</v>
      </c>
      <c r="D1295" s="37"/>
      <c r="E1295" s="37"/>
    </row>
    <row r="1296" spans="1:5" ht="12.75" x14ac:dyDescent="0.2">
      <c r="A1296" s="36" t="s">
        <v>197</v>
      </c>
      <c r="B1296" s="37"/>
      <c r="C1296" s="37"/>
      <c r="D1296" s="37"/>
      <c r="E1296" s="37"/>
    </row>
    <row r="1297" spans="1:5" ht="12.75" x14ac:dyDescent="0.2">
      <c r="A1297" s="36" t="s">
        <v>196</v>
      </c>
      <c r="B1297" s="37"/>
      <c r="C1297" s="37"/>
      <c r="D1297" s="37"/>
      <c r="E1297" s="37"/>
    </row>
    <row r="1298" spans="1:5" ht="12.75" x14ac:dyDescent="0.2">
      <c r="A1298" s="36" t="s">
        <v>195</v>
      </c>
      <c r="B1298" s="37"/>
      <c r="C1298" s="37"/>
      <c r="D1298" s="37"/>
      <c r="E1298" s="37"/>
    </row>
    <row r="1299" spans="1:5" ht="12.75" x14ac:dyDescent="0.2">
      <c r="A1299" s="36" t="s">
        <v>194</v>
      </c>
      <c r="B1299" s="37"/>
      <c r="C1299" s="37"/>
      <c r="D1299" s="37"/>
      <c r="E1299" s="37"/>
    </row>
    <row r="1300" spans="1:5" ht="12.75" x14ac:dyDescent="0.2">
      <c r="A1300" s="36" t="s">
        <v>193</v>
      </c>
      <c r="B1300" s="37"/>
      <c r="C1300" s="37"/>
      <c r="D1300" s="37"/>
      <c r="E1300" s="37"/>
    </row>
    <row r="1301" spans="1:5" ht="12.75" x14ac:dyDescent="0.2">
      <c r="A1301" s="36" t="s">
        <v>192</v>
      </c>
      <c r="B1301" s="37"/>
      <c r="C1301" s="37"/>
      <c r="D1301" s="37"/>
      <c r="E1301" s="37"/>
    </row>
    <row r="1302" spans="1:5" ht="12.75" x14ac:dyDescent="0.2">
      <c r="A1302" s="36" t="s">
        <v>191</v>
      </c>
      <c r="B1302" s="37"/>
      <c r="C1302" s="37"/>
      <c r="D1302" s="37"/>
      <c r="E1302" s="37"/>
    </row>
    <row r="1303" spans="1:5" ht="12.75" x14ac:dyDescent="0.2">
      <c r="A1303" s="36" t="s">
        <v>190</v>
      </c>
      <c r="B1303" s="37"/>
      <c r="C1303" s="37"/>
      <c r="D1303" s="37"/>
      <c r="E1303" s="37"/>
    </row>
    <row r="1304" spans="1:5" ht="12.75" x14ac:dyDescent="0.2">
      <c r="A1304" s="36" t="s">
        <v>188</v>
      </c>
      <c r="B1304" s="37"/>
      <c r="C1304" s="37"/>
      <c r="D1304" s="37"/>
      <c r="E1304" s="37"/>
    </row>
    <row r="1305" spans="1:5" ht="12.75" x14ac:dyDescent="0.2">
      <c r="A1305" s="36" t="s">
        <v>187</v>
      </c>
      <c r="B1305" s="37"/>
      <c r="C1305" s="37"/>
      <c r="D1305" s="37"/>
      <c r="E1305" s="37"/>
    </row>
    <row r="1306" spans="1:5" ht="12.75" x14ac:dyDescent="0.2">
      <c r="A1306" s="36" t="s">
        <v>186</v>
      </c>
      <c r="B1306" s="37"/>
      <c r="C1306" s="37"/>
      <c r="D1306" s="37"/>
      <c r="E1306" s="37"/>
    </row>
    <row r="1307" spans="1:5" ht="12.75" x14ac:dyDescent="0.2">
      <c r="A1307" s="36" t="s">
        <v>184</v>
      </c>
      <c r="B1307" s="37"/>
      <c r="C1307" s="37"/>
      <c r="D1307" s="37"/>
      <c r="E1307" s="37"/>
    </row>
    <row r="1308" spans="1:5" ht="12.75" x14ac:dyDescent="0.2">
      <c r="A1308" s="37"/>
      <c r="B1308" s="37"/>
      <c r="C1308" s="37"/>
      <c r="D1308" s="37"/>
      <c r="E1308" s="37"/>
    </row>
    <row r="1309" spans="1:5" ht="12.75" x14ac:dyDescent="0.2">
      <c r="A1309" s="36" t="s">
        <v>199</v>
      </c>
      <c r="B1309" s="37"/>
      <c r="C1309" s="37"/>
      <c r="D1309" s="37"/>
      <c r="E1309" s="37"/>
    </row>
    <row r="1310" spans="1:5" ht="12.75" x14ac:dyDescent="0.2">
      <c r="A1310" s="37"/>
      <c r="B1310" s="36" t="s">
        <v>398</v>
      </c>
      <c r="C1310" s="37"/>
      <c r="D1310" s="37"/>
      <c r="E1310" s="37"/>
    </row>
    <row r="1311" spans="1:5" ht="12.75" x14ac:dyDescent="0.2">
      <c r="A1311" s="37"/>
      <c r="B1311" s="36" t="s">
        <v>399</v>
      </c>
      <c r="C1311" s="37"/>
      <c r="D1311" s="37"/>
      <c r="E1311" s="37"/>
    </row>
    <row r="1312" spans="1:5" ht="12.75" x14ac:dyDescent="0.2">
      <c r="A1312" s="37"/>
      <c r="B1312" s="36" t="s">
        <v>400</v>
      </c>
      <c r="C1312" s="37"/>
      <c r="D1312" s="37"/>
      <c r="E1312" s="37"/>
    </row>
    <row r="1313" spans="1:5" ht="12.75" x14ac:dyDescent="0.2">
      <c r="A1313" s="37"/>
      <c r="B1313" s="36" t="s">
        <v>401</v>
      </c>
      <c r="C1313" s="37"/>
      <c r="D1313" s="37"/>
      <c r="E1313" s="37"/>
    </row>
    <row r="1314" spans="1:5" ht="12.75" x14ac:dyDescent="0.2">
      <c r="A1314" s="36" t="s">
        <v>211</v>
      </c>
      <c r="B1314" s="36" t="s">
        <v>402</v>
      </c>
      <c r="C1314" s="36" t="s">
        <v>201</v>
      </c>
      <c r="D1314" s="37"/>
      <c r="E1314" s="37"/>
    </row>
    <row r="1315" spans="1:5" ht="12.75" x14ac:dyDescent="0.2">
      <c r="A1315" s="36" t="s">
        <v>209</v>
      </c>
      <c r="B1315" s="37"/>
      <c r="C1315" s="37"/>
      <c r="D1315" s="37"/>
      <c r="E1315" s="37"/>
    </row>
    <row r="1316" spans="1:5" ht="12.75" x14ac:dyDescent="0.2">
      <c r="A1316" s="36" t="s">
        <v>208</v>
      </c>
      <c r="B1316" s="37"/>
      <c r="C1316" s="37"/>
      <c r="D1316" s="37"/>
      <c r="E1316" s="37"/>
    </row>
    <row r="1317" spans="1:5" ht="12.75" x14ac:dyDescent="0.2">
      <c r="A1317" s="36" t="s">
        <v>207</v>
      </c>
      <c r="B1317" s="37"/>
      <c r="C1317" s="37"/>
      <c r="D1317" s="37"/>
      <c r="E1317" s="37"/>
    </row>
    <row r="1318" spans="1:5" ht="12.75" x14ac:dyDescent="0.2">
      <c r="A1318" s="36" t="s">
        <v>206</v>
      </c>
      <c r="B1318" s="37"/>
      <c r="C1318" s="37"/>
      <c r="D1318" s="37"/>
      <c r="E1318" s="37"/>
    </row>
    <row r="1319" spans="1:5" ht="12.75" x14ac:dyDescent="0.2">
      <c r="A1319" s="36" t="s">
        <v>205</v>
      </c>
      <c r="B1319" s="37"/>
      <c r="C1319" s="37"/>
      <c r="D1319" s="37"/>
      <c r="E1319" s="37"/>
    </row>
    <row r="1320" spans="1:5" ht="12.75" x14ac:dyDescent="0.2">
      <c r="A1320" s="36" t="s">
        <v>204</v>
      </c>
      <c r="B1320" s="37"/>
      <c r="C1320" s="37"/>
      <c r="D1320" s="37"/>
      <c r="E1320" s="37"/>
    </row>
    <row r="1321" spans="1:5" ht="12.75" x14ac:dyDescent="0.2">
      <c r="A1321" s="36" t="s">
        <v>203</v>
      </c>
      <c r="B1321" s="37"/>
      <c r="C1321" s="37"/>
      <c r="D1321" s="37"/>
      <c r="E1321" s="37"/>
    </row>
    <row r="1322" spans="1:5" ht="12.75" x14ac:dyDescent="0.2">
      <c r="A1322" s="36" t="s">
        <v>200</v>
      </c>
      <c r="B1322" s="37"/>
      <c r="C1322" s="37"/>
      <c r="D1322" s="37"/>
      <c r="E1322" s="37"/>
    </row>
    <row r="1323" spans="1:5" ht="12.75" x14ac:dyDescent="0.2">
      <c r="A1323" s="37"/>
      <c r="B1323" s="37"/>
      <c r="C1323" s="37"/>
      <c r="D1323" s="37"/>
      <c r="E1323" s="37"/>
    </row>
    <row r="1324" spans="1:5" ht="12.75" x14ac:dyDescent="0.2">
      <c r="A1324" s="36" t="s">
        <v>212</v>
      </c>
      <c r="B1324" s="37"/>
      <c r="C1324" s="37"/>
      <c r="D1324" s="37"/>
      <c r="E1324" s="37"/>
    </row>
    <row r="1325" spans="1:5" ht="12.75" x14ac:dyDescent="0.2">
      <c r="A1325" s="37"/>
      <c r="B1325" s="36" t="s">
        <v>398</v>
      </c>
      <c r="C1325" s="37"/>
      <c r="D1325" s="37"/>
      <c r="E1325" s="37"/>
    </row>
    <row r="1326" spans="1:5" ht="12.75" x14ac:dyDescent="0.2">
      <c r="A1326" s="37"/>
      <c r="B1326" s="36" t="s">
        <v>399</v>
      </c>
      <c r="C1326" s="37"/>
      <c r="D1326" s="37"/>
      <c r="E1326" s="37"/>
    </row>
    <row r="1327" spans="1:5" ht="12.75" x14ac:dyDescent="0.2">
      <c r="A1327" s="37"/>
      <c r="B1327" s="36" t="s">
        <v>400</v>
      </c>
      <c r="C1327" s="37"/>
      <c r="D1327" s="37"/>
      <c r="E1327" s="37"/>
    </row>
    <row r="1328" spans="1:5" ht="12.75" x14ac:dyDescent="0.2">
      <c r="A1328" s="37"/>
      <c r="B1328" s="36" t="s">
        <v>401</v>
      </c>
      <c r="C1328" s="37"/>
      <c r="D1328" s="37"/>
      <c r="E1328" s="37"/>
    </row>
    <row r="1329" spans="1:5" ht="12.75" x14ac:dyDescent="0.2">
      <c r="A1329" s="36" t="s">
        <v>235</v>
      </c>
      <c r="B1329" s="36" t="s">
        <v>402</v>
      </c>
      <c r="C1329" s="36" t="s">
        <v>214</v>
      </c>
      <c r="D1329" s="37"/>
      <c r="E1329" s="37"/>
    </row>
    <row r="1330" spans="1:5" ht="12.75" x14ac:dyDescent="0.2">
      <c r="A1330" s="36" t="s">
        <v>234</v>
      </c>
      <c r="B1330" s="37"/>
      <c r="C1330" s="37"/>
      <c r="D1330" s="37"/>
      <c r="E1330" s="37"/>
    </row>
    <row r="1331" spans="1:5" ht="12.75" x14ac:dyDescent="0.2">
      <c r="A1331" s="36" t="s">
        <v>231</v>
      </c>
      <c r="B1331" s="37"/>
      <c r="C1331" s="37"/>
      <c r="D1331" s="37"/>
      <c r="E1331" s="37"/>
    </row>
    <row r="1332" spans="1:5" ht="12.75" x14ac:dyDescent="0.2">
      <c r="A1332" s="36" t="s">
        <v>230</v>
      </c>
      <c r="B1332" s="37"/>
      <c r="C1332" s="37"/>
      <c r="D1332" s="37"/>
      <c r="E1332" s="37"/>
    </row>
    <row r="1333" spans="1:5" ht="12.75" x14ac:dyDescent="0.2">
      <c r="A1333" s="36" t="s">
        <v>226</v>
      </c>
      <c r="B1333" s="37"/>
      <c r="C1333" s="37"/>
      <c r="D1333" s="37"/>
      <c r="E1333" s="37"/>
    </row>
    <row r="1334" spans="1:5" ht="12.75" x14ac:dyDescent="0.2">
      <c r="A1334" s="36" t="s">
        <v>228</v>
      </c>
      <c r="B1334" s="37"/>
      <c r="C1334" s="37"/>
      <c r="D1334" s="37"/>
      <c r="E1334" s="37"/>
    </row>
    <row r="1335" spans="1:5" ht="12.75" x14ac:dyDescent="0.2">
      <c r="A1335" s="36" t="s">
        <v>225</v>
      </c>
      <c r="B1335" s="37"/>
      <c r="C1335" s="37"/>
      <c r="D1335" s="37"/>
      <c r="E1335" s="37"/>
    </row>
    <row r="1336" spans="1:5" ht="12.75" x14ac:dyDescent="0.2">
      <c r="A1336" s="36" t="s">
        <v>224</v>
      </c>
      <c r="B1336" s="37"/>
      <c r="C1336" s="37"/>
      <c r="D1336" s="37"/>
      <c r="E1336" s="37"/>
    </row>
    <row r="1337" spans="1:5" ht="12.75" x14ac:dyDescent="0.2">
      <c r="A1337" s="36" t="s">
        <v>223</v>
      </c>
      <c r="B1337" s="37"/>
      <c r="C1337" s="37"/>
      <c r="D1337" s="37"/>
      <c r="E1337" s="37"/>
    </row>
    <row r="1338" spans="1:5" ht="12.75" x14ac:dyDescent="0.2">
      <c r="A1338" s="36" t="s">
        <v>222</v>
      </c>
      <c r="B1338" s="37"/>
      <c r="C1338" s="37"/>
      <c r="D1338" s="37"/>
      <c r="E1338" s="37"/>
    </row>
    <row r="1339" spans="1:5" ht="12.75" x14ac:dyDescent="0.2">
      <c r="A1339" s="36" t="s">
        <v>221</v>
      </c>
      <c r="B1339" s="37"/>
      <c r="C1339" s="37"/>
      <c r="D1339" s="37"/>
      <c r="E1339" s="37"/>
    </row>
    <row r="1340" spans="1:5" ht="12.75" x14ac:dyDescent="0.2">
      <c r="A1340" s="36" t="s">
        <v>220</v>
      </c>
      <c r="B1340" s="37"/>
      <c r="C1340" s="37"/>
      <c r="D1340" s="37"/>
      <c r="E1340" s="37"/>
    </row>
    <row r="1341" spans="1:5" ht="12.75" x14ac:dyDescent="0.2">
      <c r="A1341" s="36" t="s">
        <v>219</v>
      </c>
      <c r="B1341" s="37"/>
      <c r="C1341" s="37"/>
      <c r="D1341" s="37"/>
      <c r="E1341" s="37"/>
    </row>
    <row r="1342" spans="1:5" ht="12.75" x14ac:dyDescent="0.2">
      <c r="A1342" s="36" t="s">
        <v>217</v>
      </c>
      <c r="B1342" s="37"/>
      <c r="C1342" s="37"/>
      <c r="D1342" s="37"/>
      <c r="E1342" s="37"/>
    </row>
    <row r="1343" spans="1:5" ht="12.75" x14ac:dyDescent="0.2">
      <c r="A1343" s="36" t="s">
        <v>216</v>
      </c>
      <c r="B1343" s="37"/>
      <c r="C1343" s="37"/>
      <c r="D1343" s="37"/>
      <c r="E1343" s="37"/>
    </row>
    <row r="1344" spans="1:5" ht="12.75" x14ac:dyDescent="0.2">
      <c r="A1344" s="36" t="s">
        <v>213</v>
      </c>
      <c r="B1344" s="37"/>
      <c r="C1344" s="37"/>
      <c r="D1344" s="37"/>
      <c r="E1344" s="37"/>
    </row>
    <row r="1345" spans="1:5" ht="12.75" x14ac:dyDescent="0.2">
      <c r="A1345" s="37"/>
      <c r="B1345" s="37"/>
      <c r="C1345" s="37"/>
      <c r="D1345" s="37"/>
      <c r="E1345" s="37"/>
    </row>
    <row r="1346" spans="1:5" ht="12.75" x14ac:dyDescent="0.2">
      <c r="A1346" s="36" t="s">
        <v>236</v>
      </c>
      <c r="B1346" s="37"/>
      <c r="C1346" s="37"/>
      <c r="D1346" s="37"/>
      <c r="E1346" s="37"/>
    </row>
    <row r="1347" spans="1:5" ht="12.75" x14ac:dyDescent="0.2">
      <c r="A1347" s="37"/>
      <c r="B1347" s="36" t="s">
        <v>398</v>
      </c>
      <c r="C1347" s="37"/>
      <c r="D1347" s="37"/>
      <c r="E1347" s="37"/>
    </row>
    <row r="1348" spans="1:5" ht="12.75" x14ac:dyDescent="0.2">
      <c r="A1348" s="37"/>
      <c r="B1348" s="36" t="s">
        <v>399</v>
      </c>
      <c r="C1348" s="37"/>
      <c r="D1348" s="37"/>
      <c r="E1348" s="37"/>
    </row>
    <row r="1349" spans="1:5" ht="12.75" x14ac:dyDescent="0.2">
      <c r="A1349" s="37"/>
      <c r="B1349" s="36" t="s">
        <v>400</v>
      </c>
      <c r="C1349" s="37"/>
      <c r="D1349" s="37"/>
      <c r="E1349" s="37"/>
    </row>
    <row r="1350" spans="1:5" ht="12.75" x14ac:dyDescent="0.2">
      <c r="A1350" s="37"/>
      <c r="B1350" s="36" t="s">
        <v>401</v>
      </c>
      <c r="C1350" s="37"/>
      <c r="D1350" s="37"/>
      <c r="E1350" s="37"/>
    </row>
    <row r="1351" spans="1:5" ht="25.5" x14ac:dyDescent="0.2">
      <c r="A1351" s="36" t="s">
        <v>829</v>
      </c>
      <c r="B1351" s="36" t="s">
        <v>402</v>
      </c>
      <c r="C1351" s="36" t="s">
        <v>830</v>
      </c>
      <c r="D1351" s="37"/>
      <c r="E1351" s="37"/>
    </row>
    <row r="1352" spans="1:5" ht="12.75" x14ac:dyDescent="0.2">
      <c r="A1352" s="36" t="s">
        <v>264</v>
      </c>
      <c r="B1352" s="37"/>
      <c r="C1352" s="37"/>
      <c r="D1352" s="37"/>
      <c r="E1352" s="37"/>
    </row>
    <row r="1353" spans="1:5" ht="12.75" x14ac:dyDescent="0.2">
      <c r="A1353" s="36" t="s">
        <v>263</v>
      </c>
      <c r="B1353" s="37"/>
      <c r="C1353" s="37"/>
      <c r="D1353" s="37"/>
      <c r="E1353" s="37"/>
    </row>
    <row r="1354" spans="1:5" ht="12.75" x14ac:dyDescent="0.2">
      <c r="A1354" s="36" t="s">
        <v>262</v>
      </c>
      <c r="B1354" s="37"/>
      <c r="C1354" s="37"/>
      <c r="D1354" s="37"/>
      <c r="E1354" s="37"/>
    </row>
    <row r="1355" spans="1:5" ht="12.75" x14ac:dyDescent="0.2">
      <c r="A1355" s="36" t="s">
        <v>259</v>
      </c>
      <c r="B1355" s="37"/>
      <c r="C1355" s="37"/>
      <c r="D1355" s="37"/>
      <c r="E1355" s="37"/>
    </row>
    <row r="1356" spans="1:5" ht="12.75" x14ac:dyDescent="0.2">
      <c r="A1356" s="36" t="s">
        <v>257</v>
      </c>
      <c r="B1356" s="37"/>
      <c r="C1356" s="37"/>
      <c r="D1356" s="37"/>
      <c r="E1356" s="37"/>
    </row>
    <row r="1357" spans="1:5" ht="12.75" x14ac:dyDescent="0.2">
      <c r="A1357" s="36" t="s">
        <v>255</v>
      </c>
      <c r="B1357" s="37"/>
      <c r="C1357" s="37"/>
      <c r="D1357" s="37"/>
      <c r="E1357" s="37"/>
    </row>
    <row r="1358" spans="1:5" ht="12.75" x14ac:dyDescent="0.2">
      <c r="A1358" s="36" t="s">
        <v>254</v>
      </c>
      <c r="B1358" s="37"/>
      <c r="C1358" s="37"/>
      <c r="D1358" s="37"/>
      <c r="E1358" s="37"/>
    </row>
    <row r="1359" spans="1:5" ht="12.75" x14ac:dyDescent="0.2">
      <c r="A1359" s="36" t="s">
        <v>253</v>
      </c>
      <c r="B1359" s="37"/>
      <c r="C1359" s="37"/>
      <c r="D1359" s="37"/>
      <c r="E1359" s="37"/>
    </row>
    <row r="1360" spans="1:5" ht="12.75" x14ac:dyDescent="0.2">
      <c r="A1360" s="36" t="s">
        <v>252</v>
      </c>
      <c r="B1360" s="37"/>
      <c r="C1360" s="37"/>
      <c r="D1360" s="37"/>
      <c r="E1360" s="37"/>
    </row>
    <row r="1361" spans="1:5" ht="12.75" x14ac:dyDescent="0.2">
      <c r="A1361" s="36" t="s">
        <v>251</v>
      </c>
      <c r="B1361" s="37"/>
      <c r="C1361" s="37"/>
      <c r="D1361" s="37"/>
      <c r="E1361" s="37"/>
    </row>
    <row r="1362" spans="1:5" ht="12.75" x14ac:dyDescent="0.2">
      <c r="A1362" s="36" t="s">
        <v>250</v>
      </c>
      <c r="B1362" s="37"/>
      <c r="C1362" s="37"/>
      <c r="D1362" s="37"/>
      <c r="E1362" s="37"/>
    </row>
    <row r="1363" spans="1:5" ht="12.75" x14ac:dyDescent="0.2">
      <c r="A1363" s="36" t="s">
        <v>248</v>
      </c>
      <c r="B1363" s="37"/>
      <c r="C1363" s="37"/>
      <c r="D1363" s="37"/>
      <c r="E1363" s="37"/>
    </row>
    <row r="1364" spans="1:5" ht="12.75" x14ac:dyDescent="0.2">
      <c r="A1364" s="36" t="s">
        <v>247</v>
      </c>
      <c r="B1364" s="37"/>
      <c r="C1364" s="37"/>
      <c r="D1364" s="37"/>
      <c r="E1364" s="37"/>
    </row>
    <row r="1365" spans="1:5" ht="12.75" x14ac:dyDescent="0.2">
      <c r="A1365" s="36" t="s">
        <v>246</v>
      </c>
      <c r="B1365" s="37"/>
      <c r="C1365" s="37"/>
      <c r="D1365" s="37"/>
      <c r="E1365" s="37"/>
    </row>
    <row r="1366" spans="1:5" ht="12.75" x14ac:dyDescent="0.2">
      <c r="A1366" s="36" t="s">
        <v>245</v>
      </c>
      <c r="B1366" s="37"/>
      <c r="C1366" s="37"/>
      <c r="D1366" s="37"/>
      <c r="E1366" s="37"/>
    </row>
    <row r="1367" spans="1:5" ht="12.75" x14ac:dyDescent="0.2">
      <c r="A1367" s="36" t="s">
        <v>242</v>
      </c>
      <c r="B1367" s="37"/>
      <c r="C1367" s="37"/>
      <c r="D1367" s="37"/>
      <c r="E1367" s="37"/>
    </row>
    <row r="1368" spans="1:5" ht="12.75" x14ac:dyDescent="0.2">
      <c r="A1368" s="36" t="s">
        <v>240</v>
      </c>
      <c r="B1368" s="37"/>
      <c r="C1368" s="37"/>
      <c r="D1368" s="37"/>
      <c r="E1368" s="37"/>
    </row>
    <row r="1369" spans="1:5" ht="12.75" x14ac:dyDescent="0.2">
      <c r="A1369" s="36" t="s">
        <v>237</v>
      </c>
      <c r="B1369" s="37"/>
      <c r="C1369" s="37"/>
      <c r="D1369" s="37"/>
      <c r="E1369" s="37"/>
    </row>
    <row r="1370" spans="1:5" ht="12.75" x14ac:dyDescent="0.2">
      <c r="A1370" s="37"/>
      <c r="B1370" s="37"/>
      <c r="C1370" s="37"/>
      <c r="D1370" s="37"/>
      <c r="E1370" s="37"/>
    </row>
    <row r="1371" spans="1:5" ht="12.75" x14ac:dyDescent="0.2">
      <c r="A1371" s="36" t="s">
        <v>334</v>
      </c>
      <c r="B1371" s="37"/>
      <c r="C1371" s="37"/>
      <c r="D1371" s="37"/>
      <c r="E1371" s="37"/>
    </row>
    <row r="1372" spans="1:5" ht="12.75" x14ac:dyDescent="0.2">
      <c r="A1372" s="37"/>
      <c r="B1372" s="36" t="s">
        <v>398</v>
      </c>
      <c r="C1372" s="37"/>
      <c r="D1372" s="37"/>
      <c r="E1372" s="37"/>
    </row>
    <row r="1373" spans="1:5" ht="12.75" x14ac:dyDescent="0.2">
      <c r="A1373" s="37"/>
      <c r="B1373" s="36" t="s">
        <v>399</v>
      </c>
      <c r="C1373" s="37"/>
      <c r="D1373" s="37"/>
      <c r="E1373" s="37"/>
    </row>
    <row r="1374" spans="1:5" ht="12.75" x14ac:dyDescent="0.2">
      <c r="A1374" s="37"/>
      <c r="B1374" s="36" t="s">
        <v>400</v>
      </c>
      <c r="C1374" s="37"/>
      <c r="D1374" s="37"/>
      <c r="E1374" s="37"/>
    </row>
    <row r="1375" spans="1:5" ht="12.75" x14ac:dyDescent="0.2">
      <c r="A1375" s="37"/>
      <c r="B1375" s="36" t="s">
        <v>401</v>
      </c>
      <c r="C1375" s="37"/>
      <c r="D1375" s="37"/>
      <c r="E1375" s="37"/>
    </row>
    <row r="1376" spans="1:5" ht="51" x14ac:dyDescent="0.2">
      <c r="A1376" s="36" t="s">
        <v>362</v>
      </c>
      <c r="B1376" s="36" t="s">
        <v>402</v>
      </c>
      <c r="C1376" s="36" t="s">
        <v>831</v>
      </c>
      <c r="D1376" s="37"/>
      <c r="E1376" s="37"/>
    </row>
    <row r="1377" spans="1:5" ht="12.75" x14ac:dyDescent="0.2">
      <c r="A1377" s="36" t="s">
        <v>361</v>
      </c>
      <c r="B1377" s="37"/>
      <c r="C1377" s="37"/>
      <c r="D1377" s="37"/>
      <c r="E1377" s="37"/>
    </row>
    <row r="1378" spans="1:5" ht="12.75" x14ac:dyDescent="0.2">
      <c r="A1378" s="36" t="s">
        <v>354</v>
      </c>
      <c r="B1378" s="37"/>
      <c r="C1378" s="37"/>
      <c r="D1378" s="37"/>
      <c r="E1378" s="37"/>
    </row>
    <row r="1379" spans="1:5" ht="12.75" x14ac:dyDescent="0.2">
      <c r="A1379" s="36" t="s">
        <v>339</v>
      </c>
      <c r="B1379" s="37"/>
      <c r="C1379" s="37"/>
      <c r="D1379" s="37"/>
      <c r="E1379" s="37"/>
    </row>
    <row r="1380" spans="1:5" ht="12.75" x14ac:dyDescent="0.2">
      <c r="A1380" s="36" t="s">
        <v>346</v>
      </c>
      <c r="B1380" s="37"/>
      <c r="C1380" s="37"/>
      <c r="D1380" s="37"/>
      <c r="E1380" s="37"/>
    </row>
    <row r="1381" spans="1:5" ht="12.75" x14ac:dyDescent="0.2">
      <c r="A1381" s="36" t="s">
        <v>360</v>
      </c>
      <c r="B1381" s="37"/>
      <c r="C1381" s="37"/>
      <c r="D1381" s="37"/>
      <c r="E1381" s="37"/>
    </row>
    <row r="1382" spans="1:5" ht="12.75" x14ac:dyDescent="0.2">
      <c r="A1382" s="36" t="s">
        <v>337</v>
      </c>
      <c r="B1382" s="37"/>
      <c r="C1382" s="37"/>
      <c r="D1382" s="37"/>
      <c r="E1382" s="37"/>
    </row>
    <row r="1383" spans="1:5" ht="12.75" x14ac:dyDescent="0.2">
      <c r="A1383" s="36" t="s">
        <v>335</v>
      </c>
      <c r="B1383" s="37"/>
      <c r="C1383" s="37"/>
      <c r="D1383" s="37"/>
      <c r="E1383" s="37"/>
    </row>
    <row r="1384" spans="1:5" ht="12.75" x14ac:dyDescent="0.2">
      <c r="A1384" s="36" t="s">
        <v>355</v>
      </c>
      <c r="B1384" s="37"/>
      <c r="C1384" s="37"/>
      <c r="D1384" s="37"/>
      <c r="E1384" s="37"/>
    </row>
    <row r="1385" spans="1:5" ht="12.75" x14ac:dyDescent="0.2">
      <c r="A1385" s="36" t="s">
        <v>350</v>
      </c>
      <c r="B1385" s="37"/>
      <c r="C1385" s="37"/>
      <c r="D1385" s="37"/>
      <c r="E1385" s="37"/>
    </row>
    <row r="1386" spans="1:5" ht="12.75" x14ac:dyDescent="0.2">
      <c r="A1386" s="36" t="s">
        <v>347</v>
      </c>
      <c r="B1386" s="37"/>
      <c r="C1386" s="37"/>
      <c r="D1386" s="37"/>
      <c r="E1386" s="37"/>
    </row>
    <row r="1387" spans="1:5" ht="12.75" x14ac:dyDescent="0.2">
      <c r="A1387" s="36" t="s">
        <v>343</v>
      </c>
      <c r="B1387" s="37"/>
      <c r="C1387" s="37"/>
      <c r="D1387" s="37"/>
      <c r="E1387" s="37"/>
    </row>
    <row r="1388" spans="1:5" ht="12.75" x14ac:dyDescent="0.2">
      <c r="A1388" s="37"/>
      <c r="B1388" s="37"/>
      <c r="C1388" s="37"/>
      <c r="D1388" s="37"/>
      <c r="E1388" s="37"/>
    </row>
    <row r="1389" spans="1:5" ht="12.75" x14ac:dyDescent="0.2">
      <c r="A1389" s="36" t="s">
        <v>265</v>
      </c>
      <c r="B1389" s="37"/>
      <c r="C1389" s="37"/>
      <c r="D1389" s="37"/>
      <c r="E1389" s="37"/>
    </row>
    <row r="1390" spans="1:5" ht="12.75" x14ac:dyDescent="0.2">
      <c r="A1390" s="37"/>
      <c r="B1390" s="36" t="s">
        <v>398</v>
      </c>
      <c r="C1390" s="37"/>
      <c r="D1390" s="37"/>
      <c r="E1390" s="37"/>
    </row>
    <row r="1391" spans="1:5" ht="12.75" x14ac:dyDescent="0.2">
      <c r="A1391" s="37"/>
      <c r="B1391" s="36" t="s">
        <v>399</v>
      </c>
      <c r="C1391" s="37"/>
      <c r="D1391" s="37"/>
      <c r="E1391" s="37"/>
    </row>
    <row r="1392" spans="1:5" ht="12.75" x14ac:dyDescent="0.2">
      <c r="A1392" s="37"/>
      <c r="B1392" s="36" t="s">
        <v>400</v>
      </c>
      <c r="C1392" s="37"/>
      <c r="D1392" s="37"/>
      <c r="E1392" s="37"/>
    </row>
    <row r="1393" spans="1:5" ht="12.75" x14ac:dyDescent="0.2">
      <c r="A1393" s="37"/>
      <c r="B1393" s="36" t="s">
        <v>401</v>
      </c>
      <c r="C1393" s="37"/>
      <c r="D1393" s="37"/>
      <c r="E1393" s="37"/>
    </row>
    <row r="1394" spans="1:5" ht="12.75" x14ac:dyDescent="0.2">
      <c r="A1394" s="36" t="s">
        <v>284</v>
      </c>
      <c r="B1394" s="36" t="s">
        <v>402</v>
      </c>
      <c r="C1394" s="36" t="s">
        <v>268</v>
      </c>
      <c r="D1394" s="37"/>
      <c r="E1394" s="37"/>
    </row>
    <row r="1395" spans="1:5" ht="12.75" x14ac:dyDescent="0.2">
      <c r="A1395" s="36" t="s">
        <v>283</v>
      </c>
      <c r="B1395" s="37"/>
      <c r="C1395" s="37"/>
      <c r="D1395" s="37"/>
      <c r="E1395" s="37"/>
    </row>
    <row r="1396" spans="1:5" ht="12.75" x14ac:dyDescent="0.2">
      <c r="A1396" s="36" t="s">
        <v>280</v>
      </c>
      <c r="B1396" s="37"/>
      <c r="C1396" s="37"/>
      <c r="D1396" s="37"/>
      <c r="E1396" s="37"/>
    </row>
    <row r="1397" spans="1:5" ht="12.75" x14ac:dyDescent="0.2">
      <c r="A1397" s="36" t="s">
        <v>277</v>
      </c>
      <c r="B1397" s="37"/>
      <c r="C1397" s="37"/>
      <c r="D1397" s="37"/>
      <c r="E1397" s="37"/>
    </row>
    <row r="1398" spans="1:5" ht="12.75" x14ac:dyDescent="0.2">
      <c r="A1398" s="36" t="s">
        <v>274</v>
      </c>
      <c r="B1398" s="37"/>
      <c r="C1398" s="37"/>
      <c r="D1398" s="37"/>
      <c r="E1398" s="37"/>
    </row>
    <row r="1399" spans="1:5" ht="12.75" x14ac:dyDescent="0.2">
      <c r="A1399" s="36" t="s">
        <v>273</v>
      </c>
      <c r="B1399" s="37"/>
      <c r="C1399" s="37"/>
      <c r="D1399" s="37"/>
      <c r="E1399" s="37"/>
    </row>
    <row r="1400" spans="1:5" ht="12.75" x14ac:dyDescent="0.2">
      <c r="A1400" s="36" t="s">
        <v>270</v>
      </c>
      <c r="B1400" s="37"/>
      <c r="C1400" s="37"/>
      <c r="D1400" s="37"/>
      <c r="E1400" s="37"/>
    </row>
    <row r="1401" spans="1:5" ht="12.75" x14ac:dyDescent="0.2">
      <c r="A1401" s="36" t="s">
        <v>269</v>
      </c>
      <c r="B1401" s="37"/>
      <c r="C1401" s="37"/>
      <c r="D1401" s="37"/>
      <c r="E1401" s="37"/>
    </row>
    <row r="1402" spans="1:5" ht="12.75" x14ac:dyDescent="0.2">
      <c r="A1402" s="36" t="s">
        <v>267</v>
      </c>
      <c r="B1402" s="37"/>
      <c r="C1402" s="37"/>
      <c r="D1402" s="37"/>
      <c r="E1402" s="37"/>
    </row>
    <row r="1403" spans="1:5" ht="12.75" x14ac:dyDescent="0.2">
      <c r="A1403" s="37"/>
      <c r="B1403" s="37"/>
      <c r="C1403" s="37"/>
      <c r="D1403" s="37"/>
      <c r="E1403" s="37"/>
    </row>
    <row r="1404" spans="1:5" ht="12.75" x14ac:dyDescent="0.2">
      <c r="A1404" s="36" t="s">
        <v>287</v>
      </c>
      <c r="B1404" s="37"/>
      <c r="C1404" s="37"/>
      <c r="D1404" s="37"/>
      <c r="E1404" s="37"/>
    </row>
    <row r="1405" spans="1:5" ht="12.75" x14ac:dyDescent="0.2">
      <c r="A1405" s="37"/>
      <c r="B1405" s="36" t="s">
        <v>398</v>
      </c>
      <c r="C1405" s="37"/>
      <c r="D1405" s="37"/>
      <c r="E1405" s="37"/>
    </row>
    <row r="1406" spans="1:5" ht="12.75" x14ac:dyDescent="0.2">
      <c r="A1406" s="37"/>
      <c r="B1406" s="36" t="s">
        <v>399</v>
      </c>
      <c r="C1406" s="37"/>
      <c r="D1406" s="37"/>
      <c r="E1406" s="37"/>
    </row>
    <row r="1407" spans="1:5" ht="12.75" x14ac:dyDescent="0.2">
      <c r="A1407" s="37"/>
      <c r="B1407" s="36" t="s">
        <v>400</v>
      </c>
      <c r="C1407" s="37"/>
      <c r="D1407" s="37"/>
      <c r="E1407" s="37"/>
    </row>
    <row r="1408" spans="1:5" ht="12.75" x14ac:dyDescent="0.2">
      <c r="A1408" s="37"/>
      <c r="B1408" s="36" t="s">
        <v>401</v>
      </c>
      <c r="C1408" s="37"/>
      <c r="D1408" s="37"/>
      <c r="E1408" s="37"/>
    </row>
    <row r="1409" spans="1:5" ht="12.75" x14ac:dyDescent="0.2">
      <c r="A1409" s="36" t="s">
        <v>308</v>
      </c>
      <c r="B1409" s="36" t="s">
        <v>402</v>
      </c>
      <c r="C1409" s="36" t="s">
        <v>291</v>
      </c>
      <c r="D1409" s="37"/>
      <c r="E1409" s="37"/>
    </row>
    <row r="1410" spans="1:5" ht="12.75" x14ac:dyDescent="0.2">
      <c r="A1410" s="36" t="s">
        <v>306</v>
      </c>
      <c r="B1410" s="37"/>
      <c r="C1410" s="37"/>
      <c r="D1410" s="37"/>
      <c r="E1410" s="37"/>
    </row>
    <row r="1411" spans="1:5" ht="12.75" x14ac:dyDescent="0.2">
      <c r="A1411" s="36" t="s">
        <v>303</v>
      </c>
      <c r="B1411" s="37"/>
      <c r="C1411" s="37"/>
      <c r="D1411" s="37"/>
      <c r="E1411" s="37"/>
    </row>
    <row r="1412" spans="1:5" ht="12.75" x14ac:dyDescent="0.2">
      <c r="A1412" s="36" t="s">
        <v>307</v>
      </c>
      <c r="B1412" s="37"/>
      <c r="C1412" s="37"/>
      <c r="D1412" s="37"/>
      <c r="E1412" s="37"/>
    </row>
    <row r="1413" spans="1:5" ht="12.75" x14ac:dyDescent="0.2">
      <c r="A1413" s="36" t="s">
        <v>301</v>
      </c>
      <c r="B1413" s="37"/>
      <c r="C1413" s="37"/>
      <c r="D1413" s="37"/>
      <c r="E1413" s="37"/>
    </row>
    <row r="1414" spans="1:5" ht="12.75" x14ac:dyDescent="0.2">
      <c r="A1414" s="36" t="s">
        <v>299</v>
      </c>
      <c r="B1414" s="37"/>
      <c r="C1414" s="37"/>
      <c r="D1414" s="37"/>
      <c r="E1414" s="37"/>
    </row>
    <row r="1415" spans="1:5" ht="12.75" x14ac:dyDescent="0.2">
      <c r="A1415" s="36" t="s">
        <v>290</v>
      </c>
      <c r="B1415" s="37"/>
      <c r="C1415" s="37"/>
      <c r="D1415" s="37"/>
      <c r="E1415" s="37"/>
    </row>
    <row r="1416" spans="1:5" ht="12.75" x14ac:dyDescent="0.2">
      <c r="A1416" s="36" t="s">
        <v>298</v>
      </c>
      <c r="B1416" s="37"/>
      <c r="C1416" s="37"/>
      <c r="D1416" s="37"/>
      <c r="E1416" s="37"/>
    </row>
    <row r="1417" spans="1:5" ht="12.75" x14ac:dyDescent="0.2">
      <c r="A1417" s="36" t="s">
        <v>295</v>
      </c>
      <c r="B1417" s="37"/>
      <c r="C1417" s="37"/>
      <c r="D1417" s="37"/>
      <c r="E1417" s="37"/>
    </row>
    <row r="1418" spans="1:5" ht="12.75" x14ac:dyDescent="0.2">
      <c r="A1418" s="37"/>
      <c r="B1418" s="37"/>
      <c r="C1418" s="37"/>
      <c r="D1418" s="37"/>
      <c r="E1418" s="37"/>
    </row>
    <row r="1419" spans="1:5" ht="12.75" x14ac:dyDescent="0.2">
      <c r="A1419" s="36" t="s">
        <v>832</v>
      </c>
      <c r="B1419" s="37"/>
      <c r="C1419" s="37"/>
      <c r="D1419" s="37"/>
      <c r="E1419" s="37"/>
    </row>
    <row r="1420" spans="1:5" ht="12.75" x14ac:dyDescent="0.2">
      <c r="A1420" s="37"/>
      <c r="B1420" s="36" t="s">
        <v>398</v>
      </c>
      <c r="C1420" s="37"/>
      <c r="D1420" s="37"/>
      <c r="E1420" s="37"/>
    </row>
    <row r="1421" spans="1:5" ht="12.75" x14ac:dyDescent="0.2">
      <c r="A1421" s="37"/>
      <c r="B1421" s="36" t="s">
        <v>399</v>
      </c>
      <c r="C1421" s="37"/>
      <c r="D1421" s="37"/>
      <c r="E1421" s="37"/>
    </row>
    <row r="1422" spans="1:5" ht="12.75" x14ac:dyDescent="0.2">
      <c r="A1422" s="37"/>
      <c r="B1422" s="36" t="s">
        <v>400</v>
      </c>
      <c r="C1422" s="37"/>
      <c r="D1422" s="37"/>
      <c r="E1422" s="37"/>
    </row>
    <row r="1423" spans="1:5" ht="12.75" x14ac:dyDescent="0.2">
      <c r="A1423" s="37"/>
      <c r="B1423" s="36" t="s">
        <v>401</v>
      </c>
      <c r="C1423" s="37"/>
      <c r="D1423" s="37"/>
      <c r="E1423" s="37"/>
    </row>
    <row r="1424" spans="1:5" ht="12.75" x14ac:dyDescent="0.2">
      <c r="A1424" s="36" t="s">
        <v>833</v>
      </c>
      <c r="B1424" s="36" t="s">
        <v>402</v>
      </c>
      <c r="C1424" s="36" t="s">
        <v>834</v>
      </c>
      <c r="D1424" s="37"/>
      <c r="E1424" s="37"/>
    </row>
    <row r="1425" spans="1:5" ht="12.75" x14ac:dyDescent="0.2">
      <c r="A1425" s="36" t="s">
        <v>835</v>
      </c>
      <c r="B1425" s="37"/>
      <c r="C1425" s="37"/>
      <c r="D1425" s="37"/>
      <c r="E1425" s="37"/>
    </row>
    <row r="1426" spans="1:5" ht="12.75" x14ac:dyDescent="0.2">
      <c r="A1426" s="37"/>
      <c r="B1426" s="36" t="s">
        <v>422</v>
      </c>
      <c r="C1426" s="36" t="s">
        <v>836</v>
      </c>
      <c r="D1426" s="36" t="s">
        <v>837</v>
      </c>
      <c r="E1426" s="37"/>
    </row>
    <row r="1427" spans="1:5" ht="12.75" x14ac:dyDescent="0.2">
      <c r="A1427" s="37"/>
      <c r="B1427" s="37"/>
      <c r="C1427" s="37"/>
      <c r="D1427" s="37"/>
      <c r="E1427" s="37"/>
    </row>
    <row r="1428" spans="1:5" ht="12.75" x14ac:dyDescent="0.2">
      <c r="A1428" s="36" t="s">
        <v>314</v>
      </c>
      <c r="B1428" s="37"/>
      <c r="C1428" s="37"/>
      <c r="D1428" s="37"/>
      <c r="E1428" s="37"/>
    </row>
    <row r="1429" spans="1:5" ht="12.75" x14ac:dyDescent="0.2">
      <c r="A1429" s="37"/>
      <c r="B1429" s="36" t="s">
        <v>398</v>
      </c>
      <c r="C1429" s="37"/>
      <c r="D1429" s="37"/>
      <c r="E1429" s="37"/>
    </row>
    <row r="1430" spans="1:5" ht="12.75" x14ac:dyDescent="0.2">
      <c r="A1430" s="37"/>
      <c r="B1430" s="36" t="s">
        <v>399</v>
      </c>
      <c r="C1430" s="37"/>
      <c r="D1430" s="37"/>
      <c r="E1430" s="37"/>
    </row>
    <row r="1431" spans="1:5" ht="12.75" x14ac:dyDescent="0.2">
      <c r="A1431" s="37"/>
      <c r="B1431" s="36" t="s">
        <v>400</v>
      </c>
      <c r="C1431" s="37"/>
      <c r="D1431" s="37"/>
      <c r="E1431" s="37"/>
    </row>
    <row r="1432" spans="1:5" ht="12.75" x14ac:dyDescent="0.2">
      <c r="A1432" s="37"/>
      <c r="B1432" s="36" t="s">
        <v>401</v>
      </c>
      <c r="C1432" s="37"/>
      <c r="D1432" s="37"/>
      <c r="E1432" s="37"/>
    </row>
    <row r="1433" spans="1:5" ht="12.75" x14ac:dyDescent="0.2">
      <c r="A1433" s="36" t="s">
        <v>333</v>
      </c>
      <c r="B1433" s="36" t="s">
        <v>402</v>
      </c>
      <c r="C1433" s="36" t="s">
        <v>316</v>
      </c>
      <c r="D1433" s="37"/>
      <c r="E1433" s="37"/>
    </row>
    <row r="1434" spans="1:5" ht="12.75" x14ac:dyDescent="0.2">
      <c r="A1434" s="36" t="s">
        <v>331</v>
      </c>
      <c r="B1434" s="37"/>
      <c r="C1434" s="37"/>
      <c r="D1434" s="37"/>
      <c r="E1434" s="37"/>
    </row>
    <row r="1435" spans="1:5" ht="12.75" x14ac:dyDescent="0.2">
      <c r="A1435" s="36" t="s">
        <v>315</v>
      </c>
      <c r="B1435" s="37"/>
      <c r="C1435" s="37"/>
      <c r="D1435" s="37"/>
      <c r="E1435" s="37"/>
    </row>
    <row r="1436" spans="1:5" ht="12.75" x14ac:dyDescent="0.2">
      <c r="A1436" s="36" t="s">
        <v>327</v>
      </c>
      <c r="B1436" s="37"/>
      <c r="C1436" s="37"/>
      <c r="D1436" s="37"/>
      <c r="E1436" s="37"/>
    </row>
    <row r="1437" spans="1:5" ht="12.75" x14ac:dyDescent="0.2">
      <c r="A1437" s="36" t="s">
        <v>322</v>
      </c>
      <c r="B1437" s="37"/>
      <c r="C1437" s="37"/>
      <c r="D1437" s="37"/>
      <c r="E1437" s="37"/>
    </row>
    <row r="1438" spans="1:5" ht="12.75" x14ac:dyDescent="0.2">
      <c r="A1438" s="36" t="s">
        <v>328</v>
      </c>
      <c r="B1438" s="37"/>
      <c r="C1438" s="37"/>
      <c r="D1438" s="37"/>
      <c r="E1438" s="37"/>
    </row>
    <row r="1439" spans="1:5" ht="12.75" x14ac:dyDescent="0.2">
      <c r="A1439" s="36" t="s">
        <v>324</v>
      </c>
      <c r="B1439" s="37"/>
      <c r="C1439" s="37"/>
      <c r="D1439" s="37"/>
      <c r="E1439" s="37"/>
    </row>
    <row r="1440" spans="1:5" ht="12.75" x14ac:dyDescent="0.2">
      <c r="A1440" s="36" t="s">
        <v>323</v>
      </c>
      <c r="B1440" s="37"/>
      <c r="C1440" s="37"/>
      <c r="D1440" s="37"/>
      <c r="E1440" s="37"/>
    </row>
    <row r="1441" spans="1:5" ht="12.75" x14ac:dyDescent="0.2">
      <c r="A1441" s="36" t="s">
        <v>319</v>
      </c>
      <c r="B1441" s="37"/>
      <c r="C1441" s="37"/>
      <c r="D1441" s="37"/>
      <c r="E1441" s="37"/>
    </row>
    <row r="1442" spans="1:5" ht="12.75" x14ac:dyDescent="0.2">
      <c r="A1442" s="37"/>
      <c r="B1442" s="37"/>
      <c r="C1442" s="37"/>
      <c r="D1442" s="37"/>
      <c r="E1442" s="37"/>
    </row>
    <row r="1443" spans="1:5" ht="12.75" x14ac:dyDescent="0.2">
      <c r="A1443" s="36" t="s">
        <v>1266</v>
      </c>
      <c r="B1443" s="37"/>
      <c r="C1443" s="37"/>
      <c r="D1443" s="37"/>
      <c r="E1443" s="37"/>
    </row>
    <row r="1444" spans="1:5" ht="12.75" x14ac:dyDescent="0.2">
      <c r="A1444" s="37"/>
      <c r="B1444" s="36" t="s">
        <v>398</v>
      </c>
      <c r="C1444" s="37"/>
      <c r="D1444" s="37"/>
      <c r="E1444" s="37"/>
    </row>
    <row r="1445" spans="1:5" ht="12.75" x14ac:dyDescent="0.2">
      <c r="A1445" s="37"/>
      <c r="B1445" s="36" t="s">
        <v>399</v>
      </c>
      <c r="C1445" s="37"/>
      <c r="D1445" s="37"/>
      <c r="E1445" s="37"/>
    </row>
    <row r="1446" spans="1:5" ht="12.75" x14ac:dyDescent="0.2">
      <c r="A1446" s="37"/>
      <c r="B1446" s="36" t="s">
        <v>400</v>
      </c>
      <c r="C1446" s="37"/>
      <c r="D1446" s="37"/>
      <c r="E1446" s="37"/>
    </row>
    <row r="1447" spans="1:5" ht="12.75" x14ac:dyDescent="0.2">
      <c r="A1447" s="37"/>
      <c r="B1447" s="36" t="s">
        <v>401</v>
      </c>
      <c r="C1447" s="37"/>
      <c r="D1447" s="37"/>
      <c r="E1447" s="37"/>
    </row>
    <row r="1448" spans="1:5" ht="12.75" x14ac:dyDescent="0.2">
      <c r="A1448" s="36" t="s">
        <v>1270</v>
      </c>
      <c r="B1448" s="36" t="s">
        <v>402</v>
      </c>
      <c r="C1448" s="36" t="s">
        <v>1272</v>
      </c>
      <c r="D1448" s="37"/>
      <c r="E1448" s="37"/>
    </row>
    <row r="1449" spans="1:5" ht="12.75" x14ac:dyDescent="0.2">
      <c r="A1449" s="36" t="s">
        <v>1273</v>
      </c>
      <c r="B1449" s="37"/>
      <c r="C1449" s="37"/>
      <c r="D1449" s="37"/>
      <c r="E1449" s="37"/>
    </row>
    <row r="1450" spans="1:5" ht="12.75" x14ac:dyDescent="0.2">
      <c r="A1450" s="36" t="s">
        <v>1274</v>
      </c>
      <c r="B1450" s="37"/>
      <c r="C1450" s="37"/>
      <c r="D1450" s="37"/>
      <c r="E1450" s="37"/>
    </row>
    <row r="1451" spans="1:5" ht="12.75" x14ac:dyDescent="0.2">
      <c r="A1451" s="36" t="s">
        <v>1276</v>
      </c>
      <c r="B1451" s="37"/>
      <c r="C1451" s="37"/>
      <c r="D1451" s="37"/>
      <c r="E1451" s="37"/>
    </row>
    <row r="1452" spans="1:5" ht="12.75" x14ac:dyDescent="0.2">
      <c r="A1452" s="37"/>
      <c r="B1452" s="37"/>
      <c r="C1452" s="37"/>
      <c r="D1452" s="37"/>
      <c r="E1452" s="37"/>
    </row>
    <row r="1453" spans="1:5" ht="12.75" x14ac:dyDescent="0.2">
      <c r="A1453" s="36" t="s">
        <v>1280</v>
      </c>
      <c r="B1453" s="37"/>
      <c r="C1453" s="37"/>
      <c r="D1453" s="37"/>
      <c r="E1453" s="37"/>
    </row>
    <row r="1454" spans="1:5" ht="12.75" x14ac:dyDescent="0.2">
      <c r="A1454" s="37"/>
      <c r="B1454" s="36" t="s">
        <v>398</v>
      </c>
      <c r="C1454" s="37"/>
      <c r="D1454" s="37"/>
      <c r="E1454" s="37"/>
    </row>
    <row r="1455" spans="1:5" ht="12.75" x14ac:dyDescent="0.2">
      <c r="A1455" s="37"/>
      <c r="B1455" s="36" t="s">
        <v>399</v>
      </c>
      <c r="C1455" s="37"/>
      <c r="D1455" s="37"/>
      <c r="E1455" s="37"/>
    </row>
    <row r="1456" spans="1:5" ht="12.75" x14ac:dyDescent="0.2">
      <c r="A1456" s="37"/>
      <c r="B1456" s="36" t="s">
        <v>400</v>
      </c>
      <c r="C1456" s="37"/>
      <c r="D1456" s="37"/>
      <c r="E1456" s="37"/>
    </row>
    <row r="1457" spans="1:5" ht="12.75" x14ac:dyDescent="0.2">
      <c r="A1457" s="37"/>
      <c r="B1457" s="36" t="s">
        <v>401</v>
      </c>
      <c r="C1457" s="37"/>
      <c r="D1457" s="37"/>
      <c r="E1457" s="37"/>
    </row>
    <row r="1458" spans="1:5" ht="12.75" x14ac:dyDescent="0.2">
      <c r="A1458" s="36">
        <v>31</v>
      </c>
      <c r="B1458" s="36" t="s">
        <v>402</v>
      </c>
      <c r="C1458" s="36" t="s">
        <v>1286</v>
      </c>
      <c r="D1458" s="37"/>
      <c r="E1458" s="37"/>
    </row>
    <row r="1459" spans="1:5" ht="12.75" x14ac:dyDescent="0.2">
      <c r="A1459" s="36" t="s">
        <v>1287</v>
      </c>
      <c r="B1459" s="37"/>
      <c r="C1459" s="37"/>
      <c r="D1459" s="37"/>
      <c r="E1459" s="37"/>
    </row>
    <row r="1460" spans="1:5" ht="12.75" x14ac:dyDescent="0.2">
      <c r="A1460" s="36" t="s">
        <v>1289</v>
      </c>
      <c r="B1460" s="37"/>
      <c r="C1460" s="37"/>
      <c r="D1460" s="37"/>
      <c r="E1460" s="37"/>
    </row>
    <row r="1461" spans="1:5" ht="12.75" x14ac:dyDescent="0.2">
      <c r="A1461" s="36" t="s">
        <v>1291</v>
      </c>
      <c r="B1461" s="37"/>
      <c r="C1461" s="37"/>
      <c r="D1461" s="37"/>
      <c r="E1461" s="37"/>
    </row>
    <row r="1462" spans="1:5" ht="12.75" x14ac:dyDescent="0.2">
      <c r="A1462" s="36" t="s">
        <v>1293</v>
      </c>
      <c r="B1462" s="37"/>
      <c r="C1462" s="37"/>
      <c r="D1462" s="37"/>
      <c r="E1462" s="37"/>
    </row>
    <row r="1463" spans="1:5" ht="12.75" x14ac:dyDescent="0.2">
      <c r="A1463" s="36" t="s">
        <v>1294</v>
      </c>
      <c r="B1463" s="37"/>
      <c r="C1463" s="37"/>
      <c r="D1463" s="37"/>
      <c r="E1463" s="37"/>
    </row>
    <row r="1464" spans="1:5" ht="12.75" x14ac:dyDescent="0.2">
      <c r="A1464" s="36" t="s">
        <v>1296</v>
      </c>
      <c r="B1464" s="37"/>
      <c r="C1464" s="37"/>
      <c r="D1464" s="37"/>
      <c r="E1464" s="37"/>
    </row>
    <row r="1465" spans="1:5" ht="12.75" x14ac:dyDescent="0.2">
      <c r="A1465" s="37"/>
      <c r="B1465" s="36" t="s">
        <v>422</v>
      </c>
      <c r="C1465" s="36" t="s">
        <v>488</v>
      </c>
      <c r="D1465" s="36" t="s">
        <v>489</v>
      </c>
      <c r="E1465" s="37"/>
    </row>
    <row r="1466" spans="1:5" ht="12.75" x14ac:dyDescent="0.2">
      <c r="A1466" s="37"/>
      <c r="B1466" s="37"/>
      <c r="C1466" s="37"/>
      <c r="D1466" s="37"/>
      <c r="E1466" s="37"/>
    </row>
    <row r="1467" spans="1:5" ht="12.75" x14ac:dyDescent="0.2">
      <c r="A1467" s="36" t="s">
        <v>838</v>
      </c>
      <c r="B1467" s="37"/>
      <c r="C1467" s="37"/>
      <c r="D1467" s="37"/>
      <c r="E1467" s="37"/>
    </row>
    <row r="1468" spans="1:5" ht="12.75" x14ac:dyDescent="0.2">
      <c r="A1468" s="37"/>
      <c r="B1468" s="36" t="s">
        <v>398</v>
      </c>
      <c r="C1468" s="37"/>
      <c r="D1468" s="37"/>
      <c r="E1468" s="37"/>
    </row>
    <row r="1469" spans="1:5" ht="12.75" x14ac:dyDescent="0.2">
      <c r="A1469" s="37"/>
      <c r="B1469" s="36" t="s">
        <v>399</v>
      </c>
      <c r="C1469" s="37"/>
      <c r="D1469" s="37"/>
      <c r="E1469" s="37"/>
    </row>
    <row r="1470" spans="1:5" ht="12.75" x14ac:dyDescent="0.2">
      <c r="A1470" s="37"/>
      <c r="B1470" s="36" t="s">
        <v>400</v>
      </c>
      <c r="C1470" s="37"/>
      <c r="D1470" s="37"/>
      <c r="E1470" s="37"/>
    </row>
    <row r="1471" spans="1:5" ht="12.75" x14ac:dyDescent="0.2">
      <c r="A1471" s="37"/>
      <c r="B1471" s="36" t="s">
        <v>401</v>
      </c>
      <c r="C1471" s="37"/>
      <c r="D1471" s="37"/>
      <c r="E1471" s="37"/>
    </row>
    <row r="1472" spans="1:5" ht="12.75" x14ac:dyDescent="0.2">
      <c r="A1472" s="36" t="s">
        <v>839</v>
      </c>
      <c r="B1472" s="36" t="s">
        <v>402</v>
      </c>
      <c r="C1472" s="36" t="s">
        <v>840</v>
      </c>
      <c r="D1472" s="37"/>
      <c r="E1472" s="37"/>
    </row>
    <row r="1473" spans="1:5" ht="12.75" x14ac:dyDescent="0.2">
      <c r="A1473" s="36" t="s">
        <v>841</v>
      </c>
      <c r="B1473" s="37"/>
      <c r="C1473" s="37"/>
      <c r="D1473" s="37"/>
      <c r="E1473" s="37"/>
    </row>
    <row r="1474" spans="1:5" ht="12.75" x14ac:dyDescent="0.2">
      <c r="A1474" s="36" t="s">
        <v>842</v>
      </c>
      <c r="B1474" s="37"/>
      <c r="C1474" s="37"/>
      <c r="D1474" s="37"/>
      <c r="E1474" s="37"/>
    </row>
    <row r="1475" spans="1:5" ht="12.75" x14ac:dyDescent="0.2">
      <c r="A1475" s="36" t="s">
        <v>843</v>
      </c>
      <c r="B1475" s="37"/>
      <c r="C1475" s="37"/>
      <c r="D1475" s="37"/>
      <c r="E1475" s="37"/>
    </row>
    <row r="1476" spans="1:5" ht="12.75" x14ac:dyDescent="0.2">
      <c r="A1476" s="36" t="s">
        <v>844</v>
      </c>
      <c r="B1476" s="37"/>
      <c r="C1476" s="37"/>
      <c r="D1476" s="37"/>
      <c r="E1476" s="37"/>
    </row>
    <row r="1477" spans="1:5" ht="12.75" x14ac:dyDescent="0.2">
      <c r="A1477" s="36" t="s">
        <v>845</v>
      </c>
      <c r="B1477" s="37"/>
      <c r="C1477" s="37"/>
      <c r="D1477" s="37"/>
      <c r="E1477" s="37"/>
    </row>
    <row r="1478" spans="1:5" ht="12.75" x14ac:dyDescent="0.2">
      <c r="A1478" s="36" t="s">
        <v>846</v>
      </c>
      <c r="B1478" s="37"/>
      <c r="C1478" s="37"/>
      <c r="D1478" s="37"/>
      <c r="E1478" s="37"/>
    </row>
    <row r="1479" spans="1:5" ht="12.75" x14ac:dyDescent="0.2">
      <c r="A1479" s="37"/>
      <c r="B1479" s="36" t="s">
        <v>422</v>
      </c>
      <c r="C1479" s="36" t="s">
        <v>847</v>
      </c>
      <c r="D1479" s="36" t="s">
        <v>848</v>
      </c>
      <c r="E1479" s="37"/>
    </row>
    <row r="1480" spans="1:5" ht="12.75" x14ac:dyDescent="0.2">
      <c r="A1480" s="37"/>
      <c r="B1480" s="37"/>
      <c r="C1480" s="37"/>
      <c r="D1480" s="37"/>
      <c r="E1480" s="37"/>
    </row>
    <row r="1481" spans="1:5" ht="12.75" x14ac:dyDescent="0.2">
      <c r="A1481" s="36" t="s">
        <v>849</v>
      </c>
      <c r="B1481" s="37"/>
      <c r="C1481" s="37"/>
      <c r="D1481" s="37"/>
      <c r="E1481" s="37"/>
    </row>
    <row r="1482" spans="1:5" ht="12.75" x14ac:dyDescent="0.2">
      <c r="A1482" s="37"/>
      <c r="B1482" s="36" t="s">
        <v>398</v>
      </c>
      <c r="C1482" s="37"/>
      <c r="D1482" s="37"/>
      <c r="E1482" s="37"/>
    </row>
    <row r="1483" spans="1:5" ht="12.75" x14ac:dyDescent="0.2">
      <c r="A1483" s="37"/>
      <c r="B1483" s="36" t="s">
        <v>399</v>
      </c>
      <c r="C1483" s="37"/>
      <c r="D1483" s="37"/>
      <c r="E1483" s="37"/>
    </row>
    <row r="1484" spans="1:5" ht="12.75" x14ac:dyDescent="0.2">
      <c r="A1484" s="37"/>
      <c r="B1484" s="36" t="s">
        <v>400</v>
      </c>
      <c r="C1484" s="36" t="s">
        <v>849</v>
      </c>
      <c r="D1484" s="37"/>
      <c r="E1484" s="37"/>
    </row>
    <row r="1485" spans="1:5" ht="12.75" x14ac:dyDescent="0.2">
      <c r="A1485" s="37"/>
      <c r="B1485" s="36" t="s">
        <v>401</v>
      </c>
      <c r="C1485" s="37"/>
      <c r="D1485" s="37"/>
      <c r="E1485" s="37"/>
    </row>
    <row r="1486" spans="1:5" ht="25.5" x14ac:dyDescent="0.2">
      <c r="A1486" s="36" t="s">
        <v>255</v>
      </c>
      <c r="B1486" s="36" t="s">
        <v>402</v>
      </c>
      <c r="C1486" s="36" t="s">
        <v>850</v>
      </c>
      <c r="D1486" s="37"/>
      <c r="E1486" s="37"/>
    </row>
    <row r="1487" spans="1:5" ht="12.75" x14ac:dyDescent="0.2">
      <c r="A1487" s="36" t="s">
        <v>851</v>
      </c>
      <c r="B1487" s="37"/>
      <c r="C1487" s="37"/>
      <c r="D1487" s="37"/>
      <c r="E1487" s="37"/>
    </row>
    <row r="1488" spans="1:5" ht="12.75" x14ac:dyDescent="0.2">
      <c r="A1488" s="36" t="s">
        <v>852</v>
      </c>
      <c r="B1488" s="37"/>
      <c r="C1488" s="37"/>
      <c r="D1488" s="37"/>
      <c r="E1488" s="37"/>
    </row>
    <row r="1489" spans="1:5" ht="12.75" x14ac:dyDescent="0.2">
      <c r="A1489" s="36" t="s">
        <v>853</v>
      </c>
      <c r="B1489" s="37"/>
      <c r="C1489" s="37"/>
      <c r="D1489" s="37"/>
      <c r="E1489" s="37"/>
    </row>
    <row r="1490" spans="1:5" ht="12.75" x14ac:dyDescent="0.2">
      <c r="A1490" s="36" t="s">
        <v>854</v>
      </c>
      <c r="B1490" s="37"/>
      <c r="C1490" s="37"/>
      <c r="D1490" s="37"/>
      <c r="E1490" s="37"/>
    </row>
    <row r="1491" spans="1:5" ht="12.75" x14ac:dyDescent="0.2">
      <c r="A1491" s="36" t="s">
        <v>855</v>
      </c>
      <c r="B1491" s="37"/>
      <c r="C1491" s="37"/>
      <c r="D1491" s="37"/>
      <c r="E1491" s="37"/>
    </row>
    <row r="1492" spans="1:5" ht="12.75" x14ac:dyDescent="0.2">
      <c r="A1492" s="36" t="s">
        <v>856</v>
      </c>
      <c r="B1492" s="37"/>
      <c r="C1492" s="37"/>
      <c r="D1492" s="37"/>
      <c r="E1492" s="37"/>
    </row>
    <row r="1493" spans="1:5" ht="12.75" x14ac:dyDescent="0.2">
      <c r="A1493" s="36" t="s">
        <v>857</v>
      </c>
      <c r="B1493" s="37"/>
      <c r="C1493" s="37"/>
      <c r="D1493" s="37"/>
      <c r="E1493" s="37"/>
    </row>
    <row r="1494" spans="1:5" ht="12.75" x14ac:dyDescent="0.2">
      <c r="A1494" s="36" t="s">
        <v>858</v>
      </c>
      <c r="B1494" s="37"/>
      <c r="C1494" s="37"/>
      <c r="D1494" s="37"/>
      <c r="E1494" s="37"/>
    </row>
    <row r="1495" spans="1:5" ht="12.75" x14ac:dyDescent="0.2">
      <c r="A1495" s="36" t="s">
        <v>859</v>
      </c>
      <c r="B1495" s="37"/>
      <c r="C1495" s="37"/>
      <c r="D1495" s="37"/>
      <c r="E1495" s="37"/>
    </row>
    <row r="1496" spans="1:5" ht="12.75" x14ac:dyDescent="0.2">
      <c r="A1496" s="37"/>
      <c r="B1496" s="37"/>
      <c r="C1496" s="37"/>
      <c r="D1496" s="37"/>
      <c r="E1496" s="37"/>
    </row>
    <row r="1497" spans="1:5" ht="12.75" x14ac:dyDescent="0.2">
      <c r="A1497" s="36" t="s">
        <v>860</v>
      </c>
      <c r="B1497" s="37"/>
      <c r="C1497" s="37"/>
      <c r="D1497" s="37"/>
      <c r="E1497" s="37"/>
    </row>
    <row r="1498" spans="1:5" ht="12.75" x14ac:dyDescent="0.2">
      <c r="A1498" s="37"/>
      <c r="B1498" s="36" t="s">
        <v>398</v>
      </c>
      <c r="C1498" s="37"/>
      <c r="D1498" s="37"/>
      <c r="E1498" s="37"/>
    </row>
    <row r="1499" spans="1:5" ht="12.75" x14ac:dyDescent="0.2">
      <c r="A1499" s="37"/>
      <c r="B1499" s="36" t="s">
        <v>399</v>
      </c>
      <c r="C1499" s="37"/>
      <c r="D1499" s="37"/>
      <c r="E1499" s="37"/>
    </row>
    <row r="1500" spans="1:5" ht="12.75" x14ac:dyDescent="0.2">
      <c r="A1500" s="37"/>
      <c r="B1500" s="36" t="s">
        <v>400</v>
      </c>
      <c r="C1500" s="36" t="s">
        <v>860</v>
      </c>
      <c r="D1500" s="37"/>
      <c r="E1500" s="37"/>
    </row>
    <row r="1501" spans="1:5" ht="12.75" x14ac:dyDescent="0.2">
      <c r="A1501" s="37"/>
      <c r="B1501" s="36" t="s">
        <v>401</v>
      </c>
      <c r="C1501" s="37"/>
      <c r="D1501" s="37"/>
      <c r="E1501" s="37"/>
    </row>
    <row r="1502" spans="1:5" ht="25.5" x14ac:dyDescent="0.2">
      <c r="A1502" s="36" t="s">
        <v>63</v>
      </c>
      <c r="B1502" s="36" t="s">
        <v>402</v>
      </c>
      <c r="C1502" s="36" t="s">
        <v>809</v>
      </c>
      <c r="D1502" s="37"/>
      <c r="E1502" s="37"/>
    </row>
    <row r="1503" spans="1:5" ht="12.75" x14ac:dyDescent="0.2">
      <c r="A1503" s="36" t="s">
        <v>861</v>
      </c>
      <c r="B1503" s="37"/>
      <c r="C1503" s="37"/>
      <c r="D1503" s="37"/>
      <c r="E1503" s="37"/>
    </row>
    <row r="1504" spans="1:5" ht="12.75" x14ac:dyDescent="0.2">
      <c r="A1504" s="36" t="s">
        <v>54</v>
      </c>
      <c r="B1504" s="37"/>
      <c r="C1504" s="37"/>
      <c r="D1504" s="37"/>
      <c r="E1504" s="37"/>
    </row>
    <row r="1505" spans="1:5" ht="12.75" x14ac:dyDescent="0.2">
      <c r="A1505" s="36" t="s">
        <v>862</v>
      </c>
      <c r="B1505" s="37"/>
      <c r="C1505" s="37"/>
      <c r="D1505" s="37"/>
      <c r="E1505" s="37"/>
    </row>
    <row r="1506" spans="1:5" ht="12.75" x14ac:dyDescent="0.2">
      <c r="A1506" s="36" t="s">
        <v>863</v>
      </c>
      <c r="B1506" s="37"/>
      <c r="C1506" s="37"/>
      <c r="D1506" s="37"/>
      <c r="E1506" s="37"/>
    </row>
    <row r="1507" spans="1:5" ht="12.75" x14ac:dyDescent="0.2">
      <c r="A1507" s="36" t="s">
        <v>864</v>
      </c>
      <c r="B1507" s="37"/>
      <c r="C1507" s="37"/>
      <c r="D1507" s="37"/>
      <c r="E1507" s="37"/>
    </row>
    <row r="1508" spans="1:5" ht="12.75" x14ac:dyDescent="0.2">
      <c r="A1508" s="36" t="s">
        <v>49</v>
      </c>
      <c r="B1508" s="37"/>
      <c r="C1508" s="37"/>
      <c r="D1508" s="37"/>
      <c r="E1508" s="37"/>
    </row>
    <row r="1509" spans="1:5" ht="12.75" x14ac:dyDescent="0.2">
      <c r="A1509" s="36" t="s">
        <v>865</v>
      </c>
      <c r="B1509" s="37"/>
      <c r="C1509" s="37"/>
      <c r="D1509" s="37"/>
      <c r="E1509" s="37"/>
    </row>
    <row r="1510" spans="1:5" ht="12.75" x14ac:dyDescent="0.2">
      <c r="A1510" s="36" t="s">
        <v>866</v>
      </c>
      <c r="B1510" s="37"/>
      <c r="C1510" s="37"/>
      <c r="D1510" s="37"/>
      <c r="E1510" s="37"/>
    </row>
    <row r="1511" spans="1:5" ht="12.75" x14ac:dyDescent="0.2">
      <c r="A1511" s="37"/>
      <c r="B1511" s="37"/>
      <c r="C1511" s="37"/>
      <c r="D1511" s="37"/>
      <c r="E1511" s="37"/>
    </row>
    <row r="1512" spans="1:5" ht="12.75" x14ac:dyDescent="0.2">
      <c r="A1512" s="36" t="s">
        <v>867</v>
      </c>
      <c r="B1512" s="37"/>
      <c r="C1512" s="37"/>
      <c r="D1512" s="37"/>
      <c r="E1512" s="37"/>
    </row>
    <row r="1513" spans="1:5" ht="12.75" x14ac:dyDescent="0.2">
      <c r="A1513" s="37"/>
      <c r="B1513" s="36" t="s">
        <v>398</v>
      </c>
      <c r="C1513" s="37"/>
      <c r="D1513" s="37"/>
      <c r="E1513" s="37"/>
    </row>
    <row r="1514" spans="1:5" ht="12.75" x14ac:dyDescent="0.2">
      <c r="A1514" s="37"/>
      <c r="B1514" s="36" t="s">
        <v>399</v>
      </c>
      <c r="C1514" s="37"/>
      <c r="D1514" s="37"/>
      <c r="E1514" s="37"/>
    </row>
    <row r="1515" spans="1:5" ht="12.75" x14ac:dyDescent="0.2">
      <c r="A1515" s="37"/>
      <c r="B1515" s="36" t="s">
        <v>400</v>
      </c>
      <c r="C1515" s="36" t="s">
        <v>867</v>
      </c>
      <c r="D1515" s="37"/>
      <c r="E1515" s="37"/>
    </row>
    <row r="1516" spans="1:5" ht="12.75" x14ac:dyDescent="0.2">
      <c r="A1516" s="37"/>
      <c r="B1516" s="36" t="s">
        <v>401</v>
      </c>
      <c r="C1516" s="37"/>
      <c r="D1516" s="37"/>
      <c r="E1516" s="37"/>
    </row>
    <row r="1517" spans="1:5" ht="25.5" x14ac:dyDescent="0.2">
      <c r="A1517" s="36" t="s">
        <v>868</v>
      </c>
      <c r="B1517" s="36" t="s">
        <v>402</v>
      </c>
      <c r="C1517" s="36" t="s">
        <v>869</v>
      </c>
      <c r="D1517" s="37"/>
      <c r="E1517" s="37"/>
    </row>
    <row r="1518" spans="1:5" ht="12.75" x14ac:dyDescent="0.2">
      <c r="A1518" s="36" t="s">
        <v>870</v>
      </c>
      <c r="B1518" s="37"/>
      <c r="C1518" s="37"/>
      <c r="D1518" s="37"/>
      <c r="E1518" s="37"/>
    </row>
    <row r="1519" spans="1:5" ht="12.75" x14ac:dyDescent="0.2">
      <c r="A1519" s="36" t="s">
        <v>871</v>
      </c>
      <c r="B1519" s="37"/>
      <c r="C1519" s="37"/>
      <c r="D1519" s="37"/>
      <c r="E1519" s="37"/>
    </row>
    <row r="1520" spans="1:5" ht="12.75" x14ac:dyDescent="0.2">
      <c r="A1520" s="36" t="s">
        <v>872</v>
      </c>
      <c r="B1520" s="37"/>
      <c r="C1520" s="37"/>
      <c r="D1520" s="37"/>
      <c r="E1520" s="37"/>
    </row>
    <row r="1521" spans="1:5" ht="12.75" x14ac:dyDescent="0.2">
      <c r="A1521" s="36" t="s">
        <v>873</v>
      </c>
      <c r="B1521" s="37"/>
      <c r="C1521" s="37"/>
      <c r="D1521" s="37"/>
      <c r="E1521" s="37"/>
    </row>
    <row r="1522" spans="1:5" ht="12.75" x14ac:dyDescent="0.2">
      <c r="A1522" s="36" t="s">
        <v>874</v>
      </c>
      <c r="B1522" s="37"/>
      <c r="C1522" s="37"/>
      <c r="D1522" s="37"/>
      <c r="E1522" s="37"/>
    </row>
    <row r="1523" spans="1:5" ht="12.75" x14ac:dyDescent="0.2">
      <c r="A1523" s="36" t="s">
        <v>875</v>
      </c>
      <c r="B1523" s="37"/>
      <c r="C1523" s="37"/>
      <c r="D1523" s="37"/>
      <c r="E1523" s="37"/>
    </row>
    <row r="1524" spans="1:5" ht="12.75" x14ac:dyDescent="0.2">
      <c r="A1524" s="36" t="s">
        <v>876</v>
      </c>
      <c r="B1524" s="37"/>
      <c r="C1524" s="37"/>
      <c r="D1524" s="37"/>
      <c r="E1524" s="37"/>
    </row>
    <row r="1525" spans="1:5" ht="12.75" x14ac:dyDescent="0.2">
      <c r="A1525" s="36" t="s">
        <v>877</v>
      </c>
      <c r="B1525" s="37"/>
      <c r="C1525" s="37"/>
      <c r="D1525" s="37"/>
      <c r="E1525" s="37"/>
    </row>
    <row r="1526" spans="1:5" ht="12.75" x14ac:dyDescent="0.2">
      <c r="A1526" s="36" t="s">
        <v>878</v>
      </c>
      <c r="B1526" s="37"/>
      <c r="C1526" s="37"/>
      <c r="D1526" s="37"/>
      <c r="E1526" s="37"/>
    </row>
    <row r="1527" spans="1:5" ht="12.75" x14ac:dyDescent="0.2">
      <c r="A1527" s="37"/>
      <c r="B1527" s="37"/>
      <c r="C1527" s="37"/>
      <c r="D1527" s="37"/>
      <c r="E1527" s="37"/>
    </row>
    <row r="1528" spans="1:5" ht="12.75" x14ac:dyDescent="0.2">
      <c r="A1528" s="36" t="s">
        <v>880</v>
      </c>
      <c r="B1528" s="37"/>
      <c r="C1528" s="37"/>
      <c r="D1528" s="37"/>
      <c r="E1528" s="37"/>
    </row>
    <row r="1529" spans="1:5" ht="12.75" x14ac:dyDescent="0.2">
      <c r="A1529" s="37"/>
      <c r="B1529" s="36" t="s">
        <v>398</v>
      </c>
      <c r="C1529" s="37"/>
      <c r="D1529" s="37"/>
      <c r="E1529" s="37"/>
    </row>
    <row r="1530" spans="1:5" ht="12.75" x14ac:dyDescent="0.2">
      <c r="A1530" s="37"/>
      <c r="B1530" s="36" t="s">
        <v>399</v>
      </c>
      <c r="C1530" s="37"/>
      <c r="D1530" s="37"/>
      <c r="E1530" s="37"/>
    </row>
    <row r="1531" spans="1:5" ht="12.75" x14ac:dyDescent="0.2">
      <c r="A1531" s="37"/>
      <c r="B1531" s="36" t="s">
        <v>400</v>
      </c>
      <c r="C1531" s="36" t="s">
        <v>880</v>
      </c>
      <c r="D1531" s="37"/>
      <c r="E1531" s="37"/>
    </row>
    <row r="1532" spans="1:5" ht="12.75" x14ac:dyDescent="0.2">
      <c r="A1532" s="37"/>
      <c r="B1532" s="36" t="s">
        <v>401</v>
      </c>
      <c r="C1532" s="37"/>
      <c r="D1532" s="37"/>
      <c r="E1532" s="37"/>
    </row>
    <row r="1533" spans="1:5" ht="12.75" x14ac:dyDescent="0.2">
      <c r="A1533" s="36" t="s">
        <v>881</v>
      </c>
      <c r="B1533" s="36" t="s">
        <v>402</v>
      </c>
      <c r="C1533" s="36" t="s">
        <v>882</v>
      </c>
      <c r="D1533" s="37"/>
      <c r="E1533" s="37"/>
    </row>
    <row r="1534" spans="1:5" ht="12.75" x14ac:dyDescent="0.2">
      <c r="A1534" s="36" t="s">
        <v>883</v>
      </c>
      <c r="B1534" s="37"/>
      <c r="C1534" s="37"/>
      <c r="D1534" s="37"/>
      <c r="E1534" s="37"/>
    </row>
    <row r="1535" spans="1:5" ht="12.75" x14ac:dyDescent="0.2">
      <c r="A1535" s="36" t="s">
        <v>884</v>
      </c>
      <c r="B1535" s="37"/>
      <c r="C1535" s="37"/>
      <c r="D1535" s="37"/>
      <c r="E1535" s="37"/>
    </row>
    <row r="1536" spans="1:5" ht="12.75" x14ac:dyDescent="0.2">
      <c r="A1536" s="36" t="s">
        <v>885</v>
      </c>
      <c r="B1536" s="37"/>
      <c r="C1536" s="37"/>
      <c r="D1536" s="37"/>
      <c r="E1536" s="37"/>
    </row>
    <row r="1537" spans="1:5" ht="12.75" x14ac:dyDescent="0.2">
      <c r="A1537" s="36" t="s">
        <v>886</v>
      </c>
      <c r="B1537" s="37"/>
      <c r="C1537" s="37"/>
      <c r="D1537" s="37"/>
      <c r="E1537" s="37"/>
    </row>
    <row r="1538" spans="1:5" ht="12.75" x14ac:dyDescent="0.2">
      <c r="A1538" s="36" t="s">
        <v>887</v>
      </c>
      <c r="B1538" s="37"/>
      <c r="C1538" s="37"/>
      <c r="D1538" s="37"/>
      <c r="E1538" s="37"/>
    </row>
    <row r="1539" spans="1:5" ht="12.75" x14ac:dyDescent="0.2">
      <c r="A1539" s="36" t="s">
        <v>888</v>
      </c>
      <c r="B1539" s="37"/>
      <c r="C1539" s="37"/>
      <c r="D1539" s="37"/>
      <c r="E1539" s="37"/>
    </row>
    <row r="1540" spans="1:5" ht="12.75" x14ac:dyDescent="0.2">
      <c r="A1540" s="36" t="s">
        <v>889</v>
      </c>
      <c r="B1540" s="37"/>
      <c r="C1540" s="37"/>
      <c r="D1540" s="37"/>
      <c r="E1540" s="37"/>
    </row>
    <row r="1541" spans="1:5" ht="12.75" x14ac:dyDescent="0.2">
      <c r="A1541" s="36" t="s">
        <v>890</v>
      </c>
      <c r="B1541" s="37"/>
      <c r="C1541" s="37"/>
      <c r="D1541" s="37"/>
      <c r="E1541" s="37"/>
    </row>
    <row r="1542" spans="1:5" ht="12.75" x14ac:dyDescent="0.2">
      <c r="A1542" s="36" t="s">
        <v>891</v>
      </c>
      <c r="B1542" s="37"/>
      <c r="C1542" s="37"/>
      <c r="D1542" s="37"/>
      <c r="E1542" s="37"/>
    </row>
    <row r="1543" spans="1:5" ht="12.75" x14ac:dyDescent="0.2">
      <c r="A1543" s="37"/>
      <c r="B1543" s="37"/>
      <c r="C1543" s="37"/>
      <c r="D1543" s="37"/>
      <c r="E1543" s="37"/>
    </row>
    <row r="1544" spans="1:5" ht="12.75" x14ac:dyDescent="0.2">
      <c r="A1544" s="36" t="s">
        <v>892</v>
      </c>
      <c r="B1544" s="37"/>
      <c r="C1544" s="37"/>
      <c r="D1544" s="37"/>
      <c r="E1544" s="37"/>
    </row>
    <row r="1545" spans="1:5" ht="12.75" x14ac:dyDescent="0.2">
      <c r="A1545" s="37"/>
      <c r="B1545" s="36" t="s">
        <v>398</v>
      </c>
      <c r="C1545" s="37"/>
      <c r="D1545" s="37"/>
      <c r="E1545" s="37"/>
    </row>
    <row r="1546" spans="1:5" ht="12.75" x14ac:dyDescent="0.2">
      <c r="A1546" s="37"/>
      <c r="B1546" s="36" t="s">
        <v>399</v>
      </c>
      <c r="C1546" s="37"/>
      <c r="D1546" s="37"/>
      <c r="E1546" s="37"/>
    </row>
    <row r="1547" spans="1:5" ht="12.75" x14ac:dyDescent="0.2">
      <c r="A1547" s="37"/>
      <c r="B1547" s="36" t="s">
        <v>400</v>
      </c>
      <c r="C1547" s="36" t="s">
        <v>892</v>
      </c>
      <c r="D1547" s="37"/>
      <c r="E1547" s="37"/>
    </row>
    <row r="1548" spans="1:5" ht="12.75" x14ac:dyDescent="0.2">
      <c r="A1548" s="37"/>
      <c r="B1548" s="36" t="s">
        <v>401</v>
      </c>
      <c r="C1548" s="37"/>
      <c r="D1548" s="37"/>
      <c r="E1548" s="37"/>
    </row>
    <row r="1549" spans="1:5" ht="12.75" x14ac:dyDescent="0.2">
      <c r="A1549" s="36" t="s">
        <v>893</v>
      </c>
      <c r="B1549" s="36" t="s">
        <v>402</v>
      </c>
      <c r="C1549" s="36" t="s">
        <v>894</v>
      </c>
      <c r="D1549" s="37"/>
      <c r="E1549" s="37"/>
    </row>
    <row r="1550" spans="1:5" ht="12.75" x14ac:dyDescent="0.2">
      <c r="A1550" s="36" t="s">
        <v>895</v>
      </c>
      <c r="B1550" s="37"/>
      <c r="C1550" s="37"/>
      <c r="D1550" s="37"/>
      <c r="E1550" s="37"/>
    </row>
    <row r="1551" spans="1:5" ht="12.75" x14ac:dyDescent="0.2">
      <c r="A1551" s="36" t="s">
        <v>896</v>
      </c>
      <c r="B1551" s="37"/>
      <c r="C1551" s="37"/>
      <c r="D1551" s="37"/>
      <c r="E1551" s="37"/>
    </row>
    <row r="1552" spans="1:5" ht="12.75" x14ac:dyDescent="0.2">
      <c r="A1552" s="36" t="s">
        <v>897</v>
      </c>
      <c r="B1552" s="37"/>
      <c r="C1552" s="37"/>
      <c r="D1552" s="37"/>
      <c r="E1552" s="37"/>
    </row>
    <row r="1553" spans="1:5" ht="12.75" x14ac:dyDescent="0.2">
      <c r="A1553" s="36" t="s">
        <v>898</v>
      </c>
      <c r="B1553" s="37"/>
      <c r="C1553" s="37"/>
      <c r="D1553" s="37"/>
      <c r="E1553" s="37"/>
    </row>
    <row r="1554" spans="1:5" ht="12.75" x14ac:dyDescent="0.2">
      <c r="A1554" s="36" t="s">
        <v>899</v>
      </c>
      <c r="B1554" s="37"/>
      <c r="C1554" s="37"/>
      <c r="D1554" s="37"/>
      <c r="E1554" s="37"/>
    </row>
    <row r="1555" spans="1:5" ht="12.75" x14ac:dyDescent="0.2">
      <c r="A1555" s="36" t="s">
        <v>900</v>
      </c>
      <c r="B1555" s="37"/>
      <c r="C1555" s="37"/>
      <c r="D1555" s="37"/>
      <c r="E1555" s="37"/>
    </row>
    <row r="1556" spans="1:5" ht="12.75" x14ac:dyDescent="0.2">
      <c r="A1556" s="36" t="s">
        <v>901</v>
      </c>
      <c r="B1556" s="37"/>
      <c r="C1556" s="37"/>
      <c r="D1556" s="37"/>
      <c r="E1556" s="37"/>
    </row>
    <row r="1557" spans="1:5" ht="12.75" x14ac:dyDescent="0.2">
      <c r="A1557" s="36" t="s">
        <v>902</v>
      </c>
      <c r="B1557" s="37"/>
      <c r="C1557" s="37"/>
      <c r="D1557" s="37"/>
      <c r="E1557" s="37"/>
    </row>
    <row r="1558" spans="1:5" ht="12.75" x14ac:dyDescent="0.2">
      <c r="A1558" s="36" t="s">
        <v>903</v>
      </c>
      <c r="B1558" s="37"/>
      <c r="C1558" s="37"/>
      <c r="D1558" s="37"/>
      <c r="E1558" s="37"/>
    </row>
    <row r="1559" spans="1:5" ht="12.75" x14ac:dyDescent="0.2">
      <c r="A1559" s="37"/>
      <c r="B1559" s="36" t="s">
        <v>403</v>
      </c>
      <c r="C1559" s="36" t="s">
        <v>25</v>
      </c>
      <c r="D1559" s="36" t="s">
        <v>27</v>
      </c>
      <c r="E1559" s="37"/>
    </row>
    <row r="1560" spans="1:5" ht="12.75" x14ac:dyDescent="0.2">
      <c r="A1560" s="37"/>
      <c r="B1560" s="36" t="s">
        <v>403</v>
      </c>
      <c r="C1560" s="36" t="s">
        <v>30</v>
      </c>
      <c r="D1560" s="36" t="s">
        <v>31</v>
      </c>
      <c r="E1560" s="37"/>
    </row>
    <row r="1561" spans="1:5" ht="12.75" x14ac:dyDescent="0.2">
      <c r="A1561" s="37"/>
      <c r="B1561" s="36" t="s">
        <v>403</v>
      </c>
      <c r="C1561" s="36" t="s">
        <v>41</v>
      </c>
      <c r="D1561" s="36" t="s">
        <v>10</v>
      </c>
      <c r="E1561" s="37"/>
    </row>
    <row r="1562" spans="1:5" ht="12.75" x14ac:dyDescent="0.2">
      <c r="A1562" s="37"/>
      <c r="B1562" s="37"/>
      <c r="C1562" s="37"/>
      <c r="D1562" s="37"/>
      <c r="E1562" s="37"/>
    </row>
    <row r="1563" spans="1:5" ht="12.75" x14ac:dyDescent="0.2">
      <c r="A1563" s="36" t="s">
        <v>904</v>
      </c>
      <c r="B1563" s="37"/>
      <c r="C1563" s="37"/>
      <c r="D1563" s="37"/>
      <c r="E1563" s="37"/>
    </row>
    <row r="1564" spans="1:5" ht="12.75" x14ac:dyDescent="0.2">
      <c r="A1564" s="37"/>
      <c r="B1564" s="36" t="s">
        <v>398</v>
      </c>
      <c r="C1564" s="37"/>
      <c r="D1564" s="37"/>
      <c r="E1564" s="37"/>
    </row>
    <row r="1565" spans="1:5" ht="12.75" x14ac:dyDescent="0.2">
      <c r="A1565" s="37"/>
      <c r="B1565" s="36" t="s">
        <v>399</v>
      </c>
      <c r="C1565" s="37"/>
      <c r="D1565" s="37"/>
      <c r="E1565" s="37"/>
    </row>
    <row r="1566" spans="1:5" ht="12.75" x14ac:dyDescent="0.2">
      <c r="A1566" s="37"/>
      <c r="B1566" s="36" t="s">
        <v>400</v>
      </c>
      <c r="C1566" s="36" t="s">
        <v>904</v>
      </c>
      <c r="D1566" s="37"/>
      <c r="E1566" s="37"/>
    </row>
    <row r="1567" spans="1:5" ht="12.75" x14ac:dyDescent="0.2">
      <c r="A1567" s="37"/>
      <c r="B1567" s="36" t="s">
        <v>401</v>
      </c>
      <c r="C1567" s="37"/>
      <c r="D1567" s="37"/>
      <c r="E1567" s="37"/>
    </row>
    <row r="1568" spans="1:5" ht="12.75" x14ac:dyDescent="0.2">
      <c r="A1568" s="36" t="s">
        <v>905</v>
      </c>
      <c r="B1568" s="36" t="s">
        <v>402</v>
      </c>
      <c r="C1568" s="36" t="s">
        <v>906</v>
      </c>
      <c r="D1568" s="37"/>
      <c r="E1568" s="37"/>
    </row>
    <row r="1569" spans="1:5" ht="12.75" x14ac:dyDescent="0.2">
      <c r="A1569" s="36" t="s">
        <v>907</v>
      </c>
      <c r="B1569" s="37"/>
      <c r="C1569" s="37"/>
      <c r="D1569" s="37"/>
      <c r="E1569" s="37"/>
    </row>
    <row r="1570" spans="1:5" ht="12.75" x14ac:dyDescent="0.2">
      <c r="A1570" s="36" t="s">
        <v>908</v>
      </c>
      <c r="B1570" s="37"/>
      <c r="C1570" s="37"/>
      <c r="D1570" s="37"/>
      <c r="E1570" s="37"/>
    </row>
    <row r="1571" spans="1:5" ht="12.75" x14ac:dyDescent="0.2">
      <c r="A1571" s="36" t="s">
        <v>909</v>
      </c>
      <c r="B1571" s="37"/>
      <c r="C1571" s="37"/>
      <c r="D1571" s="37"/>
      <c r="E1571" s="37"/>
    </row>
    <row r="1572" spans="1:5" ht="12.75" x14ac:dyDescent="0.2">
      <c r="A1572" s="36" t="s">
        <v>910</v>
      </c>
      <c r="B1572" s="37"/>
      <c r="C1572" s="37"/>
      <c r="D1572" s="37"/>
      <c r="E1572" s="37"/>
    </row>
    <row r="1573" spans="1:5" ht="12.75" x14ac:dyDescent="0.2">
      <c r="A1573" s="36" t="s">
        <v>911</v>
      </c>
      <c r="B1573" s="37"/>
      <c r="C1573" s="37"/>
      <c r="D1573" s="37"/>
      <c r="E1573" s="37"/>
    </row>
    <row r="1574" spans="1:5" ht="12.75" x14ac:dyDescent="0.2">
      <c r="A1574" s="36" t="s">
        <v>912</v>
      </c>
      <c r="B1574" s="37"/>
      <c r="C1574" s="37"/>
      <c r="D1574" s="37"/>
      <c r="E1574" s="37"/>
    </row>
    <row r="1575" spans="1:5" ht="12.75" x14ac:dyDescent="0.2">
      <c r="A1575" s="36" t="s">
        <v>913</v>
      </c>
      <c r="B1575" s="37"/>
      <c r="C1575" s="37"/>
      <c r="D1575" s="37"/>
      <c r="E1575" s="37"/>
    </row>
    <row r="1576" spans="1:5" ht="12.75" x14ac:dyDescent="0.2">
      <c r="A1576" s="36" t="s">
        <v>914</v>
      </c>
      <c r="B1576" s="37"/>
      <c r="C1576" s="37"/>
      <c r="D1576" s="37"/>
      <c r="E1576" s="37"/>
    </row>
    <row r="1577" spans="1:5" ht="12.75" x14ac:dyDescent="0.2">
      <c r="A1577" s="36" t="s">
        <v>915</v>
      </c>
      <c r="B1577" s="37"/>
      <c r="C1577" s="37"/>
      <c r="D1577" s="37"/>
      <c r="E1577" s="37"/>
    </row>
    <row r="1578" spans="1:5" ht="12.75" x14ac:dyDescent="0.2">
      <c r="A1578" s="37"/>
      <c r="B1578" s="37"/>
      <c r="C1578" s="37"/>
      <c r="D1578" s="37"/>
      <c r="E1578" s="37"/>
    </row>
    <row r="1579" spans="1:5" ht="12.75" x14ac:dyDescent="0.2">
      <c r="A1579" s="36" t="s">
        <v>916</v>
      </c>
      <c r="B1579" s="37"/>
      <c r="C1579" s="37"/>
      <c r="D1579" s="37"/>
      <c r="E1579" s="37"/>
    </row>
    <row r="1580" spans="1:5" ht="12.75" x14ac:dyDescent="0.2">
      <c r="A1580" s="37"/>
      <c r="B1580" s="36" t="s">
        <v>398</v>
      </c>
      <c r="C1580" s="37"/>
      <c r="D1580" s="37"/>
      <c r="E1580" s="37"/>
    </row>
    <row r="1581" spans="1:5" ht="12.75" x14ac:dyDescent="0.2">
      <c r="A1581" s="37"/>
      <c r="B1581" s="36" t="s">
        <v>399</v>
      </c>
      <c r="C1581" s="37"/>
      <c r="D1581" s="37"/>
      <c r="E1581" s="37"/>
    </row>
    <row r="1582" spans="1:5" ht="12.75" x14ac:dyDescent="0.2">
      <c r="A1582" s="37"/>
      <c r="B1582" s="36" t="s">
        <v>400</v>
      </c>
      <c r="C1582" s="36" t="s">
        <v>916</v>
      </c>
      <c r="D1582" s="37"/>
      <c r="E1582" s="37"/>
    </row>
    <row r="1583" spans="1:5" ht="12.75" x14ac:dyDescent="0.2">
      <c r="A1583" s="37"/>
      <c r="B1583" s="36" t="s">
        <v>401</v>
      </c>
      <c r="C1583" s="37"/>
      <c r="D1583" s="37"/>
      <c r="E1583" s="37"/>
    </row>
    <row r="1584" spans="1:5" ht="12.75" x14ac:dyDescent="0.2">
      <c r="A1584" s="36" t="s">
        <v>917</v>
      </c>
      <c r="B1584" s="36" t="s">
        <v>402</v>
      </c>
      <c r="C1584" s="36" t="s">
        <v>918</v>
      </c>
      <c r="D1584" s="37"/>
      <c r="E1584" s="37"/>
    </row>
    <row r="1585" spans="1:5" ht="12.75" x14ac:dyDescent="0.2">
      <c r="A1585" s="36" t="s">
        <v>919</v>
      </c>
      <c r="B1585" s="37"/>
      <c r="C1585" s="37"/>
      <c r="D1585" s="37"/>
      <c r="E1585" s="37"/>
    </row>
    <row r="1586" spans="1:5" ht="12.75" x14ac:dyDescent="0.2">
      <c r="A1586" s="36" t="s">
        <v>920</v>
      </c>
      <c r="B1586" s="37"/>
      <c r="C1586" s="37"/>
      <c r="D1586" s="37"/>
      <c r="E1586" s="37"/>
    </row>
    <row r="1587" spans="1:5" ht="12.75" x14ac:dyDescent="0.2">
      <c r="A1587" s="36" t="s">
        <v>921</v>
      </c>
      <c r="B1587" s="37"/>
      <c r="C1587" s="37"/>
      <c r="D1587" s="37"/>
      <c r="E1587" s="37"/>
    </row>
    <row r="1588" spans="1:5" ht="12.75" x14ac:dyDescent="0.2">
      <c r="A1588" s="36" t="s">
        <v>922</v>
      </c>
      <c r="B1588" s="37"/>
      <c r="C1588" s="37"/>
      <c r="D1588" s="37"/>
      <c r="E1588" s="37"/>
    </row>
    <row r="1589" spans="1:5" ht="12.75" x14ac:dyDescent="0.2">
      <c r="A1589" s="36" t="s">
        <v>923</v>
      </c>
      <c r="B1589" s="37"/>
      <c r="C1589" s="37"/>
      <c r="D1589" s="37"/>
      <c r="E1589" s="37"/>
    </row>
    <row r="1590" spans="1:5" ht="12.75" x14ac:dyDescent="0.2">
      <c r="A1590" s="36" t="s">
        <v>924</v>
      </c>
      <c r="B1590" s="37"/>
      <c r="C1590" s="37"/>
      <c r="D1590" s="37"/>
      <c r="E1590" s="37"/>
    </row>
    <row r="1591" spans="1:5" ht="12.75" x14ac:dyDescent="0.2">
      <c r="A1591" s="36" t="s">
        <v>925</v>
      </c>
      <c r="B1591" s="37"/>
      <c r="C1591" s="37"/>
      <c r="D1591" s="37"/>
      <c r="E1591" s="37"/>
    </row>
    <row r="1592" spans="1:5" ht="12.75" x14ac:dyDescent="0.2">
      <c r="A1592" s="37"/>
      <c r="B1592" s="37"/>
      <c r="C1592" s="37"/>
      <c r="D1592" s="37"/>
      <c r="E1592" s="37"/>
    </row>
    <row r="1593" spans="1:5" ht="12.75" x14ac:dyDescent="0.2">
      <c r="A1593" s="36" t="s">
        <v>927</v>
      </c>
      <c r="B1593" s="37"/>
      <c r="C1593" s="37"/>
      <c r="D1593" s="37"/>
      <c r="E1593" s="37"/>
    </row>
    <row r="1594" spans="1:5" ht="12.75" x14ac:dyDescent="0.2">
      <c r="A1594" s="37"/>
      <c r="B1594" s="36" t="s">
        <v>398</v>
      </c>
      <c r="C1594" s="37"/>
      <c r="D1594" s="37"/>
      <c r="E1594" s="37"/>
    </row>
    <row r="1595" spans="1:5" ht="12.75" x14ac:dyDescent="0.2">
      <c r="A1595" s="37"/>
      <c r="B1595" s="36" t="s">
        <v>399</v>
      </c>
      <c r="C1595" s="37"/>
      <c r="D1595" s="37"/>
      <c r="E1595" s="37"/>
    </row>
    <row r="1596" spans="1:5" ht="12.75" x14ac:dyDescent="0.2">
      <c r="A1596" s="37"/>
      <c r="B1596" s="36" t="s">
        <v>400</v>
      </c>
      <c r="C1596" s="36" t="s">
        <v>927</v>
      </c>
      <c r="D1596" s="37"/>
      <c r="E1596" s="37"/>
    </row>
    <row r="1597" spans="1:5" ht="12.75" x14ac:dyDescent="0.2">
      <c r="A1597" s="37"/>
      <c r="B1597" s="36" t="s">
        <v>401</v>
      </c>
      <c r="C1597" s="37"/>
      <c r="D1597" s="37"/>
      <c r="E1597" s="37"/>
    </row>
    <row r="1598" spans="1:5" ht="12.75" x14ac:dyDescent="0.2">
      <c r="A1598" s="36" t="s">
        <v>928</v>
      </c>
      <c r="B1598" s="36" t="s">
        <v>402</v>
      </c>
      <c r="C1598" s="36" t="s">
        <v>929</v>
      </c>
      <c r="D1598" s="37"/>
      <c r="E1598" s="37"/>
    </row>
    <row r="1599" spans="1:5" ht="12.75" x14ac:dyDescent="0.2">
      <c r="A1599" s="36" t="s">
        <v>930</v>
      </c>
      <c r="B1599" s="37"/>
      <c r="C1599" s="37"/>
      <c r="D1599" s="37"/>
      <c r="E1599" s="37"/>
    </row>
    <row r="1600" spans="1:5" ht="12.75" x14ac:dyDescent="0.2">
      <c r="A1600" s="36" t="s">
        <v>931</v>
      </c>
      <c r="B1600" s="37"/>
      <c r="C1600" s="37"/>
      <c r="D1600" s="37"/>
      <c r="E1600" s="37"/>
    </row>
    <row r="1601" spans="1:5" ht="12.75" x14ac:dyDescent="0.2">
      <c r="A1601" s="36" t="s">
        <v>932</v>
      </c>
      <c r="B1601" s="37"/>
      <c r="C1601" s="37"/>
      <c r="D1601" s="37"/>
      <c r="E1601" s="37"/>
    </row>
    <row r="1602" spans="1:5" ht="12.75" x14ac:dyDescent="0.2">
      <c r="A1602" s="36" t="s">
        <v>933</v>
      </c>
      <c r="B1602" s="37"/>
      <c r="C1602" s="37"/>
      <c r="D1602" s="37"/>
      <c r="E1602" s="37"/>
    </row>
    <row r="1603" spans="1:5" ht="12.75" x14ac:dyDescent="0.2">
      <c r="A1603" s="36" t="s">
        <v>934</v>
      </c>
      <c r="B1603" s="37"/>
      <c r="C1603" s="37"/>
      <c r="D1603" s="37"/>
      <c r="E1603" s="37"/>
    </row>
    <row r="1604" spans="1:5" ht="12.75" x14ac:dyDescent="0.2">
      <c r="A1604" s="36" t="s">
        <v>935</v>
      </c>
      <c r="B1604" s="37"/>
      <c r="C1604" s="37"/>
      <c r="D1604" s="37"/>
      <c r="E1604" s="37"/>
    </row>
    <row r="1605" spans="1:5" ht="12.75" x14ac:dyDescent="0.2">
      <c r="A1605" s="36" t="s">
        <v>936</v>
      </c>
      <c r="B1605" s="37"/>
      <c r="C1605" s="37"/>
      <c r="D1605" s="37"/>
      <c r="E1605" s="37"/>
    </row>
    <row r="1606" spans="1:5" ht="12.75" x14ac:dyDescent="0.2">
      <c r="A1606" s="36" t="s">
        <v>937</v>
      </c>
      <c r="B1606" s="37"/>
      <c r="C1606" s="37"/>
      <c r="D1606" s="37"/>
      <c r="E1606" s="37"/>
    </row>
    <row r="1607" spans="1:5" ht="12.75" x14ac:dyDescent="0.2">
      <c r="A1607" s="36" t="s">
        <v>938</v>
      </c>
      <c r="B1607" s="37"/>
      <c r="C1607" s="37"/>
      <c r="D1607" s="37"/>
      <c r="E1607" s="37"/>
    </row>
    <row r="1608" spans="1:5" ht="12.75" x14ac:dyDescent="0.2">
      <c r="A1608" s="37"/>
      <c r="B1608" s="37"/>
      <c r="C1608" s="37"/>
      <c r="D1608" s="37"/>
      <c r="E1608" s="37"/>
    </row>
    <row r="1609" spans="1:5" ht="12.75" x14ac:dyDescent="0.2">
      <c r="A1609" s="36" t="s">
        <v>939</v>
      </c>
      <c r="B1609" s="37"/>
      <c r="C1609" s="37"/>
      <c r="D1609" s="37"/>
      <c r="E1609" s="37"/>
    </row>
    <row r="1610" spans="1:5" ht="12.75" x14ac:dyDescent="0.2">
      <c r="A1610" s="37"/>
      <c r="B1610" s="36" t="s">
        <v>398</v>
      </c>
      <c r="C1610" s="37"/>
      <c r="D1610" s="37"/>
      <c r="E1610" s="37"/>
    </row>
    <row r="1611" spans="1:5" ht="12.75" x14ac:dyDescent="0.2">
      <c r="A1611" s="37"/>
      <c r="B1611" s="36" t="s">
        <v>399</v>
      </c>
      <c r="C1611" s="37"/>
      <c r="D1611" s="37"/>
      <c r="E1611" s="37"/>
    </row>
    <row r="1612" spans="1:5" ht="12.75" x14ac:dyDescent="0.2">
      <c r="A1612" s="37"/>
      <c r="B1612" s="36" t="s">
        <v>400</v>
      </c>
      <c r="C1612" s="36" t="s">
        <v>939</v>
      </c>
      <c r="D1612" s="37"/>
      <c r="E1612" s="37"/>
    </row>
    <row r="1613" spans="1:5" ht="12.75" x14ac:dyDescent="0.2">
      <c r="A1613" s="37"/>
      <c r="B1613" s="36" t="s">
        <v>401</v>
      </c>
      <c r="C1613" s="37"/>
      <c r="D1613" s="37"/>
      <c r="E1613" s="37"/>
    </row>
    <row r="1614" spans="1:5" ht="12.75" x14ac:dyDescent="0.2">
      <c r="A1614" s="36" t="s">
        <v>337</v>
      </c>
      <c r="B1614" s="36" t="s">
        <v>402</v>
      </c>
      <c r="C1614" s="36" t="s">
        <v>940</v>
      </c>
      <c r="D1614" s="37"/>
      <c r="E1614" s="37"/>
    </row>
    <row r="1615" spans="1:5" ht="12.75" x14ac:dyDescent="0.2">
      <c r="A1615" s="36" t="s">
        <v>941</v>
      </c>
      <c r="B1615" s="37"/>
      <c r="C1615" s="37"/>
      <c r="D1615" s="37"/>
      <c r="E1615" s="37"/>
    </row>
    <row r="1616" spans="1:5" ht="12.75" x14ac:dyDescent="0.2">
      <c r="A1616" s="36" t="s">
        <v>942</v>
      </c>
      <c r="B1616" s="37"/>
      <c r="C1616" s="37"/>
      <c r="D1616" s="37"/>
      <c r="E1616" s="37"/>
    </row>
    <row r="1617" spans="1:5" ht="12.75" x14ac:dyDescent="0.2">
      <c r="A1617" s="36" t="s">
        <v>943</v>
      </c>
      <c r="B1617" s="37"/>
      <c r="C1617" s="37"/>
      <c r="D1617" s="37"/>
      <c r="E1617" s="37"/>
    </row>
    <row r="1618" spans="1:5" ht="12.75" x14ac:dyDescent="0.2">
      <c r="A1618" s="36" t="s">
        <v>944</v>
      </c>
      <c r="B1618" s="37"/>
      <c r="C1618" s="37"/>
      <c r="D1618" s="37"/>
      <c r="E1618" s="37"/>
    </row>
    <row r="1619" spans="1:5" ht="12.75" x14ac:dyDescent="0.2">
      <c r="A1619" s="36" t="s">
        <v>946</v>
      </c>
      <c r="B1619" s="37"/>
      <c r="C1619" s="37"/>
      <c r="D1619" s="37"/>
      <c r="E1619" s="37"/>
    </row>
    <row r="1620" spans="1:5" ht="12.75" x14ac:dyDescent="0.2">
      <c r="A1620" s="36" t="s">
        <v>947</v>
      </c>
      <c r="B1620" s="37"/>
      <c r="C1620" s="37"/>
      <c r="D1620" s="37"/>
      <c r="E1620" s="37"/>
    </row>
    <row r="1621" spans="1:5" ht="12.75" x14ac:dyDescent="0.2">
      <c r="A1621" s="36" t="s">
        <v>948</v>
      </c>
      <c r="B1621" s="37"/>
      <c r="C1621" s="37"/>
      <c r="D1621" s="37"/>
      <c r="E1621" s="37"/>
    </row>
    <row r="1622" spans="1:5" ht="12.75" x14ac:dyDescent="0.2">
      <c r="A1622" s="36" t="s">
        <v>950</v>
      </c>
      <c r="B1622" s="37"/>
      <c r="C1622" s="37"/>
      <c r="D1622" s="37"/>
      <c r="E1622" s="37"/>
    </row>
    <row r="1623" spans="1:5" ht="12.75" x14ac:dyDescent="0.2">
      <c r="A1623" s="36" t="s">
        <v>951</v>
      </c>
      <c r="B1623" s="37"/>
      <c r="C1623" s="37"/>
      <c r="D1623" s="37"/>
      <c r="E1623" s="37"/>
    </row>
    <row r="1624" spans="1:5" ht="12.75" x14ac:dyDescent="0.2">
      <c r="A1624" s="37"/>
      <c r="B1624" s="37"/>
      <c r="C1624" s="37"/>
      <c r="D1624" s="37"/>
      <c r="E1624" s="37"/>
    </row>
    <row r="1625" spans="1:5" ht="12.75" x14ac:dyDescent="0.2">
      <c r="A1625" s="36" t="s">
        <v>953</v>
      </c>
      <c r="B1625" s="37"/>
      <c r="C1625" s="37"/>
      <c r="D1625" s="37"/>
      <c r="E1625" s="37"/>
    </row>
    <row r="1626" spans="1:5" ht="12.75" x14ac:dyDescent="0.2">
      <c r="A1626" s="37"/>
      <c r="B1626" s="36" t="s">
        <v>398</v>
      </c>
      <c r="C1626" s="37"/>
      <c r="D1626" s="37"/>
      <c r="E1626" s="37"/>
    </row>
    <row r="1627" spans="1:5" ht="12.75" x14ac:dyDescent="0.2">
      <c r="A1627" s="37"/>
      <c r="B1627" s="36" t="s">
        <v>399</v>
      </c>
      <c r="C1627" s="37"/>
      <c r="D1627" s="37"/>
      <c r="E1627" s="37"/>
    </row>
    <row r="1628" spans="1:5" ht="12.75" x14ac:dyDescent="0.2">
      <c r="A1628" s="37"/>
      <c r="B1628" s="36" t="s">
        <v>400</v>
      </c>
      <c r="C1628" s="36" t="s">
        <v>953</v>
      </c>
      <c r="D1628" s="37"/>
      <c r="E1628" s="37"/>
    </row>
    <row r="1629" spans="1:5" ht="12.75" x14ac:dyDescent="0.2">
      <c r="A1629" s="37"/>
      <c r="B1629" s="36" t="s">
        <v>401</v>
      </c>
      <c r="C1629" s="37"/>
      <c r="D1629" s="37"/>
      <c r="E1629" s="37"/>
    </row>
    <row r="1630" spans="1:5" ht="12.75" x14ac:dyDescent="0.2">
      <c r="A1630" s="36" t="s">
        <v>954</v>
      </c>
      <c r="B1630" s="36" t="s">
        <v>402</v>
      </c>
      <c r="C1630" s="36" t="s">
        <v>955</v>
      </c>
      <c r="D1630" s="37"/>
      <c r="E1630" s="37"/>
    </row>
    <row r="1631" spans="1:5" ht="12.75" x14ac:dyDescent="0.2">
      <c r="A1631" s="36" t="s">
        <v>957</v>
      </c>
      <c r="B1631" s="37"/>
      <c r="C1631" s="37"/>
      <c r="D1631" s="37"/>
      <c r="E1631" s="37"/>
    </row>
    <row r="1632" spans="1:5" ht="12.75" x14ac:dyDescent="0.2">
      <c r="A1632" s="36" t="s">
        <v>959</v>
      </c>
      <c r="B1632" s="37"/>
      <c r="C1632" s="37"/>
      <c r="D1632" s="37"/>
      <c r="E1632" s="37"/>
    </row>
    <row r="1633" spans="1:5" ht="12.75" x14ac:dyDescent="0.2">
      <c r="A1633" s="36" t="s">
        <v>961</v>
      </c>
      <c r="B1633" s="37"/>
      <c r="C1633" s="37"/>
      <c r="D1633" s="37"/>
      <c r="E1633" s="37"/>
    </row>
    <row r="1634" spans="1:5" ht="12.75" x14ac:dyDescent="0.2">
      <c r="A1634" s="36" t="s">
        <v>962</v>
      </c>
      <c r="B1634" s="37"/>
      <c r="C1634" s="37"/>
      <c r="D1634" s="37"/>
      <c r="E1634" s="37"/>
    </row>
    <row r="1635" spans="1:5" ht="12.75" x14ac:dyDescent="0.2">
      <c r="A1635" s="36" t="s">
        <v>964</v>
      </c>
      <c r="B1635" s="37"/>
      <c r="C1635" s="37"/>
      <c r="D1635" s="37"/>
      <c r="E1635" s="37"/>
    </row>
    <row r="1636" spans="1:5" ht="12.75" x14ac:dyDescent="0.2">
      <c r="A1636" s="36" t="s">
        <v>965</v>
      </c>
      <c r="B1636" s="37"/>
      <c r="C1636" s="37"/>
      <c r="D1636" s="37"/>
      <c r="E1636" s="37"/>
    </row>
    <row r="1637" spans="1:5" ht="12.75" x14ac:dyDescent="0.2">
      <c r="A1637" s="36" t="s">
        <v>967</v>
      </c>
      <c r="B1637" s="37"/>
      <c r="C1637" s="37"/>
      <c r="D1637" s="37"/>
      <c r="E1637" s="37"/>
    </row>
    <row r="1638" spans="1:5" ht="12.75" x14ac:dyDescent="0.2">
      <c r="A1638" s="36" t="s">
        <v>969</v>
      </c>
      <c r="B1638" s="37"/>
      <c r="C1638" s="37"/>
      <c r="D1638" s="37"/>
      <c r="E1638" s="37"/>
    </row>
    <row r="1639" spans="1:5" ht="12.75" x14ac:dyDescent="0.2">
      <c r="A1639" s="37"/>
      <c r="B1639" s="37"/>
      <c r="C1639" s="37"/>
      <c r="D1639" s="37"/>
      <c r="E1639" s="37"/>
    </row>
    <row r="1640" spans="1:5" ht="12.75" x14ac:dyDescent="0.2">
      <c r="A1640" s="36" t="s">
        <v>971</v>
      </c>
      <c r="B1640" s="37"/>
      <c r="C1640" s="37"/>
      <c r="D1640" s="37"/>
      <c r="E1640" s="37"/>
    </row>
    <row r="1641" spans="1:5" ht="12.75" x14ac:dyDescent="0.2">
      <c r="A1641" s="37"/>
      <c r="B1641" s="36" t="s">
        <v>398</v>
      </c>
      <c r="C1641" s="37"/>
      <c r="D1641" s="37"/>
      <c r="E1641" s="37"/>
    </row>
    <row r="1642" spans="1:5" ht="12.75" x14ac:dyDescent="0.2">
      <c r="A1642" s="37"/>
      <c r="B1642" s="36" t="s">
        <v>399</v>
      </c>
      <c r="C1642" s="37"/>
      <c r="D1642" s="37"/>
      <c r="E1642" s="37"/>
    </row>
    <row r="1643" spans="1:5" ht="12.75" x14ac:dyDescent="0.2">
      <c r="A1643" s="37"/>
      <c r="B1643" s="36" t="s">
        <v>400</v>
      </c>
      <c r="C1643" s="36" t="s">
        <v>971</v>
      </c>
      <c r="D1643" s="37"/>
      <c r="E1643" s="37"/>
    </row>
    <row r="1644" spans="1:5" ht="12.75" x14ac:dyDescent="0.2">
      <c r="A1644" s="37"/>
      <c r="B1644" s="36" t="s">
        <v>401</v>
      </c>
      <c r="C1644" s="37"/>
      <c r="D1644" s="37"/>
      <c r="E1644" s="37"/>
    </row>
    <row r="1645" spans="1:5" ht="12.75" x14ac:dyDescent="0.2">
      <c r="A1645" s="36" t="s">
        <v>973</v>
      </c>
      <c r="B1645" s="36" t="s">
        <v>402</v>
      </c>
      <c r="C1645" s="36" t="s">
        <v>974</v>
      </c>
      <c r="D1645" s="37"/>
      <c r="E1645" s="37"/>
    </row>
    <row r="1646" spans="1:5" ht="12.75" x14ac:dyDescent="0.2">
      <c r="A1646" s="36" t="s">
        <v>976</v>
      </c>
      <c r="B1646" s="37"/>
      <c r="C1646" s="37"/>
      <c r="D1646" s="37"/>
      <c r="E1646" s="37"/>
    </row>
    <row r="1647" spans="1:5" ht="12.75" x14ac:dyDescent="0.2">
      <c r="A1647" s="36" t="s">
        <v>977</v>
      </c>
      <c r="B1647" s="37"/>
      <c r="C1647" s="37"/>
      <c r="D1647" s="37"/>
      <c r="E1647" s="37"/>
    </row>
    <row r="1648" spans="1:5" ht="12.75" x14ac:dyDescent="0.2">
      <c r="A1648" s="36" t="s">
        <v>979</v>
      </c>
      <c r="B1648" s="37"/>
      <c r="C1648" s="37"/>
      <c r="D1648" s="37"/>
      <c r="E1648" s="37"/>
    </row>
    <row r="1649" spans="1:5" ht="12.75" x14ac:dyDescent="0.2">
      <c r="A1649" s="36" t="s">
        <v>982</v>
      </c>
      <c r="B1649" s="37"/>
      <c r="C1649" s="37"/>
      <c r="D1649" s="37"/>
      <c r="E1649" s="37"/>
    </row>
    <row r="1650" spans="1:5" ht="12.75" x14ac:dyDescent="0.2">
      <c r="A1650" s="36" t="s">
        <v>984</v>
      </c>
      <c r="B1650" s="37"/>
      <c r="C1650" s="37"/>
      <c r="D1650" s="37"/>
      <c r="E1650" s="37"/>
    </row>
    <row r="1651" spans="1:5" ht="12.75" x14ac:dyDescent="0.2">
      <c r="A1651" s="36" t="s">
        <v>986</v>
      </c>
      <c r="B1651" s="37"/>
      <c r="C1651" s="37"/>
      <c r="D1651" s="37"/>
      <c r="E1651" s="37"/>
    </row>
    <row r="1652" spans="1:5" ht="12.75" x14ac:dyDescent="0.2">
      <c r="A1652" s="37"/>
      <c r="B1652" s="37"/>
      <c r="C1652" s="37"/>
      <c r="D1652" s="37"/>
      <c r="E1652" s="37"/>
    </row>
    <row r="1653" spans="1:5" ht="12.75" x14ac:dyDescent="0.2">
      <c r="A1653" s="36" t="s">
        <v>988</v>
      </c>
      <c r="B1653" s="37"/>
      <c r="C1653" s="37"/>
      <c r="D1653" s="37"/>
      <c r="E1653" s="37"/>
    </row>
    <row r="1654" spans="1:5" ht="12.75" x14ac:dyDescent="0.2">
      <c r="A1654" s="37"/>
      <c r="B1654" s="36" t="s">
        <v>398</v>
      </c>
      <c r="C1654" s="37"/>
      <c r="D1654" s="37"/>
      <c r="E1654" s="37"/>
    </row>
    <row r="1655" spans="1:5" ht="12.75" x14ac:dyDescent="0.2">
      <c r="A1655" s="37"/>
      <c r="B1655" s="36" t="s">
        <v>399</v>
      </c>
      <c r="C1655" s="37"/>
      <c r="D1655" s="37"/>
      <c r="E1655" s="37"/>
    </row>
    <row r="1656" spans="1:5" ht="12.75" x14ac:dyDescent="0.2">
      <c r="A1656" s="37"/>
      <c r="B1656" s="36" t="s">
        <v>400</v>
      </c>
      <c r="C1656" s="36" t="s">
        <v>988</v>
      </c>
      <c r="D1656" s="37"/>
      <c r="E1656" s="37"/>
    </row>
    <row r="1657" spans="1:5" ht="12.75" x14ac:dyDescent="0.2">
      <c r="A1657" s="37"/>
      <c r="B1657" s="36" t="s">
        <v>401</v>
      </c>
      <c r="C1657" s="37"/>
      <c r="D1657" s="37"/>
      <c r="E1657" s="37"/>
    </row>
    <row r="1658" spans="1:5" ht="12.75" x14ac:dyDescent="0.2">
      <c r="A1658" s="36" t="s">
        <v>989</v>
      </c>
      <c r="B1658" s="36" t="s">
        <v>402</v>
      </c>
      <c r="C1658" s="36" t="s">
        <v>990</v>
      </c>
      <c r="D1658" s="37"/>
      <c r="E1658" s="37"/>
    </row>
    <row r="1659" spans="1:5" ht="12.75" x14ac:dyDescent="0.2">
      <c r="A1659" s="36" t="s">
        <v>992</v>
      </c>
      <c r="B1659" s="37"/>
      <c r="C1659" s="37"/>
      <c r="D1659" s="37"/>
      <c r="E1659" s="37"/>
    </row>
    <row r="1660" spans="1:5" ht="12.75" x14ac:dyDescent="0.2">
      <c r="A1660" s="36" t="s">
        <v>993</v>
      </c>
      <c r="B1660" s="37"/>
      <c r="C1660" s="37"/>
      <c r="D1660" s="37"/>
      <c r="E1660" s="37"/>
    </row>
    <row r="1661" spans="1:5" ht="12.75" x14ac:dyDescent="0.2">
      <c r="A1661" s="36" t="s">
        <v>994</v>
      </c>
      <c r="B1661" s="37"/>
      <c r="C1661" s="37"/>
      <c r="D1661" s="37"/>
      <c r="E1661" s="37"/>
    </row>
    <row r="1662" spans="1:5" ht="12.75" x14ac:dyDescent="0.2">
      <c r="A1662" s="36" t="s">
        <v>995</v>
      </c>
      <c r="B1662" s="37"/>
      <c r="C1662" s="37"/>
      <c r="D1662" s="37"/>
      <c r="E1662" s="37"/>
    </row>
    <row r="1663" spans="1:5" ht="12.75" x14ac:dyDescent="0.2">
      <c r="A1663" s="36" t="s">
        <v>996</v>
      </c>
      <c r="B1663" s="37"/>
      <c r="C1663" s="37"/>
      <c r="D1663" s="37"/>
      <c r="E1663" s="37"/>
    </row>
    <row r="1664" spans="1:5" ht="12.75" x14ac:dyDescent="0.2">
      <c r="A1664" s="36" t="s">
        <v>997</v>
      </c>
      <c r="B1664" s="37"/>
      <c r="C1664" s="37"/>
      <c r="D1664" s="37"/>
      <c r="E1664" s="37"/>
    </row>
    <row r="1665" spans="1:5" ht="12.75" x14ac:dyDescent="0.2">
      <c r="A1665" s="37"/>
      <c r="B1665" s="37"/>
      <c r="C1665" s="37"/>
      <c r="D1665" s="37"/>
      <c r="E1665" s="37"/>
    </row>
    <row r="1666" spans="1:5" ht="12.75" x14ac:dyDescent="0.2">
      <c r="A1666" s="36" t="s">
        <v>998</v>
      </c>
      <c r="B1666" s="37"/>
      <c r="C1666" s="37"/>
      <c r="D1666" s="37"/>
      <c r="E1666" s="37"/>
    </row>
    <row r="1667" spans="1:5" ht="12.75" x14ac:dyDescent="0.2">
      <c r="A1667" s="37"/>
      <c r="B1667" s="36" t="s">
        <v>398</v>
      </c>
      <c r="C1667" s="37"/>
      <c r="D1667" s="37"/>
      <c r="E1667" s="37"/>
    </row>
    <row r="1668" spans="1:5" ht="12.75" x14ac:dyDescent="0.2">
      <c r="A1668" s="37"/>
      <c r="B1668" s="36" t="s">
        <v>399</v>
      </c>
      <c r="C1668" s="37"/>
      <c r="D1668" s="37"/>
      <c r="E1668" s="37"/>
    </row>
    <row r="1669" spans="1:5" ht="12.75" x14ac:dyDescent="0.2">
      <c r="A1669" s="37"/>
      <c r="B1669" s="36" t="s">
        <v>400</v>
      </c>
      <c r="C1669" s="36" t="s">
        <v>998</v>
      </c>
      <c r="D1669" s="37"/>
      <c r="E1669" s="37"/>
    </row>
    <row r="1670" spans="1:5" ht="12.75" x14ac:dyDescent="0.2">
      <c r="A1670" s="37"/>
      <c r="B1670" s="36" t="s">
        <v>401</v>
      </c>
      <c r="C1670" s="37"/>
      <c r="D1670" s="37"/>
      <c r="E1670" s="37"/>
    </row>
    <row r="1671" spans="1:5" ht="12.75" x14ac:dyDescent="0.2">
      <c r="A1671" s="36" t="s">
        <v>999</v>
      </c>
      <c r="B1671" s="36" t="s">
        <v>402</v>
      </c>
      <c r="C1671" s="36" t="s">
        <v>1001</v>
      </c>
      <c r="D1671" s="37"/>
      <c r="E1671" s="37"/>
    </row>
    <row r="1672" spans="1:5" ht="12.75" x14ac:dyDescent="0.2">
      <c r="A1672" s="36" t="s">
        <v>1002</v>
      </c>
      <c r="B1672" s="37"/>
      <c r="C1672" s="37"/>
      <c r="D1672" s="37"/>
      <c r="E1672" s="37"/>
    </row>
    <row r="1673" spans="1:5" ht="12.75" x14ac:dyDescent="0.2">
      <c r="A1673" s="36" t="s">
        <v>1004</v>
      </c>
      <c r="B1673" s="37"/>
      <c r="C1673" s="37"/>
      <c r="D1673" s="37"/>
      <c r="E1673" s="37"/>
    </row>
    <row r="1674" spans="1:5" ht="12.75" x14ac:dyDescent="0.2">
      <c r="A1674" s="36" t="s">
        <v>1006</v>
      </c>
      <c r="B1674" s="37"/>
      <c r="C1674" s="37"/>
      <c r="D1674" s="37"/>
      <c r="E1674" s="37"/>
    </row>
    <row r="1675" spans="1:5" ht="12.75" x14ac:dyDescent="0.2">
      <c r="A1675" s="36" t="s">
        <v>1008</v>
      </c>
      <c r="B1675" s="37"/>
      <c r="C1675" s="37"/>
      <c r="D1675" s="37"/>
      <c r="E1675" s="37"/>
    </row>
    <row r="1676" spans="1:5" ht="12.75" x14ac:dyDescent="0.2">
      <c r="A1676" s="36" t="s">
        <v>1011</v>
      </c>
      <c r="B1676" s="37"/>
      <c r="C1676" s="37"/>
      <c r="D1676" s="37"/>
      <c r="E1676" s="37"/>
    </row>
    <row r="1677" spans="1:5" ht="12.75" x14ac:dyDescent="0.2">
      <c r="A1677" s="36" t="s">
        <v>1013</v>
      </c>
      <c r="B1677" s="37"/>
      <c r="C1677" s="37"/>
      <c r="D1677" s="37"/>
      <c r="E1677" s="37"/>
    </row>
    <row r="1678" spans="1:5" ht="12.75" x14ac:dyDescent="0.2">
      <c r="A1678" s="36" t="s">
        <v>1015</v>
      </c>
      <c r="B1678" s="37"/>
      <c r="C1678" s="37"/>
      <c r="D1678" s="37"/>
      <c r="E1678" s="37"/>
    </row>
    <row r="1679" spans="1:5" ht="12.75" x14ac:dyDescent="0.2">
      <c r="A1679" s="37"/>
      <c r="B1679" s="37"/>
      <c r="C1679" s="37"/>
      <c r="D1679" s="37"/>
      <c r="E1679" s="37"/>
    </row>
    <row r="1680" spans="1:5" ht="12.75" x14ac:dyDescent="0.2">
      <c r="A1680" s="36" t="s">
        <v>1018</v>
      </c>
      <c r="B1680" s="37"/>
      <c r="C1680" s="37"/>
      <c r="D1680" s="37"/>
      <c r="E1680" s="37"/>
    </row>
    <row r="1681" spans="1:5" ht="12.75" x14ac:dyDescent="0.2">
      <c r="A1681" s="37"/>
      <c r="B1681" s="36" t="s">
        <v>398</v>
      </c>
      <c r="C1681" s="37"/>
      <c r="D1681" s="37"/>
      <c r="E1681" s="37"/>
    </row>
    <row r="1682" spans="1:5" ht="12.75" x14ac:dyDescent="0.2">
      <c r="A1682" s="37"/>
      <c r="B1682" s="36" t="s">
        <v>399</v>
      </c>
      <c r="C1682" s="37"/>
      <c r="D1682" s="37"/>
      <c r="E1682" s="37"/>
    </row>
    <row r="1683" spans="1:5" ht="12.75" x14ac:dyDescent="0.2">
      <c r="A1683" s="37"/>
      <c r="B1683" s="36" t="s">
        <v>400</v>
      </c>
      <c r="C1683" s="36" t="s">
        <v>1018</v>
      </c>
      <c r="D1683" s="37"/>
      <c r="E1683" s="37"/>
    </row>
    <row r="1684" spans="1:5" ht="12.75" x14ac:dyDescent="0.2">
      <c r="A1684" s="37"/>
      <c r="B1684" s="36" t="s">
        <v>401</v>
      </c>
      <c r="C1684" s="37"/>
      <c r="D1684" s="37"/>
      <c r="E1684" s="37"/>
    </row>
    <row r="1685" spans="1:5" ht="12.75" x14ac:dyDescent="0.2">
      <c r="A1685" s="36" t="s">
        <v>1020</v>
      </c>
      <c r="B1685" s="36" t="s">
        <v>402</v>
      </c>
      <c r="C1685" s="36" t="s">
        <v>1022</v>
      </c>
      <c r="D1685" s="37"/>
      <c r="E1685" s="37"/>
    </row>
    <row r="1686" spans="1:5" ht="12.75" x14ac:dyDescent="0.2">
      <c r="A1686" s="36" t="s">
        <v>1024</v>
      </c>
      <c r="B1686" s="37"/>
      <c r="C1686" s="37"/>
      <c r="D1686" s="37"/>
      <c r="E1686" s="37"/>
    </row>
    <row r="1687" spans="1:5" ht="12.75" x14ac:dyDescent="0.2">
      <c r="A1687" s="36" t="s">
        <v>1027</v>
      </c>
      <c r="B1687" s="37"/>
      <c r="C1687" s="37"/>
      <c r="D1687" s="37"/>
      <c r="E1687" s="37"/>
    </row>
    <row r="1688" spans="1:5" ht="12.75" x14ac:dyDescent="0.2">
      <c r="A1688" s="36" t="s">
        <v>1028</v>
      </c>
      <c r="B1688" s="37"/>
      <c r="C1688" s="37"/>
      <c r="D1688" s="37"/>
      <c r="E1688" s="37"/>
    </row>
    <row r="1689" spans="1:5" ht="12.75" x14ac:dyDescent="0.2">
      <c r="A1689" s="36" t="s">
        <v>1029</v>
      </c>
      <c r="B1689" s="37"/>
      <c r="C1689" s="37"/>
      <c r="D1689" s="37"/>
      <c r="E1689" s="37"/>
    </row>
    <row r="1690" spans="1:5" ht="12.75" x14ac:dyDescent="0.2">
      <c r="A1690" s="36" t="s">
        <v>1031</v>
      </c>
      <c r="B1690" s="37"/>
      <c r="C1690" s="37"/>
      <c r="D1690" s="37"/>
      <c r="E1690" s="37"/>
    </row>
    <row r="1691" spans="1:5" ht="12.75" x14ac:dyDescent="0.2">
      <c r="A1691" s="36" t="s">
        <v>1032</v>
      </c>
      <c r="B1691" s="37"/>
      <c r="C1691" s="37"/>
      <c r="D1691" s="37"/>
      <c r="E1691" s="37"/>
    </row>
    <row r="1692" spans="1:5" ht="12.75" x14ac:dyDescent="0.2">
      <c r="A1692" s="36" t="s">
        <v>1033</v>
      </c>
      <c r="B1692" s="37"/>
      <c r="C1692" s="37"/>
      <c r="D1692" s="37"/>
      <c r="E1692" s="37"/>
    </row>
    <row r="1693" spans="1:5" ht="12.75" x14ac:dyDescent="0.2">
      <c r="A1693" s="36" t="s">
        <v>1034</v>
      </c>
      <c r="B1693" s="37"/>
      <c r="C1693" s="37"/>
      <c r="D1693" s="37"/>
      <c r="E1693" s="37"/>
    </row>
    <row r="1694" spans="1:5" ht="12.75" x14ac:dyDescent="0.2">
      <c r="A1694" s="36" t="s">
        <v>1035</v>
      </c>
      <c r="B1694" s="37"/>
      <c r="C1694" s="37"/>
      <c r="D1694" s="37"/>
      <c r="E1694" s="37"/>
    </row>
    <row r="1695" spans="1:5" ht="12.75" x14ac:dyDescent="0.2">
      <c r="A1695" s="37"/>
      <c r="B1695" s="37"/>
      <c r="C1695" s="37"/>
      <c r="D1695" s="37"/>
      <c r="E1695" s="37"/>
    </row>
    <row r="1696" spans="1:5" ht="12.75" x14ac:dyDescent="0.2">
      <c r="A1696" s="36" t="s">
        <v>1036</v>
      </c>
      <c r="B1696" s="37"/>
      <c r="C1696" s="37"/>
      <c r="D1696" s="37"/>
      <c r="E1696" s="37"/>
    </row>
    <row r="1697" spans="1:5" ht="12.75" x14ac:dyDescent="0.2">
      <c r="A1697" s="37"/>
      <c r="B1697" s="36" t="s">
        <v>398</v>
      </c>
      <c r="C1697" s="37"/>
      <c r="D1697" s="37"/>
      <c r="E1697" s="37"/>
    </row>
    <row r="1698" spans="1:5" ht="12.75" x14ac:dyDescent="0.2">
      <c r="A1698" s="37"/>
      <c r="B1698" s="36" t="s">
        <v>399</v>
      </c>
      <c r="C1698" s="37"/>
      <c r="D1698" s="37"/>
      <c r="E1698" s="37"/>
    </row>
    <row r="1699" spans="1:5" ht="12.75" x14ac:dyDescent="0.2">
      <c r="A1699" s="37"/>
      <c r="B1699" s="36" t="s">
        <v>400</v>
      </c>
      <c r="C1699" s="36" t="s">
        <v>1036</v>
      </c>
      <c r="D1699" s="37"/>
      <c r="E1699" s="37"/>
    </row>
    <row r="1700" spans="1:5" ht="12.75" x14ac:dyDescent="0.2">
      <c r="A1700" s="37"/>
      <c r="B1700" s="36" t="s">
        <v>401</v>
      </c>
      <c r="C1700" s="37"/>
      <c r="D1700" s="37"/>
      <c r="E1700" s="37"/>
    </row>
    <row r="1701" spans="1:5" ht="12.75" x14ac:dyDescent="0.2">
      <c r="A1701" s="36" t="s">
        <v>1038</v>
      </c>
      <c r="B1701" s="36" t="s">
        <v>402</v>
      </c>
      <c r="C1701" s="36" t="s">
        <v>1039</v>
      </c>
      <c r="D1701" s="37"/>
      <c r="E1701" s="37"/>
    </row>
    <row r="1702" spans="1:5" ht="12.75" x14ac:dyDescent="0.2">
      <c r="A1702" s="36" t="s">
        <v>1040</v>
      </c>
      <c r="B1702" s="37"/>
      <c r="C1702" s="37"/>
      <c r="D1702" s="37"/>
      <c r="E1702" s="37"/>
    </row>
    <row r="1703" spans="1:5" ht="12.75" x14ac:dyDescent="0.2">
      <c r="A1703" s="36" t="s">
        <v>1041</v>
      </c>
      <c r="B1703" s="37"/>
      <c r="C1703" s="37"/>
      <c r="D1703" s="37"/>
      <c r="E1703" s="37"/>
    </row>
    <row r="1704" spans="1:5" ht="12.75" x14ac:dyDescent="0.2">
      <c r="A1704" s="36" t="s">
        <v>1042</v>
      </c>
      <c r="B1704" s="37"/>
      <c r="C1704" s="37"/>
      <c r="D1704" s="37"/>
      <c r="E1704" s="37"/>
    </row>
    <row r="1705" spans="1:5" ht="12.75" x14ac:dyDescent="0.2">
      <c r="A1705" s="36" t="s">
        <v>1043</v>
      </c>
      <c r="B1705" s="37"/>
      <c r="C1705" s="37"/>
      <c r="D1705" s="37"/>
      <c r="E1705" s="37"/>
    </row>
    <row r="1706" spans="1:5" ht="12.75" x14ac:dyDescent="0.2">
      <c r="A1706" s="36" t="s">
        <v>1044</v>
      </c>
      <c r="B1706" s="37"/>
      <c r="C1706" s="37"/>
      <c r="D1706" s="37"/>
      <c r="E1706" s="37"/>
    </row>
    <row r="1707" spans="1:5" ht="12.75" x14ac:dyDescent="0.2">
      <c r="A1707" s="36" t="s">
        <v>1045</v>
      </c>
      <c r="B1707" s="37"/>
      <c r="C1707" s="37"/>
      <c r="D1707" s="37"/>
      <c r="E1707" s="37"/>
    </row>
    <row r="1708" spans="1:5" ht="12.75" x14ac:dyDescent="0.2">
      <c r="A1708" s="36" t="s">
        <v>1046</v>
      </c>
      <c r="B1708" s="37"/>
      <c r="C1708" s="37"/>
      <c r="D1708" s="37"/>
      <c r="E1708" s="37"/>
    </row>
    <row r="1709" spans="1:5" ht="12.75" x14ac:dyDescent="0.2">
      <c r="A1709" s="37"/>
      <c r="B1709" s="37"/>
      <c r="C1709" s="37"/>
      <c r="D1709" s="37"/>
      <c r="E1709" s="37"/>
    </row>
    <row r="1710" spans="1:5" ht="12.75" x14ac:dyDescent="0.2">
      <c r="A1710" s="36" t="s">
        <v>1047</v>
      </c>
      <c r="B1710" s="37"/>
      <c r="C1710" s="37"/>
      <c r="D1710" s="37"/>
      <c r="E1710" s="37"/>
    </row>
    <row r="1711" spans="1:5" ht="12.75" x14ac:dyDescent="0.2">
      <c r="A1711" s="37"/>
      <c r="B1711" s="36" t="s">
        <v>398</v>
      </c>
      <c r="C1711" s="37"/>
      <c r="D1711" s="37"/>
      <c r="E1711" s="37"/>
    </row>
    <row r="1712" spans="1:5" ht="12.75" x14ac:dyDescent="0.2">
      <c r="A1712" s="37"/>
      <c r="B1712" s="36" t="s">
        <v>399</v>
      </c>
      <c r="C1712" s="37"/>
      <c r="D1712" s="37"/>
      <c r="E1712" s="37"/>
    </row>
    <row r="1713" spans="1:5" ht="12.75" x14ac:dyDescent="0.2">
      <c r="A1713" s="37"/>
      <c r="B1713" s="36" t="s">
        <v>400</v>
      </c>
      <c r="C1713" s="36" t="s">
        <v>1047</v>
      </c>
      <c r="D1713" s="37"/>
      <c r="E1713" s="37"/>
    </row>
    <row r="1714" spans="1:5" ht="12.75" x14ac:dyDescent="0.2">
      <c r="A1714" s="37"/>
      <c r="B1714" s="36" t="s">
        <v>401</v>
      </c>
      <c r="C1714" s="37"/>
      <c r="D1714" s="37"/>
      <c r="E1714" s="37"/>
    </row>
    <row r="1715" spans="1:5" ht="12.75" x14ac:dyDescent="0.2">
      <c r="A1715" s="36" t="s">
        <v>1048</v>
      </c>
      <c r="B1715" s="36" t="s">
        <v>402</v>
      </c>
      <c r="C1715" s="36" t="s">
        <v>1049</v>
      </c>
      <c r="D1715" s="37"/>
      <c r="E1715" s="37"/>
    </row>
    <row r="1716" spans="1:5" ht="12.75" x14ac:dyDescent="0.2">
      <c r="A1716" s="36" t="s">
        <v>1050</v>
      </c>
      <c r="B1716" s="37"/>
      <c r="C1716" s="37"/>
      <c r="D1716" s="37"/>
      <c r="E1716" s="37"/>
    </row>
    <row r="1717" spans="1:5" ht="12.75" x14ac:dyDescent="0.2">
      <c r="A1717" s="36" t="s">
        <v>1051</v>
      </c>
      <c r="B1717" s="37"/>
      <c r="C1717" s="37"/>
      <c r="D1717" s="37"/>
      <c r="E1717" s="37"/>
    </row>
    <row r="1718" spans="1:5" ht="12.75" x14ac:dyDescent="0.2">
      <c r="A1718" s="36" t="s">
        <v>1052</v>
      </c>
      <c r="B1718" s="37"/>
      <c r="C1718" s="37"/>
      <c r="D1718" s="37"/>
      <c r="E1718" s="37"/>
    </row>
    <row r="1719" spans="1:5" ht="12.75" x14ac:dyDescent="0.2">
      <c r="A1719" s="36" t="s">
        <v>1053</v>
      </c>
      <c r="B1719" s="37"/>
      <c r="C1719" s="37"/>
      <c r="D1719" s="37"/>
      <c r="E1719" s="37"/>
    </row>
    <row r="1720" spans="1:5" ht="12.75" x14ac:dyDescent="0.2">
      <c r="A1720" s="36" t="s">
        <v>1054</v>
      </c>
      <c r="B1720" s="37"/>
      <c r="C1720" s="37"/>
      <c r="D1720" s="37"/>
      <c r="E1720" s="37"/>
    </row>
    <row r="1721" spans="1:5" ht="12.75" x14ac:dyDescent="0.2">
      <c r="A1721" s="36" t="s">
        <v>1055</v>
      </c>
      <c r="B1721" s="37"/>
      <c r="C1721" s="37"/>
      <c r="D1721" s="37"/>
      <c r="E1721" s="37"/>
    </row>
    <row r="1722" spans="1:5" ht="12.75" x14ac:dyDescent="0.2">
      <c r="A1722" s="36" t="s">
        <v>1056</v>
      </c>
      <c r="B1722" s="37"/>
      <c r="C1722" s="37"/>
      <c r="D1722" s="37"/>
      <c r="E1722" s="37"/>
    </row>
    <row r="1723" spans="1:5" ht="12.75" x14ac:dyDescent="0.2">
      <c r="A1723" s="36" t="s">
        <v>1057</v>
      </c>
      <c r="B1723" s="37"/>
      <c r="C1723" s="37"/>
      <c r="D1723" s="37"/>
      <c r="E1723" s="37"/>
    </row>
    <row r="1724" spans="1:5" ht="12.75" x14ac:dyDescent="0.2">
      <c r="A1724" s="36" t="s">
        <v>1058</v>
      </c>
      <c r="B1724" s="37"/>
      <c r="C1724" s="37"/>
      <c r="D1724" s="37"/>
      <c r="E1724" s="37"/>
    </row>
    <row r="1725" spans="1:5" ht="12.75" x14ac:dyDescent="0.2">
      <c r="A1725" s="37"/>
      <c r="B1725" s="36" t="s">
        <v>403</v>
      </c>
      <c r="C1725" s="36" t="s">
        <v>25</v>
      </c>
      <c r="D1725" s="36" t="s">
        <v>27</v>
      </c>
      <c r="E1725" s="37"/>
    </row>
    <row r="1726" spans="1:5" ht="12.75" x14ac:dyDescent="0.2">
      <c r="A1726" s="37"/>
      <c r="B1726" s="36" t="s">
        <v>403</v>
      </c>
      <c r="C1726" s="36" t="s">
        <v>30</v>
      </c>
      <c r="D1726" s="36" t="s">
        <v>31</v>
      </c>
      <c r="E1726" s="37"/>
    </row>
    <row r="1727" spans="1:5" ht="12.75" x14ac:dyDescent="0.2">
      <c r="A1727" s="37"/>
      <c r="B1727" s="36" t="s">
        <v>403</v>
      </c>
      <c r="C1727" s="36" t="s">
        <v>41</v>
      </c>
      <c r="D1727" s="36" t="s">
        <v>10</v>
      </c>
      <c r="E1727" s="37"/>
    </row>
    <row r="1728" spans="1:5" ht="12.75" x14ac:dyDescent="0.2">
      <c r="A1728" s="37"/>
      <c r="B1728" s="37"/>
      <c r="C1728" s="37"/>
      <c r="D1728" s="37"/>
      <c r="E1728" s="37"/>
    </row>
    <row r="1729" spans="1:5" ht="12.75" x14ac:dyDescent="0.2">
      <c r="A1729" s="36" t="s">
        <v>1059</v>
      </c>
      <c r="B1729" s="37"/>
      <c r="C1729" s="37"/>
      <c r="D1729" s="37"/>
      <c r="E1729" s="37"/>
    </row>
    <row r="1730" spans="1:5" ht="12.75" x14ac:dyDescent="0.2">
      <c r="A1730" s="37"/>
      <c r="B1730" s="36" t="s">
        <v>398</v>
      </c>
      <c r="C1730" s="37"/>
      <c r="D1730" s="37"/>
      <c r="E1730" s="37"/>
    </row>
    <row r="1731" spans="1:5" ht="12.75" x14ac:dyDescent="0.2">
      <c r="A1731" s="37"/>
      <c r="B1731" s="36" t="s">
        <v>399</v>
      </c>
      <c r="C1731" s="37"/>
      <c r="D1731" s="37"/>
      <c r="E1731" s="37"/>
    </row>
    <row r="1732" spans="1:5" ht="12.75" x14ac:dyDescent="0.2">
      <c r="A1732" s="37"/>
      <c r="B1732" s="36" t="s">
        <v>400</v>
      </c>
      <c r="C1732" s="36" t="s">
        <v>1059</v>
      </c>
      <c r="D1732" s="37"/>
      <c r="E1732" s="37"/>
    </row>
    <row r="1733" spans="1:5" ht="12.75" x14ac:dyDescent="0.2">
      <c r="A1733" s="37"/>
      <c r="B1733" s="36" t="s">
        <v>401</v>
      </c>
      <c r="C1733" s="37"/>
      <c r="D1733" s="37"/>
      <c r="E1733" s="37"/>
    </row>
    <row r="1734" spans="1:5" ht="12.75" x14ac:dyDescent="0.2">
      <c r="A1734" s="36" t="s">
        <v>1060</v>
      </c>
      <c r="B1734" s="36" t="s">
        <v>402</v>
      </c>
      <c r="C1734" s="36" t="s">
        <v>1061</v>
      </c>
      <c r="D1734" s="37"/>
      <c r="E1734" s="37"/>
    </row>
    <row r="1735" spans="1:5" ht="12.75" x14ac:dyDescent="0.2">
      <c r="A1735" s="36" t="s">
        <v>1062</v>
      </c>
      <c r="B1735" s="37"/>
      <c r="C1735" s="37"/>
      <c r="D1735" s="37"/>
      <c r="E1735" s="37"/>
    </row>
    <row r="1736" spans="1:5" ht="12.75" x14ac:dyDescent="0.2">
      <c r="A1736" s="36" t="s">
        <v>1063</v>
      </c>
      <c r="B1736" s="37"/>
      <c r="C1736" s="37"/>
      <c r="D1736" s="37"/>
      <c r="E1736" s="37"/>
    </row>
    <row r="1737" spans="1:5" ht="12.75" x14ac:dyDescent="0.2">
      <c r="A1737" s="36" t="s">
        <v>1064</v>
      </c>
      <c r="B1737" s="37"/>
      <c r="C1737" s="37"/>
      <c r="D1737" s="37"/>
      <c r="E1737" s="37"/>
    </row>
    <row r="1738" spans="1:5" ht="12.75" x14ac:dyDescent="0.2">
      <c r="A1738" s="36" t="s">
        <v>1065</v>
      </c>
      <c r="B1738" s="37"/>
      <c r="C1738" s="37"/>
      <c r="D1738" s="37"/>
      <c r="E1738" s="37"/>
    </row>
    <row r="1739" spans="1:5" ht="12.75" x14ac:dyDescent="0.2">
      <c r="A1739" s="36" t="s">
        <v>1066</v>
      </c>
      <c r="B1739" s="37"/>
      <c r="C1739" s="37"/>
      <c r="D1739" s="37"/>
      <c r="E1739" s="37"/>
    </row>
    <row r="1740" spans="1:5" ht="12.75" x14ac:dyDescent="0.2">
      <c r="A1740" s="36" t="s">
        <v>1067</v>
      </c>
      <c r="B1740" s="37"/>
      <c r="C1740" s="37"/>
      <c r="D1740" s="37"/>
      <c r="E1740" s="37"/>
    </row>
    <row r="1741" spans="1:5" ht="12.75" x14ac:dyDescent="0.2">
      <c r="A1741" s="36" t="s">
        <v>1068</v>
      </c>
      <c r="B1741" s="37"/>
      <c r="C1741" s="37"/>
      <c r="D1741" s="37"/>
      <c r="E1741" s="37"/>
    </row>
    <row r="1742" spans="1:5" ht="12.75" x14ac:dyDescent="0.2">
      <c r="A1742" s="37"/>
      <c r="B1742" s="37"/>
      <c r="C1742" s="37"/>
      <c r="D1742" s="37"/>
      <c r="E1742" s="37"/>
    </row>
    <row r="1743" spans="1:5" ht="12.75" x14ac:dyDescent="0.2">
      <c r="A1743" s="36" t="s">
        <v>1069</v>
      </c>
      <c r="B1743" s="37"/>
      <c r="C1743" s="37"/>
      <c r="D1743" s="37"/>
      <c r="E1743" s="37"/>
    </row>
    <row r="1744" spans="1:5" ht="12.75" x14ac:dyDescent="0.2">
      <c r="A1744" s="37"/>
      <c r="B1744" s="36" t="s">
        <v>398</v>
      </c>
      <c r="C1744" s="37"/>
      <c r="D1744" s="37"/>
      <c r="E1744" s="37"/>
    </row>
    <row r="1745" spans="1:5" ht="12.75" x14ac:dyDescent="0.2">
      <c r="A1745" s="37"/>
      <c r="B1745" s="36" t="s">
        <v>399</v>
      </c>
      <c r="C1745" s="37"/>
      <c r="D1745" s="37"/>
      <c r="E1745" s="37"/>
    </row>
    <row r="1746" spans="1:5" ht="12.75" x14ac:dyDescent="0.2">
      <c r="A1746" s="37"/>
      <c r="B1746" s="36" t="s">
        <v>400</v>
      </c>
      <c r="C1746" s="36" t="s">
        <v>1069</v>
      </c>
      <c r="D1746" s="37"/>
      <c r="E1746" s="37"/>
    </row>
    <row r="1747" spans="1:5" ht="12.75" x14ac:dyDescent="0.2">
      <c r="A1747" s="37"/>
      <c r="B1747" s="36" t="s">
        <v>401</v>
      </c>
      <c r="C1747" s="37"/>
      <c r="D1747" s="37"/>
      <c r="E1747" s="37"/>
    </row>
    <row r="1748" spans="1:5" ht="12.75" x14ac:dyDescent="0.2">
      <c r="A1748" s="36" t="s">
        <v>1070</v>
      </c>
      <c r="B1748" s="36" t="s">
        <v>402</v>
      </c>
      <c r="C1748" s="36" t="s">
        <v>1071</v>
      </c>
      <c r="D1748" s="37"/>
      <c r="E1748" s="37"/>
    </row>
    <row r="1749" spans="1:5" ht="12.75" x14ac:dyDescent="0.2">
      <c r="A1749" s="36" t="s">
        <v>1072</v>
      </c>
      <c r="B1749" s="37"/>
      <c r="C1749" s="37"/>
      <c r="D1749" s="37"/>
      <c r="E1749" s="37"/>
    </row>
    <row r="1750" spans="1:5" ht="12.75" x14ac:dyDescent="0.2">
      <c r="A1750" s="36" t="s">
        <v>1073</v>
      </c>
      <c r="B1750" s="37"/>
      <c r="C1750" s="37"/>
      <c r="D1750" s="37"/>
      <c r="E1750" s="37"/>
    </row>
    <row r="1751" spans="1:5" ht="12.75" x14ac:dyDescent="0.2">
      <c r="A1751" s="36" t="s">
        <v>1074</v>
      </c>
      <c r="B1751" s="37"/>
      <c r="C1751" s="37"/>
      <c r="D1751" s="37"/>
      <c r="E1751" s="37"/>
    </row>
    <row r="1752" spans="1:5" ht="12.75" x14ac:dyDescent="0.2">
      <c r="A1752" s="36" t="s">
        <v>1075</v>
      </c>
      <c r="B1752" s="37"/>
      <c r="C1752" s="37"/>
      <c r="D1752" s="37"/>
      <c r="E1752" s="37"/>
    </row>
    <row r="1753" spans="1:5" ht="12.75" x14ac:dyDescent="0.2">
      <c r="A1753" s="36" t="s">
        <v>1076</v>
      </c>
      <c r="B1753" s="37"/>
      <c r="C1753" s="37"/>
      <c r="D1753" s="37"/>
      <c r="E1753" s="37"/>
    </row>
    <row r="1754" spans="1:5" ht="12.75" x14ac:dyDescent="0.2">
      <c r="A1754" s="36" t="s">
        <v>1077</v>
      </c>
      <c r="B1754" s="37"/>
      <c r="C1754" s="37"/>
      <c r="D1754" s="37"/>
      <c r="E1754" s="37"/>
    </row>
    <row r="1755" spans="1:5" ht="12.75" x14ac:dyDescent="0.2">
      <c r="A1755" s="36" t="s">
        <v>1078</v>
      </c>
      <c r="B1755" s="37"/>
      <c r="C1755" s="37"/>
      <c r="D1755" s="37"/>
      <c r="E1755" s="37"/>
    </row>
    <row r="1756" spans="1:5" ht="12.75" x14ac:dyDescent="0.2">
      <c r="A1756" s="36" t="s">
        <v>1079</v>
      </c>
      <c r="B1756" s="37"/>
      <c r="C1756" s="37"/>
      <c r="D1756" s="37"/>
      <c r="E1756" s="37"/>
    </row>
    <row r="1757" spans="1:5" ht="12.75" x14ac:dyDescent="0.2">
      <c r="A1757" s="36" t="s">
        <v>1080</v>
      </c>
      <c r="B1757" s="37"/>
      <c r="C1757" s="37"/>
      <c r="D1757" s="37"/>
      <c r="E1757" s="37"/>
    </row>
    <row r="1758" spans="1:5" ht="12.75" x14ac:dyDescent="0.2">
      <c r="A1758" s="37"/>
      <c r="B1758" s="37"/>
      <c r="C1758" s="37"/>
      <c r="D1758" s="37"/>
      <c r="E1758" s="37"/>
    </row>
    <row r="1759" spans="1:5" ht="12.75" x14ac:dyDescent="0.2">
      <c r="A1759" s="36" t="s">
        <v>1081</v>
      </c>
      <c r="B1759" s="37"/>
      <c r="C1759" s="37"/>
      <c r="D1759" s="37"/>
      <c r="E1759" s="37"/>
    </row>
    <row r="1760" spans="1:5" ht="12.75" x14ac:dyDescent="0.2">
      <c r="A1760" s="37"/>
      <c r="B1760" s="36" t="s">
        <v>398</v>
      </c>
      <c r="C1760" s="37"/>
      <c r="D1760" s="37"/>
      <c r="E1760" s="37"/>
    </row>
    <row r="1761" spans="1:5" ht="12.75" x14ac:dyDescent="0.2">
      <c r="A1761" s="37"/>
      <c r="B1761" s="36" t="s">
        <v>399</v>
      </c>
      <c r="C1761" s="37"/>
      <c r="D1761" s="37"/>
      <c r="E1761" s="37"/>
    </row>
    <row r="1762" spans="1:5" ht="12.75" x14ac:dyDescent="0.2">
      <c r="A1762" s="37"/>
      <c r="B1762" s="36" t="s">
        <v>400</v>
      </c>
      <c r="C1762" s="36" t="s">
        <v>1081</v>
      </c>
      <c r="D1762" s="37"/>
      <c r="E1762" s="37"/>
    </row>
    <row r="1763" spans="1:5" ht="12.75" x14ac:dyDescent="0.2">
      <c r="A1763" s="37"/>
      <c r="B1763" s="36" t="s">
        <v>401</v>
      </c>
      <c r="C1763" s="37"/>
      <c r="D1763" s="37"/>
      <c r="E1763" s="37"/>
    </row>
    <row r="1764" spans="1:5" ht="12.75" x14ac:dyDescent="0.2">
      <c r="A1764" s="36" t="s">
        <v>1082</v>
      </c>
      <c r="B1764" s="36" t="s">
        <v>402</v>
      </c>
      <c r="C1764" s="36" t="s">
        <v>1083</v>
      </c>
      <c r="D1764" s="37"/>
      <c r="E1764" s="37"/>
    </row>
    <row r="1765" spans="1:5" ht="12.75" x14ac:dyDescent="0.2">
      <c r="A1765" s="36" t="s">
        <v>1084</v>
      </c>
      <c r="B1765" s="37"/>
      <c r="C1765" s="37"/>
      <c r="D1765" s="37"/>
      <c r="E1765" s="37"/>
    </row>
    <row r="1766" spans="1:5" ht="12.75" x14ac:dyDescent="0.2">
      <c r="A1766" s="36" t="s">
        <v>1085</v>
      </c>
      <c r="B1766" s="37"/>
      <c r="C1766" s="37"/>
      <c r="D1766" s="37"/>
      <c r="E1766" s="37"/>
    </row>
    <row r="1767" spans="1:5" ht="12.75" x14ac:dyDescent="0.2">
      <c r="A1767" s="36" t="s">
        <v>1086</v>
      </c>
      <c r="B1767" s="37"/>
      <c r="C1767" s="37"/>
      <c r="D1767" s="37"/>
      <c r="E1767" s="37"/>
    </row>
    <row r="1768" spans="1:5" ht="12.75" x14ac:dyDescent="0.2">
      <c r="A1768" s="36" t="s">
        <v>1087</v>
      </c>
      <c r="B1768" s="37"/>
      <c r="C1768" s="37"/>
      <c r="D1768" s="37"/>
      <c r="E1768" s="37"/>
    </row>
    <row r="1769" spans="1:5" ht="12.75" x14ac:dyDescent="0.2">
      <c r="A1769" s="36" t="s">
        <v>1088</v>
      </c>
      <c r="B1769" s="37"/>
      <c r="C1769" s="37"/>
      <c r="D1769" s="37"/>
      <c r="E1769" s="37"/>
    </row>
    <row r="1770" spans="1:5" ht="12.75" x14ac:dyDescent="0.2">
      <c r="A1770" s="36" t="s">
        <v>1089</v>
      </c>
      <c r="B1770" s="37"/>
      <c r="C1770" s="37"/>
      <c r="D1770" s="37"/>
      <c r="E1770" s="37"/>
    </row>
    <row r="1771" spans="1:5" ht="12.75" x14ac:dyDescent="0.2">
      <c r="A1771" s="36" t="s">
        <v>1090</v>
      </c>
      <c r="B1771" s="37"/>
      <c r="C1771" s="37"/>
      <c r="D1771" s="37"/>
      <c r="E1771" s="37"/>
    </row>
    <row r="1772" spans="1:5" ht="12.75" x14ac:dyDescent="0.2">
      <c r="A1772" s="36" t="s">
        <v>1091</v>
      </c>
      <c r="B1772" s="37"/>
      <c r="C1772" s="37"/>
      <c r="D1772" s="37"/>
      <c r="E1772" s="37"/>
    </row>
    <row r="1773" spans="1:5" ht="12.75" x14ac:dyDescent="0.2">
      <c r="A1773" s="36" t="s">
        <v>1092</v>
      </c>
      <c r="B1773" s="37"/>
      <c r="C1773" s="37"/>
      <c r="D1773" s="37"/>
      <c r="E1773" s="37"/>
    </row>
    <row r="1774" spans="1:5" ht="12.75" x14ac:dyDescent="0.2">
      <c r="A1774" s="37"/>
      <c r="B1774" s="37"/>
      <c r="C1774" s="37"/>
      <c r="D1774" s="37"/>
      <c r="E1774" s="37"/>
    </row>
    <row r="1775" spans="1:5" ht="12.75" x14ac:dyDescent="0.2">
      <c r="A1775" s="36" t="s">
        <v>1093</v>
      </c>
      <c r="B1775" s="37"/>
      <c r="C1775" s="37"/>
      <c r="D1775" s="37"/>
      <c r="E1775" s="37"/>
    </row>
    <row r="1776" spans="1:5" ht="12.75" x14ac:dyDescent="0.2">
      <c r="A1776" s="37"/>
      <c r="B1776" s="36" t="s">
        <v>398</v>
      </c>
      <c r="C1776" s="37"/>
      <c r="D1776" s="37"/>
      <c r="E1776" s="37"/>
    </row>
    <row r="1777" spans="1:5" ht="12.75" x14ac:dyDescent="0.2">
      <c r="A1777" s="37"/>
      <c r="B1777" s="36" t="s">
        <v>399</v>
      </c>
      <c r="C1777" s="37"/>
      <c r="D1777" s="37"/>
      <c r="E1777" s="37"/>
    </row>
    <row r="1778" spans="1:5" ht="12.75" x14ac:dyDescent="0.2">
      <c r="A1778" s="37"/>
      <c r="B1778" s="36" t="s">
        <v>400</v>
      </c>
      <c r="C1778" s="36" t="s">
        <v>1093</v>
      </c>
      <c r="D1778" s="37"/>
      <c r="E1778" s="37"/>
    </row>
    <row r="1779" spans="1:5" ht="12.75" x14ac:dyDescent="0.2">
      <c r="A1779" s="37"/>
      <c r="B1779" s="36" t="s">
        <v>401</v>
      </c>
      <c r="C1779" s="37"/>
      <c r="D1779" s="37"/>
      <c r="E1779" s="37"/>
    </row>
    <row r="1780" spans="1:5" ht="12.75" x14ac:dyDescent="0.2">
      <c r="A1780" s="36" t="s">
        <v>1094</v>
      </c>
      <c r="B1780" s="36" t="s">
        <v>402</v>
      </c>
      <c r="C1780" s="36" t="s">
        <v>1095</v>
      </c>
      <c r="D1780" s="37"/>
      <c r="E1780" s="37"/>
    </row>
    <row r="1781" spans="1:5" ht="12.75" x14ac:dyDescent="0.2">
      <c r="A1781" s="36" t="s">
        <v>1096</v>
      </c>
      <c r="B1781" s="37"/>
      <c r="C1781" s="37"/>
      <c r="D1781" s="37"/>
      <c r="E1781" s="37"/>
    </row>
    <row r="1782" spans="1:5" ht="12.75" x14ac:dyDescent="0.2">
      <c r="A1782" s="36" t="s">
        <v>1097</v>
      </c>
      <c r="B1782" s="37"/>
      <c r="C1782" s="37"/>
      <c r="D1782" s="37"/>
      <c r="E1782" s="37"/>
    </row>
    <row r="1783" spans="1:5" ht="12.75" x14ac:dyDescent="0.2">
      <c r="A1783" s="36" t="s">
        <v>1098</v>
      </c>
      <c r="B1783" s="37"/>
      <c r="C1783" s="37"/>
      <c r="D1783" s="37"/>
      <c r="E1783" s="37"/>
    </row>
    <row r="1784" spans="1:5" ht="12.75" x14ac:dyDescent="0.2">
      <c r="A1784" s="36" t="s">
        <v>1099</v>
      </c>
      <c r="B1784" s="37"/>
      <c r="C1784" s="37"/>
      <c r="D1784" s="37"/>
      <c r="E1784" s="37"/>
    </row>
    <row r="1785" spans="1:5" ht="12.75" x14ac:dyDescent="0.2">
      <c r="A1785" s="36" t="s">
        <v>1100</v>
      </c>
      <c r="B1785" s="37"/>
      <c r="C1785" s="37"/>
      <c r="D1785" s="37"/>
      <c r="E1785" s="37"/>
    </row>
    <row r="1786" spans="1:5" ht="12.75" x14ac:dyDescent="0.2">
      <c r="A1786" s="36" t="s">
        <v>1101</v>
      </c>
      <c r="B1786" s="37"/>
      <c r="C1786" s="37"/>
      <c r="D1786" s="37"/>
      <c r="E1786" s="37"/>
    </row>
    <row r="1787" spans="1:5" ht="12.75" x14ac:dyDescent="0.2">
      <c r="A1787" s="36" t="s">
        <v>1102</v>
      </c>
      <c r="B1787" s="37"/>
      <c r="C1787" s="37"/>
      <c r="D1787" s="37"/>
      <c r="E1787" s="37"/>
    </row>
    <row r="1788" spans="1:5" ht="12.75" x14ac:dyDescent="0.2">
      <c r="A1788" s="36" t="s">
        <v>1103</v>
      </c>
      <c r="B1788" s="37"/>
      <c r="C1788" s="37"/>
      <c r="D1788" s="37"/>
      <c r="E1788" s="37"/>
    </row>
    <row r="1789" spans="1:5" ht="12.75" x14ac:dyDescent="0.2">
      <c r="A1789" s="36" t="s">
        <v>1104</v>
      </c>
      <c r="B1789" s="37"/>
      <c r="C1789" s="37"/>
      <c r="D1789" s="37"/>
      <c r="E1789" s="37"/>
    </row>
    <row r="1790" spans="1:5" ht="12.75" x14ac:dyDescent="0.2">
      <c r="A1790" s="37"/>
      <c r="B1790" s="37"/>
      <c r="C1790" s="37"/>
      <c r="D1790" s="37"/>
      <c r="E1790" s="37"/>
    </row>
    <row r="1791" spans="1:5" ht="12.75" x14ac:dyDescent="0.2">
      <c r="A1791" s="36" t="s">
        <v>1105</v>
      </c>
      <c r="B1791" s="37"/>
      <c r="C1791" s="37"/>
      <c r="D1791" s="37"/>
      <c r="E1791" s="37"/>
    </row>
    <row r="1792" spans="1:5" ht="12.75" x14ac:dyDescent="0.2">
      <c r="A1792" s="37"/>
      <c r="B1792" s="36" t="s">
        <v>398</v>
      </c>
      <c r="C1792" s="37"/>
      <c r="D1792" s="37"/>
      <c r="E1792" s="37"/>
    </row>
    <row r="1793" spans="1:5" ht="12.75" x14ac:dyDescent="0.2">
      <c r="A1793" s="37"/>
      <c r="B1793" s="36" t="s">
        <v>399</v>
      </c>
      <c r="C1793" s="37"/>
      <c r="D1793" s="37"/>
      <c r="E1793" s="37"/>
    </row>
    <row r="1794" spans="1:5" ht="12.75" x14ac:dyDescent="0.2">
      <c r="A1794" s="37"/>
      <c r="B1794" s="36" t="s">
        <v>400</v>
      </c>
      <c r="C1794" s="36" t="s">
        <v>1105</v>
      </c>
      <c r="D1794" s="37"/>
      <c r="E1794" s="37"/>
    </row>
    <row r="1795" spans="1:5" ht="12.75" x14ac:dyDescent="0.2">
      <c r="A1795" s="37"/>
      <c r="B1795" s="36" t="s">
        <v>401</v>
      </c>
      <c r="C1795" s="37"/>
      <c r="D1795" s="37"/>
      <c r="E1795" s="37"/>
    </row>
    <row r="1796" spans="1:5" ht="12.75" x14ac:dyDescent="0.2">
      <c r="A1796" s="36" t="s">
        <v>1106</v>
      </c>
      <c r="B1796" s="36" t="s">
        <v>402</v>
      </c>
      <c r="C1796" s="36" t="s">
        <v>1107</v>
      </c>
      <c r="D1796" s="37"/>
      <c r="E1796" s="37"/>
    </row>
    <row r="1797" spans="1:5" ht="12.75" x14ac:dyDescent="0.2">
      <c r="A1797" s="36" t="s">
        <v>1108</v>
      </c>
      <c r="B1797" s="37"/>
      <c r="C1797" s="37"/>
      <c r="D1797" s="37"/>
      <c r="E1797" s="37"/>
    </row>
    <row r="1798" spans="1:5" ht="12.75" x14ac:dyDescent="0.2">
      <c r="A1798" s="36" t="s">
        <v>1109</v>
      </c>
      <c r="B1798" s="37"/>
      <c r="C1798" s="37"/>
      <c r="D1798" s="37"/>
      <c r="E1798" s="37"/>
    </row>
    <row r="1799" spans="1:5" ht="12.75" x14ac:dyDescent="0.2">
      <c r="A1799" s="36" t="s">
        <v>1110</v>
      </c>
      <c r="B1799" s="37"/>
      <c r="C1799" s="37"/>
      <c r="D1799" s="37"/>
      <c r="E1799" s="37"/>
    </row>
    <row r="1800" spans="1:5" ht="12.75" x14ac:dyDescent="0.2">
      <c r="A1800" s="36" t="s">
        <v>1111</v>
      </c>
      <c r="B1800" s="37"/>
      <c r="C1800" s="37"/>
      <c r="D1800" s="37"/>
      <c r="E1800" s="37"/>
    </row>
    <row r="1801" spans="1:5" ht="12.75" x14ac:dyDescent="0.2">
      <c r="A1801" s="36" t="s">
        <v>1112</v>
      </c>
      <c r="B1801" s="37"/>
      <c r="C1801" s="37"/>
      <c r="D1801" s="37"/>
      <c r="E1801" s="37"/>
    </row>
    <row r="1802" spans="1:5" ht="12.75" x14ac:dyDescent="0.2">
      <c r="A1802" s="36" t="s">
        <v>1113</v>
      </c>
      <c r="B1802" s="37"/>
      <c r="C1802" s="37"/>
      <c r="D1802" s="37"/>
      <c r="E1802" s="37"/>
    </row>
    <row r="1803" spans="1:5" ht="12.75" x14ac:dyDescent="0.2">
      <c r="A1803" s="36" t="s">
        <v>1114</v>
      </c>
      <c r="B1803" s="37"/>
      <c r="C1803" s="37"/>
      <c r="D1803" s="37"/>
      <c r="E1803" s="37"/>
    </row>
    <row r="1804" spans="1:5" ht="12.75" x14ac:dyDescent="0.2">
      <c r="A1804" s="36" t="s">
        <v>1115</v>
      </c>
      <c r="B1804" s="37"/>
      <c r="C1804" s="37"/>
      <c r="D1804" s="37"/>
      <c r="E1804" s="37"/>
    </row>
    <row r="1805" spans="1:5" ht="12.75" x14ac:dyDescent="0.2">
      <c r="A1805" s="36" t="s">
        <v>1116</v>
      </c>
      <c r="B1805" s="37"/>
      <c r="C1805" s="37"/>
      <c r="D1805" s="37"/>
      <c r="E1805" s="37"/>
    </row>
    <row r="1806" spans="1:5" ht="12.75" x14ac:dyDescent="0.2">
      <c r="A1806" s="37"/>
      <c r="B1806" s="37"/>
      <c r="C1806" s="37"/>
      <c r="D1806" s="37"/>
      <c r="E1806" s="37"/>
    </row>
    <row r="1807" spans="1:5" ht="12.75" x14ac:dyDescent="0.2">
      <c r="A1807" s="36" t="s">
        <v>1117</v>
      </c>
      <c r="B1807" s="37"/>
      <c r="C1807" s="37"/>
      <c r="D1807" s="37"/>
      <c r="E1807" s="37"/>
    </row>
    <row r="1808" spans="1:5" ht="12.75" x14ac:dyDescent="0.2">
      <c r="A1808" s="37"/>
      <c r="B1808" s="36" t="s">
        <v>398</v>
      </c>
      <c r="C1808" s="37"/>
      <c r="D1808" s="37"/>
      <c r="E1808" s="37"/>
    </row>
    <row r="1809" spans="1:5" ht="12.75" x14ac:dyDescent="0.2">
      <c r="A1809" s="37"/>
      <c r="B1809" s="36" t="s">
        <v>399</v>
      </c>
      <c r="C1809" s="37"/>
      <c r="D1809" s="37"/>
      <c r="E1809" s="37"/>
    </row>
    <row r="1810" spans="1:5" ht="12.75" x14ac:dyDescent="0.2">
      <c r="A1810" s="37"/>
      <c r="B1810" s="36" t="s">
        <v>400</v>
      </c>
      <c r="C1810" s="36" t="s">
        <v>1117</v>
      </c>
      <c r="D1810" s="37"/>
      <c r="E1810" s="37"/>
    </row>
    <row r="1811" spans="1:5" ht="12.75" x14ac:dyDescent="0.2">
      <c r="A1811" s="37"/>
      <c r="B1811" s="36" t="s">
        <v>401</v>
      </c>
      <c r="C1811" s="37"/>
      <c r="D1811" s="37"/>
      <c r="E1811" s="37"/>
    </row>
    <row r="1812" spans="1:5" ht="12.75" x14ac:dyDescent="0.2">
      <c r="A1812" s="36" t="s">
        <v>1118</v>
      </c>
      <c r="B1812" s="36" t="s">
        <v>402</v>
      </c>
      <c r="C1812" s="36" t="s">
        <v>1119</v>
      </c>
      <c r="D1812" s="37"/>
      <c r="E1812" s="37"/>
    </row>
    <row r="1813" spans="1:5" ht="12.75" x14ac:dyDescent="0.2">
      <c r="A1813" s="36" t="s">
        <v>1120</v>
      </c>
      <c r="B1813" s="37"/>
      <c r="C1813" s="37"/>
      <c r="D1813" s="37"/>
      <c r="E1813" s="37"/>
    </row>
    <row r="1814" spans="1:5" ht="12.75" x14ac:dyDescent="0.2">
      <c r="A1814" s="36" t="s">
        <v>1121</v>
      </c>
      <c r="B1814" s="37"/>
      <c r="C1814" s="37"/>
      <c r="D1814" s="37"/>
      <c r="E1814" s="37"/>
    </row>
    <row r="1815" spans="1:5" ht="12.75" x14ac:dyDescent="0.2">
      <c r="A1815" s="36" t="s">
        <v>1122</v>
      </c>
      <c r="B1815" s="37"/>
      <c r="C1815" s="37"/>
      <c r="D1815" s="37"/>
      <c r="E1815" s="37"/>
    </row>
    <row r="1816" spans="1:5" ht="12.75" x14ac:dyDescent="0.2">
      <c r="A1816" s="36" t="s">
        <v>1123</v>
      </c>
      <c r="B1816" s="37"/>
      <c r="C1816" s="37"/>
      <c r="D1816" s="37"/>
      <c r="E1816" s="37"/>
    </row>
    <row r="1817" spans="1:5" ht="12.75" x14ac:dyDescent="0.2">
      <c r="A1817" s="36" t="s">
        <v>1124</v>
      </c>
      <c r="B1817" s="37"/>
      <c r="C1817" s="37"/>
      <c r="D1817" s="37"/>
      <c r="E1817" s="37"/>
    </row>
    <row r="1818" spans="1:5" ht="12.75" x14ac:dyDescent="0.2">
      <c r="A1818" s="36" t="s">
        <v>1125</v>
      </c>
      <c r="B1818" s="37"/>
      <c r="C1818" s="37"/>
      <c r="D1818" s="37"/>
      <c r="E1818" s="37"/>
    </row>
    <row r="1819" spans="1:5" ht="12.75" x14ac:dyDescent="0.2">
      <c r="A1819" s="36" t="s">
        <v>1126</v>
      </c>
      <c r="B1819" s="37"/>
      <c r="C1819" s="37"/>
      <c r="D1819" s="37"/>
      <c r="E1819" s="37"/>
    </row>
    <row r="1820" spans="1:5" ht="12.75" x14ac:dyDescent="0.2">
      <c r="A1820" s="36" t="s">
        <v>1127</v>
      </c>
      <c r="B1820" s="37"/>
      <c r="C1820" s="37"/>
      <c r="D1820" s="37"/>
      <c r="E1820" s="37"/>
    </row>
    <row r="1821" spans="1:5" ht="12.75" x14ac:dyDescent="0.2">
      <c r="A1821" s="36" t="s">
        <v>1128</v>
      </c>
      <c r="B1821" s="37"/>
      <c r="C1821" s="37"/>
      <c r="D1821" s="37"/>
      <c r="E1821" s="37"/>
    </row>
    <row r="1822" spans="1:5" ht="12.75" x14ac:dyDescent="0.2">
      <c r="A1822" s="37"/>
      <c r="B1822" s="37"/>
      <c r="C1822" s="37"/>
      <c r="D1822" s="37"/>
      <c r="E1822" s="37"/>
    </row>
    <row r="1823" spans="1:5" ht="12.75" x14ac:dyDescent="0.2">
      <c r="A1823" s="36" t="s">
        <v>1129</v>
      </c>
      <c r="B1823" s="37"/>
      <c r="C1823" s="37"/>
      <c r="D1823" s="37"/>
      <c r="E1823" s="37"/>
    </row>
    <row r="1824" spans="1:5" ht="12.75" x14ac:dyDescent="0.2">
      <c r="A1824" s="37"/>
      <c r="B1824" s="36" t="s">
        <v>398</v>
      </c>
      <c r="C1824" s="37"/>
      <c r="D1824" s="37"/>
      <c r="E1824" s="37"/>
    </row>
    <row r="1825" spans="1:5" ht="12.75" x14ac:dyDescent="0.2">
      <c r="A1825" s="37"/>
      <c r="B1825" s="36" t="s">
        <v>399</v>
      </c>
      <c r="C1825" s="37"/>
      <c r="D1825" s="37"/>
      <c r="E1825" s="37"/>
    </row>
    <row r="1826" spans="1:5" ht="12.75" x14ac:dyDescent="0.2">
      <c r="A1826" s="37"/>
      <c r="B1826" s="36" t="s">
        <v>400</v>
      </c>
      <c r="C1826" s="36" t="s">
        <v>1129</v>
      </c>
      <c r="D1826" s="37"/>
      <c r="E1826" s="37"/>
    </row>
    <row r="1827" spans="1:5" ht="12.75" x14ac:dyDescent="0.2">
      <c r="A1827" s="37"/>
      <c r="B1827" s="36" t="s">
        <v>401</v>
      </c>
      <c r="C1827" s="37"/>
      <c r="D1827" s="37"/>
      <c r="E1827" s="37"/>
    </row>
    <row r="1828" spans="1:5" ht="12.75" x14ac:dyDescent="0.2">
      <c r="A1828" s="36" t="s">
        <v>1130</v>
      </c>
      <c r="B1828" s="36" t="s">
        <v>402</v>
      </c>
      <c r="C1828" s="36" t="s">
        <v>1131</v>
      </c>
      <c r="D1828" s="37"/>
      <c r="E1828" s="37"/>
    </row>
    <row r="1829" spans="1:5" ht="12.75" x14ac:dyDescent="0.2">
      <c r="A1829" s="36" t="s">
        <v>1132</v>
      </c>
      <c r="B1829" s="37"/>
      <c r="C1829" s="37"/>
      <c r="D1829" s="37"/>
      <c r="E1829" s="37"/>
    </row>
    <row r="1830" spans="1:5" ht="12.75" x14ac:dyDescent="0.2">
      <c r="A1830" s="36" t="s">
        <v>1133</v>
      </c>
      <c r="B1830" s="37"/>
      <c r="C1830" s="37"/>
      <c r="D1830" s="37"/>
      <c r="E1830" s="37"/>
    </row>
    <row r="1831" spans="1:5" ht="12.75" x14ac:dyDescent="0.2">
      <c r="A1831" s="36" t="s">
        <v>1134</v>
      </c>
      <c r="B1831" s="37"/>
      <c r="C1831" s="37"/>
      <c r="D1831" s="37"/>
      <c r="E1831" s="37"/>
    </row>
    <row r="1832" spans="1:5" ht="12.75" x14ac:dyDescent="0.2">
      <c r="A1832" s="36" t="s">
        <v>1135</v>
      </c>
      <c r="B1832" s="37"/>
      <c r="C1832" s="37"/>
      <c r="D1832" s="37"/>
      <c r="E1832" s="37"/>
    </row>
    <row r="1833" spans="1:5" ht="12.75" x14ac:dyDescent="0.2">
      <c r="A1833" s="36" t="s">
        <v>1136</v>
      </c>
      <c r="B1833" s="37"/>
      <c r="C1833" s="37"/>
      <c r="D1833" s="37"/>
      <c r="E1833" s="37"/>
    </row>
    <row r="1834" spans="1:5" ht="12.75" x14ac:dyDescent="0.2">
      <c r="A1834" s="36" t="s">
        <v>1137</v>
      </c>
      <c r="B1834" s="37"/>
      <c r="C1834" s="37"/>
      <c r="D1834" s="37"/>
      <c r="E1834" s="37"/>
    </row>
    <row r="1835" spans="1:5" ht="12.75" x14ac:dyDescent="0.2">
      <c r="A1835" s="36" t="s">
        <v>1138</v>
      </c>
      <c r="B1835" s="37"/>
      <c r="C1835" s="37"/>
      <c r="D1835" s="37"/>
      <c r="E1835" s="37"/>
    </row>
    <row r="1836" spans="1:5" ht="12.75" x14ac:dyDescent="0.2">
      <c r="A1836" s="36" t="s">
        <v>1139</v>
      </c>
      <c r="B1836" s="37"/>
      <c r="C1836" s="37"/>
      <c r="D1836" s="37"/>
      <c r="E1836" s="37"/>
    </row>
    <row r="1837" spans="1:5" ht="12.75" x14ac:dyDescent="0.2">
      <c r="A1837" s="36" t="s">
        <v>1140</v>
      </c>
      <c r="B1837" s="37"/>
      <c r="C1837" s="37"/>
      <c r="D1837" s="37"/>
      <c r="E1837" s="37"/>
    </row>
    <row r="1838" spans="1:5" ht="12.75" x14ac:dyDescent="0.2">
      <c r="A1838" s="37"/>
      <c r="B1838" s="37"/>
      <c r="C1838" s="37"/>
      <c r="D1838" s="37"/>
      <c r="E1838" s="37"/>
    </row>
    <row r="1839" spans="1:5" ht="12.75" x14ac:dyDescent="0.2">
      <c r="A1839" s="36" t="s">
        <v>1141</v>
      </c>
      <c r="B1839" s="37"/>
      <c r="C1839" s="37"/>
      <c r="D1839" s="37"/>
      <c r="E1839" s="37"/>
    </row>
    <row r="1840" spans="1:5" ht="12.75" x14ac:dyDescent="0.2">
      <c r="A1840" s="37"/>
      <c r="B1840" s="36" t="s">
        <v>398</v>
      </c>
      <c r="C1840" s="37"/>
      <c r="D1840" s="37"/>
      <c r="E1840" s="37"/>
    </row>
    <row r="1841" spans="1:5" ht="12.75" x14ac:dyDescent="0.2">
      <c r="A1841" s="37"/>
      <c r="B1841" s="36" t="s">
        <v>399</v>
      </c>
      <c r="C1841" s="37"/>
      <c r="D1841" s="37"/>
      <c r="E1841" s="37"/>
    </row>
    <row r="1842" spans="1:5" ht="12.75" x14ac:dyDescent="0.2">
      <c r="A1842" s="37"/>
      <c r="B1842" s="36" t="s">
        <v>400</v>
      </c>
      <c r="C1842" s="36" t="s">
        <v>1141</v>
      </c>
      <c r="D1842" s="37"/>
      <c r="E1842" s="37"/>
    </row>
    <row r="1843" spans="1:5" ht="12.75" x14ac:dyDescent="0.2">
      <c r="A1843" s="37"/>
      <c r="B1843" s="36" t="s">
        <v>401</v>
      </c>
      <c r="C1843" s="37"/>
      <c r="D1843" s="37"/>
      <c r="E1843" s="37"/>
    </row>
    <row r="1844" spans="1:5" ht="12.75" x14ac:dyDescent="0.2">
      <c r="A1844" s="36" t="s">
        <v>1142</v>
      </c>
      <c r="B1844" s="36" t="s">
        <v>402</v>
      </c>
      <c r="C1844" s="36" t="s">
        <v>1143</v>
      </c>
      <c r="D1844" s="37"/>
      <c r="E1844" s="37"/>
    </row>
    <row r="1845" spans="1:5" ht="12.75" x14ac:dyDescent="0.2">
      <c r="A1845" s="36" t="s">
        <v>1144</v>
      </c>
      <c r="B1845" s="37"/>
      <c r="C1845" s="37"/>
      <c r="D1845" s="37"/>
      <c r="E1845" s="37"/>
    </row>
    <row r="1846" spans="1:5" ht="12.75" x14ac:dyDescent="0.2">
      <c r="A1846" s="36" t="s">
        <v>1145</v>
      </c>
      <c r="B1846" s="37"/>
      <c r="C1846" s="37"/>
      <c r="D1846" s="37"/>
      <c r="E1846" s="37"/>
    </row>
    <row r="1847" spans="1:5" ht="12.75" x14ac:dyDescent="0.2">
      <c r="A1847" s="36" t="s">
        <v>1146</v>
      </c>
      <c r="B1847" s="37"/>
      <c r="C1847" s="37"/>
      <c r="D1847" s="37"/>
      <c r="E1847" s="37"/>
    </row>
    <row r="1848" spans="1:5" ht="12.75" x14ac:dyDescent="0.2">
      <c r="A1848" s="36" t="s">
        <v>1147</v>
      </c>
      <c r="B1848" s="37"/>
      <c r="C1848" s="37"/>
      <c r="D1848" s="37"/>
      <c r="E1848" s="37"/>
    </row>
    <row r="1849" spans="1:5" ht="12.75" x14ac:dyDescent="0.2">
      <c r="A1849" s="36" t="s">
        <v>1148</v>
      </c>
      <c r="B1849" s="37"/>
      <c r="C1849" s="37"/>
      <c r="D1849" s="37"/>
      <c r="E1849" s="37"/>
    </row>
    <row r="1850" spans="1:5" ht="12.75" x14ac:dyDescent="0.2">
      <c r="A1850" s="36" t="s">
        <v>1149</v>
      </c>
      <c r="B1850" s="37"/>
      <c r="C1850" s="37"/>
      <c r="D1850" s="37"/>
      <c r="E1850" s="37"/>
    </row>
    <row r="1851" spans="1:5" ht="12.75" x14ac:dyDescent="0.2">
      <c r="A1851" s="36" t="s">
        <v>1150</v>
      </c>
      <c r="B1851" s="37"/>
      <c r="C1851" s="37"/>
      <c r="D1851" s="37"/>
      <c r="E1851" s="37"/>
    </row>
    <row r="1852" spans="1:5" ht="12.75" x14ac:dyDescent="0.2">
      <c r="A1852" s="37"/>
      <c r="B1852" s="37"/>
      <c r="C1852" s="37"/>
      <c r="D1852" s="37"/>
      <c r="E1852" s="37"/>
    </row>
    <row r="1853" spans="1:5" ht="12.75" x14ac:dyDescent="0.2">
      <c r="A1853" s="36" t="s">
        <v>1151</v>
      </c>
      <c r="B1853" s="37"/>
      <c r="C1853" s="37"/>
      <c r="D1853" s="37"/>
      <c r="E1853" s="37"/>
    </row>
    <row r="1854" spans="1:5" ht="12.75" x14ac:dyDescent="0.2">
      <c r="A1854" s="37"/>
      <c r="B1854" s="36" t="s">
        <v>398</v>
      </c>
      <c r="C1854" s="37"/>
      <c r="D1854" s="37"/>
      <c r="E1854" s="37"/>
    </row>
    <row r="1855" spans="1:5" ht="12.75" x14ac:dyDescent="0.2">
      <c r="A1855" s="37"/>
      <c r="B1855" s="36" t="s">
        <v>399</v>
      </c>
      <c r="C1855" s="37"/>
      <c r="D1855" s="37"/>
      <c r="E1855" s="37"/>
    </row>
    <row r="1856" spans="1:5" ht="12.75" x14ac:dyDescent="0.2">
      <c r="A1856" s="37"/>
      <c r="B1856" s="36" t="s">
        <v>400</v>
      </c>
      <c r="C1856" s="36" t="s">
        <v>1151</v>
      </c>
      <c r="D1856" s="37"/>
      <c r="E1856" s="37"/>
    </row>
    <row r="1857" spans="1:5" ht="12.75" x14ac:dyDescent="0.2">
      <c r="A1857" s="37"/>
      <c r="B1857" s="36" t="s">
        <v>401</v>
      </c>
      <c r="C1857" s="37"/>
      <c r="D1857" s="37"/>
      <c r="E1857" s="37"/>
    </row>
    <row r="1858" spans="1:5" ht="12.75" x14ac:dyDescent="0.2">
      <c r="A1858" s="36" t="s">
        <v>1152</v>
      </c>
      <c r="B1858" s="36" t="s">
        <v>402</v>
      </c>
      <c r="C1858" s="36" t="s">
        <v>1153</v>
      </c>
      <c r="D1858" s="37"/>
      <c r="E1858" s="37"/>
    </row>
    <row r="1859" spans="1:5" ht="12.75" x14ac:dyDescent="0.2">
      <c r="A1859" s="36" t="s">
        <v>1154</v>
      </c>
      <c r="B1859" s="37"/>
      <c r="C1859" s="37"/>
      <c r="D1859" s="37"/>
      <c r="E1859" s="37"/>
    </row>
    <row r="1860" spans="1:5" ht="12.75" x14ac:dyDescent="0.2">
      <c r="A1860" s="36" t="s">
        <v>1155</v>
      </c>
      <c r="B1860" s="37"/>
      <c r="C1860" s="37"/>
      <c r="D1860" s="37"/>
      <c r="E1860" s="37"/>
    </row>
    <row r="1861" spans="1:5" ht="12.75" x14ac:dyDescent="0.2">
      <c r="A1861" s="36" t="s">
        <v>1156</v>
      </c>
      <c r="B1861" s="37"/>
      <c r="C1861" s="37"/>
      <c r="D1861" s="37"/>
      <c r="E1861" s="37"/>
    </row>
    <row r="1862" spans="1:5" ht="12.75" x14ac:dyDescent="0.2">
      <c r="A1862" s="36" t="s">
        <v>1157</v>
      </c>
      <c r="B1862" s="37"/>
      <c r="C1862" s="37"/>
      <c r="D1862" s="37"/>
      <c r="E1862" s="37"/>
    </row>
    <row r="1863" spans="1:5" ht="12.75" x14ac:dyDescent="0.2">
      <c r="A1863" s="36" t="s">
        <v>1158</v>
      </c>
      <c r="B1863" s="37"/>
      <c r="C1863" s="37"/>
      <c r="D1863" s="37"/>
      <c r="E1863" s="37"/>
    </row>
    <row r="1864" spans="1:5" ht="12.75" x14ac:dyDescent="0.2">
      <c r="A1864" s="36" t="s">
        <v>1159</v>
      </c>
      <c r="B1864" s="37"/>
      <c r="C1864" s="37"/>
      <c r="D1864" s="37"/>
      <c r="E1864" s="37"/>
    </row>
    <row r="1865" spans="1:5" ht="12.75" x14ac:dyDescent="0.2">
      <c r="A1865" s="36" t="s">
        <v>1160</v>
      </c>
      <c r="B1865" s="37"/>
      <c r="C1865" s="37"/>
      <c r="D1865" s="37"/>
      <c r="E1865" s="37"/>
    </row>
    <row r="1866" spans="1:5" ht="12.75" x14ac:dyDescent="0.2">
      <c r="A1866" s="37"/>
      <c r="B1866" s="37"/>
      <c r="C1866" s="37"/>
      <c r="D1866" s="37"/>
      <c r="E1866" s="37"/>
    </row>
    <row r="1867" spans="1:5" ht="12.75" x14ac:dyDescent="0.2">
      <c r="A1867" s="36" t="s">
        <v>1161</v>
      </c>
      <c r="B1867" s="37"/>
      <c r="C1867" s="37"/>
      <c r="D1867" s="37"/>
      <c r="E1867" s="37"/>
    </row>
    <row r="1868" spans="1:5" ht="12.75" x14ac:dyDescent="0.2">
      <c r="A1868" s="37"/>
      <c r="B1868" s="36" t="s">
        <v>398</v>
      </c>
      <c r="C1868" s="37"/>
      <c r="D1868" s="37"/>
      <c r="E1868" s="37"/>
    </row>
    <row r="1869" spans="1:5" ht="12.75" x14ac:dyDescent="0.2">
      <c r="A1869" s="37"/>
      <c r="B1869" s="36" t="s">
        <v>399</v>
      </c>
      <c r="C1869" s="37"/>
      <c r="D1869" s="37"/>
      <c r="E1869" s="37"/>
    </row>
    <row r="1870" spans="1:5" ht="12.75" x14ac:dyDescent="0.2">
      <c r="A1870" s="37"/>
      <c r="B1870" s="36" t="s">
        <v>400</v>
      </c>
      <c r="C1870" s="36" t="s">
        <v>1161</v>
      </c>
      <c r="D1870" s="37"/>
      <c r="E1870" s="37"/>
    </row>
    <row r="1871" spans="1:5" ht="12.75" x14ac:dyDescent="0.2">
      <c r="A1871" s="37"/>
      <c r="B1871" s="36" t="s">
        <v>401</v>
      </c>
      <c r="C1871" s="37"/>
      <c r="D1871" s="37"/>
      <c r="E1871" s="37"/>
    </row>
    <row r="1872" spans="1:5" ht="12.75" x14ac:dyDescent="0.2">
      <c r="A1872" s="36" t="s">
        <v>124</v>
      </c>
      <c r="B1872" s="36" t="s">
        <v>402</v>
      </c>
      <c r="C1872" s="36" t="s">
        <v>1162</v>
      </c>
      <c r="D1872" s="37"/>
      <c r="E1872" s="37"/>
    </row>
    <row r="1873" spans="1:5" ht="12.75" x14ac:dyDescent="0.2">
      <c r="A1873" s="36" t="s">
        <v>1163</v>
      </c>
      <c r="B1873" s="37"/>
      <c r="C1873" s="37"/>
      <c r="D1873" s="37"/>
      <c r="E1873" s="37"/>
    </row>
    <row r="1874" spans="1:5" ht="12.75" x14ac:dyDescent="0.2">
      <c r="A1874" s="36" t="s">
        <v>1164</v>
      </c>
      <c r="B1874" s="37"/>
      <c r="C1874" s="37"/>
      <c r="D1874" s="37"/>
      <c r="E1874" s="37"/>
    </row>
    <row r="1875" spans="1:5" ht="12.75" x14ac:dyDescent="0.2">
      <c r="A1875" s="36" t="s">
        <v>1165</v>
      </c>
      <c r="B1875" s="37"/>
      <c r="C1875" s="37"/>
      <c r="D1875" s="37"/>
      <c r="E1875" s="37"/>
    </row>
    <row r="1876" spans="1:5" ht="12.75" x14ac:dyDescent="0.2">
      <c r="A1876" s="36" t="s">
        <v>1166</v>
      </c>
      <c r="B1876" s="37"/>
      <c r="C1876" s="37"/>
      <c r="D1876" s="37"/>
      <c r="E1876" s="37"/>
    </row>
    <row r="1877" spans="1:5" ht="12.75" x14ac:dyDescent="0.2">
      <c r="A1877" s="36" t="s">
        <v>1167</v>
      </c>
      <c r="B1877" s="37"/>
      <c r="C1877" s="37"/>
      <c r="D1877" s="37"/>
      <c r="E1877" s="37"/>
    </row>
    <row r="1878" spans="1:5" ht="12.75" x14ac:dyDescent="0.2">
      <c r="A1878" s="36" t="s">
        <v>1168</v>
      </c>
      <c r="B1878" s="37"/>
      <c r="C1878" s="37"/>
      <c r="D1878" s="37"/>
      <c r="E1878" s="37"/>
    </row>
    <row r="1879" spans="1:5" ht="12.75" x14ac:dyDescent="0.2">
      <c r="A1879" s="36" t="s">
        <v>1169</v>
      </c>
      <c r="B1879" s="37"/>
      <c r="C1879" s="37"/>
      <c r="D1879" s="37"/>
      <c r="E1879" s="37"/>
    </row>
    <row r="1880" spans="1:5" ht="12.75" x14ac:dyDescent="0.2">
      <c r="A1880" s="36" t="s">
        <v>1170</v>
      </c>
      <c r="B1880" s="37"/>
      <c r="C1880" s="37"/>
      <c r="D1880" s="37"/>
      <c r="E1880" s="37"/>
    </row>
    <row r="1881" spans="1:5" ht="12.75" x14ac:dyDescent="0.2">
      <c r="A1881" s="37"/>
      <c r="B1881" s="37"/>
      <c r="C1881" s="37"/>
      <c r="D1881" s="37"/>
      <c r="E1881" s="37"/>
    </row>
    <row r="1882" spans="1:5" ht="12.75" x14ac:dyDescent="0.2">
      <c r="A1882" s="36" t="s">
        <v>1171</v>
      </c>
      <c r="B1882" s="37"/>
      <c r="C1882" s="37"/>
      <c r="D1882" s="37"/>
      <c r="E1882" s="37"/>
    </row>
    <row r="1883" spans="1:5" ht="12.75" x14ac:dyDescent="0.2">
      <c r="A1883" s="37"/>
      <c r="B1883" s="36" t="s">
        <v>398</v>
      </c>
      <c r="C1883" s="37"/>
      <c r="D1883" s="37"/>
      <c r="E1883" s="37"/>
    </row>
    <row r="1884" spans="1:5" ht="12.75" x14ac:dyDescent="0.2">
      <c r="A1884" s="37"/>
      <c r="B1884" s="36" t="s">
        <v>399</v>
      </c>
      <c r="C1884" s="37"/>
      <c r="D1884" s="37"/>
      <c r="E1884" s="37"/>
    </row>
    <row r="1885" spans="1:5" ht="12.75" x14ac:dyDescent="0.2">
      <c r="A1885" s="37"/>
      <c r="B1885" s="36" t="s">
        <v>400</v>
      </c>
      <c r="C1885" s="36" t="s">
        <v>1171</v>
      </c>
      <c r="D1885" s="37"/>
      <c r="E1885" s="37"/>
    </row>
    <row r="1886" spans="1:5" ht="12.75" x14ac:dyDescent="0.2">
      <c r="A1886" s="37"/>
      <c r="B1886" s="36" t="s">
        <v>401</v>
      </c>
      <c r="C1886" s="37"/>
      <c r="D1886" s="37"/>
      <c r="E1886" s="37"/>
    </row>
    <row r="1887" spans="1:5" ht="12.75" x14ac:dyDescent="0.2">
      <c r="A1887" s="36" t="s">
        <v>1172</v>
      </c>
      <c r="B1887" s="36" t="s">
        <v>402</v>
      </c>
      <c r="C1887" s="36" t="s">
        <v>1173</v>
      </c>
      <c r="D1887" s="37"/>
      <c r="E1887" s="37"/>
    </row>
    <row r="1888" spans="1:5" ht="12.75" x14ac:dyDescent="0.2">
      <c r="A1888" s="36" t="s">
        <v>1174</v>
      </c>
      <c r="B1888" s="37"/>
      <c r="C1888" s="37"/>
      <c r="D1888" s="37"/>
      <c r="E1888" s="37"/>
    </row>
    <row r="1889" spans="1:5" ht="12.75" x14ac:dyDescent="0.2">
      <c r="A1889" s="36" t="s">
        <v>1175</v>
      </c>
      <c r="B1889" s="37"/>
      <c r="C1889" s="37"/>
      <c r="D1889" s="37"/>
      <c r="E1889" s="37"/>
    </row>
    <row r="1890" spans="1:5" ht="12.75" x14ac:dyDescent="0.2">
      <c r="A1890" s="36" t="s">
        <v>1176</v>
      </c>
      <c r="B1890" s="37"/>
      <c r="C1890" s="37"/>
      <c r="D1890" s="37"/>
      <c r="E1890" s="37"/>
    </row>
    <row r="1891" spans="1:5" ht="12.75" x14ac:dyDescent="0.2">
      <c r="A1891" s="36" t="s">
        <v>1177</v>
      </c>
      <c r="B1891" s="37"/>
      <c r="C1891" s="37"/>
      <c r="D1891" s="37"/>
      <c r="E1891" s="37"/>
    </row>
    <row r="1892" spans="1:5" ht="12.75" x14ac:dyDescent="0.2">
      <c r="A1892" s="36" t="s">
        <v>1178</v>
      </c>
      <c r="B1892" s="37"/>
      <c r="C1892" s="37"/>
      <c r="D1892" s="37"/>
      <c r="E1892" s="37"/>
    </row>
    <row r="1893" spans="1:5" ht="12.75" x14ac:dyDescent="0.2">
      <c r="A1893" s="36" t="s">
        <v>1179</v>
      </c>
      <c r="B1893" s="37"/>
      <c r="C1893" s="37"/>
      <c r="D1893" s="37"/>
      <c r="E1893" s="37"/>
    </row>
    <row r="1894" spans="1:5" ht="12.75" x14ac:dyDescent="0.2">
      <c r="A1894" s="36" t="s">
        <v>1180</v>
      </c>
      <c r="B1894" s="37"/>
      <c r="C1894" s="37"/>
      <c r="D1894" s="37"/>
      <c r="E1894" s="37"/>
    </row>
    <row r="1895" spans="1:5" ht="12.75" x14ac:dyDescent="0.2">
      <c r="A1895" s="36" t="s">
        <v>1181</v>
      </c>
      <c r="B1895" s="37"/>
      <c r="C1895" s="37"/>
      <c r="D1895" s="37"/>
      <c r="E1895" s="37"/>
    </row>
    <row r="1896" spans="1:5" ht="12.75" x14ac:dyDescent="0.2">
      <c r="A1896" s="36" t="s">
        <v>1182</v>
      </c>
      <c r="B1896" s="37"/>
      <c r="C1896" s="37"/>
      <c r="D1896" s="37"/>
      <c r="E1896" s="37"/>
    </row>
    <row r="1897" spans="1:5" ht="12.75" x14ac:dyDescent="0.2">
      <c r="A1897" s="37"/>
      <c r="B1897" s="37"/>
      <c r="C1897" s="37"/>
      <c r="D1897" s="37"/>
      <c r="E1897" s="37"/>
    </row>
    <row r="1898" spans="1:5" ht="12.75" x14ac:dyDescent="0.2">
      <c r="A1898" s="36" t="s">
        <v>1183</v>
      </c>
      <c r="B1898" s="37"/>
      <c r="C1898" s="37"/>
      <c r="D1898" s="37"/>
      <c r="E1898" s="37"/>
    </row>
    <row r="1899" spans="1:5" ht="12.75" x14ac:dyDescent="0.2">
      <c r="A1899" s="37"/>
      <c r="B1899" s="36" t="s">
        <v>398</v>
      </c>
      <c r="C1899" s="37"/>
      <c r="D1899" s="37"/>
      <c r="E1899" s="37"/>
    </row>
    <row r="1900" spans="1:5" ht="12.75" x14ac:dyDescent="0.2">
      <c r="A1900" s="37"/>
      <c r="B1900" s="36" t="s">
        <v>399</v>
      </c>
      <c r="C1900" s="37"/>
      <c r="D1900" s="37"/>
      <c r="E1900" s="37"/>
    </row>
    <row r="1901" spans="1:5" ht="12.75" x14ac:dyDescent="0.2">
      <c r="A1901" s="37"/>
      <c r="B1901" s="36" t="s">
        <v>400</v>
      </c>
      <c r="C1901" s="36" t="s">
        <v>1183</v>
      </c>
      <c r="D1901" s="37"/>
      <c r="E1901" s="37"/>
    </row>
    <row r="1902" spans="1:5" ht="12.75" x14ac:dyDescent="0.2">
      <c r="A1902" s="37"/>
      <c r="B1902" s="36" t="s">
        <v>401</v>
      </c>
      <c r="C1902" s="37"/>
      <c r="D1902" s="37"/>
      <c r="E1902" s="37"/>
    </row>
    <row r="1903" spans="1:5" ht="12.75" x14ac:dyDescent="0.2">
      <c r="A1903" s="36" t="s">
        <v>1184</v>
      </c>
      <c r="B1903" s="36" t="s">
        <v>402</v>
      </c>
      <c r="C1903" s="36" t="s">
        <v>1185</v>
      </c>
      <c r="D1903" s="37"/>
      <c r="E1903" s="37"/>
    </row>
    <row r="1904" spans="1:5" ht="12.75" x14ac:dyDescent="0.2">
      <c r="A1904" s="36" t="s">
        <v>1186</v>
      </c>
      <c r="B1904" s="37"/>
      <c r="C1904" s="37"/>
      <c r="D1904" s="37"/>
      <c r="E1904" s="37"/>
    </row>
    <row r="1905" spans="1:5" ht="12.75" x14ac:dyDescent="0.2">
      <c r="A1905" s="36" t="s">
        <v>1187</v>
      </c>
      <c r="B1905" s="37"/>
      <c r="C1905" s="37"/>
      <c r="D1905" s="37"/>
      <c r="E1905" s="37"/>
    </row>
    <row r="1906" spans="1:5" ht="12.75" x14ac:dyDescent="0.2">
      <c r="A1906" s="36" t="s">
        <v>1188</v>
      </c>
      <c r="B1906" s="37"/>
      <c r="C1906" s="37"/>
      <c r="D1906" s="37"/>
      <c r="E1906" s="37"/>
    </row>
    <row r="1907" spans="1:5" ht="12.75" x14ac:dyDescent="0.2">
      <c r="A1907" s="36" t="s">
        <v>1189</v>
      </c>
      <c r="B1907" s="37"/>
      <c r="C1907" s="37"/>
      <c r="D1907" s="37"/>
      <c r="E1907" s="37"/>
    </row>
    <row r="1908" spans="1:5" ht="12.75" x14ac:dyDescent="0.2">
      <c r="A1908" s="36" t="s">
        <v>1190</v>
      </c>
      <c r="B1908" s="37"/>
      <c r="C1908" s="37"/>
      <c r="D1908" s="37"/>
      <c r="E1908" s="37"/>
    </row>
    <row r="1909" spans="1:5" ht="12.75" x14ac:dyDescent="0.2">
      <c r="A1909" s="36" t="s">
        <v>1191</v>
      </c>
      <c r="B1909" s="37"/>
      <c r="C1909" s="37"/>
      <c r="D1909" s="37"/>
      <c r="E1909" s="37"/>
    </row>
    <row r="1910" spans="1:5" ht="12.75" x14ac:dyDescent="0.2">
      <c r="A1910" s="36" t="s">
        <v>1192</v>
      </c>
      <c r="B1910" s="37"/>
      <c r="C1910" s="37"/>
      <c r="D1910" s="37"/>
      <c r="E1910" s="37"/>
    </row>
    <row r="1911" spans="1:5" ht="12.75" x14ac:dyDescent="0.2">
      <c r="A1911" s="36" t="s">
        <v>1193</v>
      </c>
      <c r="B1911" s="37"/>
      <c r="C1911" s="37"/>
      <c r="D1911" s="37"/>
      <c r="E1911" s="37"/>
    </row>
    <row r="1912" spans="1:5" ht="12.75" x14ac:dyDescent="0.2">
      <c r="A1912" s="36" t="s">
        <v>1194</v>
      </c>
      <c r="B1912" s="37"/>
      <c r="C1912" s="37"/>
      <c r="D1912" s="37"/>
      <c r="E1912" s="37"/>
    </row>
    <row r="1913" spans="1:5" ht="12.75" x14ac:dyDescent="0.2">
      <c r="A1913" s="37"/>
      <c r="B1913" s="37"/>
      <c r="C1913" s="37"/>
      <c r="D1913" s="37"/>
      <c r="E1913" s="37"/>
    </row>
    <row r="1914" spans="1:5" ht="12.75" x14ac:dyDescent="0.2">
      <c r="A1914" s="36" t="s">
        <v>1195</v>
      </c>
      <c r="B1914" s="37"/>
      <c r="C1914" s="37"/>
      <c r="D1914" s="37"/>
      <c r="E1914" s="37"/>
    </row>
    <row r="1915" spans="1:5" ht="12.75" x14ac:dyDescent="0.2">
      <c r="A1915" s="37"/>
      <c r="B1915" s="36" t="s">
        <v>398</v>
      </c>
      <c r="C1915" s="37"/>
      <c r="D1915" s="37"/>
      <c r="E1915" s="37"/>
    </row>
    <row r="1916" spans="1:5" ht="12.75" x14ac:dyDescent="0.2">
      <c r="A1916" s="37"/>
      <c r="B1916" s="36" t="s">
        <v>399</v>
      </c>
      <c r="C1916" s="37"/>
      <c r="D1916" s="37"/>
      <c r="E1916" s="37"/>
    </row>
    <row r="1917" spans="1:5" ht="12.75" x14ac:dyDescent="0.2">
      <c r="A1917" s="37"/>
      <c r="B1917" s="36" t="s">
        <v>400</v>
      </c>
      <c r="C1917" s="36" t="s">
        <v>1195</v>
      </c>
      <c r="D1917" s="37"/>
      <c r="E1917" s="37"/>
    </row>
    <row r="1918" spans="1:5" ht="12.75" x14ac:dyDescent="0.2">
      <c r="A1918" s="37"/>
      <c r="B1918" s="36" t="s">
        <v>401</v>
      </c>
      <c r="C1918" s="37"/>
      <c r="D1918" s="37"/>
      <c r="E1918" s="37"/>
    </row>
    <row r="1919" spans="1:5" ht="12.75" x14ac:dyDescent="0.2">
      <c r="A1919" s="36" t="s">
        <v>1196</v>
      </c>
      <c r="B1919" s="36" t="s">
        <v>402</v>
      </c>
      <c r="C1919" s="36" t="s">
        <v>1197</v>
      </c>
      <c r="D1919" s="37"/>
      <c r="E1919" s="37"/>
    </row>
    <row r="1920" spans="1:5" ht="12.75" x14ac:dyDescent="0.2">
      <c r="A1920" s="36" t="s">
        <v>1198</v>
      </c>
      <c r="B1920" s="37"/>
      <c r="C1920" s="37"/>
      <c r="D1920" s="37"/>
      <c r="E1920" s="37"/>
    </row>
    <row r="1921" spans="1:5" ht="12.75" x14ac:dyDescent="0.2">
      <c r="A1921" s="36" t="s">
        <v>1199</v>
      </c>
      <c r="B1921" s="37"/>
      <c r="C1921" s="37"/>
      <c r="D1921" s="37"/>
      <c r="E1921" s="37"/>
    </row>
    <row r="1922" spans="1:5" ht="12.75" x14ac:dyDescent="0.2">
      <c r="A1922" s="36" t="s">
        <v>1200</v>
      </c>
      <c r="B1922" s="37"/>
      <c r="C1922" s="37"/>
      <c r="D1922" s="37"/>
      <c r="E1922" s="37"/>
    </row>
    <row r="1923" spans="1:5" ht="12.75" x14ac:dyDescent="0.2">
      <c r="A1923" s="36" t="s">
        <v>1201</v>
      </c>
      <c r="B1923" s="37"/>
      <c r="C1923" s="37"/>
      <c r="D1923" s="37"/>
      <c r="E1923" s="37"/>
    </row>
    <row r="1924" spans="1:5" ht="12.75" x14ac:dyDescent="0.2">
      <c r="A1924" s="36" t="s">
        <v>1202</v>
      </c>
      <c r="B1924" s="37"/>
      <c r="C1924" s="37"/>
      <c r="D1924" s="37"/>
      <c r="E1924" s="37"/>
    </row>
    <row r="1925" spans="1:5" ht="12.75" x14ac:dyDescent="0.2">
      <c r="A1925" s="36" t="s">
        <v>1203</v>
      </c>
      <c r="B1925" s="37"/>
      <c r="C1925" s="37"/>
      <c r="D1925" s="37"/>
      <c r="E1925" s="37"/>
    </row>
    <row r="1926" spans="1:5" ht="12.75" x14ac:dyDescent="0.2">
      <c r="A1926" s="36" t="s">
        <v>1204</v>
      </c>
      <c r="B1926" s="37"/>
      <c r="C1926" s="37"/>
      <c r="D1926" s="37"/>
      <c r="E1926" s="37"/>
    </row>
    <row r="1927" spans="1:5" ht="12.75" x14ac:dyDescent="0.2">
      <c r="A1927" s="36" t="s">
        <v>1205</v>
      </c>
      <c r="B1927" s="37"/>
      <c r="C1927" s="37"/>
      <c r="D1927" s="37"/>
      <c r="E1927" s="37"/>
    </row>
    <row r="1928" spans="1:5" ht="12.75" x14ac:dyDescent="0.2">
      <c r="A1928" s="36" t="s">
        <v>1206</v>
      </c>
      <c r="B1928" s="37"/>
      <c r="C1928" s="37"/>
      <c r="D1928" s="37"/>
      <c r="E1928" s="37"/>
    </row>
    <row r="1929" spans="1:5" ht="12.75" x14ac:dyDescent="0.2">
      <c r="A1929" s="37"/>
      <c r="B1929" s="37"/>
      <c r="C1929" s="37"/>
      <c r="D1929" s="37"/>
      <c r="E1929" s="37"/>
    </row>
    <row r="1930" spans="1:5" ht="12.75" x14ac:dyDescent="0.2">
      <c r="A1930" s="36" t="s">
        <v>1207</v>
      </c>
      <c r="B1930" s="37"/>
      <c r="C1930" s="37"/>
      <c r="D1930" s="37"/>
      <c r="E1930" s="37"/>
    </row>
    <row r="1931" spans="1:5" ht="12.75" x14ac:dyDescent="0.2">
      <c r="A1931" s="37"/>
      <c r="B1931" s="36" t="s">
        <v>398</v>
      </c>
      <c r="C1931" s="37"/>
      <c r="D1931" s="37"/>
      <c r="E1931" s="37"/>
    </row>
    <row r="1932" spans="1:5" ht="12.75" x14ac:dyDescent="0.2">
      <c r="A1932" s="37"/>
      <c r="B1932" s="36" t="s">
        <v>399</v>
      </c>
      <c r="C1932" s="37"/>
      <c r="D1932" s="37"/>
      <c r="E1932" s="37"/>
    </row>
    <row r="1933" spans="1:5" ht="12.75" x14ac:dyDescent="0.2">
      <c r="A1933" s="37"/>
      <c r="B1933" s="36" t="s">
        <v>400</v>
      </c>
      <c r="C1933" s="36" t="s">
        <v>1207</v>
      </c>
      <c r="D1933" s="37"/>
      <c r="E1933" s="37"/>
    </row>
    <row r="1934" spans="1:5" ht="12.75" x14ac:dyDescent="0.2">
      <c r="A1934" s="37"/>
      <c r="B1934" s="36" t="s">
        <v>401</v>
      </c>
      <c r="C1934" s="37"/>
      <c r="D1934" s="37"/>
      <c r="E1934" s="37"/>
    </row>
    <row r="1935" spans="1:5" ht="38.25" x14ac:dyDescent="0.2">
      <c r="A1935" s="36" t="s">
        <v>1208</v>
      </c>
      <c r="B1935" s="36" t="s">
        <v>402</v>
      </c>
      <c r="C1935" s="36" t="s">
        <v>1209</v>
      </c>
      <c r="D1935" s="37"/>
      <c r="E1935" s="37"/>
    </row>
    <row r="1936" spans="1:5" ht="12.75" x14ac:dyDescent="0.2">
      <c r="A1936" s="36" t="s">
        <v>1210</v>
      </c>
      <c r="B1936" s="37"/>
      <c r="C1936" s="37"/>
      <c r="D1936" s="37"/>
      <c r="E1936" s="37"/>
    </row>
    <row r="1937" spans="1:5" ht="12.75" x14ac:dyDescent="0.2">
      <c r="A1937" s="36" t="s">
        <v>1211</v>
      </c>
      <c r="B1937" s="37"/>
      <c r="C1937" s="37"/>
      <c r="D1937" s="37"/>
      <c r="E1937" s="37"/>
    </row>
    <row r="1938" spans="1:5" ht="12.75" x14ac:dyDescent="0.2">
      <c r="A1938" s="36" t="s">
        <v>1212</v>
      </c>
      <c r="B1938" s="37"/>
      <c r="C1938" s="37"/>
      <c r="D1938" s="37"/>
      <c r="E1938" s="37"/>
    </row>
    <row r="1939" spans="1:5" ht="12.75" x14ac:dyDescent="0.2">
      <c r="A1939" s="36" t="s">
        <v>1213</v>
      </c>
      <c r="B1939" s="37"/>
      <c r="C1939" s="37"/>
      <c r="D1939" s="37"/>
      <c r="E1939" s="37"/>
    </row>
    <row r="1940" spans="1:5" ht="12.75" x14ac:dyDescent="0.2">
      <c r="A1940" s="36" t="s">
        <v>1214</v>
      </c>
      <c r="B1940" s="37"/>
      <c r="C1940" s="37"/>
      <c r="D1940" s="37"/>
      <c r="E1940" s="37"/>
    </row>
    <row r="1941" spans="1:5" ht="12.75" x14ac:dyDescent="0.2">
      <c r="A1941" s="36" t="s">
        <v>1215</v>
      </c>
      <c r="B1941" s="37"/>
      <c r="C1941" s="37"/>
      <c r="D1941" s="37"/>
      <c r="E1941" s="37"/>
    </row>
    <row r="1942" spans="1:5" ht="12.75" x14ac:dyDescent="0.2">
      <c r="A1942" s="36" t="s">
        <v>1216</v>
      </c>
      <c r="B1942" s="37"/>
      <c r="C1942" s="37"/>
      <c r="D1942" s="37"/>
      <c r="E1942" s="37"/>
    </row>
    <row r="1943" spans="1:5" ht="12.75" x14ac:dyDescent="0.2">
      <c r="A1943" s="36" t="s">
        <v>1217</v>
      </c>
      <c r="B1943" s="37"/>
      <c r="C1943" s="37"/>
      <c r="D1943" s="37"/>
      <c r="E1943" s="37"/>
    </row>
    <row r="1944" spans="1:5" ht="12.75" x14ac:dyDescent="0.2">
      <c r="A1944" s="36" t="s">
        <v>1218</v>
      </c>
      <c r="B1944" s="37"/>
      <c r="C1944" s="37"/>
      <c r="D1944" s="37"/>
      <c r="E1944" s="37"/>
    </row>
    <row r="1945" spans="1:5" ht="12.75" x14ac:dyDescent="0.2">
      <c r="A1945" s="36" t="s">
        <v>1219</v>
      </c>
      <c r="B1945" s="37"/>
      <c r="C1945" s="37"/>
      <c r="D1945" s="37"/>
      <c r="E1945" s="37"/>
    </row>
    <row r="1946" spans="1:5" ht="12.75" x14ac:dyDescent="0.2">
      <c r="A1946" s="36" t="s">
        <v>1220</v>
      </c>
      <c r="B1946" s="37"/>
      <c r="C1946" s="37"/>
      <c r="D1946" s="37"/>
      <c r="E1946" s="37"/>
    </row>
    <row r="1947" spans="1:5" ht="12.75" x14ac:dyDescent="0.2">
      <c r="A1947" s="36" t="s">
        <v>1221</v>
      </c>
      <c r="B1947" s="37"/>
      <c r="C1947" s="37"/>
      <c r="D1947" s="37"/>
      <c r="E1947" s="37"/>
    </row>
    <row r="1948" spans="1:5" ht="12.75" x14ac:dyDescent="0.2">
      <c r="A1948" s="36" t="s">
        <v>1222</v>
      </c>
      <c r="B1948" s="37"/>
      <c r="C1948" s="37"/>
      <c r="D1948" s="37"/>
      <c r="E1948" s="37"/>
    </row>
    <row r="1949" spans="1:5" ht="12.75" x14ac:dyDescent="0.2">
      <c r="A1949" s="36" t="s">
        <v>1223</v>
      </c>
      <c r="B1949" s="37"/>
      <c r="C1949" s="37"/>
      <c r="D1949" s="37"/>
      <c r="E1949" s="37"/>
    </row>
    <row r="1950" spans="1:5" ht="12.75" x14ac:dyDescent="0.2">
      <c r="A1950" s="36" t="s">
        <v>1224</v>
      </c>
      <c r="B1950" s="37"/>
      <c r="C1950" s="37"/>
      <c r="D1950" s="37"/>
      <c r="E1950" s="37"/>
    </row>
    <row r="1951" spans="1:5" ht="12.75" x14ac:dyDescent="0.2">
      <c r="A1951" s="36" t="s">
        <v>1225</v>
      </c>
      <c r="B1951" s="37"/>
      <c r="C1951" s="37"/>
      <c r="D1951" s="37"/>
      <c r="E1951" s="37"/>
    </row>
    <row r="1952" spans="1:5" ht="12.75" x14ac:dyDescent="0.2">
      <c r="A1952" s="37"/>
      <c r="B1952" s="36" t="s">
        <v>403</v>
      </c>
      <c r="C1952" s="36" t="s">
        <v>25</v>
      </c>
      <c r="D1952" s="36" t="s">
        <v>27</v>
      </c>
      <c r="E1952" s="37"/>
    </row>
    <row r="1953" spans="1:5" ht="12.75" x14ac:dyDescent="0.2">
      <c r="A1953" s="37"/>
      <c r="B1953" s="36" t="s">
        <v>403</v>
      </c>
      <c r="C1953" s="36" t="s">
        <v>30</v>
      </c>
      <c r="D1953" s="36" t="s">
        <v>31</v>
      </c>
      <c r="E1953" s="37"/>
    </row>
    <row r="1954" spans="1:5" ht="12.75" x14ac:dyDescent="0.2">
      <c r="A1954" s="37"/>
      <c r="B1954" s="36" t="s">
        <v>403</v>
      </c>
      <c r="C1954" s="36" t="s">
        <v>16</v>
      </c>
      <c r="D1954" s="36" t="s">
        <v>10</v>
      </c>
      <c r="E1954" s="37"/>
    </row>
    <row r="1955" spans="1:5" ht="12.75" x14ac:dyDescent="0.2">
      <c r="A1955" s="37"/>
      <c r="B1955" s="37"/>
      <c r="C1955" s="37"/>
      <c r="D1955" s="37"/>
      <c r="E1955" s="37"/>
    </row>
    <row r="1956" spans="1:5" ht="12.75" x14ac:dyDescent="0.2">
      <c r="A1956" s="36" t="s">
        <v>1226</v>
      </c>
      <c r="B1956" s="37"/>
      <c r="C1956" s="37"/>
      <c r="D1956" s="37"/>
      <c r="E1956" s="37"/>
    </row>
    <row r="1957" spans="1:5" ht="12.75" x14ac:dyDescent="0.2">
      <c r="A1957" s="37"/>
      <c r="B1957" s="36" t="s">
        <v>398</v>
      </c>
      <c r="C1957" s="37"/>
      <c r="D1957" s="37"/>
      <c r="E1957" s="37"/>
    </row>
    <row r="1958" spans="1:5" ht="12.75" x14ac:dyDescent="0.2">
      <c r="A1958" s="37"/>
      <c r="B1958" s="36" t="s">
        <v>399</v>
      </c>
      <c r="C1958" s="37"/>
      <c r="D1958" s="37"/>
      <c r="E1958" s="37"/>
    </row>
    <row r="1959" spans="1:5" ht="12.75" x14ac:dyDescent="0.2">
      <c r="A1959" s="37"/>
      <c r="B1959" s="36" t="s">
        <v>400</v>
      </c>
      <c r="C1959" s="36" t="s">
        <v>1226</v>
      </c>
      <c r="D1959" s="37"/>
      <c r="E1959" s="37"/>
    </row>
    <row r="1960" spans="1:5" ht="12.75" x14ac:dyDescent="0.2">
      <c r="A1960" s="37"/>
      <c r="B1960" s="36" t="s">
        <v>401</v>
      </c>
      <c r="C1960" s="37"/>
      <c r="D1960" s="37"/>
      <c r="E1960" s="37"/>
    </row>
    <row r="1961" spans="1:5" ht="12.75" x14ac:dyDescent="0.2">
      <c r="A1961" s="36" t="s">
        <v>1227</v>
      </c>
      <c r="B1961" s="36" t="s">
        <v>402</v>
      </c>
      <c r="C1961" s="36" t="s">
        <v>1228</v>
      </c>
      <c r="D1961" s="37"/>
      <c r="E1961" s="37"/>
    </row>
    <row r="1962" spans="1:5" ht="12.75" x14ac:dyDescent="0.2">
      <c r="A1962" s="36" t="s">
        <v>1229</v>
      </c>
      <c r="B1962" s="37"/>
      <c r="C1962" s="37"/>
      <c r="D1962" s="37"/>
      <c r="E1962" s="37"/>
    </row>
    <row r="1963" spans="1:5" ht="12.75" x14ac:dyDescent="0.2">
      <c r="A1963" s="36" t="s">
        <v>1230</v>
      </c>
      <c r="B1963" s="37"/>
      <c r="C1963" s="37"/>
      <c r="D1963" s="37"/>
      <c r="E1963" s="37"/>
    </row>
    <row r="1964" spans="1:5" ht="12.75" x14ac:dyDescent="0.2">
      <c r="A1964" s="36" t="s">
        <v>1231</v>
      </c>
      <c r="B1964" s="37"/>
      <c r="C1964" s="37"/>
      <c r="D1964" s="37"/>
      <c r="E1964" s="37"/>
    </row>
    <row r="1965" spans="1:5" ht="12.75" x14ac:dyDescent="0.2">
      <c r="A1965" s="36" t="s">
        <v>1232</v>
      </c>
      <c r="B1965" s="37"/>
      <c r="C1965" s="37"/>
      <c r="D1965" s="37"/>
      <c r="E1965" s="37"/>
    </row>
    <row r="1966" spans="1:5" ht="12.75" x14ac:dyDescent="0.2">
      <c r="A1966" s="36" t="s">
        <v>1233</v>
      </c>
      <c r="B1966" s="37"/>
      <c r="C1966" s="37"/>
      <c r="D1966" s="37"/>
      <c r="E1966" s="37"/>
    </row>
    <row r="1967" spans="1:5" ht="12.75" x14ac:dyDescent="0.2">
      <c r="A1967" s="36" t="s">
        <v>1234</v>
      </c>
      <c r="B1967" s="37"/>
      <c r="C1967" s="37"/>
      <c r="D1967" s="37"/>
      <c r="E1967" s="37"/>
    </row>
    <row r="1968" spans="1:5" ht="12.75" x14ac:dyDescent="0.2">
      <c r="A1968" s="36" t="s">
        <v>1235</v>
      </c>
      <c r="B1968" s="37"/>
      <c r="C1968" s="37"/>
      <c r="D1968" s="37"/>
      <c r="E1968" s="37"/>
    </row>
    <row r="1969" spans="1:5" ht="12.75" x14ac:dyDescent="0.2">
      <c r="A1969" s="36" t="s">
        <v>1236</v>
      </c>
      <c r="B1969" s="37"/>
      <c r="C1969" s="37"/>
      <c r="D1969" s="37"/>
      <c r="E1969" s="37"/>
    </row>
    <row r="1970" spans="1:5" ht="12.75" x14ac:dyDescent="0.2">
      <c r="A1970" s="36" t="s">
        <v>1237</v>
      </c>
      <c r="B1970" s="37"/>
      <c r="C1970" s="37"/>
      <c r="D1970" s="37"/>
      <c r="E1970" s="37"/>
    </row>
    <row r="1971" spans="1:5" ht="12.75" x14ac:dyDescent="0.2">
      <c r="A1971" s="37"/>
      <c r="B1971" s="37"/>
      <c r="C1971" s="37"/>
      <c r="D1971" s="37"/>
      <c r="E1971" s="37"/>
    </row>
    <row r="1972" spans="1:5" ht="12.75" x14ac:dyDescent="0.2">
      <c r="A1972" s="36" t="s">
        <v>1238</v>
      </c>
      <c r="B1972" s="37"/>
      <c r="C1972" s="37"/>
      <c r="D1972" s="37"/>
      <c r="E1972" s="37"/>
    </row>
    <row r="1973" spans="1:5" ht="12.75" x14ac:dyDescent="0.2">
      <c r="A1973" s="37"/>
      <c r="B1973" s="36" t="s">
        <v>398</v>
      </c>
      <c r="C1973" s="37"/>
      <c r="D1973" s="37"/>
      <c r="E1973" s="37"/>
    </row>
    <row r="1974" spans="1:5" ht="12.75" x14ac:dyDescent="0.2">
      <c r="A1974" s="37"/>
      <c r="B1974" s="36" t="s">
        <v>399</v>
      </c>
      <c r="C1974" s="37"/>
      <c r="D1974" s="37"/>
      <c r="E1974" s="37"/>
    </row>
    <row r="1975" spans="1:5" ht="12.75" x14ac:dyDescent="0.2">
      <c r="A1975" s="37"/>
      <c r="B1975" s="36" t="s">
        <v>400</v>
      </c>
      <c r="C1975" s="36" t="s">
        <v>1238</v>
      </c>
      <c r="D1975" s="37"/>
      <c r="E1975" s="37"/>
    </row>
    <row r="1976" spans="1:5" ht="12.75" x14ac:dyDescent="0.2">
      <c r="A1976" s="37"/>
      <c r="B1976" s="36" t="s">
        <v>401</v>
      </c>
      <c r="C1976" s="37"/>
      <c r="D1976" s="37"/>
      <c r="E1976" s="37"/>
    </row>
    <row r="1977" spans="1:5" ht="12.75" x14ac:dyDescent="0.2">
      <c r="A1977" s="36" t="s">
        <v>1239</v>
      </c>
      <c r="B1977" s="36" t="s">
        <v>402</v>
      </c>
      <c r="C1977" s="36" t="s">
        <v>1240</v>
      </c>
      <c r="D1977" s="37"/>
      <c r="E1977" s="37"/>
    </row>
    <row r="1978" spans="1:5" ht="12.75" x14ac:dyDescent="0.2">
      <c r="A1978" s="36" t="s">
        <v>1241</v>
      </c>
      <c r="B1978" s="37"/>
      <c r="C1978" s="37"/>
      <c r="D1978" s="37"/>
      <c r="E1978" s="37"/>
    </row>
    <row r="1979" spans="1:5" ht="12.75" x14ac:dyDescent="0.2">
      <c r="A1979" s="36" t="s">
        <v>1242</v>
      </c>
      <c r="B1979" s="37"/>
      <c r="C1979" s="37"/>
      <c r="D1979" s="37"/>
      <c r="E1979" s="37"/>
    </row>
    <row r="1980" spans="1:5" ht="12.75" x14ac:dyDescent="0.2">
      <c r="A1980" s="36" t="s">
        <v>1243</v>
      </c>
      <c r="B1980" s="37"/>
      <c r="C1980" s="37"/>
      <c r="D1980" s="37"/>
      <c r="E1980" s="37"/>
    </row>
    <row r="1981" spans="1:5" ht="12.75" x14ac:dyDescent="0.2">
      <c r="A1981" s="36" t="s">
        <v>1244</v>
      </c>
      <c r="B1981" s="37"/>
      <c r="C1981" s="37"/>
      <c r="D1981" s="37"/>
      <c r="E1981" s="37"/>
    </row>
    <row r="1982" spans="1:5" ht="12.75" x14ac:dyDescent="0.2">
      <c r="A1982" s="36" t="s">
        <v>1245</v>
      </c>
      <c r="B1982" s="37"/>
      <c r="C1982" s="37"/>
      <c r="D1982" s="37"/>
      <c r="E1982" s="37"/>
    </row>
    <row r="1983" spans="1:5" ht="12.75" x14ac:dyDescent="0.2">
      <c r="A1983" s="37"/>
      <c r="B1983" s="36" t="s">
        <v>403</v>
      </c>
      <c r="C1983" s="36" t="s">
        <v>25</v>
      </c>
      <c r="D1983" s="36" t="s">
        <v>27</v>
      </c>
      <c r="E1983" s="37"/>
    </row>
    <row r="1984" spans="1:5" ht="12.75" x14ac:dyDescent="0.2">
      <c r="A1984" s="37"/>
      <c r="B1984" s="36" t="s">
        <v>403</v>
      </c>
      <c r="C1984" s="36" t="s">
        <v>30</v>
      </c>
      <c r="D1984" s="36" t="s">
        <v>31</v>
      </c>
      <c r="E1984" s="37"/>
    </row>
    <row r="1985" spans="1:5" ht="12.75" x14ac:dyDescent="0.2">
      <c r="A1985" s="37"/>
      <c r="B1985" s="36" t="s">
        <v>403</v>
      </c>
      <c r="C1985" s="36" t="s">
        <v>41</v>
      </c>
      <c r="D1985" s="36" t="s">
        <v>10</v>
      </c>
      <c r="E1985" s="37"/>
    </row>
    <row r="1986" spans="1:5" ht="12.75" x14ac:dyDescent="0.2">
      <c r="A1986" s="37"/>
      <c r="B1986" s="37"/>
      <c r="C1986" s="37"/>
      <c r="D1986" s="37"/>
      <c r="E1986" s="37"/>
    </row>
    <row r="1987" spans="1:5" ht="12.75" x14ac:dyDescent="0.2">
      <c r="A1987" s="36" t="s">
        <v>1246</v>
      </c>
      <c r="B1987" s="37"/>
      <c r="C1987" s="37"/>
      <c r="D1987" s="37"/>
      <c r="E1987" s="37"/>
    </row>
    <row r="1988" spans="1:5" ht="12.75" x14ac:dyDescent="0.2">
      <c r="A1988" s="37"/>
      <c r="B1988" s="36" t="s">
        <v>398</v>
      </c>
      <c r="C1988" s="37"/>
      <c r="D1988" s="37"/>
      <c r="E1988" s="37"/>
    </row>
    <row r="1989" spans="1:5" ht="12.75" x14ac:dyDescent="0.2">
      <c r="A1989" s="37"/>
      <c r="B1989" s="36" t="s">
        <v>399</v>
      </c>
      <c r="C1989" s="37"/>
      <c r="D1989" s="37"/>
      <c r="E1989" s="37"/>
    </row>
    <row r="1990" spans="1:5" ht="12.75" x14ac:dyDescent="0.2">
      <c r="A1990" s="37"/>
      <c r="B1990" s="36" t="s">
        <v>400</v>
      </c>
      <c r="C1990" s="36" t="s">
        <v>1246</v>
      </c>
      <c r="D1990" s="37"/>
      <c r="E1990" s="37"/>
    </row>
    <row r="1991" spans="1:5" ht="12.75" x14ac:dyDescent="0.2">
      <c r="A1991" s="37"/>
      <c r="B1991" s="36" t="s">
        <v>401</v>
      </c>
      <c r="C1991" s="37"/>
      <c r="D1991" s="37"/>
      <c r="E1991" s="37"/>
    </row>
    <row r="1992" spans="1:5" ht="12.75" x14ac:dyDescent="0.2">
      <c r="A1992" s="36" t="s">
        <v>1247</v>
      </c>
      <c r="B1992" s="36" t="s">
        <v>402</v>
      </c>
      <c r="C1992" s="36" t="s">
        <v>1248</v>
      </c>
      <c r="D1992" s="37"/>
      <c r="E1992" s="37"/>
    </row>
    <row r="1993" spans="1:5" ht="12.75" x14ac:dyDescent="0.2">
      <c r="A1993" s="36" t="s">
        <v>1249</v>
      </c>
      <c r="B1993" s="37"/>
      <c r="C1993" s="37"/>
      <c r="D1993" s="37"/>
      <c r="E1993" s="37"/>
    </row>
    <row r="1994" spans="1:5" ht="12.75" x14ac:dyDescent="0.2">
      <c r="A1994" s="36" t="s">
        <v>1250</v>
      </c>
      <c r="B1994" s="37"/>
      <c r="C1994" s="37"/>
      <c r="D1994" s="37"/>
      <c r="E1994" s="37"/>
    </row>
    <row r="1995" spans="1:5" ht="12.75" x14ac:dyDescent="0.2">
      <c r="A1995" s="36" t="s">
        <v>1251</v>
      </c>
      <c r="B1995" s="37"/>
      <c r="C1995" s="37"/>
      <c r="D1995" s="37"/>
      <c r="E1995" s="37"/>
    </row>
    <row r="1996" spans="1:5" ht="12.75" x14ac:dyDescent="0.2">
      <c r="A1996" s="36" t="s">
        <v>1252</v>
      </c>
      <c r="B1996" s="37"/>
      <c r="C1996" s="37"/>
      <c r="D1996" s="37"/>
      <c r="E1996" s="37"/>
    </row>
    <row r="1997" spans="1:5" ht="12.75" x14ac:dyDescent="0.2">
      <c r="A1997" s="36" t="s">
        <v>1253</v>
      </c>
      <c r="B1997" s="37"/>
      <c r="C1997" s="37"/>
      <c r="D1997" s="37"/>
      <c r="E1997" s="37"/>
    </row>
    <row r="1998" spans="1:5" ht="12.75" x14ac:dyDescent="0.2">
      <c r="A1998" s="36" t="s">
        <v>1254</v>
      </c>
      <c r="B1998" s="37"/>
      <c r="C1998" s="37"/>
      <c r="D1998" s="37"/>
      <c r="E1998" s="37"/>
    </row>
    <row r="1999" spans="1:5" ht="12.75" x14ac:dyDescent="0.2">
      <c r="A1999" s="36" t="s">
        <v>1255</v>
      </c>
      <c r="B1999" s="37"/>
      <c r="C1999" s="37"/>
      <c r="D1999" s="37"/>
      <c r="E1999" s="37"/>
    </row>
    <row r="2000" spans="1:5" ht="12.75" x14ac:dyDescent="0.2">
      <c r="A2000" s="36" t="s">
        <v>1256</v>
      </c>
      <c r="B2000" s="37"/>
      <c r="C2000" s="37"/>
      <c r="D2000" s="37"/>
      <c r="E2000" s="37"/>
    </row>
    <row r="2001" spans="1:5" ht="12.75" x14ac:dyDescent="0.2">
      <c r="A2001" s="36" t="s">
        <v>1257</v>
      </c>
      <c r="B2001" s="37"/>
      <c r="C2001" s="37"/>
      <c r="D2001" s="37"/>
      <c r="E2001" s="37"/>
    </row>
    <row r="2002" spans="1:5" ht="12.75" x14ac:dyDescent="0.2">
      <c r="A2002" s="37"/>
      <c r="B2002" s="37"/>
      <c r="C2002" s="37"/>
      <c r="D2002" s="37"/>
      <c r="E2002" s="37"/>
    </row>
    <row r="2003" spans="1:5" ht="12.75" x14ac:dyDescent="0.2">
      <c r="A2003" s="36" t="s">
        <v>1258</v>
      </c>
      <c r="B2003" s="37"/>
      <c r="C2003" s="37"/>
      <c r="D2003" s="37"/>
      <c r="E2003" s="37"/>
    </row>
    <row r="2004" spans="1:5" ht="12.75" x14ac:dyDescent="0.2">
      <c r="A2004" s="37"/>
      <c r="B2004" s="36" t="s">
        <v>398</v>
      </c>
      <c r="C2004" s="37"/>
      <c r="D2004" s="37"/>
      <c r="E2004" s="37"/>
    </row>
    <row r="2005" spans="1:5" ht="12.75" x14ac:dyDescent="0.2">
      <c r="A2005" s="37"/>
      <c r="B2005" s="36" t="s">
        <v>399</v>
      </c>
      <c r="C2005" s="37"/>
      <c r="D2005" s="37"/>
      <c r="E2005" s="37"/>
    </row>
    <row r="2006" spans="1:5" ht="12.75" x14ac:dyDescent="0.2">
      <c r="A2006" s="37"/>
      <c r="B2006" s="36" t="s">
        <v>400</v>
      </c>
      <c r="C2006" s="36" t="s">
        <v>1258</v>
      </c>
      <c r="D2006" s="37"/>
      <c r="E2006" s="37"/>
    </row>
    <row r="2007" spans="1:5" ht="12.75" x14ac:dyDescent="0.2">
      <c r="A2007" s="37"/>
      <c r="B2007" s="36" t="s">
        <v>401</v>
      </c>
      <c r="C2007" s="37"/>
      <c r="D2007" s="37"/>
      <c r="E2007" s="37"/>
    </row>
    <row r="2008" spans="1:5" ht="12.75" x14ac:dyDescent="0.2">
      <c r="A2008" s="36" t="s">
        <v>1259</v>
      </c>
      <c r="B2008" s="36" t="s">
        <v>402</v>
      </c>
      <c r="C2008" s="36" t="s">
        <v>1260</v>
      </c>
      <c r="D2008" s="37"/>
      <c r="E2008" s="37"/>
    </row>
    <row r="2009" spans="1:5" ht="12.75" x14ac:dyDescent="0.2">
      <c r="A2009" s="36" t="s">
        <v>1261</v>
      </c>
      <c r="B2009" s="37"/>
      <c r="C2009" s="37"/>
      <c r="D2009" s="37"/>
      <c r="E2009" s="37"/>
    </row>
    <row r="2010" spans="1:5" ht="12.75" x14ac:dyDescent="0.2">
      <c r="A2010" s="36" t="s">
        <v>1262</v>
      </c>
      <c r="B2010" s="37"/>
      <c r="C2010" s="37"/>
      <c r="D2010" s="37"/>
      <c r="E2010" s="37"/>
    </row>
    <row r="2011" spans="1:5" ht="12.75" x14ac:dyDescent="0.2">
      <c r="A2011" s="36" t="s">
        <v>1263</v>
      </c>
      <c r="B2011" s="37"/>
      <c r="C2011" s="37"/>
      <c r="D2011" s="37"/>
      <c r="E2011" s="37"/>
    </row>
    <row r="2012" spans="1:5" ht="12.75" x14ac:dyDescent="0.2">
      <c r="A2012" s="36" t="s">
        <v>1264</v>
      </c>
      <c r="B2012" s="37"/>
      <c r="C2012" s="37"/>
      <c r="D2012" s="37"/>
      <c r="E2012" s="37"/>
    </row>
    <row r="2013" spans="1:5" ht="12.75" x14ac:dyDescent="0.2">
      <c r="A2013" s="36" t="s">
        <v>1265</v>
      </c>
      <c r="B2013" s="37"/>
      <c r="C2013" s="37"/>
      <c r="D2013" s="37"/>
      <c r="E2013" s="37"/>
    </row>
    <row r="2014" spans="1:5" ht="12.75" x14ac:dyDescent="0.2">
      <c r="A2014" s="36" t="s">
        <v>1267</v>
      </c>
      <c r="B2014" s="37"/>
      <c r="C2014" s="37"/>
      <c r="D2014" s="37"/>
      <c r="E2014" s="37"/>
    </row>
    <row r="2015" spans="1:5" ht="12.75" x14ac:dyDescent="0.2">
      <c r="A2015" s="36" t="s">
        <v>1268</v>
      </c>
      <c r="B2015" s="37"/>
      <c r="C2015" s="37"/>
      <c r="D2015" s="37"/>
      <c r="E2015" s="37"/>
    </row>
    <row r="2016" spans="1:5" ht="12.75" x14ac:dyDescent="0.2">
      <c r="A2016" s="36" t="s">
        <v>1269</v>
      </c>
      <c r="B2016" s="37"/>
      <c r="C2016" s="37"/>
      <c r="D2016" s="37"/>
      <c r="E2016" s="37"/>
    </row>
    <row r="2017" spans="1:5" ht="12.75" x14ac:dyDescent="0.2">
      <c r="A2017" s="37"/>
      <c r="B2017" s="37"/>
      <c r="C2017" s="37"/>
      <c r="D2017" s="37"/>
      <c r="E2017" s="37"/>
    </row>
    <row r="2018" spans="1:5" ht="12.75" x14ac:dyDescent="0.2">
      <c r="A2018" s="36" t="s">
        <v>1271</v>
      </c>
      <c r="B2018" s="37"/>
      <c r="C2018" s="37"/>
      <c r="D2018" s="37"/>
      <c r="E2018" s="37"/>
    </row>
    <row r="2019" spans="1:5" ht="12.75" x14ac:dyDescent="0.2">
      <c r="A2019" s="37"/>
      <c r="B2019" s="36" t="s">
        <v>398</v>
      </c>
      <c r="C2019" s="37"/>
      <c r="D2019" s="37"/>
      <c r="E2019" s="37"/>
    </row>
    <row r="2020" spans="1:5" ht="12.75" x14ac:dyDescent="0.2">
      <c r="A2020" s="37"/>
      <c r="B2020" s="36" t="s">
        <v>399</v>
      </c>
      <c r="C2020" s="37"/>
      <c r="D2020" s="37"/>
      <c r="E2020" s="37"/>
    </row>
    <row r="2021" spans="1:5" ht="12.75" x14ac:dyDescent="0.2">
      <c r="A2021" s="37"/>
      <c r="B2021" s="36" t="s">
        <v>400</v>
      </c>
      <c r="C2021" s="36" t="s">
        <v>1271</v>
      </c>
      <c r="D2021" s="37"/>
      <c r="E2021" s="37"/>
    </row>
    <row r="2022" spans="1:5" ht="12.75" x14ac:dyDescent="0.2">
      <c r="A2022" s="37"/>
      <c r="B2022" s="36" t="s">
        <v>401</v>
      </c>
      <c r="C2022" s="37"/>
      <c r="D2022" s="37"/>
      <c r="E2022" s="37"/>
    </row>
    <row r="2023" spans="1:5" ht="12.75" x14ac:dyDescent="0.2">
      <c r="A2023" s="36" t="s">
        <v>1025</v>
      </c>
      <c r="B2023" s="36" t="s">
        <v>402</v>
      </c>
      <c r="C2023" s="36" t="s">
        <v>1275</v>
      </c>
      <c r="D2023" s="37"/>
      <c r="E2023" s="37"/>
    </row>
    <row r="2024" spans="1:5" ht="12.75" x14ac:dyDescent="0.2">
      <c r="A2024" s="36" t="s">
        <v>1277</v>
      </c>
      <c r="B2024" s="37"/>
      <c r="C2024" s="37"/>
      <c r="D2024" s="37"/>
      <c r="E2024" s="37"/>
    </row>
    <row r="2025" spans="1:5" ht="12.75" x14ac:dyDescent="0.2">
      <c r="A2025" s="36" t="s">
        <v>1278</v>
      </c>
      <c r="B2025" s="37"/>
      <c r="C2025" s="37"/>
      <c r="D2025" s="37"/>
      <c r="E2025" s="37"/>
    </row>
    <row r="2026" spans="1:5" ht="12.75" x14ac:dyDescent="0.2">
      <c r="A2026" s="36" t="s">
        <v>1279</v>
      </c>
      <c r="B2026" s="37"/>
      <c r="C2026" s="37"/>
      <c r="D2026" s="37"/>
      <c r="E2026" s="37"/>
    </row>
    <row r="2027" spans="1:5" ht="12.75" x14ac:dyDescent="0.2">
      <c r="A2027" s="36" t="s">
        <v>1281</v>
      </c>
      <c r="B2027" s="37"/>
      <c r="C2027" s="37"/>
      <c r="D2027" s="37"/>
      <c r="E2027" s="37"/>
    </row>
    <row r="2028" spans="1:5" ht="12.75" x14ac:dyDescent="0.2">
      <c r="A2028" s="36" t="s">
        <v>1282</v>
      </c>
      <c r="B2028" s="37"/>
      <c r="C2028" s="37"/>
      <c r="D2028" s="37"/>
      <c r="E2028" s="37"/>
    </row>
    <row r="2029" spans="1:5" ht="12.75" x14ac:dyDescent="0.2">
      <c r="A2029" s="36" t="s">
        <v>1283</v>
      </c>
      <c r="B2029" s="37"/>
      <c r="C2029" s="37"/>
      <c r="D2029" s="37"/>
      <c r="E2029" s="37"/>
    </row>
    <row r="2030" spans="1:5" ht="12.75" x14ac:dyDescent="0.2">
      <c r="A2030" s="36" t="s">
        <v>1284</v>
      </c>
      <c r="B2030" s="37"/>
      <c r="C2030" s="37"/>
      <c r="D2030" s="37"/>
      <c r="E2030" s="37"/>
    </row>
    <row r="2031" spans="1:5" ht="12.75" x14ac:dyDescent="0.2">
      <c r="A2031" s="36" t="s">
        <v>1019</v>
      </c>
      <c r="B2031" s="37"/>
      <c r="C2031" s="37"/>
      <c r="D2031" s="37"/>
      <c r="E2031" s="37"/>
    </row>
    <row r="2032" spans="1:5" ht="12.75" x14ac:dyDescent="0.2">
      <c r="A2032" s="36" t="s">
        <v>1285</v>
      </c>
      <c r="B2032" s="37"/>
      <c r="C2032" s="37"/>
      <c r="D2032" s="37"/>
      <c r="E2032" s="37"/>
    </row>
    <row r="2033" spans="1:5" ht="12.75" x14ac:dyDescent="0.2">
      <c r="A2033" s="37"/>
      <c r="B2033" s="37"/>
      <c r="C2033" s="37"/>
      <c r="D2033" s="37"/>
      <c r="E2033" s="37"/>
    </row>
    <row r="2034" spans="1:5" ht="12.75" x14ac:dyDescent="0.2">
      <c r="A2034" s="36" t="s">
        <v>1288</v>
      </c>
      <c r="B2034" s="37"/>
      <c r="C2034" s="37"/>
      <c r="D2034" s="37"/>
      <c r="E2034" s="37"/>
    </row>
    <row r="2035" spans="1:5" ht="12.75" x14ac:dyDescent="0.2">
      <c r="A2035" s="37"/>
      <c r="B2035" s="36" t="s">
        <v>398</v>
      </c>
      <c r="C2035" s="37"/>
      <c r="D2035" s="37"/>
      <c r="E2035" s="37"/>
    </row>
    <row r="2036" spans="1:5" ht="12.75" x14ac:dyDescent="0.2">
      <c r="A2036" s="37"/>
      <c r="B2036" s="36" t="s">
        <v>399</v>
      </c>
      <c r="C2036" s="37"/>
      <c r="D2036" s="37"/>
      <c r="E2036" s="37"/>
    </row>
    <row r="2037" spans="1:5" ht="12.75" x14ac:dyDescent="0.2">
      <c r="A2037" s="37"/>
      <c r="B2037" s="36" t="s">
        <v>400</v>
      </c>
      <c r="C2037" s="36" t="s">
        <v>1288</v>
      </c>
      <c r="D2037" s="37"/>
      <c r="E2037" s="37"/>
    </row>
    <row r="2038" spans="1:5" ht="12.75" x14ac:dyDescent="0.2">
      <c r="A2038" s="37"/>
      <c r="B2038" s="36" t="s">
        <v>401</v>
      </c>
      <c r="C2038" s="37"/>
      <c r="D2038" s="37"/>
      <c r="E2038" s="37"/>
    </row>
    <row r="2039" spans="1:5" ht="12.75" x14ac:dyDescent="0.2">
      <c r="A2039" s="36" t="s">
        <v>1290</v>
      </c>
      <c r="B2039" s="36" t="s">
        <v>402</v>
      </c>
      <c r="C2039" s="36" t="s">
        <v>1292</v>
      </c>
      <c r="D2039" s="37"/>
      <c r="E2039" s="37"/>
    </row>
    <row r="2040" spans="1:5" ht="12.75" x14ac:dyDescent="0.2">
      <c r="A2040" s="37"/>
      <c r="B2040" s="37"/>
      <c r="C2040" s="37"/>
      <c r="D2040" s="37"/>
      <c r="E2040" s="37"/>
    </row>
    <row r="2041" spans="1:5" ht="12.75" x14ac:dyDescent="0.2">
      <c r="A2041" s="36" t="s">
        <v>1295</v>
      </c>
      <c r="B2041" s="37"/>
      <c r="C2041" s="37"/>
      <c r="D2041" s="37"/>
      <c r="E2041" s="37"/>
    </row>
    <row r="2042" spans="1:5" ht="12.75" x14ac:dyDescent="0.2">
      <c r="A2042" s="37"/>
      <c r="B2042" s="36" t="s">
        <v>398</v>
      </c>
      <c r="C2042" s="37"/>
      <c r="D2042" s="37"/>
      <c r="E2042" s="37"/>
    </row>
    <row r="2043" spans="1:5" ht="12.75" x14ac:dyDescent="0.2">
      <c r="A2043" s="37"/>
      <c r="B2043" s="36" t="s">
        <v>399</v>
      </c>
      <c r="C2043" s="37"/>
      <c r="D2043" s="37"/>
      <c r="E2043" s="37"/>
    </row>
    <row r="2044" spans="1:5" ht="12.75" x14ac:dyDescent="0.2">
      <c r="A2044" s="37"/>
      <c r="B2044" s="36" t="s">
        <v>400</v>
      </c>
      <c r="C2044" s="36" t="s">
        <v>1295</v>
      </c>
      <c r="D2044" s="37"/>
      <c r="E2044" s="37"/>
    </row>
    <row r="2045" spans="1:5" ht="12.75" x14ac:dyDescent="0.2">
      <c r="A2045" s="37"/>
      <c r="B2045" s="36" t="s">
        <v>401</v>
      </c>
      <c r="C2045" s="37"/>
      <c r="D2045" s="37"/>
      <c r="E2045" s="37"/>
    </row>
    <row r="2046" spans="1:5" ht="12.75" x14ac:dyDescent="0.2">
      <c r="A2046" s="36" t="s">
        <v>1297</v>
      </c>
      <c r="B2046" s="36" t="s">
        <v>402</v>
      </c>
      <c r="C2046" s="36" t="s">
        <v>1298</v>
      </c>
      <c r="D2046" s="37"/>
      <c r="E2046" s="37"/>
    </row>
    <row r="2047" spans="1:5" ht="12.75" x14ac:dyDescent="0.2">
      <c r="A2047" s="36" t="s">
        <v>1299</v>
      </c>
      <c r="B2047" s="37"/>
      <c r="C2047" s="37"/>
      <c r="D2047" s="37"/>
      <c r="E2047" s="37"/>
    </row>
    <row r="2048" spans="1:5" ht="12.75" x14ac:dyDescent="0.2">
      <c r="A2048" s="36" t="s">
        <v>1300</v>
      </c>
      <c r="B2048" s="37"/>
      <c r="C2048" s="37"/>
      <c r="D2048" s="37"/>
      <c r="E2048" s="37"/>
    </row>
    <row r="2049" spans="1:5" ht="12.75" x14ac:dyDescent="0.2">
      <c r="A2049" s="36" t="s">
        <v>1301</v>
      </c>
      <c r="B2049" s="37"/>
      <c r="C2049" s="37"/>
      <c r="D2049" s="37"/>
      <c r="E2049" s="37"/>
    </row>
    <row r="2050" spans="1:5" ht="12.75" x14ac:dyDescent="0.2">
      <c r="A2050" s="37"/>
      <c r="B2050" s="36" t="s">
        <v>403</v>
      </c>
      <c r="C2050" s="36" t="s">
        <v>25</v>
      </c>
      <c r="D2050" s="36" t="s">
        <v>27</v>
      </c>
      <c r="E2050" s="37"/>
    </row>
    <row r="2051" spans="1:5" ht="12.75" x14ac:dyDescent="0.2">
      <c r="A2051" s="37"/>
      <c r="B2051" s="36" t="s">
        <v>403</v>
      </c>
      <c r="C2051" s="36" t="s">
        <v>30</v>
      </c>
      <c r="D2051" s="36" t="s">
        <v>31</v>
      </c>
      <c r="E2051" s="37"/>
    </row>
    <row r="2052" spans="1:5" ht="12.75" x14ac:dyDescent="0.2">
      <c r="A2052" s="37"/>
      <c r="B2052" s="36" t="s">
        <v>403</v>
      </c>
      <c r="C2052" s="36" t="s">
        <v>41</v>
      </c>
      <c r="D2052" s="36" t="s">
        <v>10</v>
      </c>
      <c r="E2052" s="37"/>
    </row>
    <row r="2053" spans="1:5" ht="12.75" x14ac:dyDescent="0.2">
      <c r="A2053" s="37"/>
      <c r="B2053" s="37"/>
      <c r="C2053" s="37"/>
      <c r="D2053" s="37"/>
      <c r="E2053" s="37"/>
    </row>
    <row r="2054" spans="1:5" ht="12.75" x14ac:dyDescent="0.2">
      <c r="A2054" s="36" t="s">
        <v>1302</v>
      </c>
      <c r="B2054" s="37"/>
      <c r="C2054" s="37"/>
      <c r="D2054" s="37"/>
      <c r="E2054" s="37"/>
    </row>
    <row r="2055" spans="1:5" ht="12.75" x14ac:dyDescent="0.2">
      <c r="A2055" s="37"/>
      <c r="B2055" s="36" t="s">
        <v>398</v>
      </c>
      <c r="C2055" s="37"/>
      <c r="D2055" s="37"/>
      <c r="E2055" s="37"/>
    </row>
    <row r="2056" spans="1:5" ht="12.75" x14ac:dyDescent="0.2">
      <c r="A2056" s="37"/>
      <c r="B2056" s="36" t="s">
        <v>399</v>
      </c>
      <c r="C2056" s="37"/>
      <c r="D2056" s="37"/>
      <c r="E2056" s="37"/>
    </row>
    <row r="2057" spans="1:5" ht="12.75" x14ac:dyDescent="0.2">
      <c r="A2057" s="37"/>
      <c r="B2057" s="36" t="s">
        <v>400</v>
      </c>
      <c r="C2057" s="36" t="s">
        <v>1302</v>
      </c>
      <c r="D2057" s="37"/>
      <c r="E2057" s="37"/>
    </row>
    <row r="2058" spans="1:5" ht="12.75" x14ac:dyDescent="0.2">
      <c r="A2058" s="37"/>
      <c r="B2058" s="36" t="s">
        <v>401</v>
      </c>
      <c r="C2058" s="37"/>
      <c r="D2058" s="37"/>
      <c r="E2058" s="37"/>
    </row>
    <row r="2059" spans="1:5" ht="12.75" x14ac:dyDescent="0.2">
      <c r="A2059" s="36" t="s">
        <v>1303</v>
      </c>
      <c r="B2059" s="36" t="s">
        <v>402</v>
      </c>
      <c r="C2059" s="36" t="s">
        <v>1304</v>
      </c>
      <c r="D2059" s="37"/>
      <c r="E2059" s="37"/>
    </row>
    <row r="2060" spans="1:5" ht="12.75" x14ac:dyDescent="0.2">
      <c r="A2060" s="36" t="s">
        <v>1305</v>
      </c>
      <c r="B2060" s="37"/>
      <c r="C2060" s="37"/>
      <c r="D2060" s="37"/>
      <c r="E2060" s="37"/>
    </row>
    <row r="2061" spans="1:5" ht="12.75" x14ac:dyDescent="0.2">
      <c r="A2061" s="36" t="s">
        <v>1306</v>
      </c>
      <c r="B2061" s="37"/>
      <c r="C2061" s="37"/>
      <c r="D2061" s="37"/>
      <c r="E2061" s="37"/>
    </row>
    <row r="2062" spans="1:5" ht="12.75" x14ac:dyDescent="0.2">
      <c r="A2062" s="36" t="s">
        <v>1307</v>
      </c>
      <c r="B2062" s="37"/>
      <c r="C2062" s="37"/>
      <c r="D2062" s="37"/>
      <c r="E2062" s="37"/>
    </row>
    <row r="2063" spans="1:5" ht="12.75" x14ac:dyDescent="0.2">
      <c r="A2063" s="36" t="s">
        <v>1308</v>
      </c>
      <c r="B2063" s="37"/>
      <c r="C2063" s="37"/>
      <c r="D2063" s="37"/>
      <c r="E2063" s="37"/>
    </row>
    <row r="2064" spans="1:5" ht="12.75" x14ac:dyDescent="0.2">
      <c r="A2064" s="36" t="s">
        <v>1309</v>
      </c>
      <c r="B2064" s="37"/>
      <c r="C2064" s="37"/>
      <c r="D2064" s="37"/>
      <c r="E2064" s="37"/>
    </row>
    <row r="2065" spans="1:5" ht="12.75" x14ac:dyDescent="0.2">
      <c r="A2065" s="36" t="s">
        <v>1310</v>
      </c>
      <c r="B2065" s="37"/>
      <c r="C2065" s="37"/>
      <c r="D2065" s="37"/>
      <c r="E2065" s="37"/>
    </row>
    <row r="2066" spans="1:5" ht="12.75" x14ac:dyDescent="0.2">
      <c r="A2066" s="36" t="s">
        <v>1311</v>
      </c>
      <c r="B2066" s="37"/>
      <c r="C2066" s="37"/>
      <c r="D2066" s="37"/>
      <c r="E2066" s="37"/>
    </row>
    <row r="2067" spans="1:5" ht="12.75" x14ac:dyDescent="0.2">
      <c r="A2067" s="36" t="s">
        <v>1312</v>
      </c>
      <c r="B2067" s="37"/>
      <c r="C2067" s="37"/>
      <c r="D2067" s="37"/>
      <c r="E2067" s="37"/>
    </row>
    <row r="2068" spans="1:5" ht="12.75" x14ac:dyDescent="0.2">
      <c r="A2068" s="36" t="s">
        <v>1313</v>
      </c>
      <c r="B2068" s="37"/>
      <c r="C2068" s="37"/>
      <c r="D2068" s="37"/>
      <c r="E2068" s="37"/>
    </row>
    <row r="2069" spans="1:5" ht="12.75" x14ac:dyDescent="0.2">
      <c r="A2069" s="37"/>
      <c r="B2069" s="36" t="s">
        <v>403</v>
      </c>
      <c r="C2069" s="36" t="s">
        <v>25</v>
      </c>
      <c r="D2069" s="36" t="s">
        <v>27</v>
      </c>
      <c r="E2069" s="37"/>
    </row>
    <row r="2070" spans="1:5" ht="12.75" x14ac:dyDescent="0.2">
      <c r="A2070" s="37"/>
      <c r="B2070" s="36" t="s">
        <v>403</v>
      </c>
      <c r="C2070" s="36" t="s">
        <v>30</v>
      </c>
      <c r="D2070" s="36" t="s">
        <v>31</v>
      </c>
      <c r="E2070" s="37"/>
    </row>
    <row r="2071" spans="1:5" ht="12.75" x14ac:dyDescent="0.2">
      <c r="A2071" s="37"/>
      <c r="B2071" s="36" t="s">
        <v>403</v>
      </c>
      <c r="C2071" s="36" t="s">
        <v>41</v>
      </c>
      <c r="D2071" s="36" t="s">
        <v>10</v>
      </c>
      <c r="E2071" s="37"/>
    </row>
    <row r="2072" spans="1:5" ht="12.75" x14ac:dyDescent="0.2">
      <c r="A2072" s="37"/>
      <c r="B2072" s="37"/>
      <c r="C2072" s="37"/>
      <c r="D2072" s="37"/>
      <c r="E2072" s="37"/>
    </row>
    <row r="2073" spans="1:5" ht="12.75" x14ac:dyDescent="0.2">
      <c r="A2073" s="36" t="s">
        <v>1314</v>
      </c>
      <c r="B2073" s="37"/>
      <c r="C2073" s="37"/>
      <c r="D2073" s="37"/>
      <c r="E2073" s="37"/>
    </row>
    <row r="2074" spans="1:5" ht="12.75" x14ac:dyDescent="0.2">
      <c r="A2074" s="37"/>
      <c r="B2074" s="36" t="s">
        <v>398</v>
      </c>
      <c r="C2074" s="37"/>
      <c r="D2074" s="37"/>
      <c r="E2074" s="37"/>
    </row>
    <row r="2075" spans="1:5" ht="12.75" x14ac:dyDescent="0.2">
      <c r="A2075" s="37"/>
      <c r="B2075" s="36" t="s">
        <v>399</v>
      </c>
      <c r="C2075" s="37"/>
      <c r="D2075" s="37"/>
      <c r="E2075" s="37"/>
    </row>
    <row r="2076" spans="1:5" ht="12.75" x14ac:dyDescent="0.2">
      <c r="A2076" s="37"/>
      <c r="B2076" s="36" t="s">
        <v>400</v>
      </c>
      <c r="C2076" s="36" t="s">
        <v>1314</v>
      </c>
      <c r="D2076" s="37"/>
      <c r="E2076" s="37"/>
    </row>
    <row r="2077" spans="1:5" ht="12.75" x14ac:dyDescent="0.2">
      <c r="A2077" s="37"/>
      <c r="B2077" s="36" t="s">
        <v>401</v>
      </c>
      <c r="C2077" s="37"/>
      <c r="D2077" s="37"/>
      <c r="E2077" s="37"/>
    </row>
    <row r="2078" spans="1:5" ht="12.75" x14ac:dyDescent="0.2">
      <c r="A2078" s="36" t="s">
        <v>1315</v>
      </c>
      <c r="B2078" s="36" t="s">
        <v>402</v>
      </c>
      <c r="C2078" s="36" t="s">
        <v>1316</v>
      </c>
      <c r="D2078" s="37"/>
      <c r="E2078" s="37"/>
    </row>
    <row r="2079" spans="1:5" ht="12.75" x14ac:dyDescent="0.2">
      <c r="A2079" s="36" t="s">
        <v>1317</v>
      </c>
      <c r="B2079" s="37"/>
      <c r="C2079" s="37"/>
      <c r="D2079" s="37"/>
      <c r="E2079" s="37"/>
    </row>
    <row r="2080" spans="1:5" ht="12.75" x14ac:dyDescent="0.2">
      <c r="A2080" s="36" t="s">
        <v>1318</v>
      </c>
      <c r="B2080" s="37"/>
      <c r="C2080" s="37"/>
      <c r="D2080" s="37"/>
      <c r="E2080" s="37"/>
    </row>
    <row r="2081" spans="1:5" ht="12.75" x14ac:dyDescent="0.2">
      <c r="A2081" s="36" t="s">
        <v>1319</v>
      </c>
      <c r="B2081" s="37"/>
      <c r="C2081" s="37"/>
      <c r="D2081" s="37"/>
      <c r="E2081" s="37"/>
    </row>
    <row r="2082" spans="1:5" ht="12.75" x14ac:dyDescent="0.2">
      <c r="A2082" s="37"/>
      <c r="B2082" s="36" t="s">
        <v>422</v>
      </c>
      <c r="C2082" s="36" t="s">
        <v>1320</v>
      </c>
      <c r="D2082" s="36" t="s">
        <v>805</v>
      </c>
      <c r="E2082" s="37"/>
    </row>
    <row r="2083" spans="1:5" ht="12.75" x14ac:dyDescent="0.2">
      <c r="A2083" s="37"/>
      <c r="B2083" s="36" t="s">
        <v>403</v>
      </c>
      <c r="C2083" s="36" t="s">
        <v>25</v>
      </c>
      <c r="D2083" s="36" t="s">
        <v>27</v>
      </c>
      <c r="E2083" s="37"/>
    </row>
    <row r="2084" spans="1:5" ht="12.75" x14ac:dyDescent="0.2">
      <c r="A2084" s="37"/>
      <c r="B2084" s="36" t="s">
        <v>403</v>
      </c>
      <c r="C2084" s="36" t="s">
        <v>30</v>
      </c>
      <c r="D2084" s="36" t="s">
        <v>31</v>
      </c>
      <c r="E2084" s="37"/>
    </row>
    <row r="2085" spans="1:5" ht="12.75" x14ac:dyDescent="0.2">
      <c r="A2085" s="37"/>
      <c r="B2085" s="36" t="s">
        <v>403</v>
      </c>
      <c r="C2085" s="36" t="s">
        <v>41</v>
      </c>
      <c r="D2085" s="36" t="s">
        <v>10</v>
      </c>
      <c r="E2085" s="37"/>
    </row>
    <row r="2086" spans="1:5" ht="12.75" x14ac:dyDescent="0.2">
      <c r="A2086" s="37"/>
      <c r="B2086" s="37"/>
      <c r="C2086" s="37"/>
      <c r="D2086" s="37"/>
      <c r="E2086" s="37"/>
    </row>
    <row r="2087" spans="1:5" ht="12.75" x14ac:dyDescent="0.2">
      <c r="A2087" s="36" t="s">
        <v>1321</v>
      </c>
      <c r="B2087" s="37"/>
      <c r="C2087" s="37"/>
      <c r="D2087" s="37"/>
      <c r="E2087" s="37"/>
    </row>
    <row r="2088" spans="1:5" ht="12.75" x14ac:dyDescent="0.2">
      <c r="A2088" s="37"/>
      <c r="B2088" s="36" t="s">
        <v>398</v>
      </c>
      <c r="C2088" s="37"/>
      <c r="D2088" s="37"/>
      <c r="E2088" s="37"/>
    </row>
    <row r="2089" spans="1:5" ht="12.75" x14ac:dyDescent="0.2">
      <c r="A2089" s="37"/>
      <c r="B2089" s="36" t="s">
        <v>399</v>
      </c>
      <c r="C2089" s="37"/>
      <c r="D2089" s="37"/>
      <c r="E2089" s="37"/>
    </row>
    <row r="2090" spans="1:5" ht="12.75" x14ac:dyDescent="0.2">
      <c r="A2090" s="37"/>
      <c r="B2090" s="36" t="s">
        <v>400</v>
      </c>
      <c r="C2090" s="36" t="s">
        <v>1321</v>
      </c>
      <c r="D2090" s="37"/>
      <c r="E2090" s="37"/>
    </row>
    <row r="2091" spans="1:5" ht="12.75" x14ac:dyDescent="0.2">
      <c r="A2091" s="37"/>
      <c r="B2091" s="36" t="s">
        <v>401</v>
      </c>
      <c r="C2091" s="37"/>
      <c r="D2091" s="37"/>
      <c r="E2091" s="37"/>
    </row>
    <row r="2092" spans="1:5" ht="12.75" x14ac:dyDescent="0.2">
      <c r="A2092" s="36" t="s">
        <v>1317</v>
      </c>
      <c r="B2092" s="36" t="s">
        <v>402</v>
      </c>
      <c r="C2092" s="36" t="s">
        <v>1322</v>
      </c>
      <c r="D2092" s="37"/>
      <c r="E2092" s="37"/>
    </row>
    <row r="2093" spans="1:5" ht="12.75" x14ac:dyDescent="0.2">
      <c r="A2093" s="36" t="s">
        <v>1323</v>
      </c>
      <c r="B2093" s="37"/>
      <c r="C2093" s="37"/>
      <c r="D2093" s="37"/>
      <c r="E2093" s="37"/>
    </row>
    <row r="2094" spans="1:5" ht="12.75" x14ac:dyDescent="0.2">
      <c r="A2094" s="36" t="s">
        <v>1324</v>
      </c>
      <c r="B2094" s="37"/>
      <c r="C2094" s="37"/>
      <c r="D2094" s="37"/>
      <c r="E2094" s="37"/>
    </row>
    <row r="2095" spans="1:5" ht="12.75" x14ac:dyDescent="0.2">
      <c r="A2095" s="36" t="s">
        <v>1325</v>
      </c>
      <c r="B2095" s="37"/>
      <c r="C2095" s="37"/>
      <c r="D2095" s="37"/>
      <c r="E2095" s="37"/>
    </row>
    <row r="2096" spans="1:5" ht="12.75" x14ac:dyDescent="0.2">
      <c r="A2096" s="36" t="s">
        <v>1326</v>
      </c>
      <c r="B2096" s="37"/>
      <c r="C2096" s="37"/>
      <c r="D2096" s="37"/>
      <c r="E2096" s="37"/>
    </row>
    <row r="2097" spans="1:5" ht="12.75" x14ac:dyDescent="0.2">
      <c r="A2097" s="36" t="s">
        <v>1327</v>
      </c>
      <c r="B2097" s="37"/>
      <c r="C2097" s="37"/>
      <c r="D2097" s="37"/>
      <c r="E2097" s="37"/>
    </row>
    <row r="2098" spans="1:5" ht="12.75" x14ac:dyDescent="0.2">
      <c r="A2098" s="36" t="s">
        <v>1328</v>
      </c>
      <c r="B2098" s="37"/>
      <c r="C2098" s="37"/>
      <c r="D2098" s="37"/>
      <c r="E2098" s="37"/>
    </row>
    <row r="2099" spans="1:5" ht="12.75" x14ac:dyDescent="0.2">
      <c r="A2099" s="37"/>
      <c r="B2099" s="36" t="s">
        <v>403</v>
      </c>
      <c r="C2099" s="36" t="s">
        <v>25</v>
      </c>
      <c r="D2099" s="36" t="s">
        <v>27</v>
      </c>
      <c r="E2099" s="37"/>
    </row>
    <row r="2100" spans="1:5" ht="12.75" x14ac:dyDescent="0.2">
      <c r="A2100" s="37"/>
      <c r="B2100" s="36" t="s">
        <v>403</v>
      </c>
      <c r="C2100" s="36" t="s">
        <v>30</v>
      </c>
      <c r="D2100" s="36" t="s">
        <v>31</v>
      </c>
      <c r="E2100" s="37"/>
    </row>
    <row r="2101" spans="1:5" ht="12.75" x14ac:dyDescent="0.2">
      <c r="A2101" s="37"/>
      <c r="B2101" s="36" t="s">
        <v>403</v>
      </c>
      <c r="C2101" s="36" t="s">
        <v>41</v>
      </c>
      <c r="D2101" s="36" t="s">
        <v>10</v>
      </c>
      <c r="E2101" s="37"/>
    </row>
    <row r="2102" spans="1:5" ht="12.75" x14ac:dyDescent="0.2">
      <c r="A2102" s="37"/>
      <c r="B2102" s="37"/>
      <c r="C2102" s="37"/>
      <c r="D2102" s="37"/>
      <c r="E2102" s="37"/>
    </row>
    <row r="2103" spans="1:5" ht="12.75" x14ac:dyDescent="0.2">
      <c r="A2103" s="36" t="s">
        <v>1329</v>
      </c>
      <c r="B2103" s="37"/>
      <c r="C2103" s="37"/>
      <c r="D2103" s="37"/>
      <c r="E2103" s="37"/>
    </row>
    <row r="2104" spans="1:5" ht="12.75" x14ac:dyDescent="0.2">
      <c r="A2104" s="37"/>
      <c r="B2104" s="36" t="s">
        <v>398</v>
      </c>
      <c r="C2104" s="37"/>
      <c r="D2104" s="37"/>
      <c r="E2104" s="37"/>
    </row>
    <row r="2105" spans="1:5" ht="12.75" x14ac:dyDescent="0.2">
      <c r="A2105" s="37"/>
      <c r="B2105" s="36" t="s">
        <v>399</v>
      </c>
      <c r="C2105" s="37"/>
      <c r="D2105" s="37"/>
      <c r="E2105" s="37"/>
    </row>
    <row r="2106" spans="1:5" ht="12.75" x14ac:dyDescent="0.2">
      <c r="A2106" s="37"/>
      <c r="B2106" s="36" t="s">
        <v>400</v>
      </c>
      <c r="C2106" s="36" t="s">
        <v>1329</v>
      </c>
      <c r="D2106" s="37"/>
      <c r="E2106" s="37"/>
    </row>
    <row r="2107" spans="1:5" ht="12.75" x14ac:dyDescent="0.2">
      <c r="A2107" s="37"/>
      <c r="B2107" s="36" t="s">
        <v>401</v>
      </c>
      <c r="C2107" s="37"/>
      <c r="D2107" s="37"/>
      <c r="E2107" s="37"/>
    </row>
    <row r="2108" spans="1:5" ht="12.75" x14ac:dyDescent="0.2">
      <c r="A2108" s="36" t="s">
        <v>1330</v>
      </c>
      <c r="B2108" s="36" t="s">
        <v>402</v>
      </c>
      <c r="C2108" s="36" t="s">
        <v>1331</v>
      </c>
      <c r="D2108" s="37"/>
      <c r="E2108" s="37"/>
    </row>
    <row r="2109" spans="1:5" ht="12.75" x14ac:dyDescent="0.2">
      <c r="A2109" s="36" t="s">
        <v>1332</v>
      </c>
      <c r="B2109" s="37"/>
      <c r="C2109" s="37"/>
      <c r="D2109" s="37"/>
      <c r="E2109" s="37"/>
    </row>
    <row r="2110" spans="1:5" ht="12.75" x14ac:dyDescent="0.2">
      <c r="A2110" s="36" t="s">
        <v>1333</v>
      </c>
      <c r="B2110" s="37"/>
      <c r="C2110" s="37"/>
      <c r="D2110" s="37"/>
      <c r="E2110" s="37"/>
    </row>
    <row r="2111" spans="1:5" ht="12.75" x14ac:dyDescent="0.2">
      <c r="A2111" s="36" t="s">
        <v>1334</v>
      </c>
      <c r="B2111" s="37"/>
      <c r="C2111" s="37"/>
      <c r="D2111" s="37"/>
      <c r="E2111" s="37"/>
    </row>
    <row r="2112" spans="1:5" ht="12.75" x14ac:dyDescent="0.2">
      <c r="A2112" s="36" t="s">
        <v>1335</v>
      </c>
      <c r="B2112" s="37"/>
      <c r="C2112" s="37"/>
      <c r="D2112" s="37"/>
      <c r="E2112" s="37"/>
    </row>
    <row r="2113" spans="1:5" ht="12.75" x14ac:dyDescent="0.2">
      <c r="A2113" s="36" t="s">
        <v>1336</v>
      </c>
      <c r="B2113" s="37"/>
      <c r="C2113" s="37"/>
      <c r="D2113" s="37"/>
      <c r="E2113" s="37"/>
    </row>
    <row r="2114" spans="1:5" ht="12.75" x14ac:dyDescent="0.2">
      <c r="A2114" s="36" t="s">
        <v>1337</v>
      </c>
      <c r="B2114" s="37"/>
      <c r="C2114" s="37"/>
      <c r="D2114" s="37"/>
      <c r="E2114" s="37"/>
    </row>
    <row r="2115" spans="1:5" ht="12.75" x14ac:dyDescent="0.2">
      <c r="A2115" s="37"/>
      <c r="B2115" s="37"/>
      <c r="C2115" s="37"/>
      <c r="D2115" s="37"/>
      <c r="E2115" s="37"/>
    </row>
    <row r="2116" spans="1:5" ht="12.75" x14ac:dyDescent="0.2">
      <c r="A2116" s="36" t="s">
        <v>1338</v>
      </c>
      <c r="B2116" s="37"/>
      <c r="C2116" s="37"/>
      <c r="D2116" s="37"/>
      <c r="E2116" s="37"/>
    </row>
    <row r="2117" spans="1:5" ht="12.75" x14ac:dyDescent="0.2">
      <c r="A2117" s="37"/>
      <c r="B2117" s="36" t="s">
        <v>398</v>
      </c>
      <c r="C2117" s="37"/>
      <c r="D2117" s="37"/>
      <c r="E2117" s="37"/>
    </row>
    <row r="2118" spans="1:5" ht="12.75" x14ac:dyDescent="0.2">
      <c r="A2118" s="37"/>
      <c r="B2118" s="36" t="s">
        <v>399</v>
      </c>
      <c r="C2118" s="37"/>
      <c r="D2118" s="37"/>
      <c r="E2118" s="37"/>
    </row>
    <row r="2119" spans="1:5" ht="12.75" x14ac:dyDescent="0.2">
      <c r="A2119" s="37"/>
      <c r="B2119" s="36" t="s">
        <v>400</v>
      </c>
      <c r="C2119" s="36" t="s">
        <v>1338</v>
      </c>
      <c r="D2119" s="37"/>
      <c r="E2119" s="37"/>
    </row>
    <row r="2120" spans="1:5" ht="12.75" x14ac:dyDescent="0.2">
      <c r="A2120" s="37"/>
      <c r="B2120" s="36" t="s">
        <v>401</v>
      </c>
      <c r="C2120" s="37"/>
      <c r="D2120" s="37"/>
      <c r="E2120" s="37"/>
    </row>
    <row r="2121" spans="1:5" ht="12.75" x14ac:dyDescent="0.2">
      <c r="A2121" s="36" t="s">
        <v>1339</v>
      </c>
      <c r="B2121" s="36" t="s">
        <v>402</v>
      </c>
      <c r="C2121" s="36" t="s">
        <v>1340</v>
      </c>
      <c r="D2121" s="37"/>
      <c r="E2121" s="37"/>
    </row>
    <row r="2122" spans="1:5" ht="12.75" x14ac:dyDescent="0.2">
      <c r="A2122" s="36" t="s">
        <v>1341</v>
      </c>
      <c r="B2122" s="37"/>
      <c r="C2122" s="37"/>
      <c r="D2122" s="37"/>
      <c r="E2122" s="37"/>
    </row>
    <row r="2123" spans="1:5" ht="12.75" x14ac:dyDescent="0.2">
      <c r="A2123" s="36" t="s">
        <v>1342</v>
      </c>
      <c r="B2123" s="37"/>
      <c r="C2123" s="37"/>
      <c r="D2123" s="37"/>
      <c r="E2123" s="37"/>
    </row>
    <row r="2124" spans="1:5" ht="12.75" x14ac:dyDescent="0.2">
      <c r="A2124" s="36" t="s">
        <v>1343</v>
      </c>
      <c r="B2124" s="37"/>
      <c r="C2124" s="37"/>
      <c r="D2124" s="37"/>
      <c r="E2124" s="37"/>
    </row>
    <row r="2125" spans="1:5" ht="12.75" x14ac:dyDescent="0.2">
      <c r="A2125" s="36" t="s">
        <v>1344</v>
      </c>
      <c r="B2125" s="37"/>
      <c r="C2125" s="37"/>
      <c r="D2125" s="37"/>
      <c r="E2125" s="37"/>
    </row>
    <row r="2126" spans="1:5" ht="12.75" x14ac:dyDescent="0.2">
      <c r="A2126" s="36" t="s">
        <v>1345</v>
      </c>
      <c r="B2126" s="37"/>
      <c r="C2126" s="37"/>
      <c r="D2126" s="37"/>
      <c r="E2126" s="37"/>
    </row>
    <row r="2127" spans="1:5" ht="12.75" x14ac:dyDescent="0.2">
      <c r="A2127" s="36" t="s">
        <v>1346</v>
      </c>
      <c r="B2127" s="37"/>
      <c r="C2127" s="37"/>
      <c r="D2127" s="37"/>
      <c r="E2127" s="37"/>
    </row>
    <row r="2128" spans="1:5" ht="12.75" x14ac:dyDescent="0.2">
      <c r="A2128" s="36" t="s">
        <v>1347</v>
      </c>
      <c r="B2128" s="37"/>
      <c r="C2128" s="37"/>
      <c r="D2128" s="37"/>
      <c r="E2128" s="37"/>
    </row>
    <row r="2129" spans="1:5" ht="12.75" x14ac:dyDescent="0.2">
      <c r="A2129" s="36" t="s">
        <v>1348</v>
      </c>
      <c r="B2129" s="37"/>
      <c r="C2129" s="37"/>
      <c r="D2129" s="37"/>
      <c r="E2129" s="37"/>
    </row>
    <row r="2130" spans="1:5" ht="12.75" x14ac:dyDescent="0.2">
      <c r="A2130" s="36" t="s">
        <v>1349</v>
      </c>
      <c r="B2130" s="37"/>
      <c r="C2130" s="37"/>
      <c r="D2130" s="37"/>
      <c r="E2130" s="37"/>
    </row>
    <row r="2131" spans="1:5" ht="12.75" x14ac:dyDescent="0.2">
      <c r="A2131" s="37"/>
      <c r="B2131" s="37"/>
      <c r="C2131" s="37"/>
      <c r="D2131" s="37"/>
      <c r="E2131" s="37"/>
    </row>
    <row r="2132" spans="1:5" ht="12.75" x14ac:dyDescent="0.2">
      <c r="A2132" s="36" t="s">
        <v>1350</v>
      </c>
      <c r="B2132" s="37"/>
      <c r="C2132" s="37"/>
      <c r="D2132" s="37"/>
      <c r="E2132" s="37"/>
    </row>
    <row r="2133" spans="1:5" ht="12.75" x14ac:dyDescent="0.2">
      <c r="A2133" s="37"/>
      <c r="B2133" s="36" t="s">
        <v>398</v>
      </c>
      <c r="C2133" s="37"/>
      <c r="D2133" s="37"/>
      <c r="E2133" s="37"/>
    </row>
    <row r="2134" spans="1:5" ht="12.75" x14ac:dyDescent="0.2">
      <c r="A2134" s="37"/>
      <c r="B2134" s="36" t="s">
        <v>399</v>
      </c>
      <c r="C2134" s="37"/>
      <c r="D2134" s="37"/>
      <c r="E2134" s="37"/>
    </row>
    <row r="2135" spans="1:5" ht="12.75" x14ac:dyDescent="0.2">
      <c r="A2135" s="37"/>
      <c r="B2135" s="36" t="s">
        <v>400</v>
      </c>
      <c r="C2135" s="36" t="s">
        <v>1350</v>
      </c>
      <c r="D2135" s="37"/>
      <c r="E2135" s="37"/>
    </row>
    <row r="2136" spans="1:5" ht="12.75" x14ac:dyDescent="0.2">
      <c r="A2136" s="37"/>
      <c r="B2136" s="36" t="s">
        <v>401</v>
      </c>
      <c r="C2136" s="37"/>
      <c r="D2136" s="37"/>
      <c r="E2136" s="37"/>
    </row>
    <row r="2137" spans="1:5" ht="12.75" x14ac:dyDescent="0.2">
      <c r="A2137" s="36" t="s">
        <v>1351</v>
      </c>
      <c r="B2137" s="36" t="s">
        <v>402</v>
      </c>
      <c r="C2137" s="36" t="s">
        <v>1352</v>
      </c>
      <c r="D2137" s="37"/>
      <c r="E2137" s="37"/>
    </row>
    <row r="2138" spans="1:5" ht="12.75" x14ac:dyDescent="0.2">
      <c r="A2138" s="36" t="s">
        <v>1353</v>
      </c>
      <c r="B2138" s="37"/>
      <c r="C2138" s="37"/>
      <c r="D2138" s="37"/>
      <c r="E2138" s="37"/>
    </row>
    <row r="2139" spans="1:5" ht="12.75" x14ac:dyDescent="0.2">
      <c r="A2139" s="36" t="s">
        <v>1354</v>
      </c>
      <c r="B2139" s="37"/>
      <c r="C2139" s="37"/>
      <c r="D2139" s="37"/>
      <c r="E2139" s="37"/>
    </row>
    <row r="2140" spans="1:5" ht="12.75" x14ac:dyDescent="0.2">
      <c r="A2140" s="36" t="s">
        <v>1355</v>
      </c>
      <c r="B2140" s="37"/>
      <c r="C2140" s="37"/>
      <c r="D2140" s="37"/>
      <c r="E2140" s="37"/>
    </row>
    <row r="2141" spans="1:5" ht="12.75" x14ac:dyDescent="0.2">
      <c r="A2141" s="36" t="s">
        <v>1356</v>
      </c>
      <c r="B2141" s="37"/>
      <c r="C2141" s="37"/>
      <c r="D2141" s="37"/>
      <c r="E2141" s="37"/>
    </row>
    <row r="2142" spans="1:5" ht="12.75" x14ac:dyDescent="0.2">
      <c r="A2142" s="36" t="s">
        <v>1357</v>
      </c>
      <c r="B2142" s="37"/>
      <c r="C2142" s="37"/>
      <c r="D2142" s="37"/>
      <c r="E2142" s="37"/>
    </row>
    <row r="2143" spans="1:5" ht="12.75" x14ac:dyDescent="0.2">
      <c r="A2143" s="36" t="s">
        <v>1358</v>
      </c>
      <c r="B2143" s="37"/>
      <c r="C2143" s="37"/>
      <c r="D2143" s="37"/>
      <c r="E2143" s="37"/>
    </row>
    <row r="2144" spans="1:5" ht="12.75" x14ac:dyDescent="0.2">
      <c r="A2144" s="37"/>
      <c r="B2144" s="37"/>
      <c r="C2144" s="37"/>
      <c r="D2144" s="37"/>
      <c r="E2144" s="37"/>
    </row>
    <row r="2145" spans="1:5" ht="12.75" x14ac:dyDescent="0.2">
      <c r="A2145" s="36" t="s">
        <v>1359</v>
      </c>
      <c r="B2145" s="37"/>
      <c r="C2145" s="37"/>
      <c r="D2145" s="37"/>
      <c r="E2145" s="37"/>
    </row>
    <row r="2146" spans="1:5" ht="12.75" x14ac:dyDescent="0.2">
      <c r="A2146" s="37"/>
      <c r="B2146" s="36" t="s">
        <v>398</v>
      </c>
      <c r="C2146" s="37"/>
      <c r="D2146" s="37"/>
      <c r="E2146" s="37"/>
    </row>
    <row r="2147" spans="1:5" ht="12.75" x14ac:dyDescent="0.2">
      <c r="A2147" s="37"/>
      <c r="B2147" s="36" t="s">
        <v>399</v>
      </c>
      <c r="C2147" s="37"/>
      <c r="D2147" s="37"/>
      <c r="E2147" s="37"/>
    </row>
    <row r="2148" spans="1:5" ht="12.75" x14ac:dyDescent="0.2">
      <c r="A2148" s="37"/>
      <c r="B2148" s="36" t="s">
        <v>400</v>
      </c>
      <c r="C2148" s="36" t="s">
        <v>1359</v>
      </c>
      <c r="D2148" s="37"/>
      <c r="E2148" s="37"/>
    </row>
    <row r="2149" spans="1:5" ht="12.75" x14ac:dyDescent="0.2">
      <c r="A2149" s="37"/>
      <c r="B2149" s="36" t="s">
        <v>401</v>
      </c>
      <c r="C2149" s="37"/>
      <c r="D2149" s="37"/>
      <c r="E2149" s="37"/>
    </row>
    <row r="2150" spans="1:5" ht="12.75" x14ac:dyDescent="0.2">
      <c r="A2150" s="36" t="s">
        <v>1360</v>
      </c>
      <c r="B2150" s="36" t="s">
        <v>402</v>
      </c>
      <c r="C2150" s="36" t="s">
        <v>1361</v>
      </c>
      <c r="D2150" s="37"/>
      <c r="E2150" s="37"/>
    </row>
    <row r="2151" spans="1:5" ht="12.75" x14ac:dyDescent="0.2">
      <c r="A2151" s="36" t="s">
        <v>1362</v>
      </c>
      <c r="B2151" s="37"/>
      <c r="C2151" s="37"/>
      <c r="D2151" s="37"/>
      <c r="E2151" s="37"/>
    </row>
    <row r="2152" spans="1:5" ht="12.75" x14ac:dyDescent="0.2">
      <c r="A2152" s="36" t="s">
        <v>1363</v>
      </c>
      <c r="B2152" s="37"/>
      <c r="C2152" s="37"/>
      <c r="D2152" s="37"/>
      <c r="E2152" s="37"/>
    </row>
    <row r="2153" spans="1:5" ht="12.75" x14ac:dyDescent="0.2">
      <c r="A2153" s="36" t="s">
        <v>1364</v>
      </c>
      <c r="B2153" s="37"/>
      <c r="C2153" s="37"/>
      <c r="D2153" s="37"/>
      <c r="E2153" s="37"/>
    </row>
    <row r="2154" spans="1:5" ht="12.75" x14ac:dyDescent="0.2">
      <c r="A2154" s="36" t="s">
        <v>1365</v>
      </c>
      <c r="B2154" s="37"/>
      <c r="C2154" s="37"/>
      <c r="D2154" s="37"/>
      <c r="E2154" s="37"/>
    </row>
    <row r="2155" spans="1:5" ht="12.75" x14ac:dyDescent="0.2">
      <c r="A2155" s="36" t="s">
        <v>1366</v>
      </c>
      <c r="B2155" s="37"/>
      <c r="C2155" s="37"/>
      <c r="D2155" s="37"/>
      <c r="E2155" s="37"/>
    </row>
    <row r="2156" spans="1:5" ht="12.75" x14ac:dyDescent="0.2">
      <c r="A2156" s="36" t="s">
        <v>1367</v>
      </c>
      <c r="B2156" s="37"/>
      <c r="C2156" s="37"/>
      <c r="D2156" s="37"/>
      <c r="E2156" s="37"/>
    </row>
    <row r="2157" spans="1:5" ht="12.75" x14ac:dyDescent="0.2">
      <c r="A2157" s="36" t="s">
        <v>1368</v>
      </c>
      <c r="B2157" s="37"/>
      <c r="C2157" s="37"/>
      <c r="D2157" s="37"/>
      <c r="E2157" s="37"/>
    </row>
    <row r="2158" spans="1:5" ht="12.75" x14ac:dyDescent="0.2">
      <c r="A2158" s="36" t="s">
        <v>1369</v>
      </c>
      <c r="B2158" s="37"/>
      <c r="C2158" s="37"/>
      <c r="D2158" s="37"/>
      <c r="E2158" s="37"/>
    </row>
    <row r="2159" spans="1:5" ht="12.75" x14ac:dyDescent="0.2">
      <c r="A2159" s="36" t="s">
        <v>1370</v>
      </c>
      <c r="B2159" s="37"/>
      <c r="C2159" s="37"/>
      <c r="D2159" s="37"/>
      <c r="E2159" s="37"/>
    </row>
    <row r="2160" spans="1:5" ht="12.75" x14ac:dyDescent="0.2">
      <c r="A2160" s="37"/>
      <c r="B2160" s="37"/>
      <c r="C2160" s="37"/>
      <c r="D2160" s="37"/>
      <c r="E2160" s="37"/>
    </row>
    <row r="2161" spans="1:5" ht="12.75" x14ac:dyDescent="0.2">
      <c r="A2161" s="36" t="s">
        <v>1371</v>
      </c>
      <c r="B2161" s="37"/>
      <c r="C2161" s="37"/>
      <c r="D2161" s="37"/>
      <c r="E2161" s="37"/>
    </row>
    <row r="2162" spans="1:5" ht="12.75" x14ac:dyDescent="0.2">
      <c r="A2162" s="37"/>
      <c r="B2162" s="36" t="s">
        <v>398</v>
      </c>
      <c r="C2162" s="37"/>
      <c r="D2162" s="37"/>
      <c r="E2162" s="37"/>
    </row>
    <row r="2163" spans="1:5" ht="12.75" x14ac:dyDescent="0.2">
      <c r="A2163" s="37"/>
      <c r="B2163" s="36" t="s">
        <v>399</v>
      </c>
      <c r="C2163" s="37"/>
      <c r="D2163" s="37"/>
      <c r="E2163" s="37"/>
    </row>
    <row r="2164" spans="1:5" ht="12.75" x14ac:dyDescent="0.2">
      <c r="A2164" s="37"/>
      <c r="B2164" s="36" t="s">
        <v>400</v>
      </c>
      <c r="C2164" s="36" t="s">
        <v>1371</v>
      </c>
      <c r="D2164" s="37"/>
      <c r="E2164" s="37"/>
    </row>
    <row r="2165" spans="1:5" ht="12.75" x14ac:dyDescent="0.2">
      <c r="A2165" s="37"/>
      <c r="B2165" s="36" t="s">
        <v>401</v>
      </c>
      <c r="C2165" s="37"/>
      <c r="D2165" s="37"/>
      <c r="E2165" s="37"/>
    </row>
    <row r="2166" spans="1:5" ht="12.75" x14ac:dyDescent="0.2">
      <c r="A2166" s="36" t="s">
        <v>1372</v>
      </c>
      <c r="B2166" s="36" t="s">
        <v>402</v>
      </c>
      <c r="C2166" s="36" t="s">
        <v>1373</v>
      </c>
      <c r="D2166" s="37"/>
      <c r="E2166" s="37"/>
    </row>
    <row r="2167" spans="1:5" ht="12.75" x14ac:dyDescent="0.2">
      <c r="A2167" s="36" t="s">
        <v>1374</v>
      </c>
      <c r="B2167" s="37"/>
      <c r="C2167" s="37"/>
      <c r="D2167" s="37"/>
      <c r="E2167" s="37"/>
    </row>
    <row r="2168" spans="1:5" ht="12.75" x14ac:dyDescent="0.2">
      <c r="A2168" s="36" t="s">
        <v>1375</v>
      </c>
      <c r="B2168" s="37"/>
      <c r="C2168" s="37"/>
      <c r="D2168" s="37"/>
      <c r="E2168" s="37"/>
    </row>
    <row r="2169" spans="1:5" ht="12.75" x14ac:dyDescent="0.2">
      <c r="A2169" s="36" t="s">
        <v>1376</v>
      </c>
      <c r="B2169" s="37"/>
      <c r="C2169" s="37"/>
      <c r="D2169" s="37"/>
      <c r="E2169" s="37"/>
    </row>
    <row r="2170" spans="1:5" ht="12.75" x14ac:dyDescent="0.2">
      <c r="A2170" s="37"/>
      <c r="B2170" s="37"/>
      <c r="C2170" s="37"/>
      <c r="D2170" s="37"/>
      <c r="E2170" s="37"/>
    </row>
    <row r="2171" spans="1:5" ht="12.75" x14ac:dyDescent="0.2">
      <c r="A2171" s="36" t="s">
        <v>1377</v>
      </c>
      <c r="B2171" s="37"/>
      <c r="C2171" s="37"/>
      <c r="D2171" s="37"/>
      <c r="E2171" s="37"/>
    </row>
    <row r="2172" spans="1:5" ht="12.75" x14ac:dyDescent="0.2">
      <c r="A2172" s="37"/>
      <c r="B2172" s="36" t="s">
        <v>398</v>
      </c>
      <c r="C2172" s="37"/>
      <c r="D2172" s="37"/>
      <c r="E2172" s="37"/>
    </row>
    <row r="2173" spans="1:5" ht="12.75" x14ac:dyDescent="0.2">
      <c r="A2173" s="37"/>
      <c r="B2173" s="36" t="s">
        <v>399</v>
      </c>
      <c r="C2173" s="37"/>
      <c r="D2173" s="37"/>
      <c r="E2173" s="37"/>
    </row>
    <row r="2174" spans="1:5" ht="12.75" x14ac:dyDescent="0.2">
      <c r="A2174" s="37"/>
      <c r="B2174" s="36" t="s">
        <v>400</v>
      </c>
      <c r="C2174" s="36" t="s">
        <v>1377</v>
      </c>
      <c r="D2174" s="37"/>
      <c r="E2174" s="37"/>
    </row>
    <row r="2175" spans="1:5" ht="12.75" x14ac:dyDescent="0.2">
      <c r="A2175" s="37"/>
      <c r="B2175" s="36" t="s">
        <v>401</v>
      </c>
      <c r="C2175" s="37"/>
      <c r="D2175" s="37"/>
      <c r="E2175" s="37"/>
    </row>
    <row r="2176" spans="1:5" ht="12.75" x14ac:dyDescent="0.2">
      <c r="A2176" s="36" t="s">
        <v>1378</v>
      </c>
      <c r="B2176" s="36" t="s">
        <v>402</v>
      </c>
      <c r="C2176" s="36" t="s">
        <v>1379</v>
      </c>
      <c r="D2176" s="37"/>
      <c r="E2176" s="37"/>
    </row>
    <row r="2177" spans="1:5" ht="12.75" x14ac:dyDescent="0.2">
      <c r="A2177" s="36" t="s">
        <v>1380</v>
      </c>
      <c r="B2177" s="37"/>
      <c r="C2177" s="37"/>
      <c r="D2177" s="37"/>
      <c r="E2177" s="37"/>
    </row>
    <row r="2178" spans="1:5" ht="12.75" x14ac:dyDescent="0.2">
      <c r="A2178" s="36" t="s">
        <v>1381</v>
      </c>
      <c r="B2178" s="37"/>
      <c r="C2178" s="37"/>
      <c r="D2178" s="37"/>
      <c r="E2178" s="37"/>
    </row>
    <row r="2179" spans="1:5" ht="12.75" x14ac:dyDescent="0.2">
      <c r="A2179" s="36" t="s">
        <v>1382</v>
      </c>
      <c r="B2179" s="37"/>
      <c r="C2179" s="37"/>
      <c r="D2179" s="37"/>
      <c r="E2179" s="37"/>
    </row>
    <row r="2180" spans="1:5" ht="12.75" x14ac:dyDescent="0.2">
      <c r="A2180" s="36" t="s">
        <v>1383</v>
      </c>
      <c r="B2180" s="37"/>
      <c r="C2180" s="37"/>
      <c r="D2180" s="37"/>
      <c r="E2180" s="37"/>
    </row>
    <row r="2181" spans="1:5" ht="12.75" x14ac:dyDescent="0.2">
      <c r="A2181" s="36" t="s">
        <v>1384</v>
      </c>
      <c r="B2181" s="37"/>
      <c r="C2181" s="37"/>
      <c r="D2181" s="37"/>
      <c r="E2181" s="37"/>
    </row>
    <row r="2182" spans="1:5" ht="12.75" x14ac:dyDescent="0.2">
      <c r="A2182" s="36" t="s">
        <v>951</v>
      </c>
      <c r="B2182" s="37"/>
      <c r="C2182" s="37"/>
      <c r="D2182" s="37"/>
      <c r="E2182" s="37"/>
    </row>
    <row r="2183" spans="1:5" ht="12.75" x14ac:dyDescent="0.2">
      <c r="A2183" s="36" t="s">
        <v>1385</v>
      </c>
      <c r="B2183" s="37"/>
      <c r="C2183" s="37"/>
      <c r="D2183" s="37"/>
      <c r="E2183" s="37"/>
    </row>
    <row r="2184" spans="1:5" ht="12.75" x14ac:dyDescent="0.2">
      <c r="A2184" s="36" t="s">
        <v>1386</v>
      </c>
      <c r="B2184" s="37"/>
      <c r="C2184" s="37"/>
      <c r="D2184" s="37"/>
      <c r="E2184" s="37"/>
    </row>
    <row r="2185" spans="1:5" ht="12.75" x14ac:dyDescent="0.2">
      <c r="A2185" s="36" t="s">
        <v>1387</v>
      </c>
      <c r="B2185" s="37"/>
      <c r="C2185" s="37"/>
      <c r="D2185" s="37"/>
      <c r="E2185" s="37"/>
    </row>
    <row r="2186" spans="1:5" ht="12.75" x14ac:dyDescent="0.2">
      <c r="A2186" s="37"/>
      <c r="B2186" s="37"/>
      <c r="C2186" s="37"/>
      <c r="D2186" s="37"/>
      <c r="E2186" s="37"/>
    </row>
    <row r="2187" spans="1:5" ht="12.75" x14ac:dyDescent="0.2">
      <c r="A2187" s="36" t="s">
        <v>1388</v>
      </c>
      <c r="B2187" s="37"/>
      <c r="C2187" s="37"/>
      <c r="D2187" s="37"/>
      <c r="E2187" s="37"/>
    </row>
    <row r="2188" spans="1:5" ht="12.75" x14ac:dyDescent="0.2">
      <c r="A2188" s="37"/>
      <c r="B2188" s="36" t="s">
        <v>398</v>
      </c>
      <c r="C2188" s="37"/>
      <c r="D2188" s="37"/>
      <c r="E2188" s="37"/>
    </row>
    <row r="2189" spans="1:5" ht="12.75" x14ac:dyDescent="0.2">
      <c r="A2189" s="37"/>
      <c r="B2189" s="36" t="s">
        <v>399</v>
      </c>
      <c r="C2189" s="37"/>
      <c r="D2189" s="37"/>
      <c r="E2189" s="37"/>
    </row>
    <row r="2190" spans="1:5" ht="12.75" x14ac:dyDescent="0.2">
      <c r="A2190" s="37"/>
      <c r="B2190" s="36" t="s">
        <v>400</v>
      </c>
      <c r="C2190" s="36" t="s">
        <v>1388</v>
      </c>
      <c r="D2190" s="37"/>
      <c r="E2190" s="37"/>
    </row>
    <row r="2191" spans="1:5" ht="12.75" x14ac:dyDescent="0.2">
      <c r="A2191" s="37"/>
      <c r="B2191" s="36" t="s">
        <v>401</v>
      </c>
      <c r="C2191" s="37"/>
      <c r="D2191" s="37"/>
      <c r="E2191" s="37"/>
    </row>
    <row r="2192" spans="1:5" ht="12.75" x14ac:dyDescent="0.2">
      <c r="A2192" s="36" t="s">
        <v>1389</v>
      </c>
      <c r="B2192" s="36" t="s">
        <v>402</v>
      </c>
      <c r="C2192" s="36" t="s">
        <v>1390</v>
      </c>
      <c r="D2192" s="37"/>
      <c r="E2192" s="37"/>
    </row>
    <row r="2193" spans="1:5" ht="12.75" x14ac:dyDescent="0.2">
      <c r="A2193" s="36" t="s">
        <v>1391</v>
      </c>
      <c r="B2193" s="37"/>
      <c r="C2193" s="37"/>
      <c r="D2193" s="37"/>
      <c r="E2193" s="37"/>
    </row>
    <row r="2194" spans="1:5" ht="12.75" x14ac:dyDescent="0.2">
      <c r="A2194" s="36" t="s">
        <v>1392</v>
      </c>
      <c r="B2194" s="37"/>
      <c r="C2194" s="37"/>
      <c r="D2194" s="37"/>
      <c r="E2194" s="37"/>
    </row>
    <row r="2195" spans="1:5" ht="12.75" x14ac:dyDescent="0.2">
      <c r="A2195" s="36" t="s">
        <v>1393</v>
      </c>
      <c r="B2195" s="37"/>
      <c r="C2195" s="37"/>
      <c r="D2195" s="37"/>
      <c r="E2195" s="37"/>
    </row>
    <row r="2196" spans="1:5" ht="12.75" x14ac:dyDescent="0.2">
      <c r="A2196" s="36" t="s">
        <v>1394</v>
      </c>
      <c r="B2196" s="37"/>
      <c r="C2196" s="37"/>
      <c r="D2196" s="37"/>
      <c r="E2196" s="37"/>
    </row>
    <row r="2197" spans="1:5" ht="12.75" x14ac:dyDescent="0.2">
      <c r="A2197" s="36" t="s">
        <v>1395</v>
      </c>
      <c r="B2197" s="37"/>
      <c r="C2197" s="37"/>
      <c r="D2197" s="37"/>
      <c r="E2197" s="37"/>
    </row>
    <row r="2198" spans="1:5" ht="12.75" x14ac:dyDescent="0.2">
      <c r="A2198" s="36" t="s">
        <v>1396</v>
      </c>
      <c r="B2198" s="37"/>
      <c r="C2198" s="37"/>
      <c r="D2198" s="37"/>
      <c r="E2198" s="37"/>
    </row>
    <row r="2199" spans="1:5" ht="12.75" x14ac:dyDescent="0.2">
      <c r="A2199" s="36" t="s">
        <v>1397</v>
      </c>
      <c r="B2199" s="37"/>
      <c r="C2199" s="37"/>
      <c r="D2199" s="37"/>
      <c r="E2199" s="37"/>
    </row>
    <row r="2200" spans="1:5" ht="12.75" x14ac:dyDescent="0.2">
      <c r="A2200" s="37"/>
      <c r="B2200" s="37"/>
      <c r="C2200" s="37"/>
      <c r="D2200" s="37"/>
      <c r="E2200" s="37"/>
    </row>
    <row r="2201" spans="1:5" ht="12.75" x14ac:dyDescent="0.2">
      <c r="A2201" s="36" t="s">
        <v>1398</v>
      </c>
      <c r="B2201" s="37"/>
      <c r="C2201" s="37"/>
      <c r="D2201" s="37"/>
      <c r="E2201" s="37"/>
    </row>
    <row r="2202" spans="1:5" ht="12.75" x14ac:dyDescent="0.2">
      <c r="A2202" s="37"/>
      <c r="B2202" s="36" t="s">
        <v>398</v>
      </c>
      <c r="C2202" s="37"/>
      <c r="D2202" s="37"/>
      <c r="E2202" s="37"/>
    </row>
    <row r="2203" spans="1:5" ht="12.75" x14ac:dyDescent="0.2">
      <c r="A2203" s="37"/>
      <c r="B2203" s="36" t="s">
        <v>399</v>
      </c>
      <c r="C2203" s="37"/>
      <c r="D2203" s="37"/>
      <c r="E2203" s="37"/>
    </row>
    <row r="2204" spans="1:5" ht="12.75" x14ac:dyDescent="0.2">
      <c r="A2204" s="37"/>
      <c r="B2204" s="36" t="s">
        <v>400</v>
      </c>
      <c r="C2204" s="36" t="s">
        <v>1398</v>
      </c>
      <c r="D2204" s="37"/>
      <c r="E2204" s="37"/>
    </row>
    <row r="2205" spans="1:5" ht="12.75" x14ac:dyDescent="0.2">
      <c r="A2205" s="37"/>
      <c r="B2205" s="36" t="s">
        <v>401</v>
      </c>
      <c r="C2205" s="37"/>
      <c r="D2205" s="37"/>
      <c r="E2205" s="37"/>
    </row>
    <row r="2206" spans="1:5" ht="12.75" x14ac:dyDescent="0.2">
      <c r="A2206" s="36" t="s">
        <v>1399</v>
      </c>
      <c r="B2206" s="36" t="s">
        <v>402</v>
      </c>
      <c r="C2206" s="36" t="s">
        <v>1400</v>
      </c>
      <c r="D2206" s="37"/>
      <c r="E2206" s="37"/>
    </row>
    <row r="2207" spans="1:5" ht="12.75" x14ac:dyDescent="0.2">
      <c r="A2207" s="36" t="s">
        <v>1401</v>
      </c>
      <c r="B2207" s="37"/>
      <c r="C2207" s="37"/>
      <c r="D2207" s="37"/>
      <c r="E2207" s="37"/>
    </row>
    <row r="2208" spans="1:5" ht="12.75" x14ac:dyDescent="0.2">
      <c r="A2208" s="36" t="s">
        <v>319</v>
      </c>
      <c r="B2208" s="37"/>
      <c r="C2208" s="37"/>
      <c r="D2208" s="37"/>
      <c r="E2208" s="37"/>
    </row>
    <row r="2209" spans="1:5" ht="12.75" x14ac:dyDescent="0.2">
      <c r="A2209" s="36" t="s">
        <v>1402</v>
      </c>
      <c r="B2209" s="37"/>
      <c r="C2209" s="37"/>
      <c r="D2209" s="37"/>
      <c r="E2209" s="37"/>
    </row>
    <row r="2210" spans="1:5" ht="12.75" x14ac:dyDescent="0.2">
      <c r="A2210" s="36" t="s">
        <v>333</v>
      </c>
      <c r="B2210" s="37"/>
      <c r="C2210" s="37"/>
      <c r="D2210" s="37"/>
      <c r="E2210" s="37"/>
    </row>
    <row r="2211" spans="1:5" ht="12.75" x14ac:dyDescent="0.2">
      <c r="A2211" s="36" t="s">
        <v>1403</v>
      </c>
      <c r="B2211" s="37"/>
      <c r="C2211" s="37"/>
      <c r="D2211" s="37"/>
      <c r="E2211" s="37"/>
    </row>
    <row r="2212" spans="1:5" ht="12.75" x14ac:dyDescent="0.2">
      <c r="A2212" s="36" t="s">
        <v>1404</v>
      </c>
      <c r="B2212" s="37"/>
      <c r="C2212" s="37"/>
      <c r="D2212" s="37"/>
      <c r="E2212" s="37"/>
    </row>
    <row r="2213" spans="1:5" ht="12.75" x14ac:dyDescent="0.2">
      <c r="A2213" s="36" t="s">
        <v>327</v>
      </c>
      <c r="B2213" s="37"/>
      <c r="C2213" s="37"/>
      <c r="D2213" s="37"/>
      <c r="E2213" s="37"/>
    </row>
    <row r="2214" spans="1:5" ht="12.75" x14ac:dyDescent="0.2">
      <c r="A2214" s="36" t="s">
        <v>1405</v>
      </c>
      <c r="B2214" s="37"/>
      <c r="C2214" s="37"/>
      <c r="D2214" s="37"/>
      <c r="E2214" s="37"/>
    </row>
    <row r="2215" spans="1:5" ht="12.75" x14ac:dyDescent="0.2">
      <c r="A2215" s="37"/>
      <c r="B2215" s="37"/>
      <c r="C2215" s="37"/>
      <c r="D2215" s="37"/>
      <c r="E2215" s="37"/>
    </row>
    <row r="2216" spans="1:5" ht="12.75" x14ac:dyDescent="0.2">
      <c r="A2216" s="36" t="s">
        <v>1406</v>
      </c>
      <c r="B2216" s="37"/>
      <c r="C2216" s="37"/>
      <c r="D2216" s="37"/>
      <c r="E2216" s="37"/>
    </row>
    <row r="2217" spans="1:5" ht="12.75" x14ac:dyDescent="0.2">
      <c r="A2217" s="37"/>
      <c r="B2217" s="36" t="s">
        <v>398</v>
      </c>
      <c r="C2217" s="37"/>
      <c r="D2217" s="37"/>
      <c r="E2217" s="37"/>
    </row>
    <row r="2218" spans="1:5" ht="12.75" x14ac:dyDescent="0.2">
      <c r="A2218" s="37"/>
      <c r="B2218" s="36" t="s">
        <v>399</v>
      </c>
      <c r="C2218" s="37"/>
      <c r="D2218" s="37"/>
      <c r="E2218" s="37"/>
    </row>
    <row r="2219" spans="1:5" ht="12.75" x14ac:dyDescent="0.2">
      <c r="A2219" s="37"/>
      <c r="B2219" s="36" t="s">
        <v>400</v>
      </c>
      <c r="C2219" s="36" t="s">
        <v>1406</v>
      </c>
      <c r="D2219" s="37"/>
      <c r="E2219" s="37"/>
    </row>
    <row r="2220" spans="1:5" ht="12.75" x14ac:dyDescent="0.2">
      <c r="A2220" s="37"/>
      <c r="B2220" s="36" t="s">
        <v>401</v>
      </c>
      <c r="C2220" s="37"/>
      <c r="D2220" s="37"/>
      <c r="E2220" s="37"/>
    </row>
    <row r="2221" spans="1:5" ht="12.75" x14ac:dyDescent="0.2">
      <c r="A2221" s="36" t="s">
        <v>1407</v>
      </c>
      <c r="B2221" s="36" t="s">
        <v>402</v>
      </c>
      <c r="C2221" s="36" t="s">
        <v>1408</v>
      </c>
      <c r="D2221" s="37"/>
      <c r="E2221" s="37"/>
    </row>
    <row r="2222" spans="1:5" ht="12.75" x14ac:dyDescent="0.2">
      <c r="A2222" s="36" t="s">
        <v>1409</v>
      </c>
      <c r="B2222" s="37"/>
      <c r="C2222" s="37"/>
      <c r="D2222" s="37"/>
      <c r="E2222" s="37"/>
    </row>
    <row r="2223" spans="1:5" ht="12.75" x14ac:dyDescent="0.2">
      <c r="A2223" s="36" t="s">
        <v>1410</v>
      </c>
      <c r="B2223" s="37"/>
      <c r="C2223" s="37"/>
      <c r="D2223" s="37"/>
      <c r="E2223" s="37"/>
    </row>
    <row r="2224" spans="1:5" ht="12.75" x14ac:dyDescent="0.2">
      <c r="A2224" s="36" t="s">
        <v>1411</v>
      </c>
      <c r="B2224" s="37"/>
      <c r="C2224" s="37"/>
      <c r="D2224" s="37"/>
      <c r="E2224" s="37"/>
    </row>
    <row r="2225" spans="1:5" ht="12.75" x14ac:dyDescent="0.2">
      <c r="A2225" s="36" t="s">
        <v>1412</v>
      </c>
      <c r="B2225" s="37"/>
      <c r="C2225" s="37"/>
      <c r="D2225" s="37"/>
      <c r="E2225" s="37"/>
    </row>
    <row r="2226" spans="1:5" ht="12.75" x14ac:dyDescent="0.2">
      <c r="A2226" s="36" t="s">
        <v>1413</v>
      </c>
      <c r="B2226" s="37"/>
      <c r="C2226" s="37"/>
      <c r="D2226" s="37"/>
      <c r="E2226" s="37"/>
    </row>
    <row r="2227" spans="1:5" ht="12.75" x14ac:dyDescent="0.2">
      <c r="A2227" s="36" t="s">
        <v>1414</v>
      </c>
      <c r="B2227" s="37"/>
      <c r="C2227" s="37"/>
      <c r="D2227" s="37"/>
      <c r="E2227" s="37"/>
    </row>
    <row r="2228" spans="1:5" ht="12.75" x14ac:dyDescent="0.2">
      <c r="A2228" s="37"/>
      <c r="B2228" s="37"/>
      <c r="C2228" s="37"/>
      <c r="D2228" s="37"/>
      <c r="E2228" s="37"/>
    </row>
    <row r="2229" spans="1:5" ht="12.75" x14ac:dyDescent="0.2">
      <c r="A2229" s="36" t="s">
        <v>1415</v>
      </c>
      <c r="B2229" s="37"/>
      <c r="C2229" s="37"/>
      <c r="D2229" s="37"/>
      <c r="E2229" s="37"/>
    </row>
    <row r="2230" spans="1:5" ht="12.75" x14ac:dyDescent="0.2">
      <c r="A2230" s="37"/>
      <c r="B2230" s="36" t="s">
        <v>398</v>
      </c>
      <c r="C2230" s="37"/>
      <c r="D2230" s="37"/>
      <c r="E2230" s="37"/>
    </row>
    <row r="2231" spans="1:5" ht="12.75" x14ac:dyDescent="0.2">
      <c r="A2231" s="37"/>
      <c r="B2231" s="36" t="s">
        <v>399</v>
      </c>
      <c r="C2231" s="37"/>
      <c r="D2231" s="37"/>
      <c r="E2231" s="37"/>
    </row>
    <row r="2232" spans="1:5" ht="12.75" x14ac:dyDescent="0.2">
      <c r="A2232" s="37"/>
      <c r="B2232" s="36" t="s">
        <v>400</v>
      </c>
      <c r="C2232" s="36" t="s">
        <v>1415</v>
      </c>
      <c r="D2232" s="37"/>
      <c r="E2232" s="37"/>
    </row>
    <row r="2233" spans="1:5" ht="12.75" x14ac:dyDescent="0.2">
      <c r="A2233" s="37"/>
      <c r="B2233" s="36" t="s">
        <v>401</v>
      </c>
      <c r="C2233" s="37"/>
      <c r="D2233" s="37"/>
      <c r="E2233" s="37"/>
    </row>
    <row r="2234" spans="1:5" ht="12.75" x14ac:dyDescent="0.2">
      <c r="A2234" s="36" t="s">
        <v>1416</v>
      </c>
      <c r="B2234" s="36" t="s">
        <v>402</v>
      </c>
      <c r="C2234" s="36" t="s">
        <v>1417</v>
      </c>
      <c r="D2234" s="37"/>
      <c r="E2234" s="37"/>
    </row>
    <row r="2235" spans="1:5" ht="12.75" x14ac:dyDescent="0.2">
      <c r="A2235" s="36" t="s">
        <v>1418</v>
      </c>
      <c r="B2235" s="37"/>
      <c r="C2235" s="37"/>
      <c r="D2235" s="37"/>
      <c r="E2235" s="37"/>
    </row>
    <row r="2236" spans="1:5" ht="12.75" x14ac:dyDescent="0.2">
      <c r="A2236" s="36" t="s">
        <v>1419</v>
      </c>
      <c r="B2236" s="37"/>
      <c r="C2236" s="37"/>
      <c r="D2236" s="37"/>
      <c r="E2236" s="37"/>
    </row>
    <row r="2237" spans="1:5" ht="12.75" x14ac:dyDescent="0.2">
      <c r="A2237" s="36" t="s">
        <v>1420</v>
      </c>
      <c r="B2237" s="37"/>
      <c r="C2237" s="37"/>
      <c r="D2237" s="37"/>
      <c r="E2237" s="37"/>
    </row>
    <row r="2238" spans="1:5" ht="12.75" x14ac:dyDescent="0.2">
      <c r="A2238" s="36" t="s">
        <v>1421</v>
      </c>
      <c r="B2238" s="37"/>
      <c r="C2238" s="37"/>
      <c r="D2238" s="37"/>
      <c r="E2238" s="37"/>
    </row>
    <row r="2239" spans="1:5" ht="12.75" x14ac:dyDescent="0.2">
      <c r="A2239" s="36" t="s">
        <v>1422</v>
      </c>
      <c r="B2239" s="37"/>
      <c r="C2239" s="37"/>
      <c r="D2239" s="37"/>
      <c r="E2239" s="37"/>
    </row>
    <row r="2240" spans="1:5" ht="12.75" x14ac:dyDescent="0.2">
      <c r="A2240" s="36" t="s">
        <v>1423</v>
      </c>
      <c r="B2240" s="37"/>
      <c r="C2240" s="37"/>
      <c r="D2240" s="37"/>
      <c r="E2240" s="37"/>
    </row>
    <row r="2241" spans="1:5" ht="12.75" x14ac:dyDescent="0.2">
      <c r="A2241" s="36" t="s">
        <v>1424</v>
      </c>
      <c r="B2241" s="37"/>
      <c r="C2241" s="37"/>
      <c r="D2241" s="37"/>
      <c r="E2241" s="37"/>
    </row>
    <row r="2242" spans="1:5" ht="12.75" x14ac:dyDescent="0.2">
      <c r="A2242" s="36" t="s">
        <v>1425</v>
      </c>
      <c r="B2242" s="37"/>
      <c r="C2242" s="37"/>
      <c r="D2242" s="37"/>
      <c r="E2242" s="37"/>
    </row>
    <row r="2243" spans="1:5" ht="12.75" x14ac:dyDescent="0.2">
      <c r="A2243" s="37"/>
      <c r="B2243" s="37"/>
      <c r="C2243" s="37"/>
      <c r="D2243" s="37"/>
      <c r="E2243" s="37"/>
    </row>
    <row r="2244" spans="1:5" ht="12.75" x14ac:dyDescent="0.2">
      <c r="A2244" s="36" t="s">
        <v>1426</v>
      </c>
      <c r="B2244" s="37"/>
      <c r="C2244" s="37"/>
      <c r="D2244" s="37"/>
      <c r="E2244" s="37"/>
    </row>
    <row r="2245" spans="1:5" ht="12.75" x14ac:dyDescent="0.2">
      <c r="A2245" s="37"/>
      <c r="B2245" s="36" t="s">
        <v>398</v>
      </c>
      <c r="C2245" s="37"/>
      <c r="D2245" s="37"/>
      <c r="E2245" s="37"/>
    </row>
    <row r="2246" spans="1:5" ht="12.75" x14ac:dyDescent="0.2">
      <c r="A2246" s="37"/>
      <c r="B2246" s="36" t="s">
        <v>399</v>
      </c>
      <c r="C2246" s="37"/>
      <c r="D2246" s="37"/>
      <c r="E2246" s="37"/>
    </row>
    <row r="2247" spans="1:5" ht="12.75" x14ac:dyDescent="0.2">
      <c r="A2247" s="37"/>
      <c r="B2247" s="36" t="s">
        <v>400</v>
      </c>
      <c r="C2247" s="36" t="s">
        <v>1426</v>
      </c>
      <c r="D2247" s="37"/>
      <c r="E2247" s="37"/>
    </row>
    <row r="2248" spans="1:5" ht="12.75" x14ac:dyDescent="0.2">
      <c r="A2248" s="37"/>
      <c r="B2248" s="36" t="s">
        <v>401</v>
      </c>
      <c r="C2248" s="37"/>
      <c r="D2248" s="37"/>
      <c r="E2248" s="37"/>
    </row>
    <row r="2249" spans="1:5" ht="12.75" x14ac:dyDescent="0.2">
      <c r="A2249" s="36" t="s">
        <v>1427</v>
      </c>
      <c r="B2249" s="36" t="s">
        <v>402</v>
      </c>
      <c r="C2249" s="36" t="s">
        <v>1428</v>
      </c>
      <c r="D2249" s="37"/>
      <c r="E2249" s="37"/>
    </row>
    <row r="2250" spans="1:5" ht="12.75" x14ac:dyDescent="0.2">
      <c r="A2250" s="36" t="s">
        <v>1429</v>
      </c>
      <c r="B2250" s="37"/>
      <c r="C2250" s="37"/>
      <c r="D2250" s="37"/>
      <c r="E2250" s="37"/>
    </row>
    <row r="2251" spans="1:5" ht="12.75" x14ac:dyDescent="0.2">
      <c r="A2251" s="36" t="s">
        <v>1430</v>
      </c>
      <c r="B2251" s="37"/>
      <c r="C2251" s="37"/>
      <c r="D2251" s="37"/>
      <c r="E2251" s="37"/>
    </row>
    <row r="2252" spans="1:5" ht="12.75" x14ac:dyDescent="0.2">
      <c r="A2252" s="36" t="s">
        <v>1431</v>
      </c>
      <c r="B2252" s="37"/>
      <c r="C2252" s="37"/>
      <c r="D2252" s="37"/>
      <c r="E2252" s="37"/>
    </row>
    <row r="2253" spans="1:5" ht="12.75" x14ac:dyDescent="0.2">
      <c r="A2253" s="36" t="s">
        <v>1432</v>
      </c>
      <c r="B2253" s="37"/>
      <c r="C2253" s="37"/>
      <c r="D2253" s="37"/>
      <c r="E2253" s="37"/>
    </row>
    <row r="2254" spans="1:5" ht="12.75" x14ac:dyDescent="0.2">
      <c r="A2254" s="37"/>
      <c r="B2254" s="37"/>
      <c r="C2254" s="37"/>
      <c r="D2254" s="37"/>
      <c r="E2254" s="37"/>
    </row>
    <row r="2255" spans="1:5" ht="12.75" x14ac:dyDescent="0.2">
      <c r="A2255" s="36" t="s">
        <v>1433</v>
      </c>
      <c r="B2255" s="37"/>
      <c r="C2255" s="37"/>
      <c r="D2255" s="37"/>
      <c r="E2255" s="37"/>
    </row>
    <row r="2256" spans="1:5" ht="12.75" x14ac:dyDescent="0.2">
      <c r="A2256" s="37"/>
      <c r="B2256" s="36" t="s">
        <v>398</v>
      </c>
      <c r="C2256" s="37"/>
      <c r="D2256" s="37"/>
      <c r="E2256" s="37"/>
    </row>
    <row r="2257" spans="1:5" ht="12.75" x14ac:dyDescent="0.2">
      <c r="A2257" s="37"/>
      <c r="B2257" s="36" t="s">
        <v>399</v>
      </c>
      <c r="C2257" s="37"/>
      <c r="D2257" s="37"/>
      <c r="E2257" s="37"/>
    </row>
    <row r="2258" spans="1:5" ht="12.75" x14ac:dyDescent="0.2">
      <c r="A2258" s="37"/>
      <c r="B2258" s="36" t="s">
        <v>400</v>
      </c>
      <c r="C2258" s="36" t="s">
        <v>1433</v>
      </c>
      <c r="D2258" s="37"/>
      <c r="E2258" s="37"/>
    </row>
    <row r="2259" spans="1:5" ht="12.75" x14ac:dyDescent="0.2">
      <c r="A2259" s="37"/>
      <c r="B2259" s="36" t="s">
        <v>401</v>
      </c>
      <c r="C2259" s="37"/>
      <c r="D2259" s="37"/>
      <c r="E2259" s="37"/>
    </row>
    <row r="2260" spans="1:5" ht="12.75" x14ac:dyDescent="0.2">
      <c r="A2260" s="36" t="s">
        <v>1434</v>
      </c>
      <c r="B2260" s="36" t="s">
        <v>402</v>
      </c>
      <c r="C2260" s="36" t="s">
        <v>1435</v>
      </c>
      <c r="D2260" s="37"/>
      <c r="E2260" s="37"/>
    </row>
    <row r="2261" spans="1:5" ht="12.75" x14ac:dyDescent="0.2">
      <c r="A2261" s="36" t="s">
        <v>1436</v>
      </c>
      <c r="B2261" s="37"/>
      <c r="C2261" s="37"/>
      <c r="D2261" s="37"/>
      <c r="E2261" s="37"/>
    </row>
    <row r="2262" spans="1:5" ht="12.75" x14ac:dyDescent="0.2">
      <c r="A2262" s="37"/>
      <c r="B2262" s="37"/>
      <c r="C2262" s="37"/>
      <c r="D2262" s="37"/>
      <c r="E2262" s="37"/>
    </row>
    <row r="2263" spans="1:5" ht="12.75" x14ac:dyDescent="0.2">
      <c r="A2263" s="36" t="s">
        <v>1437</v>
      </c>
      <c r="B2263" s="37"/>
      <c r="C2263" s="37"/>
      <c r="D2263" s="37"/>
      <c r="E2263" s="37"/>
    </row>
    <row r="2264" spans="1:5" ht="12.75" x14ac:dyDescent="0.2">
      <c r="A2264" s="37"/>
      <c r="B2264" s="36" t="s">
        <v>398</v>
      </c>
      <c r="C2264" s="37"/>
      <c r="D2264" s="37"/>
      <c r="E2264" s="37"/>
    </row>
    <row r="2265" spans="1:5" ht="12.75" x14ac:dyDescent="0.2">
      <c r="A2265" s="37"/>
      <c r="B2265" s="36" t="s">
        <v>399</v>
      </c>
      <c r="C2265" s="37"/>
      <c r="D2265" s="37"/>
      <c r="E2265" s="37"/>
    </row>
    <row r="2266" spans="1:5" ht="12.75" x14ac:dyDescent="0.2">
      <c r="A2266" s="37"/>
      <c r="B2266" s="36" t="s">
        <v>400</v>
      </c>
      <c r="C2266" s="36" t="s">
        <v>1437</v>
      </c>
      <c r="D2266" s="37"/>
      <c r="E2266" s="37"/>
    </row>
    <row r="2267" spans="1:5" ht="12.75" x14ac:dyDescent="0.2">
      <c r="A2267" s="37"/>
      <c r="B2267" s="36" t="s">
        <v>401</v>
      </c>
      <c r="C2267" s="37"/>
      <c r="D2267" s="37"/>
      <c r="E2267" s="37"/>
    </row>
    <row r="2268" spans="1:5" ht="12.75" x14ac:dyDescent="0.2">
      <c r="A2268" s="36" t="s">
        <v>1438</v>
      </c>
      <c r="B2268" s="36" t="s">
        <v>402</v>
      </c>
      <c r="C2268" s="36" t="s">
        <v>1439</v>
      </c>
      <c r="D2268" s="37"/>
      <c r="E2268" s="37"/>
    </row>
    <row r="2269" spans="1:5" ht="12.75" x14ac:dyDescent="0.2">
      <c r="A2269" s="36" t="s">
        <v>1440</v>
      </c>
      <c r="B2269" s="37"/>
      <c r="C2269" s="37"/>
      <c r="D2269" s="37"/>
      <c r="E2269" s="37"/>
    </row>
    <row r="2270" spans="1:5" ht="12.75" x14ac:dyDescent="0.2">
      <c r="A2270" s="36" t="s">
        <v>1441</v>
      </c>
      <c r="B2270" s="37"/>
      <c r="C2270" s="37"/>
      <c r="D2270" s="37"/>
      <c r="E2270" s="37"/>
    </row>
    <row r="2271" spans="1:5" ht="12.75" x14ac:dyDescent="0.2">
      <c r="A2271" s="36" t="s">
        <v>1442</v>
      </c>
      <c r="B2271" s="37"/>
      <c r="C2271" s="37"/>
      <c r="D2271" s="37"/>
      <c r="E2271" s="37"/>
    </row>
    <row r="2272" spans="1:5" ht="12.75" x14ac:dyDescent="0.2">
      <c r="A2272" s="37"/>
      <c r="B2272" s="37"/>
      <c r="C2272" s="37"/>
      <c r="D2272" s="37"/>
      <c r="E2272" s="37"/>
    </row>
    <row r="2273" spans="1:5" ht="12.75" x14ac:dyDescent="0.2">
      <c r="A2273" s="36" t="s">
        <v>1443</v>
      </c>
      <c r="B2273" s="37"/>
      <c r="C2273" s="37"/>
      <c r="D2273" s="37"/>
      <c r="E2273" s="37"/>
    </row>
    <row r="2274" spans="1:5" ht="12.75" x14ac:dyDescent="0.2">
      <c r="A2274" s="37"/>
      <c r="B2274" s="36" t="s">
        <v>398</v>
      </c>
      <c r="C2274" s="37"/>
      <c r="D2274" s="37"/>
      <c r="E2274" s="37"/>
    </row>
    <row r="2275" spans="1:5" ht="12.75" x14ac:dyDescent="0.2">
      <c r="A2275" s="37"/>
      <c r="B2275" s="36" t="s">
        <v>399</v>
      </c>
      <c r="C2275" s="37"/>
      <c r="D2275" s="37"/>
      <c r="E2275" s="37"/>
    </row>
    <row r="2276" spans="1:5" ht="12.75" x14ac:dyDescent="0.2">
      <c r="A2276" s="37"/>
      <c r="B2276" s="36" t="s">
        <v>400</v>
      </c>
      <c r="C2276" s="36" t="s">
        <v>1443</v>
      </c>
      <c r="D2276" s="37"/>
      <c r="E2276" s="37"/>
    </row>
    <row r="2277" spans="1:5" ht="12.75" x14ac:dyDescent="0.2">
      <c r="A2277" s="37"/>
      <c r="B2277" s="36" t="s">
        <v>401</v>
      </c>
      <c r="C2277" s="37"/>
      <c r="D2277" s="37"/>
      <c r="E2277" s="37"/>
    </row>
    <row r="2278" spans="1:5" ht="12.75" x14ac:dyDescent="0.2">
      <c r="A2278" s="36" t="s">
        <v>1444</v>
      </c>
      <c r="B2278" s="36" t="s">
        <v>402</v>
      </c>
      <c r="C2278" s="36" t="s">
        <v>1445</v>
      </c>
      <c r="D2278" s="37"/>
      <c r="E2278" s="37"/>
    </row>
    <row r="2279" spans="1:5" ht="12.75" x14ac:dyDescent="0.2">
      <c r="A2279" s="36" t="s">
        <v>1446</v>
      </c>
      <c r="B2279" s="37"/>
      <c r="C2279" s="37"/>
      <c r="D2279" s="37"/>
      <c r="E2279" s="37"/>
    </row>
    <row r="2280" spans="1:5" ht="12.75" x14ac:dyDescent="0.2">
      <c r="A2280" s="36" t="s">
        <v>1447</v>
      </c>
      <c r="B2280" s="37"/>
      <c r="C2280" s="37"/>
      <c r="D2280" s="37"/>
      <c r="E2280" s="37"/>
    </row>
    <row r="2281" spans="1:5" ht="12.75" x14ac:dyDescent="0.2">
      <c r="A2281" s="36" t="s">
        <v>1448</v>
      </c>
      <c r="B2281" s="37"/>
      <c r="C2281" s="37"/>
      <c r="D2281" s="37"/>
      <c r="E2281" s="37"/>
    </row>
    <row r="2282" spans="1:5" ht="12.75" x14ac:dyDescent="0.2">
      <c r="A2282" s="36" t="s">
        <v>1449</v>
      </c>
      <c r="B2282" s="37"/>
      <c r="C2282" s="37"/>
      <c r="D2282" s="37"/>
      <c r="E2282" s="37"/>
    </row>
    <row r="2283" spans="1:5" ht="12.75" x14ac:dyDescent="0.2">
      <c r="A2283" s="36" t="s">
        <v>1450</v>
      </c>
      <c r="B2283" s="37"/>
      <c r="C2283" s="37"/>
      <c r="D2283" s="37"/>
      <c r="E2283" s="37"/>
    </row>
    <row r="2284" spans="1:5" ht="12.75" x14ac:dyDescent="0.2">
      <c r="A2284" s="36" t="s">
        <v>1451</v>
      </c>
      <c r="B2284" s="37"/>
      <c r="C2284" s="37"/>
      <c r="D2284" s="37"/>
      <c r="E2284" s="37"/>
    </row>
    <row r="2285" spans="1:5" ht="12.75" x14ac:dyDescent="0.2">
      <c r="A2285" s="37"/>
      <c r="B2285" s="37"/>
      <c r="C2285" s="37"/>
      <c r="D2285" s="37"/>
      <c r="E2285" s="37"/>
    </row>
    <row r="2286" spans="1:5" ht="12.75" x14ac:dyDescent="0.2">
      <c r="A2286" s="36" t="s">
        <v>1452</v>
      </c>
      <c r="B2286" s="37"/>
      <c r="C2286" s="37"/>
      <c r="D2286" s="37"/>
      <c r="E2286" s="37"/>
    </row>
    <row r="2287" spans="1:5" ht="12.75" x14ac:dyDescent="0.2">
      <c r="A2287" s="37"/>
      <c r="B2287" s="36" t="s">
        <v>398</v>
      </c>
      <c r="C2287" s="37"/>
      <c r="D2287" s="37"/>
      <c r="E2287" s="37"/>
    </row>
    <row r="2288" spans="1:5" ht="12.75" x14ac:dyDescent="0.2">
      <c r="A2288" s="37"/>
      <c r="B2288" s="36" t="s">
        <v>399</v>
      </c>
      <c r="C2288" s="37"/>
      <c r="D2288" s="37"/>
      <c r="E2288" s="37"/>
    </row>
    <row r="2289" spans="1:5" ht="12.75" x14ac:dyDescent="0.2">
      <c r="A2289" s="37"/>
      <c r="B2289" s="36" t="s">
        <v>400</v>
      </c>
      <c r="C2289" s="36" t="s">
        <v>1452</v>
      </c>
      <c r="D2289" s="37"/>
      <c r="E2289" s="37"/>
    </row>
    <row r="2290" spans="1:5" ht="12.75" x14ac:dyDescent="0.2">
      <c r="A2290" s="37"/>
      <c r="B2290" s="36" t="s">
        <v>401</v>
      </c>
      <c r="C2290" s="37"/>
      <c r="D2290" s="37"/>
      <c r="E2290" s="37"/>
    </row>
    <row r="2291" spans="1:5" ht="12.75" x14ac:dyDescent="0.2">
      <c r="A2291" s="36" t="s">
        <v>1453</v>
      </c>
      <c r="B2291" s="36" t="s">
        <v>402</v>
      </c>
      <c r="C2291" s="36" t="s">
        <v>1454</v>
      </c>
      <c r="D2291" s="37"/>
      <c r="E2291" s="37"/>
    </row>
    <row r="2292" spans="1:5" ht="12.75" x14ac:dyDescent="0.2">
      <c r="A2292" s="36" t="s">
        <v>1455</v>
      </c>
      <c r="B2292" s="37"/>
      <c r="C2292" s="37"/>
      <c r="D2292" s="37"/>
      <c r="E2292" s="37"/>
    </row>
    <row r="2293" spans="1:5" ht="12.75" x14ac:dyDescent="0.2">
      <c r="A2293" s="36" t="s">
        <v>1456</v>
      </c>
      <c r="B2293" s="37"/>
      <c r="C2293" s="37"/>
      <c r="D2293" s="37"/>
      <c r="E2293" s="37"/>
    </row>
    <row r="2294" spans="1:5" ht="12.75" x14ac:dyDescent="0.2">
      <c r="A2294" s="36" t="s">
        <v>1457</v>
      </c>
      <c r="B2294" s="37"/>
      <c r="C2294" s="37"/>
      <c r="D2294" s="37"/>
      <c r="E2294" s="37"/>
    </row>
    <row r="2295" spans="1:5" ht="12.75" x14ac:dyDescent="0.2">
      <c r="A2295" s="36" t="s">
        <v>1458</v>
      </c>
      <c r="B2295" s="37"/>
      <c r="C2295" s="37"/>
      <c r="D2295" s="37"/>
      <c r="E2295" s="37"/>
    </row>
    <row r="2296" spans="1:5" ht="12.75" x14ac:dyDescent="0.2">
      <c r="A2296" s="36" t="s">
        <v>1459</v>
      </c>
      <c r="B2296" s="37"/>
      <c r="C2296" s="37"/>
      <c r="D2296" s="37"/>
      <c r="E2296" s="37"/>
    </row>
    <row r="2297" spans="1:5" ht="12.75" x14ac:dyDescent="0.2">
      <c r="A2297" s="36" t="s">
        <v>1460</v>
      </c>
      <c r="B2297" s="37"/>
      <c r="C2297" s="37"/>
      <c r="D2297" s="37"/>
      <c r="E2297" s="37"/>
    </row>
    <row r="2298" spans="1:5" ht="12.75" x14ac:dyDescent="0.2">
      <c r="A2298" s="36" t="s">
        <v>1461</v>
      </c>
      <c r="B2298" s="37"/>
      <c r="C2298" s="37"/>
      <c r="D2298" s="37"/>
      <c r="E2298" s="37"/>
    </row>
    <row r="2299" spans="1:5" ht="12.75" x14ac:dyDescent="0.2">
      <c r="A2299" s="37"/>
      <c r="B2299" s="37"/>
      <c r="C2299" s="37"/>
      <c r="D2299" s="37"/>
      <c r="E2299" s="37"/>
    </row>
    <row r="2300" spans="1:5" ht="12.75" x14ac:dyDescent="0.2">
      <c r="A2300" s="36" t="s">
        <v>1462</v>
      </c>
      <c r="B2300" s="37"/>
      <c r="C2300" s="37"/>
      <c r="D2300" s="37"/>
      <c r="E2300" s="37"/>
    </row>
    <row r="2301" spans="1:5" ht="12.75" x14ac:dyDescent="0.2">
      <c r="A2301" s="37"/>
      <c r="B2301" s="36" t="s">
        <v>398</v>
      </c>
      <c r="C2301" s="37"/>
      <c r="D2301" s="37"/>
      <c r="E2301" s="37"/>
    </row>
    <row r="2302" spans="1:5" ht="12.75" x14ac:dyDescent="0.2">
      <c r="A2302" s="37"/>
      <c r="B2302" s="36" t="s">
        <v>399</v>
      </c>
      <c r="C2302" s="37"/>
      <c r="D2302" s="37"/>
      <c r="E2302" s="37"/>
    </row>
    <row r="2303" spans="1:5" ht="12.75" x14ac:dyDescent="0.2">
      <c r="A2303" s="37"/>
      <c r="B2303" s="36" t="s">
        <v>400</v>
      </c>
      <c r="C2303" s="36" t="s">
        <v>1462</v>
      </c>
      <c r="D2303" s="37"/>
      <c r="E2303" s="37"/>
    </row>
    <row r="2304" spans="1:5" ht="12.75" x14ac:dyDescent="0.2">
      <c r="A2304" s="37"/>
      <c r="B2304" s="36" t="s">
        <v>401</v>
      </c>
      <c r="C2304" s="37"/>
      <c r="D2304" s="37"/>
      <c r="E2304" s="37"/>
    </row>
    <row r="2305" spans="1:5" ht="12.75" x14ac:dyDescent="0.2">
      <c r="A2305" s="36" t="s">
        <v>1463</v>
      </c>
      <c r="B2305" s="36" t="s">
        <v>402</v>
      </c>
      <c r="C2305" s="36" t="s">
        <v>1408</v>
      </c>
      <c r="D2305" s="37"/>
      <c r="E2305" s="37"/>
    </row>
    <row r="2306" spans="1:5" ht="12.75" x14ac:dyDescent="0.2">
      <c r="A2306" s="36" t="s">
        <v>1464</v>
      </c>
      <c r="B2306" s="37"/>
      <c r="C2306" s="37"/>
      <c r="D2306" s="37"/>
      <c r="E2306" s="37"/>
    </row>
    <row r="2307" spans="1:5" ht="12.75" x14ac:dyDescent="0.2">
      <c r="A2307" s="36" t="s">
        <v>1465</v>
      </c>
      <c r="B2307" s="37"/>
      <c r="C2307" s="37"/>
      <c r="D2307" s="37"/>
      <c r="E2307" s="37"/>
    </row>
    <row r="2308" spans="1:5" ht="12.75" x14ac:dyDescent="0.2">
      <c r="A2308" s="36" t="s">
        <v>1466</v>
      </c>
      <c r="B2308" s="37"/>
      <c r="C2308" s="37"/>
      <c r="D2308" s="37"/>
      <c r="E2308" s="37"/>
    </row>
    <row r="2309" spans="1:5" ht="12.75" x14ac:dyDescent="0.2">
      <c r="A2309" s="36" t="s">
        <v>1467</v>
      </c>
      <c r="B2309" s="37"/>
      <c r="C2309" s="37"/>
      <c r="D2309" s="37"/>
      <c r="E2309" s="37"/>
    </row>
    <row r="2310" spans="1:5" ht="12.75" x14ac:dyDescent="0.2">
      <c r="A2310" s="36" t="s">
        <v>1468</v>
      </c>
      <c r="B2310" s="37"/>
      <c r="C2310" s="37"/>
      <c r="D2310" s="37"/>
      <c r="E2310" s="37"/>
    </row>
    <row r="2311" spans="1:5" ht="12.75" x14ac:dyDescent="0.2">
      <c r="A2311" s="36" t="s">
        <v>1469</v>
      </c>
      <c r="B2311" s="37"/>
      <c r="C2311" s="37"/>
      <c r="D2311" s="37"/>
      <c r="E2311" s="37"/>
    </row>
    <row r="2312" spans="1:5" ht="12.75" x14ac:dyDescent="0.2">
      <c r="A2312" s="36" t="s">
        <v>1470</v>
      </c>
      <c r="B2312" s="37"/>
      <c r="C2312" s="37"/>
      <c r="D2312" s="37"/>
      <c r="E2312" s="37"/>
    </row>
    <row r="2313" spans="1:5" ht="12.75" x14ac:dyDescent="0.2">
      <c r="A2313" s="36" t="s">
        <v>1471</v>
      </c>
      <c r="B2313" s="37"/>
      <c r="C2313" s="37"/>
      <c r="D2313" s="37"/>
      <c r="E2313" s="37"/>
    </row>
    <row r="2314" spans="1:5" ht="12.75" x14ac:dyDescent="0.2">
      <c r="A2314" s="37"/>
      <c r="B2314" s="37"/>
      <c r="C2314" s="37"/>
      <c r="D2314" s="37"/>
      <c r="E2314" s="37"/>
    </row>
    <row r="2315" spans="1:5" ht="12.75" x14ac:dyDescent="0.2">
      <c r="A2315" s="36" t="s">
        <v>1472</v>
      </c>
      <c r="B2315" s="37"/>
      <c r="C2315" s="37"/>
      <c r="D2315" s="37"/>
      <c r="E2315" s="37"/>
    </row>
    <row r="2316" spans="1:5" ht="12.75" x14ac:dyDescent="0.2">
      <c r="A2316" s="37"/>
      <c r="B2316" s="36" t="s">
        <v>398</v>
      </c>
      <c r="C2316" s="37"/>
      <c r="D2316" s="37"/>
      <c r="E2316" s="37"/>
    </row>
    <row r="2317" spans="1:5" ht="12.75" x14ac:dyDescent="0.2">
      <c r="A2317" s="37"/>
      <c r="B2317" s="36" t="s">
        <v>399</v>
      </c>
      <c r="C2317" s="37"/>
      <c r="D2317" s="37"/>
      <c r="E2317" s="37"/>
    </row>
    <row r="2318" spans="1:5" ht="12.75" x14ac:dyDescent="0.2">
      <c r="A2318" s="37"/>
      <c r="B2318" s="36" t="s">
        <v>400</v>
      </c>
      <c r="C2318" s="36" t="s">
        <v>1472</v>
      </c>
      <c r="D2318" s="37"/>
      <c r="E2318" s="37"/>
    </row>
    <row r="2319" spans="1:5" ht="12.75" x14ac:dyDescent="0.2">
      <c r="A2319" s="37"/>
      <c r="B2319" s="36" t="s">
        <v>401</v>
      </c>
      <c r="C2319" s="37"/>
      <c r="D2319" s="37"/>
      <c r="E2319" s="37"/>
    </row>
    <row r="2320" spans="1:5" ht="12.75" x14ac:dyDescent="0.2">
      <c r="A2320" s="36" t="s">
        <v>1473</v>
      </c>
      <c r="B2320" s="36" t="s">
        <v>402</v>
      </c>
      <c r="C2320" s="36" t="s">
        <v>1474</v>
      </c>
      <c r="D2320" s="37"/>
      <c r="E2320" s="37"/>
    </row>
    <row r="2321" spans="1:5" ht="12.75" x14ac:dyDescent="0.2">
      <c r="A2321" s="36" t="s">
        <v>1475</v>
      </c>
      <c r="B2321" s="37"/>
      <c r="C2321" s="37"/>
      <c r="D2321" s="37"/>
      <c r="E2321" s="37"/>
    </row>
    <row r="2322" spans="1:5" ht="12.75" x14ac:dyDescent="0.2">
      <c r="A2322" s="36" t="s">
        <v>1476</v>
      </c>
      <c r="B2322" s="37"/>
      <c r="C2322" s="37"/>
      <c r="D2322" s="37"/>
      <c r="E2322" s="37"/>
    </row>
    <row r="2323" spans="1:5" ht="12.75" x14ac:dyDescent="0.2">
      <c r="A2323" s="36" t="s">
        <v>1477</v>
      </c>
      <c r="B2323" s="37"/>
      <c r="C2323" s="37"/>
      <c r="D2323" s="37"/>
      <c r="E2323" s="37"/>
    </row>
    <row r="2324" spans="1:5" ht="12.75" x14ac:dyDescent="0.2">
      <c r="A2324" s="36" t="s">
        <v>1478</v>
      </c>
      <c r="B2324" s="37"/>
      <c r="C2324" s="37"/>
      <c r="D2324" s="37"/>
      <c r="E2324" s="37"/>
    </row>
    <row r="2325" spans="1:5" ht="12.75" x14ac:dyDescent="0.2">
      <c r="A2325" s="36" t="s">
        <v>1479</v>
      </c>
      <c r="B2325" s="37"/>
      <c r="C2325" s="37"/>
      <c r="D2325" s="37"/>
      <c r="E2325" s="37"/>
    </row>
    <row r="2326" spans="1:5" ht="12.75" x14ac:dyDescent="0.2">
      <c r="A2326" s="36" t="s">
        <v>1480</v>
      </c>
      <c r="B2326" s="37"/>
      <c r="C2326" s="37"/>
      <c r="D2326" s="37"/>
      <c r="E2326" s="37"/>
    </row>
    <row r="2327" spans="1:5" ht="12.75" x14ac:dyDescent="0.2">
      <c r="A2327" s="36" t="s">
        <v>1481</v>
      </c>
      <c r="B2327" s="37"/>
      <c r="C2327" s="37"/>
      <c r="D2327" s="37"/>
      <c r="E2327" s="37"/>
    </row>
    <row r="2328" spans="1:5" ht="12.75" x14ac:dyDescent="0.2">
      <c r="A2328" s="36" t="s">
        <v>1482</v>
      </c>
      <c r="B2328" s="37"/>
      <c r="C2328" s="37"/>
      <c r="D2328" s="37"/>
      <c r="E2328" s="37"/>
    </row>
    <row r="2329" spans="1:5" ht="12.75" x14ac:dyDescent="0.2">
      <c r="A2329" s="36" t="s">
        <v>1483</v>
      </c>
      <c r="B2329" s="37"/>
      <c r="C2329" s="37"/>
      <c r="D2329" s="37"/>
      <c r="E2329" s="37"/>
    </row>
    <row r="2330" spans="1:5" ht="12.75" x14ac:dyDescent="0.2">
      <c r="A2330" s="37"/>
      <c r="B2330" s="36" t="s">
        <v>403</v>
      </c>
      <c r="C2330" s="36" t="s">
        <v>41</v>
      </c>
      <c r="D2330" s="36" t="s">
        <v>10</v>
      </c>
      <c r="E2330" s="37"/>
    </row>
    <row r="2331" spans="1:5" ht="12.75" x14ac:dyDescent="0.2">
      <c r="A2331" s="37"/>
      <c r="B2331" s="37"/>
      <c r="C2331" s="37"/>
      <c r="D2331" s="37"/>
      <c r="E2331" s="37"/>
    </row>
    <row r="2332" spans="1:5" ht="12.75" x14ac:dyDescent="0.2">
      <c r="A2332" s="36" t="s">
        <v>1484</v>
      </c>
      <c r="B2332" s="37"/>
      <c r="C2332" s="37"/>
      <c r="D2332" s="37"/>
      <c r="E2332" s="37"/>
    </row>
    <row r="2333" spans="1:5" ht="12.75" x14ac:dyDescent="0.2">
      <c r="A2333" s="37"/>
      <c r="B2333" s="36" t="s">
        <v>398</v>
      </c>
      <c r="C2333" s="37"/>
      <c r="D2333" s="37"/>
      <c r="E2333" s="37"/>
    </row>
    <row r="2334" spans="1:5" ht="12.75" x14ac:dyDescent="0.2">
      <c r="A2334" s="37"/>
      <c r="B2334" s="36" t="s">
        <v>399</v>
      </c>
      <c r="C2334" s="37"/>
      <c r="D2334" s="37"/>
      <c r="E2334" s="37"/>
    </row>
    <row r="2335" spans="1:5" ht="12.75" x14ac:dyDescent="0.2">
      <c r="A2335" s="37"/>
      <c r="B2335" s="36" t="s">
        <v>400</v>
      </c>
      <c r="C2335" s="36" t="s">
        <v>1484</v>
      </c>
      <c r="D2335" s="37"/>
      <c r="E2335" s="37"/>
    </row>
    <row r="2336" spans="1:5" ht="12.75" x14ac:dyDescent="0.2">
      <c r="A2336" s="37"/>
      <c r="B2336" s="36" t="s">
        <v>401</v>
      </c>
      <c r="C2336" s="37"/>
      <c r="D2336" s="37"/>
      <c r="E2336" s="37"/>
    </row>
    <row r="2337" spans="1:5" ht="12.75" x14ac:dyDescent="0.2">
      <c r="A2337" s="36" t="s">
        <v>1485</v>
      </c>
      <c r="B2337" s="36" t="s">
        <v>402</v>
      </c>
      <c r="C2337" s="36" t="s">
        <v>1486</v>
      </c>
      <c r="D2337" s="37"/>
      <c r="E2337" s="37"/>
    </row>
    <row r="2338" spans="1:5" ht="12.75" x14ac:dyDescent="0.2">
      <c r="A2338" s="36" t="s">
        <v>1487</v>
      </c>
      <c r="B2338" s="37"/>
      <c r="C2338" s="37"/>
      <c r="D2338" s="37"/>
      <c r="E2338" s="37"/>
    </row>
    <row r="2339" spans="1:5" ht="12.75" x14ac:dyDescent="0.2">
      <c r="A2339" s="36" t="s">
        <v>1488</v>
      </c>
      <c r="B2339" s="37"/>
      <c r="C2339" s="37"/>
      <c r="D2339" s="37"/>
      <c r="E2339" s="37"/>
    </row>
    <row r="2340" spans="1:5" ht="12.75" x14ac:dyDescent="0.2">
      <c r="A2340" s="36" t="s">
        <v>1489</v>
      </c>
      <c r="B2340" s="37"/>
      <c r="C2340" s="37"/>
      <c r="D2340" s="37"/>
      <c r="E2340" s="37"/>
    </row>
    <row r="2341" spans="1:5" ht="12.75" x14ac:dyDescent="0.2">
      <c r="A2341" s="36" t="s">
        <v>1490</v>
      </c>
      <c r="B2341" s="37"/>
      <c r="C2341" s="37"/>
      <c r="D2341" s="37"/>
      <c r="E2341" s="37"/>
    </row>
    <row r="2342" spans="1:5" ht="12.75" x14ac:dyDescent="0.2">
      <c r="A2342" s="36" t="s">
        <v>1491</v>
      </c>
      <c r="B2342" s="37"/>
      <c r="C2342" s="37"/>
      <c r="D2342" s="37"/>
      <c r="E2342" s="37"/>
    </row>
    <row r="2343" spans="1:5" ht="12.75" x14ac:dyDescent="0.2">
      <c r="A2343" s="36" t="s">
        <v>1492</v>
      </c>
      <c r="B2343" s="37"/>
      <c r="C2343" s="37"/>
      <c r="D2343" s="37"/>
      <c r="E2343" s="37"/>
    </row>
    <row r="2344" spans="1:5" ht="12.75" x14ac:dyDescent="0.2">
      <c r="A2344" s="36" t="s">
        <v>1493</v>
      </c>
      <c r="B2344" s="37"/>
      <c r="C2344" s="37"/>
      <c r="D2344" s="37"/>
      <c r="E2344" s="37"/>
    </row>
    <row r="2345" spans="1:5" ht="12.75" x14ac:dyDescent="0.2">
      <c r="A2345" s="36" t="s">
        <v>1494</v>
      </c>
      <c r="B2345" s="37"/>
      <c r="C2345" s="37"/>
      <c r="D2345" s="37"/>
      <c r="E2345" s="37"/>
    </row>
    <row r="2346" spans="1:5" ht="12.75" x14ac:dyDescent="0.2">
      <c r="A2346" s="36" t="s">
        <v>1495</v>
      </c>
      <c r="B2346" s="37"/>
      <c r="C2346" s="37"/>
      <c r="D2346" s="37"/>
      <c r="E2346" s="37"/>
    </row>
    <row r="2347" spans="1:5" ht="12.75" x14ac:dyDescent="0.2">
      <c r="A2347" s="37"/>
      <c r="B2347" s="37"/>
      <c r="C2347" s="37"/>
      <c r="D2347" s="37"/>
      <c r="E2347" s="37"/>
    </row>
    <row r="2348" spans="1:5" ht="12.75" x14ac:dyDescent="0.2">
      <c r="A2348" s="36" t="s">
        <v>1496</v>
      </c>
      <c r="B2348" s="37"/>
      <c r="C2348" s="37"/>
      <c r="D2348" s="37"/>
      <c r="E2348" s="37"/>
    </row>
    <row r="2349" spans="1:5" ht="12.75" x14ac:dyDescent="0.2">
      <c r="A2349" s="37"/>
      <c r="B2349" s="36" t="s">
        <v>398</v>
      </c>
      <c r="C2349" s="37"/>
      <c r="D2349" s="37"/>
      <c r="E2349" s="37"/>
    </row>
    <row r="2350" spans="1:5" ht="12.75" x14ac:dyDescent="0.2">
      <c r="A2350" s="37"/>
      <c r="B2350" s="36" t="s">
        <v>399</v>
      </c>
      <c r="C2350" s="37"/>
      <c r="D2350" s="37"/>
      <c r="E2350" s="37"/>
    </row>
    <row r="2351" spans="1:5" ht="12.75" x14ac:dyDescent="0.2">
      <c r="A2351" s="37"/>
      <c r="B2351" s="36" t="s">
        <v>400</v>
      </c>
      <c r="C2351" s="36" t="s">
        <v>1496</v>
      </c>
      <c r="D2351" s="37"/>
      <c r="E2351" s="37"/>
    </row>
    <row r="2352" spans="1:5" ht="12.75" x14ac:dyDescent="0.2">
      <c r="A2352" s="37"/>
      <c r="B2352" s="36" t="s">
        <v>401</v>
      </c>
      <c r="C2352" s="37"/>
      <c r="D2352" s="37"/>
      <c r="E2352" s="37"/>
    </row>
    <row r="2353" spans="1:5" ht="12.75" x14ac:dyDescent="0.2">
      <c r="A2353" s="36" t="s">
        <v>1497</v>
      </c>
      <c r="B2353" s="36" t="s">
        <v>402</v>
      </c>
      <c r="C2353" s="36" t="s">
        <v>1498</v>
      </c>
      <c r="D2353" s="37"/>
      <c r="E2353" s="37"/>
    </row>
    <row r="2354" spans="1:5" ht="12.75" x14ac:dyDescent="0.2">
      <c r="A2354" s="36" t="s">
        <v>1499</v>
      </c>
      <c r="B2354" s="37"/>
      <c r="C2354" s="37"/>
      <c r="D2354" s="37"/>
      <c r="E2354" s="37"/>
    </row>
    <row r="2355" spans="1:5" ht="12.75" x14ac:dyDescent="0.2">
      <c r="A2355" s="36" t="s">
        <v>1500</v>
      </c>
      <c r="B2355" s="37"/>
      <c r="C2355" s="37"/>
      <c r="D2355" s="37"/>
      <c r="E2355" s="37"/>
    </row>
    <row r="2356" spans="1:5" ht="12.75" x14ac:dyDescent="0.2">
      <c r="A2356" s="36" t="s">
        <v>1501</v>
      </c>
      <c r="B2356" s="37"/>
      <c r="C2356" s="37"/>
      <c r="D2356" s="37"/>
      <c r="E2356" s="37"/>
    </row>
    <row r="2357" spans="1:5" ht="12.75" x14ac:dyDescent="0.2">
      <c r="A2357" s="36" t="s">
        <v>1502</v>
      </c>
      <c r="B2357" s="37"/>
      <c r="C2357" s="37"/>
      <c r="D2357" s="37"/>
      <c r="E2357" s="37"/>
    </row>
    <row r="2358" spans="1:5" ht="12.75" x14ac:dyDescent="0.2">
      <c r="A2358" s="36" t="s">
        <v>1503</v>
      </c>
      <c r="B2358" s="37"/>
      <c r="C2358" s="37"/>
      <c r="D2358" s="37"/>
      <c r="E2358" s="37"/>
    </row>
    <row r="2359" spans="1:5" ht="12.75" x14ac:dyDescent="0.2">
      <c r="A2359" s="36" t="s">
        <v>1504</v>
      </c>
      <c r="B2359" s="37"/>
      <c r="C2359" s="37"/>
      <c r="D2359" s="37"/>
      <c r="E2359" s="37"/>
    </row>
    <row r="2360" spans="1:5" ht="12.75" x14ac:dyDescent="0.2">
      <c r="A2360" s="36" t="s">
        <v>1505</v>
      </c>
      <c r="B2360" s="37"/>
      <c r="C2360" s="37"/>
      <c r="D2360" s="37"/>
      <c r="E2360" s="37"/>
    </row>
    <row r="2361" spans="1:5" ht="12.75" x14ac:dyDescent="0.2">
      <c r="A2361" s="36" t="s">
        <v>1506</v>
      </c>
      <c r="B2361" s="37"/>
      <c r="C2361" s="37"/>
      <c r="D2361" s="37"/>
      <c r="E2361" s="37"/>
    </row>
    <row r="2362" spans="1:5" ht="12.75" x14ac:dyDescent="0.2">
      <c r="A2362" s="36" t="s">
        <v>1507</v>
      </c>
      <c r="B2362" s="37"/>
      <c r="C2362" s="37"/>
      <c r="D2362" s="37"/>
      <c r="E2362" s="37"/>
    </row>
    <row r="2363" spans="1:5" ht="12.75" x14ac:dyDescent="0.2">
      <c r="A2363" s="37"/>
      <c r="B2363" s="37"/>
      <c r="C2363" s="37"/>
      <c r="D2363" s="37"/>
      <c r="E2363" s="37"/>
    </row>
    <row r="2364" spans="1:5" ht="12.75" x14ac:dyDescent="0.2">
      <c r="A2364" s="36" t="s">
        <v>1508</v>
      </c>
      <c r="B2364" s="37"/>
      <c r="C2364" s="37"/>
      <c r="D2364" s="37"/>
      <c r="E2364" s="37"/>
    </row>
    <row r="2365" spans="1:5" ht="12.75" x14ac:dyDescent="0.2">
      <c r="A2365" s="37"/>
      <c r="B2365" s="36" t="s">
        <v>398</v>
      </c>
      <c r="C2365" s="37"/>
      <c r="D2365" s="37"/>
      <c r="E2365" s="37"/>
    </row>
    <row r="2366" spans="1:5" ht="12.75" x14ac:dyDescent="0.2">
      <c r="A2366" s="37"/>
      <c r="B2366" s="36" t="s">
        <v>399</v>
      </c>
      <c r="C2366" s="37"/>
      <c r="D2366" s="37"/>
      <c r="E2366" s="37"/>
    </row>
    <row r="2367" spans="1:5" ht="12.75" x14ac:dyDescent="0.2">
      <c r="A2367" s="37"/>
      <c r="B2367" s="36" t="s">
        <v>400</v>
      </c>
      <c r="C2367" s="36" t="s">
        <v>1508</v>
      </c>
      <c r="D2367" s="37"/>
      <c r="E2367" s="37"/>
    </row>
    <row r="2368" spans="1:5" ht="12.75" x14ac:dyDescent="0.2">
      <c r="A2368" s="37"/>
      <c r="B2368" s="36" t="s">
        <v>401</v>
      </c>
      <c r="C2368" s="37"/>
      <c r="D2368" s="37"/>
      <c r="E2368" s="37"/>
    </row>
    <row r="2369" spans="1:5" ht="12.75" x14ac:dyDescent="0.2">
      <c r="A2369" s="36" t="s">
        <v>1509</v>
      </c>
      <c r="B2369" s="36" t="s">
        <v>402</v>
      </c>
      <c r="C2369" s="36" t="s">
        <v>1510</v>
      </c>
      <c r="D2369" s="37"/>
      <c r="E2369" s="37"/>
    </row>
    <row r="2370" spans="1:5" ht="12.75" x14ac:dyDescent="0.2">
      <c r="A2370" s="36" t="s">
        <v>1511</v>
      </c>
      <c r="B2370" s="37"/>
      <c r="C2370" s="37"/>
      <c r="D2370" s="37"/>
      <c r="E2370" s="37"/>
    </row>
    <row r="2371" spans="1:5" ht="12.75" x14ac:dyDescent="0.2">
      <c r="A2371" s="36" t="s">
        <v>1512</v>
      </c>
      <c r="B2371" s="37"/>
      <c r="C2371" s="37"/>
      <c r="D2371" s="37"/>
      <c r="E2371" s="37"/>
    </row>
    <row r="2372" spans="1:5" ht="12.75" x14ac:dyDescent="0.2">
      <c r="A2372" s="36" t="s">
        <v>1513</v>
      </c>
      <c r="B2372" s="37"/>
      <c r="C2372" s="37"/>
      <c r="D2372" s="37"/>
      <c r="E2372" s="37"/>
    </row>
    <row r="2373" spans="1:5" ht="12.75" x14ac:dyDescent="0.2">
      <c r="A2373" s="36" t="s">
        <v>1514</v>
      </c>
      <c r="B2373" s="37"/>
      <c r="C2373" s="37"/>
      <c r="D2373" s="37"/>
      <c r="E2373" s="37"/>
    </row>
    <row r="2374" spans="1:5" ht="12.75" x14ac:dyDescent="0.2">
      <c r="A2374" s="37"/>
      <c r="B2374" s="37"/>
      <c r="C2374" s="37"/>
      <c r="D2374" s="37"/>
      <c r="E2374" s="37"/>
    </row>
    <row r="2375" spans="1:5" ht="12.75" x14ac:dyDescent="0.2">
      <c r="A2375" s="36" t="s">
        <v>1515</v>
      </c>
      <c r="B2375" s="37"/>
      <c r="C2375" s="37"/>
      <c r="D2375" s="37"/>
      <c r="E2375" s="37"/>
    </row>
    <row r="2376" spans="1:5" ht="12.75" x14ac:dyDescent="0.2">
      <c r="A2376" s="37"/>
      <c r="B2376" s="36" t="s">
        <v>398</v>
      </c>
      <c r="C2376" s="37"/>
      <c r="D2376" s="37"/>
      <c r="E2376" s="37"/>
    </row>
    <row r="2377" spans="1:5" ht="12.75" x14ac:dyDescent="0.2">
      <c r="A2377" s="37"/>
      <c r="B2377" s="36" t="s">
        <v>399</v>
      </c>
      <c r="C2377" s="37"/>
      <c r="D2377" s="37"/>
      <c r="E2377" s="37"/>
    </row>
    <row r="2378" spans="1:5" ht="12.75" x14ac:dyDescent="0.2">
      <c r="A2378" s="37"/>
      <c r="B2378" s="36" t="s">
        <v>400</v>
      </c>
      <c r="C2378" s="36" t="s">
        <v>1515</v>
      </c>
      <c r="D2378" s="37"/>
      <c r="E2378" s="37"/>
    </row>
    <row r="2379" spans="1:5" ht="12.75" x14ac:dyDescent="0.2">
      <c r="A2379" s="37"/>
      <c r="B2379" s="36" t="s">
        <v>401</v>
      </c>
      <c r="C2379" s="37"/>
      <c r="D2379" s="37"/>
      <c r="E2379" s="37"/>
    </row>
    <row r="2380" spans="1:5" ht="12.75" x14ac:dyDescent="0.2">
      <c r="A2380" s="36" t="s">
        <v>1516</v>
      </c>
      <c r="B2380" s="36" t="s">
        <v>402</v>
      </c>
      <c r="C2380" s="36" t="s">
        <v>1517</v>
      </c>
      <c r="D2380" s="37"/>
      <c r="E2380" s="37"/>
    </row>
    <row r="2381" spans="1:5" ht="12.75" x14ac:dyDescent="0.2">
      <c r="A2381" s="36" t="s">
        <v>1518</v>
      </c>
      <c r="B2381" s="37"/>
      <c r="C2381" s="37"/>
      <c r="D2381" s="37"/>
      <c r="E2381" s="37"/>
    </row>
    <row r="2382" spans="1:5" ht="12.75" x14ac:dyDescent="0.2">
      <c r="A2382" s="36" t="s">
        <v>1519</v>
      </c>
      <c r="B2382" s="37"/>
      <c r="C2382" s="37"/>
      <c r="D2382" s="37"/>
      <c r="E2382" s="37"/>
    </row>
    <row r="2383" spans="1:5" ht="12.75" x14ac:dyDescent="0.2">
      <c r="A2383" s="36" t="s">
        <v>1520</v>
      </c>
      <c r="B2383" s="37"/>
      <c r="C2383" s="37"/>
      <c r="D2383" s="37"/>
      <c r="E2383" s="37"/>
    </row>
    <row r="2384" spans="1:5" ht="12.75" x14ac:dyDescent="0.2">
      <c r="A2384" s="36" t="s">
        <v>1521</v>
      </c>
      <c r="B2384" s="37"/>
      <c r="C2384" s="37"/>
      <c r="D2384" s="37"/>
      <c r="E2384" s="37"/>
    </row>
    <row r="2385" spans="1:5" ht="12.75" x14ac:dyDescent="0.2">
      <c r="A2385" s="36" t="s">
        <v>1522</v>
      </c>
      <c r="B2385" s="37"/>
      <c r="C2385" s="37"/>
      <c r="D2385" s="37"/>
      <c r="E2385" s="37"/>
    </row>
    <row r="2386" spans="1:5" ht="12.75" x14ac:dyDescent="0.2">
      <c r="A2386" s="36" t="s">
        <v>1523</v>
      </c>
      <c r="B2386" s="37"/>
      <c r="C2386" s="37"/>
      <c r="D2386" s="37"/>
      <c r="E2386" s="37"/>
    </row>
    <row r="2387" spans="1:5" ht="12.75" x14ac:dyDescent="0.2">
      <c r="A2387" s="36" t="s">
        <v>1524</v>
      </c>
      <c r="B2387" s="37"/>
      <c r="C2387" s="37"/>
      <c r="D2387" s="37"/>
      <c r="E2387" s="37"/>
    </row>
    <row r="2388" spans="1:5" ht="12.75" x14ac:dyDescent="0.2">
      <c r="A2388" s="36" t="s">
        <v>1525</v>
      </c>
      <c r="B2388" s="37"/>
      <c r="C2388" s="37"/>
      <c r="D2388" s="37"/>
      <c r="E2388" s="37"/>
    </row>
    <row r="2389" spans="1:5" ht="12.75" x14ac:dyDescent="0.2">
      <c r="A2389" s="37"/>
      <c r="B2389" s="37"/>
      <c r="C2389" s="37"/>
      <c r="D2389" s="37"/>
      <c r="E2389" s="37"/>
    </row>
    <row r="2390" spans="1:5" ht="12.75" x14ac:dyDescent="0.2">
      <c r="A2390" s="36" t="s">
        <v>1526</v>
      </c>
      <c r="B2390" s="37"/>
      <c r="C2390" s="37"/>
      <c r="D2390" s="37"/>
      <c r="E2390" s="37"/>
    </row>
    <row r="2391" spans="1:5" ht="12.75" x14ac:dyDescent="0.2">
      <c r="A2391" s="37"/>
      <c r="B2391" s="36" t="s">
        <v>398</v>
      </c>
      <c r="C2391" s="37"/>
      <c r="D2391" s="37"/>
      <c r="E2391" s="37"/>
    </row>
    <row r="2392" spans="1:5" ht="12.75" x14ac:dyDescent="0.2">
      <c r="A2392" s="37"/>
      <c r="B2392" s="36" t="s">
        <v>399</v>
      </c>
      <c r="C2392" s="37"/>
      <c r="D2392" s="37"/>
      <c r="E2392" s="37"/>
    </row>
    <row r="2393" spans="1:5" ht="12.75" x14ac:dyDescent="0.2">
      <c r="A2393" s="37"/>
      <c r="B2393" s="36" t="s">
        <v>400</v>
      </c>
      <c r="C2393" s="36" t="s">
        <v>1526</v>
      </c>
      <c r="D2393" s="37"/>
      <c r="E2393" s="37"/>
    </row>
    <row r="2394" spans="1:5" ht="12.75" x14ac:dyDescent="0.2">
      <c r="A2394" s="37"/>
      <c r="B2394" s="36" t="s">
        <v>401</v>
      </c>
      <c r="C2394" s="37"/>
      <c r="D2394" s="37"/>
      <c r="E2394" s="37"/>
    </row>
    <row r="2395" spans="1:5" ht="12.75" x14ac:dyDescent="0.2">
      <c r="A2395" s="36" t="s">
        <v>1528</v>
      </c>
      <c r="B2395" s="36" t="s">
        <v>402</v>
      </c>
      <c r="C2395" s="36" t="s">
        <v>1528</v>
      </c>
      <c r="D2395" s="37"/>
      <c r="E2395" s="37"/>
    </row>
    <row r="2396" spans="1:5" ht="12.75" x14ac:dyDescent="0.2">
      <c r="A2396" s="36" t="s">
        <v>1529</v>
      </c>
      <c r="B2396" s="37"/>
      <c r="C2396" s="37"/>
      <c r="D2396" s="37"/>
      <c r="E2396" s="37"/>
    </row>
    <row r="2397" spans="1:5" ht="12.75" x14ac:dyDescent="0.2">
      <c r="A2397" s="36" t="s">
        <v>1530</v>
      </c>
      <c r="B2397" s="37"/>
      <c r="C2397" s="37"/>
      <c r="D2397" s="37"/>
      <c r="E2397" s="37"/>
    </row>
    <row r="2398" spans="1:5" ht="12.75" x14ac:dyDescent="0.2">
      <c r="A2398" s="36" t="s">
        <v>1531</v>
      </c>
      <c r="B2398" s="37"/>
      <c r="C2398" s="37"/>
      <c r="D2398" s="37"/>
      <c r="E2398" s="37"/>
    </row>
    <row r="2399" spans="1:5" ht="12.75" x14ac:dyDescent="0.2">
      <c r="A2399" s="36" t="s">
        <v>1532</v>
      </c>
      <c r="B2399" s="37"/>
      <c r="C2399" s="37"/>
      <c r="D2399" s="37"/>
      <c r="E2399" s="37"/>
    </row>
    <row r="2400" spans="1:5" ht="12.75" x14ac:dyDescent="0.2">
      <c r="A2400" s="36" t="s">
        <v>1533</v>
      </c>
      <c r="B2400" s="37"/>
      <c r="C2400" s="37"/>
      <c r="D2400" s="37"/>
      <c r="E2400" s="37"/>
    </row>
    <row r="2401" spans="1:5" ht="12.75" x14ac:dyDescent="0.2">
      <c r="A2401" s="36" t="s">
        <v>1534</v>
      </c>
      <c r="B2401" s="37"/>
      <c r="C2401" s="37"/>
      <c r="D2401" s="37"/>
      <c r="E2401" s="37"/>
    </row>
    <row r="2402" spans="1:5" ht="12.75" x14ac:dyDescent="0.2">
      <c r="A2402" s="36" t="s">
        <v>1535</v>
      </c>
      <c r="B2402" s="37"/>
      <c r="C2402" s="37"/>
      <c r="D2402" s="37"/>
      <c r="E2402" s="37"/>
    </row>
    <row r="2403" spans="1:5" ht="12.75" x14ac:dyDescent="0.2">
      <c r="A2403" s="36" t="s">
        <v>1536</v>
      </c>
      <c r="B2403" s="37"/>
      <c r="C2403" s="37"/>
      <c r="D2403" s="37"/>
      <c r="E2403" s="37"/>
    </row>
    <row r="2404" spans="1:5" ht="12.75" x14ac:dyDescent="0.2">
      <c r="A2404" s="37"/>
      <c r="B2404" s="37"/>
      <c r="C2404" s="37"/>
      <c r="D2404" s="37"/>
      <c r="E2404" s="37"/>
    </row>
    <row r="2405" spans="1:5" ht="12.75" x14ac:dyDescent="0.2">
      <c r="A2405" s="36" t="s">
        <v>1537</v>
      </c>
      <c r="B2405" s="37"/>
      <c r="C2405" s="37"/>
      <c r="D2405" s="37"/>
      <c r="E2405" s="37"/>
    </row>
    <row r="2406" spans="1:5" ht="12.75" x14ac:dyDescent="0.2">
      <c r="A2406" s="37"/>
      <c r="B2406" s="36" t="s">
        <v>398</v>
      </c>
      <c r="C2406" s="37"/>
      <c r="D2406" s="37"/>
      <c r="E2406" s="37"/>
    </row>
    <row r="2407" spans="1:5" ht="12.75" x14ac:dyDescent="0.2">
      <c r="A2407" s="37"/>
      <c r="B2407" s="36" t="s">
        <v>399</v>
      </c>
      <c r="C2407" s="37"/>
      <c r="D2407" s="37"/>
      <c r="E2407" s="37"/>
    </row>
    <row r="2408" spans="1:5" ht="12.75" x14ac:dyDescent="0.2">
      <c r="A2408" s="37"/>
      <c r="B2408" s="36" t="s">
        <v>400</v>
      </c>
      <c r="C2408" s="36" t="s">
        <v>1537</v>
      </c>
      <c r="D2408" s="37"/>
      <c r="E2408" s="37"/>
    </row>
    <row r="2409" spans="1:5" ht="12.75" x14ac:dyDescent="0.2">
      <c r="A2409" s="37"/>
      <c r="B2409" s="36" t="s">
        <v>401</v>
      </c>
      <c r="C2409" s="37"/>
      <c r="D2409" s="37"/>
      <c r="E2409" s="37"/>
    </row>
    <row r="2410" spans="1:5" ht="12.75" x14ac:dyDescent="0.2">
      <c r="A2410" s="36" t="s">
        <v>1538</v>
      </c>
      <c r="B2410" s="36" t="s">
        <v>402</v>
      </c>
      <c r="C2410" s="36" t="s">
        <v>1539</v>
      </c>
      <c r="D2410" s="37"/>
      <c r="E2410" s="37"/>
    </row>
    <row r="2411" spans="1:5" ht="12.75" x14ac:dyDescent="0.2">
      <c r="A2411" s="36" t="s">
        <v>1540</v>
      </c>
      <c r="B2411" s="37"/>
      <c r="C2411" s="37"/>
      <c r="D2411" s="37"/>
      <c r="E2411" s="37"/>
    </row>
    <row r="2412" spans="1:5" ht="12.75" x14ac:dyDescent="0.2">
      <c r="A2412" s="36" t="s">
        <v>1541</v>
      </c>
      <c r="B2412" s="37"/>
      <c r="C2412" s="37"/>
      <c r="D2412" s="37"/>
      <c r="E2412" s="37"/>
    </row>
    <row r="2413" spans="1:5" ht="12.75" x14ac:dyDescent="0.2">
      <c r="A2413" s="36" t="s">
        <v>1542</v>
      </c>
      <c r="B2413" s="37"/>
      <c r="C2413" s="37"/>
      <c r="D2413" s="37"/>
      <c r="E2413" s="37"/>
    </row>
    <row r="2414" spans="1:5" ht="12.75" x14ac:dyDescent="0.2">
      <c r="A2414" s="36" t="s">
        <v>1544</v>
      </c>
      <c r="B2414" s="37"/>
      <c r="C2414" s="37"/>
      <c r="D2414" s="37"/>
      <c r="E2414" s="37"/>
    </row>
    <row r="2415" spans="1:5" ht="12.75" x14ac:dyDescent="0.2">
      <c r="A2415" s="36" t="s">
        <v>1545</v>
      </c>
      <c r="B2415" s="37"/>
      <c r="C2415" s="37"/>
      <c r="D2415" s="37"/>
      <c r="E2415" s="37"/>
    </row>
    <row r="2416" spans="1:5" ht="12.75" x14ac:dyDescent="0.2">
      <c r="A2416" s="36" t="s">
        <v>1546</v>
      </c>
      <c r="B2416" s="37"/>
      <c r="C2416" s="37"/>
      <c r="D2416" s="37"/>
      <c r="E2416" s="37"/>
    </row>
    <row r="2417" spans="1:5" ht="12.75" x14ac:dyDescent="0.2">
      <c r="A2417" s="36" t="s">
        <v>1547</v>
      </c>
      <c r="B2417" s="37"/>
      <c r="C2417" s="37"/>
      <c r="D2417" s="37"/>
      <c r="E2417" s="37"/>
    </row>
    <row r="2418" spans="1:5" ht="12.75" x14ac:dyDescent="0.2">
      <c r="A2418" s="36" t="s">
        <v>1549</v>
      </c>
      <c r="B2418" s="37"/>
      <c r="C2418" s="37"/>
      <c r="D2418" s="37"/>
      <c r="E2418" s="37"/>
    </row>
    <row r="2419" spans="1:5" ht="12.75" x14ac:dyDescent="0.2">
      <c r="A2419" s="37"/>
      <c r="B2419" s="37"/>
      <c r="C2419" s="37"/>
      <c r="D2419" s="37"/>
      <c r="E2419" s="37"/>
    </row>
    <row r="2420" spans="1:5" ht="12.75" x14ac:dyDescent="0.2">
      <c r="A2420" s="51" t="s">
        <v>1551</v>
      </c>
      <c r="B2420" s="37"/>
      <c r="C2420" s="37"/>
      <c r="D2420" s="37"/>
      <c r="E2420" s="37"/>
    </row>
    <row r="2421" spans="1:5" ht="12.75" x14ac:dyDescent="0.2">
      <c r="A2421" s="37"/>
      <c r="B2421" s="36" t="s">
        <v>398</v>
      </c>
      <c r="C2421" s="37"/>
      <c r="D2421" s="37"/>
      <c r="E2421" s="37"/>
    </row>
    <row r="2422" spans="1:5" ht="12.75" x14ac:dyDescent="0.2">
      <c r="A2422" s="37"/>
      <c r="B2422" s="36" t="s">
        <v>399</v>
      </c>
      <c r="C2422" s="37"/>
      <c r="D2422" s="37"/>
      <c r="E2422" s="37"/>
    </row>
    <row r="2423" spans="1:5" ht="12.75" x14ac:dyDescent="0.2">
      <c r="A2423" s="37"/>
      <c r="B2423" s="36" t="s">
        <v>400</v>
      </c>
      <c r="C2423" s="51" t="s">
        <v>1551</v>
      </c>
      <c r="D2423" s="37"/>
      <c r="E2423" s="37"/>
    </row>
    <row r="2424" spans="1:5" ht="12.75" x14ac:dyDescent="0.2">
      <c r="A2424" s="37"/>
      <c r="B2424" s="36" t="s">
        <v>401</v>
      </c>
      <c r="C2424" s="37"/>
      <c r="D2424" s="37"/>
      <c r="E2424" s="37"/>
    </row>
    <row r="2425" spans="1:5" ht="12.75" x14ac:dyDescent="0.2">
      <c r="A2425" s="36" t="s">
        <v>1608</v>
      </c>
      <c r="B2425" s="36" t="s">
        <v>402</v>
      </c>
      <c r="C2425" s="36" t="s">
        <v>1611</v>
      </c>
      <c r="D2425" s="37"/>
      <c r="E2425" s="37"/>
    </row>
    <row r="2426" spans="1:5" ht="12.75" x14ac:dyDescent="0.2">
      <c r="A2426" s="36" t="s">
        <v>1613</v>
      </c>
      <c r="B2426" s="37"/>
      <c r="C2426" s="37"/>
      <c r="D2426" s="37"/>
      <c r="E2426" s="37"/>
    </row>
    <row r="2427" spans="1:5" ht="12.75" x14ac:dyDescent="0.2">
      <c r="A2427" s="36" t="s">
        <v>1615</v>
      </c>
      <c r="B2427" s="37"/>
      <c r="C2427" s="37"/>
      <c r="D2427" s="37"/>
      <c r="E2427" s="37"/>
    </row>
    <row r="2428" spans="1:5" ht="12.75" x14ac:dyDescent="0.2">
      <c r="A2428" s="36" t="s">
        <v>1616</v>
      </c>
      <c r="B2428" s="37"/>
      <c r="C2428" s="37"/>
      <c r="D2428" s="37"/>
      <c r="E2428" s="37"/>
    </row>
    <row r="2429" spans="1:5" ht="12.75" x14ac:dyDescent="0.2">
      <c r="A2429" s="37"/>
      <c r="B2429" s="37"/>
      <c r="C2429" s="37"/>
      <c r="D2429" s="37"/>
      <c r="E2429" s="37"/>
    </row>
    <row r="2430" spans="1:5" ht="12.75" x14ac:dyDescent="0.2">
      <c r="A2430" s="36" t="s">
        <v>1618</v>
      </c>
      <c r="B2430" s="37"/>
      <c r="C2430" s="37"/>
      <c r="D2430" s="37"/>
      <c r="E2430" s="37"/>
    </row>
    <row r="2431" spans="1:5" ht="12.75" x14ac:dyDescent="0.2">
      <c r="A2431" s="37"/>
      <c r="B2431" s="36" t="s">
        <v>398</v>
      </c>
      <c r="C2431" s="37"/>
      <c r="D2431" s="37"/>
      <c r="E2431" s="37"/>
    </row>
    <row r="2432" spans="1:5" ht="12.75" x14ac:dyDescent="0.2">
      <c r="A2432" s="37"/>
      <c r="B2432" s="36" t="s">
        <v>399</v>
      </c>
      <c r="C2432" s="37"/>
      <c r="D2432" s="37"/>
      <c r="E2432" s="37"/>
    </row>
    <row r="2433" spans="1:5" ht="12.75" x14ac:dyDescent="0.2">
      <c r="A2433" s="37"/>
      <c r="B2433" s="36" t="s">
        <v>400</v>
      </c>
      <c r="C2433" s="36" t="s">
        <v>1618</v>
      </c>
      <c r="D2433" s="37"/>
      <c r="E2433" s="37"/>
    </row>
    <row r="2434" spans="1:5" ht="12.75" x14ac:dyDescent="0.2">
      <c r="A2434" s="37"/>
      <c r="B2434" s="36" t="s">
        <v>401</v>
      </c>
      <c r="C2434" s="37"/>
      <c r="D2434" s="37"/>
      <c r="E2434" s="37"/>
    </row>
    <row r="2435" spans="1:5" ht="12.75" x14ac:dyDescent="0.2">
      <c r="A2435" s="36" t="s">
        <v>1620</v>
      </c>
      <c r="B2435" s="36" t="s">
        <v>402</v>
      </c>
      <c r="C2435" s="36" t="s">
        <v>1621</v>
      </c>
      <c r="D2435" s="37"/>
      <c r="E2435" s="37"/>
    </row>
    <row r="2436" spans="1:5" ht="12.75" x14ac:dyDescent="0.2">
      <c r="A2436" s="37"/>
      <c r="B2436" s="37"/>
      <c r="C2436" s="37"/>
      <c r="D2436" s="37"/>
      <c r="E2436" s="37"/>
    </row>
    <row r="2437" spans="1:5" ht="12.75" x14ac:dyDescent="0.2">
      <c r="A2437" s="36" t="s">
        <v>1623</v>
      </c>
      <c r="B2437" s="37"/>
      <c r="C2437" s="37"/>
      <c r="D2437" s="37"/>
      <c r="E2437" s="37"/>
    </row>
    <row r="2438" spans="1:5" ht="12.75" x14ac:dyDescent="0.2">
      <c r="A2438" s="37"/>
      <c r="B2438" s="36" t="s">
        <v>398</v>
      </c>
      <c r="C2438" s="37"/>
      <c r="D2438" s="37"/>
      <c r="E2438" s="37"/>
    </row>
    <row r="2439" spans="1:5" ht="12.75" x14ac:dyDescent="0.2">
      <c r="A2439" s="37"/>
      <c r="B2439" s="36" t="s">
        <v>399</v>
      </c>
      <c r="C2439" s="37"/>
      <c r="D2439" s="37"/>
      <c r="E2439" s="37"/>
    </row>
    <row r="2440" spans="1:5" ht="12.75" x14ac:dyDescent="0.2">
      <c r="A2440" s="37"/>
      <c r="B2440" s="36" t="s">
        <v>400</v>
      </c>
      <c r="C2440" s="36" t="s">
        <v>1623</v>
      </c>
      <c r="D2440" s="37"/>
      <c r="E2440" s="37"/>
    </row>
    <row r="2441" spans="1:5" ht="12.75" x14ac:dyDescent="0.2">
      <c r="A2441" s="37"/>
      <c r="B2441" s="36" t="s">
        <v>401</v>
      </c>
      <c r="C2441" s="37"/>
      <c r="D2441" s="37"/>
      <c r="E2441" s="37"/>
    </row>
    <row r="2442" spans="1:5" ht="12.75" x14ac:dyDescent="0.2">
      <c r="A2442" s="36" t="s">
        <v>168</v>
      </c>
      <c r="B2442" s="36" t="s">
        <v>402</v>
      </c>
      <c r="C2442" s="36" t="s">
        <v>1626</v>
      </c>
      <c r="D2442" s="37"/>
      <c r="E2442" s="37"/>
    </row>
    <row r="2443" spans="1:5" ht="12.75" x14ac:dyDescent="0.2">
      <c r="A2443" s="36" t="s">
        <v>1627</v>
      </c>
      <c r="B2443" s="37"/>
      <c r="C2443" s="37"/>
      <c r="D2443" s="37"/>
      <c r="E2443" s="37"/>
    </row>
    <row r="2444" spans="1:5" ht="12.75" x14ac:dyDescent="0.2">
      <c r="A2444" s="36" t="s">
        <v>175</v>
      </c>
      <c r="B2444" s="37"/>
      <c r="C2444" s="37"/>
      <c r="D2444" s="37"/>
      <c r="E2444" s="37"/>
    </row>
    <row r="2445" spans="1:5" ht="12.75" x14ac:dyDescent="0.2">
      <c r="A2445" s="36" t="s">
        <v>161</v>
      </c>
      <c r="B2445" s="37"/>
      <c r="C2445" s="37"/>
      <c r="D2445" s="37"/>
      <c r="E2445" s="37"/>
    </row>
    <row r="2446" spans="1:5" ht="12.75" x14ac:dyDescent="0.2">
      <c r="A2446" s="36" t="s">
        <v>1628</v>
      </c>
      <c r="B2446" s="37"/>
      <c r="C2446" s="37"/>
      <c r="D2446" s="37"/>
      <c r="E2446" s="37"/>
    </row>
    <row r="2447" spans="1:5" ht="12.75" x14ac:dyDescent="0.2">
      <c r="A2447" s="36" t="s">
        <v>1629</v>
      </c>
      <c r="B2447" s="37"/>
      <c r="C2447" s="37"/>
      <c r="D2447" s="37"/>
      <c r="E2447" s="37"/>
    </row>
    <row r="2448" spans="1:5" ht="12.75" x14ac:dyDescent="0.2">
      <c r="A2448" s="36" t="s">
        <v>1630</v>
      </c>
      <c r="B2448" s="37"/>
      <c r="C2448" s="37"/>
      <c r="D2448" s="37"/>
      <c r="E2448" s="37"/>
    </row>
    <row r="2449" spans="1:5" ht="12.75" x14ac:dyDescent="0.2">
      <c r="A2449" s="36" t="s">
        <v>1631</v>
      </c>
      <c r="B2449" s="37"/>
      <c r="C2449" s="37"/>
      <c r="D2449" s="37"/>
      <c r="E2449" s="37"/>
    </row>
    <row r="2450" spans="1:5" ht="12.75" x14ac:dyDescent="0.2">
      <c r="A2450" s="36" t="s">
        <v>1633</v>
      </c>
      <c r="B2450" s="37"/>
      <c r="C2450" s="37"/>
      <c r="D2450" s="37"/>
      <c r="E2450" s="37"/>
    </row>
    <row r="2451" spans="1:5" ht="12.75" x14ac:dyDescent="0.2">
      <c r="A2451" s="37"/>
      <c r="B2451" s="37"/>
      <c r="C2451" s="37"/>
      <c r="D2451" s="37"/>
      <c r="E2451" s="37"/>
    </row>
    <row r="2452" spans="1:5" ht="12.75" x14ac:dyDescent="0.2">
      <c r="A2452" s="36" t="s">
        <v>1638</v>
      </c>
      <c r="B2452" s="37"/>
      <c r="C2452" s="37"/>
      <c r="D2452" s="37"/>
      <c r="E2452" s="37"/>
    </row>
    <row r="2453" spans="1:5" ht="12.75" x14ac:dyDescent="0.2">
      <c r="A2453" s="37"/>
      <c r="B2453" s="36" t="s">
        <v>398</v>
      </c>
      <c r="C2453" s="37"/>
      <c r="D2453" s="37"/>
      <c r="E2453" s="37"/>
    </row>
    <row r="2454" spans="1:5" ht="12.75" x14ac:dyDescent="0.2">
      <c r="A2454" s="37"/>
      <c r="B2454" s="36" t="s">
        <v>399</v>
      </c>
      <c r="C2454" s="37"/>
      <c r="D2454" s="37"/>
      <c r="E2454" s="37"/>
    </row>
    <row r="2455" spans="1:5" ht="12.75" x14ac:dyDescent="0.2">
      <c r="A2455" s="37"/>
      <c r="B2455" s="36" t="s">
        <v>400</v>
      </c>
      <c r="C2455" s="36" t="s">
        <v>1638</v>
      </c>
      <c r="D2455" s="37"/>
      <c r="E2455" s="37"/>
    </row>
    <row r="2456" spans="1:5" ht="12.75" x14ac:dyDescent="0.2">
      <c r="A2456" s="37"/>
      <c r="B2456" s="36" t="s">
        <v>401</v>
      </c>
      <c r="C2456" s="37"/>
      <c r="D2456" s="37"/>
      <c r="E2456" s="37"/>
    </row>
    <row r="2457" spans="1:5" ht="12.75" x14ac:dyDescent="0.2">
      <c r="A2457" s="36" t="s">
        <v>184</v>
      </c>
      <c r="B2457" s="36" t="s">
        <v>402</v>
      </c>
      <c r="C2457" s="36" t="s">
        <v>1644</v>
      </c>
      <c r="D2457" s="37"/>
      <c r="E2457" s="37"/>
    </row>
    <row r="2458" spans="1:5" ht="12.75" x14ac:dyDescent="0.2">
      <c r="A2458" s="36" t="s">
        <v>1648</v>
      </c>
      <c r="B2458" s="37"/>
      <c r="C2458" s="37"/>
      <c r="D2458" s="37"/>
      <c r="E2458" s="37"/>
    </row>
    <row r="2459" spans="1:5" ht="12.75" x14ac:dyDescent="0.2">
      <c r="A2459" s="36" t="s">
        <v>1652</v>
      </c>
      <c r="B2459" s="37"/>
      <c r="C2459" s="37"/>
      <c r="D2459" s="37"/>
      <c r="E2459" s="37"/>
    </row>
    <row r="2460" spans="1:5" ht="12.75" x14ac:dyDescent="0.2">
      <c r="A2460" s="36" t="s">
        <v>1657</v>
      </c>
      <c r="B2460" s="37"/>
      <c r="C2460" s="37"/>
      <c r="D2460" s="37"/>
      <c r="E2460" s="37"/>
    </row>
    <row r="2461" spans="1:5" ht="12.75" x14ac:dyDescent="0.2">
      <c r="A2461" s="36" t="s">
        <v>1663</v>
      </c>
      <c r="B2461" s="37"/>
      <c r="C2461" s="37"/>
      <c r="D2461" s="37"/>
      <c r="E2461" s="37"/>
    </row>
    <row r="2462" spans="1:5" ht="12.75" x14ac:dyDescent="0.2">
      <c r="A2462" s="36" t="s">
        <v>1667</v>
      </c>
      <c r="B2462" s="37"/>
      <c r="C2462" s="37"/>
      <c r="D2462" s="37"/>
      <c r="E2462" s="37"/>
    </row>
    <row r="2463" spans="1:5" ht="12.75" x14ac:dyDescent="0.2">
      <c r="A2463" s="37"/>
      <c r="B2463" s="37"/>
      <c r="C2463" s="37"/>
      <c r="D2463" s="37"/>
      <c r="E2463" s="37"/>
    </row>
    <row r="2464" spans="1:5" ht="12.75" x14ac:dyDescent="0.2">
      <c r="A2464" s="36" t="s">
        <v>1671</v>
      </c>
      <c r="B2464" s="37"/>
      <c r="C2464" s="37"/>
      <c r="D2464" s="37"/>
      <c r="E2464" s="37"/>
    </row>
    <row r="2465" spans="1:5" ht="12.75" x14ac:dyDescent="0.2">
      <c r="A2465" s="37"/>
      <c r="B2465" s="36" t="s">
        <v>398</v>
      </c>
      <c r="C2465" s="37"/>
      <c r="D2465" s="37"/>
      <c r="E2465" s="37"/>
    </row>
    <row r="2466" spans="1:5" ht="12.75" x14ac:dyDescent="0.2">
      <c r="A2466" s="37"/>
      <c r="B2466" s="36" t="s">
        <v>399</v>
      </c>
      <c r="C2466" s="37"/>
      <c r="D2466" s="37"/>
      <c r="E2466" s="37"/>
    </row>
    <row r="2467" spans="1:5" ht="12.75" x14ac:dyDescent="0.2">
      <c r="A2467" s="37"/>
      <c r="B2467" s="36" t="s">
        <v>400</v>
      </c>
      <c r="C2467" s="36" t="s">
        <v>1671</v>
      </c>
      <c r="D2467" s="37"/>
      <c r="E2467" s="37"/>
    </row>
    <row r="2468" spans="1:5" ht="12.75" x14ac:dyDescent="0.2">
      <c r="A2468" s="37"/>
      <c r="B2468" s="36" t="s">
        <v>401</v>
      </c>
      <c r="C2468" s="37"/>
      <c r="D2468" s="37"/>
      <c r="E2468" s="37"/>
    </row>
    <row r="2469" spans="1:5" ht="12.75" x14ac:dyDescent="0.2">
      <c r="A2469" s="36" t="s">
        <v>186</v>
      </c>
      <c r="B2469" s="36" t="s">
        <v>402</v>
      </c>
      <c r="C2469" s="36" t="s">
        <v>1677</v>
      </c>
      <c r="D2469" s="37"/>
      <c r="E2469" s="37"/>
    </row>
    <row r="2470" spans="1:5" ht="12.75" x14ac:dyDescent="0.2">
      <c r="A2470" s="36" t="s">
        <v>1680</v>
      </c>
      <c r="B2470" s="37"/>
      <c r="C2470" s="37"/>
      <c r="D2470" s="37"/>
      <c r="E2470" s="37"/>
    </row>
    <row r="2471" spans="1:5" ht="12.75" x14ac:dyDescent="0.2">
      <c r="A2471" s="36" t="s">
        <v>187</v>
      </c>
      <c r="B2471" s="37"/>
      <c r="C2471" s="37"/>
      <c r="D2471" s="37"/>
      <c r="E2471" s="37"/>
    </row>
    <row r="2472" spans="1:5" ht="12.75" x14ac:dyDescent="0.2">
      <c r="A2472" s="36" t="s">
        <v>188</v>
      </c>
      <c r="B2472" s="37"/>
      <c r="C2472" s="37"/>
      <c r="D2472" s="37"/>
      <c r="E2472" s="37"/>
    </row>
    <row r="2473" spans="1:5" ht="12.75" x14ac:dyDescent="0.2">
      <c r="A2473" s="36" t="s">
        <v>1683</v>
      </c>
      <c r="B2473" s="37"/>
      <c r="C2473" s="37"/>
      <c r="D2473" s="37"/>
      <c r="E2473" s="37"/>
    </row>
    <row r="2474" spans="1:5" ht="12.75" x14ac:dyDescent="0.2">
      <c r="A2474" s="36" t="s">
        <v>1684</v>
      </c>
      <c r="B2474" s="37"/>
      <c r="C2474" s="37"/>
      <c r="D2474" s="37"/>
      <c r="E2474" s="37"/>
    </row>
    <row r="2475" spans="1:5" ht="12.75" x14ac:dyDescent="0.2">
      <c r="A2475" s="37"/>
      <c r="B2475" s="37"/>
      <c r="C2475" s="37"/>
      <c r="D2475" s="37"/>
      <c r="E2475" s="37"/>
    </row>
    <row r="2476" spans="1:5" ht="12.75" x14ac:dyDescent="0.2">
      <c r="A2476" s="36" t="s">
        <v>1685</v>
      </c>
      <c r="B2476" s="37"/>
      <c r="C2476" s="37"/>
      <c r="D2476" s="37"/>
      <c r="E2476" s="37"/>
    </row>
    <row r="2477" spans="1:5" ht="12.75" x14ac:dyDescent="0.2">
      <c r="A2477" s="37"/>
      <c r="B2477" s="36" t="s">
        <v>398</v>
      </c>
      <c r="C2477" s="37"/>
      <c r="D2477" s="37"/>
      <c r="E2477" s="37"/>
    </row>
    <row r="2478" spans="1:5" ht="12.75" x14ac:dyDescent="0.2">
      <c r="A2478" s="37"/>
      <c r="B2478" s="36" t="s">
        <v>399</v>
      </c>
      <c r="C2478" s="37"/>
      <c r="D2478" s="37"/>
      <c r="E2478" s="37"/>
    </row>
    <row r="2479" spans="1:5" ht="12.75" x14ac:dyDescent="0.2">
      <c r="A2479" s="37"/>
      <c r="B2479" s="36" t="s">
        <v>400</v>
      </c>
      <c r="C2479" s="36" t="s">
        <v>1685</v>
      </c>
      <c r="D2479" s="37"/>
      <c r="E2479" s="37"/>
    </row>
    <row r="2480" spans="1:5" ht="12.75" x14ac:dyDescent="0.2">
      <c r="A2480" s="37"/>
      <c r="B2480" s="36" t="s">
        <v>401</v>
      </c>
      <c r="C2480" s="37"/>
      <c r="D2480" s="37"/>
      <c r="E2480" s="37"/>
    </row>
    <row r="2481" spans="1:5" ht="12.75" x14ac:dyDescent="0.2">
      <c r="A2481" s="36" t="s">
        <v>1686</v>
      </c>
      <c r="B2481" s="36" t="s">
        <v>402</v>
      </c>
      <c r="C2481" s="36" t="s">
        <v>1687</v>
      </c>
      <c r="D2481" s="37"/>
      <c r="E2481" s="37"/>
    </row>
    <row r="2482" spans="1:5" ht="12.75" x14ac:dyDescent="0.2">
      <c r="A2482" s="36" t="s">
        <v>1688</v>
      </c>
      <c r="B2482" s="37"/>
      <c r="C2482" s="37"/>
      <c r="D2482" s="37"/>
      <c r="E2482" s="37"/>
    </row>
    <row r="2483" spans="1:5" ht="12.75" x14ac:dyDescent="0.2">
      <c r="A2483" s="36" t="s">
        <v>1689</v>
      </c>
      <c r="B2483" s="37"/>
      <c r="C2483" s="37"/>
      <c r="D2483" s="37"/>
      <c r="E2483" s="37"/>
    </row>
    <row r="2484" spans="1:5" ht="12.75" x14ac:dyDescent="0.2">
      <c r="A2484" s="36" t="s">
        <v>1690</v>
      </c>
      <c r="B2484" s="37"/>
      <c r="C2484" s="37"/>
      <c r="D2484" s="37"/>
      <c r="E2484" s="37"/>
    </row>
    <row r="2485" spans="1:5" ht="12.75" x14ac:dyDescent="0.2">
      <c r="A2485" s="36" t="s">
        <v>1691</v>
      </c>
      <c r="B2485" s="37"/>
      <c r="C2485" s="37"/>
      <c r="D2485" s="37"/>
      <c r="E2485" s="37"/>
    </row>
    <row r="2486" spans="1:5" ht="12.75" x14ac:dyDescent="0.2">
      <c r="A2486" s="36" t="s">
        <v>1692</v>
      </c>
      <c r="B2486" s="37"/>
      <c r="C2486" s="37"/>
      <c r="D2486" s="37"/>
      <c r="E2486" s="37"/>
    </row>
    <row r="2487" spans="1:5" ht="12.75" x14ac:dyDescent="0.2">
      <c r="A2487" s="36" t="s">
        <v>1696</v>
      </c>
      <c r="B2487" s="37"/>
      <c r="C2487" s="37"/>
      <c r="D2487" s="37"/>
      <c r="E2487" s="37"/>
    </row>
    <row r="2488" spans="1:5" ht="12.75" x14ac:dyDescent="0.2">
      <c r="A2488" s="36" t="s">
        <v>1698</v>
      </c>
      <c r="B2488" s="37"/>
      <c r="C2488" s="37"/>
      <c r="D2488" s="37"/>
      <c r="E2488" s="37"/>
    </row>
    <row r="2489" spans="1:5" ht="12.75" x14ac:dyDescent="0.2">
      <c r="A2489" s="36" t="s">
        <v>1701</v>
      </c>
      <c r="B2489" s="37"/>
      <c r="C2489" s="37"/>
      <c r="D2489" s="37"/>
      <c r="E2489" s="37"/>
    </row>
    <row r="2490" spans="1:5" ht="12.75" x14ac:dyDescent="0.2">
      <c r="A2490" s="36" t="s">
        <v>1704</v>
      </c>
      <c r="B2490" s="37"/>
      <c r="C2490" s="37"/>
      <c r="D2490" s="37"/>
      <c r="E2490" s="37"/>
    </row>
    <row r="2491" spans="1:5" ht="12.75" x14ac:dyDescent="0.2">
      <c r="A2491" s="37"/>
      <c r="B2491" s="37"/>
      <c r="C2491" s="37"/>
      <c r="D2491" s="37"/>
      <c r="E2491" s="37"/>
    </row>
    <row r="2492" spans="1:5" ht="12.75" x14ac:dyDescent="0.2">
      <c r="A2492" s="36" t="s">
        <v>1707</v>
      </c>
      <c r="B2492" s="37"/>
      <c r="C2492" s="37"/>
      <c r="D2492" s="37"/>
      <c r="E2492" s="37"/>
    </row>
    <row r="2493" spans="1:5" ht="12.75" x14ac:dyDescent="0.2">
      <c r="A2493" s="37"/>
      <c r="B2493" s="36" t="s">
        <v>398</v>
      </c>
      <c r="C2493" s="37"/>
      <c r="D2493" s="37"/>
      <c r="E2493" s="37"/>
    </row>
    <row r="2494" spans="1:5" ht="12.75" x14ac:dyDescent="0.2">
      <c r="A2494" s="37"/>
      <c r="B2494" s="36" t="s">
        <v>399</v>
      </c>
      <c r="C2494" s="37"/>
      <c r="D2494" s="37"/>
      <c r="E2494" s="37"/>
    </row>
    <row r="2495" spans="1:5" ht="12.75" x14ac:dyDescent="0.2">
      <c r="A2495" s="37"/>
      <c r="B2495" s="36" t="s">
        <v>400</v>
      </c>
      <c r="C2495" s="36" t="s">
        <v>1707</v>
      </c>
      <c r="D2495" s="37"/>
      <c r="E2495" s="37"/>
    </row>
    <row r="2496" spans="1:5" ht="12.75" x14ac:dyDescent="0.2">
      <c r="A2496" s="37"/>
      <c r="B2496" s="36" t="s">
        <v>401</v>
      </c>
      <c r="C2496" s="37"/>
      <c r="D2496" s="37"/>
      <c r="E2496" s="37"/>
    </row>
    <row r="2497" spans="1:5" ht="12.75" x14ac:dyDescent="0.2">
      <c r="A2497" s="36" t="s">
        <v>1710</v>
      </c>
      <c r="B2497" s="36" t="s">
        <v>402</v>
      </c>
      <c r="C2497" s="36" t="s">
        <v>1712</v>
      </c>
      <c r="D2497" s="37"/>
      <c r="E2497" s="37"/>
    </row>
    <row r="2498" spans="1:5" ht="12.75" x14ac:dyDescent="0.2">
      <c r="A2498" s="36" t="s">
        <v>1716</v>
      </c>
      <c r="B2498" s="37"/>
      <c r="C2498" s="37"/>
      <c r="D2498" s="37"/>
      <c r="E2498" s="37"/>
    </row>
    <row r="2499" spans="1:5" ht="12.75" x14ac:dyDescent="0.2">
      <c r="A2499" s="36" t="s">
        <v>190</v>
      </c>
      <c r="B2499" s="37"/>
      <c r="C2499" s="37"/>
      <c r="D2499" s="37"/>
      <c r="E2499" s="37"/>
    </row>
    <row r="2500" spans="1:5" ht="12.75" x14ac:dyDescent="0.2">
      <c r="A2500" s="36" t="s">
        <v>328</v>
      </c>
      <c r="B2500" s="37"/>
      <c r="C2500" s="37"/>
      <c r="D2500" s="37"/>
      <c r="E2500" s="37"/>
    </row>
    <row r="2501" spans="1:5" ht="12.75" x14ac:dyDescent="0.2">
      <c r="A2501" s="36" t="s">
        <v>1721</v>
      </c>
      <c r="B2501" s="37"/>
      <c r="C2501" s="37"/>
      <c r="D2501" s="37"/>
      <c r="E2501" s="37"/>
    </row>
    <row r="2502" spans="1:5" ht="12.75" x14ac:dyDescent="0.2">
      <c r="A2502" s="36" t="s">
        <v>1722</v>
      </c>
      <c r="B2502" s="37"/>
      <c r="C2502" s="37"/>
      <c r="D2502" s="37"/>
      <c r="E2502" s="37"/>
    </row>
    <row r="2503" spans="1:5" ht="12.75" x14ac:dyDescent="0.2">
      <c r="A2503" s="36" t="s">
        <v>1724</v>
      </c>
      <c r="B2503" s="37"/>
      <c r="C2503" s="37"/>
      <c r="D2503" s="37"/>
      <c r="E2503" s="37"/>
    </row>
    <row r="2504" spans="1:5" ht="12.75" x14ac:dyDescent="0.2">
      <c r="A2504" s="36" t="s">
        <v>1728</v>
      </c>
      <c r="B2504" s="37"/>
      <c r="C2504" s="37"/>
      <c r="D2504" s="37"/>
      <c r="E2504" s="37"/>
    </row>
    <row r="2505" spans="1:5" ht="12.75" x14ac:dyDescent="0.2">
      <c r="A2505" s="36" t="s">
        <v>1731</v>
      </c>
      <c r="B2505" s="37"/>
      <c r="C2505" s="37"/>
      <c r="D2505" s="37"/>
      <c r="E2505" s="37"/>
    </row>
    <row r="2506" spans="1:5" ht="12.75" x14ac:dyDescent="0.2">
      <c r="A2506" s="37"/>
      <c r="B2506" s="36" t="s">
        <v>403</v>
      </c>
      <c r="C2506" s="36" t="s">
        <v>25</v>
      </c>
      <c r="D2506" s="36" t="s">
        <v>27</v>
      </c>
      <c r="E2506" s="37"/>
    </row>
    <row r="2507" spans="1:5" ht="12.75" x14ac:dyDescent="0.2">
      <c r="A2507" s="37"/>
      <c r="B2507" s="36" t="s">
        <v>403</v>
      </c>
      <c r="C2507" s="36" t="s">
        <v>30</v>
      </c>
      <c r="D2507" s="36" t="s">
        <v>31</v>
      </c>
      <c r="E2507" s="37"/>
    </row>
    <row r="2508" spans="1:5" ht="12.75" x14ac:dyDescent="0.2">
      <c r="A2508" s="37"/>
      <c r="B2508" s="36" t="s">
        <v>403</v>
      </c>
      <c r="C2508" s="36" t="s">
        <v>41</v>
      </c>
      <c r="D2508" s="36" t="s">
        <v>10</v>
      </c>
      <c r="E2508" s="37"/>
    </row>
    <row r="2509" spans="1:5" ht="12.75" x14ac:dyDescent="0.2">
      <c r="A2509" s="37"/>
      <c r="B2509" s="37"/>
      <c r="C2509" s="37"/>
      <c r="D2509" s="37"/>
      <c r="E2509" s="37"/>
    </row>
    <row r="2510" spans="1:5" ht="12.75" x14ac:dyDescent="0.2">
      <c r="A2510" s="36" t="s">
        <v>1746</v>
      </c>
      <c r="B2510" s="37"/>
      <c r="C2510" s="37"/>
      <c r="D2510" s="37"/>
      <c r="E2510" s="37"/>
    </row>
    <row r="2511" spans="1:5" ht="12.75" x14ac:dyDescent="0.2">
      <c r="A2511" s="37"/>
      <c r="B2511" s="36" t="s">
        <v>398</v>
      </c>
      <c r="C2511" s="37"/>
      <c r="D2511" s="37"/>
      <c r="E2511" s="37"/>
    </row>
    <row r="2512" spans="1:5" ht="12.75" x14ac:dyDescent="0.2">
      <c r="A2512" s="37"/>
      <c r="B2512" s="36" t="s">
        <v>399</v>
      </c>
      <c r="C2512" s="37"/>
      <c r="D2512" s="37"/>
      <c r="E2512" s="37"/>
    </row>
    <row r="2513" spans="1:5" ht="12.75" x14ac:dyDescent="0.2">
      <c r="A2513" s="37"/>
      <c r="B2513" s="36" t="s">
        <v>400</v>
      </c>
      <c r="C2513" s="36" t="s">
        <v>1746</v>
      </c>
      <c r="D2513" s="37"/>
      <c r="E2513" s="37"/>
    </row>
    <row r="2514" spans="1:5" ht="12.75" x14ac:dyDescent="0.2">
      <c r="A2514" s="37"/>
      <c r="B2514" s="36" t="s">
        <v>401</v>
      </c>
      <c r="C2514" s="37"/>
      <c r="D2514" s="37"/>
      <c r="E2514" s="37"/>
    </row>
    <row r="2515" spans="1:5" ht="12.75" x14ac:dyDescent="0.2">
      <c r="A2515" s="36" t="s">
        <v>1391</v>
      </c>
      <c r="B2515" s="36" t="s">
        <v>402</v>
      </c>
      <c r="C2515" s="36" t="s">
        <v>1752</v>
      </c>
      <c r="D2515" s="37"/>
      <c r="E2515" s="37"/>
    </row>
    <row r="2516" spans="1:5" ht="12.75" x14ac:dyDescent="0.2">
      <c r="A2516" s="36" t="s">
        <v>1754</v>
      </c>
      <c r="B2516" s="37"/>
      <c r="C2516" s="37"/>
      <c r="D2516" s="37"/>
      <c r="E2516" s="37"/>
    </row>
    <row r="2517" spans="1:5" ht="12.75" x14ac:dyDescent="0.2">
      <c r="A2517" s="36" t="s">
        <v>1757</v>
      </c>
      <c r="B2517" s="37"/>
      <c r="C2517" s="37"/>
      <c r="D2517" s="37"/>
      <c r="E2517" s="37"/>
    </row>
    <row r="2518" spans="1:5" ht="12.75" x14ac:dyDescent="0.2">
      <c r="A2518" s="36" t="s">
        <v>1760</v>
      </c>
      <c r="B2518" s="37"/>
      <c r="C2518" s="37"/>
      <c r="D2518" s="37"/>
      <c r="E2518" s="37"/>
    </row>
    <row r="2519" spans="1:5" ht="12.75" x14ac:dyDescent="0.2">
      <c r="A2519" s="36" t="s">
        <v>1762</v>
      </c>
      <c r="B2519" s="37"/>
      <c r="C2519" s="37"/>
      <c r="D2519" s="37"/>
      <c r="E2519" s="37"/>
    </row>
    <row r="2520" spans="1:5" ht="12.75" x14ac:dyDescent="0.2">
      <c r="A2520" s="36" t="s">
        <v>1764</v>
      </c>
      <c r="B2520" s="37"/>
      <c r="C2520" s="37"/>
      <c r="D2520" s="37"/>
      <c r="E2520" s="37"/>
    </row>
    <row r="2521" spans="1:5" ht="12.75" x14ac:dyDescent="0.2">
      <c r="A2521" s="36" t="s">
        <v>1766</v>
      </c>
      <c r="B2521" s="37"/>
      <c r="C2521" s="37"/>
      <c r="D2521" s="37"/>
      <c r="E2521" s="37"/>
    </row>
    <row r="2522" spans="1:5" ht="12.75" x14ac:dyDescent="0.2">
      <c r="A2522" s="36" t="s">
        <v>1768</v>
      </c>
      <c r="B2522" s="37"/>
      <c r="C2522" s="37"/>
      <c r="D2522" s="37"/>
      <c r="E2522" s="37"/>
    </row>
    <row r="2523" spans="1:5" ht="12.75" x14ac:dyDescent="0.2">
      <c r="A2523" s="37"/>
      <c r="B2523" s="37"/>
      <c r="C2523" s="37"/>
      <c r="D2523" s="37"/>
      <c r="E2523" s="37"/>
    </row>
    <row r="2524" spans="1:5" ht="12.75" x14ac:dyDescent="0.2">
      <c r="A2524" s="36" t="s">
        <v>1773</v>
      </c>
      <c r="B2524" s="37"/>
      <c r="C2524" s="37"/>
      <c r="D2524" s="37"/>
      <c r="E2524" s="37"/>
    </row>
    <row r="2525" spans="1:5" ht="12.75" x14ac:dyDescent="0.2">
      <c r="A2525" s="37"/>
      <c r="B2525" s="36" t="s">
        <v>398</v>
      </c>
      <c r="C2525" s="37"/>
      <c r="D2525" s="37"/>
      <c r="E2525" s="37"/>
    </row>
    <row r="2526" spans="1:5" ht="12.75" x14ac:dyDescent="0.2">
      <c r="A2526" s="37"/>
      <c r="B2526" s="36" t="s">
        <v>399</v>
      </c>
      <c r="C2526" s="37"/>
      <c r="D2526" s="37"/>
      <c r="E2526" s="37"/>
    </row>
    <row r="2527" spans="1:5" ht="12.75" x14ac:dyDescent="0.2">
      <c r="A2527" s="37"/>
      <c r="B2527" s="36" t="s">
        <v>400</v>
      </c>
      <c r="C2527" s="36" t="s">
        <v>1773</v>
      </c>
      <c r="D2527" s="37"/>
      <c r="E2527" s="37"/>
    </row>
    <row r="2528" spans="1:5" ht="12.75" x14ac:dyDescent="0.2">
      <c r="A2528" s="37"/>
      <c r="B2528" s="36" t="s">
        <v>401</v>
      </c>
      <c r="C2528" s="37"/>
      <c r="D2528" s="37"/>
      <c r="E2528" s="37"/>
    </row>
    <row r="2529" spans="1:5" ht="25.5" x14ac:dyDescent="0.2">
      <c r="A2529" s="36" t="s">
        <v>193</v>
      </c>
      <c r="B2529" s="36" t="s">
        <v>402</v>
      </c>
      <c r="C2529" s="36" t="s">
        <v>1776</v>
      </c>
      <c r="D2529" s="37"/>
      <c r="E2529" s="37"/>
    </row>
    <row r="2530" spans="1:5" ht="12.75" x14ac:dyDescent="0.2">
      <c r="A2530" s="36" t="s">
        <v>1777</v>
      </c>
      <c r="B2530" s="37"/>
      <c r="C2530" s="37"/>
      <c r="D2530" s="37"/>
      <c r="E2530" s="37"/>
    </row>
    <row r="2531" spans="1:5" ht="12.75" x14ac:dyDescent="0.2">
      <c r="A2531" s="36" t="s">
        <v>1779</v>
      </c>
      <c r="B2531" s="37"/>
      <c r="C2531" s="37"/>
      <c r="D2531" s="37"/>
      <c r="E2531" s="37"/>
    </row>
    <row r="2532" spans="1:5" ht="12.75" x14ac:dyDescent="0.2">
      <c r="A2532" s="36" t="s">
        <v>1781</v>
      </c>
      <c r="B2532" s="37"/>
      <c r="C2532" s="37"/>
      <c r="D2532" s="37"/>
      <c r="E2532" s="37"/>
    </row>
    <row r="2533" spans="1:5" ht="12.75" x14ac:dyDescent="0.2">
      <c r="A2533" s="36" t="s">
        <v>1782</v>
      </c>
      <c r="B2533" s="37"/>
      <c r="C2533" s="37"/>
      <c r="D2533" s="37"/>
      <c r="E2533" s="37"/>
    </row>
    <row r="2534" spans="1:5" ht="12.75" x14ac:dyDescent="0.2">
      <c r="A2534" s="36" t="s">
        <v>1784</v>
      </c>
      <c r="B2534" s="37"/>
      <c r="C2534" s="37"/>
      <c r="D2534" s="37"/>
      <c r="E2534" s="37"/>
    </row>
    <row r="2535" spans="1:5" ht="12.75" x14ac:dyDescent="0.2">
      <c r="A2535" s="36" t="s">
        <v>1787</v>
      </c>
      <c r="B2535" s="37"/>
      <c r="C2535" s="37"/>
      <c r="D2535" s="37"/>
      <c r="E2535" s="37"/>
    </row>
    <row r="2536" spans="1:5" ht="12.75" x14ac:dyDescent="0.2">
      <c r="A2536" s="36" t="s">
        <v>1789</v>
      </c>
      <c r="B2536" s="37"/>
      <c r="C2536" s="37"/>
      <c r="D2536" s="37"/>
      <c r="E2536" s="37"/>
    </row>
    <row r="2537" spans="1:5" ht="12.75" x14ac:dyDescent="0.2">
      <c r="A2537" s="36" t="s">
        <v>1791</v>
      </c>
      <c r="B2537" s="37"/>
      <c r="C2537" s="37"/>
      <c r="D2537" s="37"/>
      <c r="E2537" s="37"/>
    </row>
    <row r="2538" spans="1:5" ht="12.75" x14ac:dyDescent="0.2">
      <c r="A2538" s="37"/>
      <c r="B2538" s="36" t="s">
        <v>403</v>
      </c>
      <c r="C2538" s="36" t="s">
        <v>25</v>
      </c>
      <c r="D2538" s="36" t="s">
        <v>27</v>
      </c>
      <c r="E2538" s="37"/>
    </row>
    <row r="2539" spans="1:5" ht="12.75" x14ac:dyDescent="0.2">
      <c r="A2539" s="37"/>
      <c r="B2539" s="36" t="s">
        <v>403</v>
      </c>
      <c r="C2539" s="36" t="s">
        <v>30</v>
      </c>
      <c r="D2539" s="36" t="s">
        <v>31</v>
      </c>
      <c r="E2539" s="37"/>
    </row>
    <row r="2540" spans="1:5" ht="12.75" x14ac:dyDescent="0.2">
      <c r="A2540" s="37"/>
      <c r="B2540" s="36" t="s">
        <v>403</v>
      </c>
      <c r="C2540" s="36" t="s">
        <v>41</v>
      </c>
      <c r="D2540" s="36" t="s">
        <v>10</v>
      </c>
      <c r="E2540" s="37"/>
    </row>
    <row r="2541" spans="1:5" ht="12.75" x14ac:dyDescent="0.2">
      <c r="A2541" s="37"/>
      <c r="B2541" s="37"/>
      <c r="C2541" s="37"/>
      <c r="D2541" s="37"/>
      <c r="E2541" s="37"/>
    </row>
    <row r="2542" spans="1:5" ht="12.75" x14ac:dyDescent="0.2">
      <c r="A2542" s="36" t="s">
        <v>1806</v>
      </c>
      <c r="B2542" s="37"/>
      <c r="C2542" s="37"/>
      <c r="D2542" s="37"/>
      <c r="E2542" s="37"/>
    </row>
    <row r="2543" spans="1:5" ht="12.75" x14ac:dyDescent="0.2">
      <c r="A2543" s="37"/>
      <c r="B2543" s="36" t="s">
        <v>398</v>
      </c>
      <c r="C2543" s="37"/>
      <c r="D2543" s="37"/>
      <c r="E2543" s="37"/>
    </row>
    <row r="2544" spans="1:5" ht="12.75" x14ac:dyDescent="0.2">
      <c r="A2544" s="37"/>
      <c r="B2544" s="36" t="s">
        <v>399</v>
      </c>
      <c r="C2544" s="37"/>
      <c r="D2544" s="37"/>
      <c r="E2544" s="37"/>
    </row>
    <row r="2545" spans="1:5" ht="12.75" x14ac:dyDescent="0.2">
      <c r="A2545" s="37"/>
      <c r="B2545" s="36" t="s">
        <v>400</v>
      </c>
      <c r="C2545" s="36" t="s">
        <v>1806</v>
      </c>
      <c r="D2545" s="37"/>
      <c r="E2545" s="37"/>
    </row>
    <row r="2546" spans="1:5" ht="12.75" x14ac:dyDescent="0.2">
      <c r="A2546" s="37"/>
      <c r="B2546" s="36" t="s">
        <v>401</v>
      </c>
      <c r="C2546" s="37"/>
      <c r="D2546" s="37"/>
      <c r="E2546" s="37"/>
    </row>
    <row r="2547" spans="1:5" ht="12.75" x14ac:dyDescent="0.2">
      <c r="A2547" s="36" t="s">
        <v>1809</v>
      </c>
      <c r="B2547" s="36" t="s">
        <v>402</v>
      </c>
      <c r="C2547" s="36" t="s">
        <v>1812</v>
      </c>
      <c r="D2547" s="37"/>
      <c r="E2547" s="37"/>
    </row>
    <row r="2548" spans="1:5" ht="12.75" x14ac:dyDescent="0.2">
      <c r="A2548" s="36" t="s">
        <v>1814</v>
      </c>
      <c r="B2548" s="37"/>
      <c r="C2548" s="37"/>
      <c r="D2548" s="37"/>
      <c r="E2548" s="37"/>
    </row>
    <row r="2549" spans="1:5" ht="12.75" x14ac:dyDescent="0.2">
      <c r="A2549" s="36" t="s">
        <v>1816</v>
      </c>
      <c r="B2549" s="37"/>
      <c r="C2549" s="37"/>
      <c r="D2549" s="37"/>
      <c r="E2549" s="37"/>
    </row>
    <row r="2550" spans="1:5" ht="12.75" x14ac:dyDescent="0.2">
      <c r="A2550" s="36" t="s">
        <v>1782</v>
      </c>
      <c r="B2550" s="37"/>
      <c r="C2550" s="37"/>
      <c r="D2550" s="37"/>
      <c r="E2550" s="37"/>
    </row>
    <row r="2551" spans="1:5" ht="12.75" x14ac:dyDescent="0.2">
      <c r="A2551" s="36" t="s">
        <v>1819</v>
      </c>
      <c r="B2551" s="37"/>
      <c r="C2551" s="37"/>
      <c r="D2551" s="37"/>
      <c r="E2551" s="37"/>
    </row>
    <row r="2552" spans="1:5" ht="12.75" x14ac:dyDescent="0.2">
      <c r="A2552" s="36" t="s">
        <v>1821</v>
      </c>
      <c r="B2552" s="37"/>
      <c r="C2552" s="37"/>
      <c r="D2552" s="37"/>
      <c r="E2552" s="37"/>
    </row>
    <row r="2553" spans="1:5" ht="12.75" x14ac:dyDescent="0.2">
      <c r="A2553" s="36" t="s">
        <v>1822</v>
      </c>
      <c r="B2553" s="37"/>
      <c r="C2553" s="37"/>
      <c r="D2553" s="37"/>
      <c r="E2553" s="37"/>
    </row>
    <row r="2554" spans="1:5" ht="12.75" x14ac:dyDescent="0.2">
      <c r="A2554" s="36" t="s">
        <v>1824</v>
      </c>
      <c r="B2554" s="37"/>
      <c r="C2554" s="37"/>
      <c r="D2554" s="37"/>
      <c r="E2554" s="37"/>
    </row>
    <row r="2555" spans="1:5" ht="12.75" x14ac:dyDescent="0.2">
      <c r="A2555" s="36" t="s">
        <v>1826</v>
      </c>
      <c r="B2555" s="37"/>
      <c r="C2555" s="37"/>
      <c r="D2555" s="37"/>
      <c r="E2555" s="37"/>
    </row>
    <row r="2556" spans="1:5" ht="12.75" x14ac:dyDescent="0.2">
      <c r="A2556" s="36" t="s">
        <v>1828</v>
      </c>
      <c r="B2556" s="37"/>
      <c r="C2556" s="37"/>
      <c r="D2556" s="37"/>
      <c r="E2556" s="37"/>
    </row>
    <row r="2557" spans="1:5" ht="12.75" x14ac:dyDescent="0.2">
      <c r="A2557" s="37"/>
      <c r="B2557" s="37"/>
      <c r="C2557" s="37"/>
      <c r="D2557" s="37"/>
      <c r="E2557" s="37"/>
    </row>
    <row r="2558" spans="1:5" ht="12.75" x14ac:dyDescent="0.2">
      <c r="A2558" s="36" t="s">
        <v>1832</v>
      </c>
      <c r="B2558" s="37"/>
      <c r="C2558" s="37"/>
      <c r="D2558" s="37"/>
      <c r="E2558" s="37"/>
    </row>
    <row r="2559" spans="1:5" ht="12.75" x14ac:dyDescent="0.2">
      <c r="A2559" s="37"/>
      <c r="B2559" s="36" t="s">
        <v>398</v>
      </c>
      <c r="C2559" s="37"/>
      <c r="D2559" s="37"/>
      <c r="E2559" s="37"/>
    </row>
    <row r="2560" spans="1:5" ht="12.75" x14ac:dyDescent="0.2">
      <c r="A2560" s="37"/>
      <c r="B2560" s="36" t="s">
        <v>399</v>
      </c>
      <c r="C2560" s="37"/>
      <c r="D2560" s="37"/>
      <c r="E2560" s="37"/>
    </row>
    <row r="2561" spans="1:5" ht="12.75" x14ac:dyDescent="0.2">
      <c r="A2561" s="37"/>
      <c r="B2561" s="36" t="s">
        <v>400</v>
      </c>
      <c r="C2561" s="36" t="s">
        <v>1832</v>
      </c>
      <c r="D2561" s="37"/>
      <c r="E2561" s="37"/>
    </row>
    <row r="2562" spans="1:5" ht="12.75" x14ac:dyDescent="0.2">
      <c r="A2562" s="37"/>
      <c r="B2562" s="36" t="s">
        <v>401</v>
      </c>
      <c r="C2562" s="37"/>
      <c r="D2562" s="37"/>
      <c r="E2562" s="37"/>
    </row>
    <row r="2563" spans="1:5" ht="12.75" x14ac:dyDescent="0.2">
      <c r="A2563" s="36" t="s">
        <v>1834</v>
      </c>
      <c r="B2563" s="36" t="s">
        <v>402</v>
      </c>
      <c r="C2563" s="36" t="s">
        <v>1836</v>
      </c>
      <c r="D2563" s="37"/>
      <c r="E2563" s="37"/>
    </row>
    <row r="2564" spans="1:5" ht="12.75" x14ac:dyDescent="0.2">
      <c r="A2564" s="36" t="s">
        <v>1838</v>
      </c>
      <c r="B2564" s="37"/>
      <c r="C2564" s="37"/>
      <c r="D2564" s="37"/>
      <c r="E2564" s="37"/>
    </row>
    <row r="2565" spans="1:5" ht="12.75" x14ac:dyDescent="0.2">
      <c r="A2565" s="36" t="s">
        <v>1840</v>
      </c>
      <c r="B2565" s="37"/>
      <c r="C2565" s="37"/>
      <c r="D2565" s="37"/>
      <c r="E2565" s="37"/>
    </row>
    <row r="2566" spans="1:5" ht="12.75" x14ac:dyDescent="0.2">
      <c r="A2566" s="36" t="s">
        <v>1842</v>
      </c>
      <c r="B2566" s="37"/>
      <c r="C2566" s="37"/>
      <c r="D2566" s="37"/>
      <c r="E2566" s="37"/>
    </row>
    <row r="2567" spans="1:5" ht="12.75" x14ac:dyDescent="0.2">
      <c r="A2567" s="36" t="s">
        <v>1844</v>
      </c>
      <c r="B2567" s="37"/>
      <c r="C2567" s="37"/>
      <c r="D2567" s="37"/>
      <c r="E2567" s="37"/>
    </row>
    <row r="2568" spans="1:5" ht="12.75" x14ac:dyDescent="0.2">
      <c r="A2568" s="36" t="s">
        <v>1846</v>
      </c>
      <c r="B2568" s="37"/>
      <c r="C2568" s="37"/>
      <c r="D2568" s="37"/>
      <c r="E2568" s="37"/>
    </row>
    <row r="2569" spans="1:5" ht="12.75" x14ac:dyDescent="0.2">
      <c r="A2569" s="36" t="s">
        <v>1848</v>
      </c>
      <c r="B2569" s="37"/>
      <c r="C2569" s="37"/>
      <c r="D2569" s="37"/>
      <c r="E2569" s="37"/>
    </row>
    <row r="2570" spans="1:5" ht="12.75" x14ac:dyDescent="0.2">
      <c r="A2570" s="37"/>
      <c r="B2570" s="37"/>
      <c r="C2570" s="37"/>
      <c r="D2570" s="37"/>
      <c r="E2570" s="37"/>
    </row>
    <row r="2571" spans="1:5" ht="12.75" x14ac:dyDescent="0.2">
      <c r="A2571" s="36" t="s">
        <v>1851</v>
      </c>
      <c r="B2571" s="37"/>
      <c r="C2571" s="37"/>
      <c r="D2571" s="37"/>
      <c r="E2571" s="37"/>
    </row>
    <row r="2572" spans="1:5" ht="12.75" x14ac:dyDescent="0.2">
      <c r="A2572" s="37"/>
      <c r="B2572" s="36" t="s">
        <v>398</v>
      </c>
      <c r="C2572" s="37"/>
      <c r="D2572" s="37"/>
      <c r="E2572" s="37"/>
    </row>
    <row r="2573" spans="1:5" ht="12.75" x14ac:dyDescent="0.2">
      <c r="A2573" s="37"/>
      <c r="B2573" s="36" t="s">
        <v>399</v>
      </c>
      <c r="C2573" s="37"/>
      <c r="D2573" s="37"/>
      <c r="E2573" s="37"/>
    </row>
    <row r="2574" spans="1:5" ht="12.75" x14ac:dyDescent="0.2">
      <c r="A2574" s="37"/>
      <c r="B2574" s="36" t="s">
        <v>400</v>
      </c>
      <c r="C2574" s="36" t="s">
        <v>1851</v>
      </c>
      <c r="D2574" s="37"/>
      <c r="E2574" s="37"/>
    </row>
    <row r="2575" spans="1:5" ht="12.75" x14ac:dyDescent="0.2">
      <c r="A2575" s="37"/>
      <c r="B2575" s="36" t="s">
        <v>401</v>
      </c>
      <c r="C2575" s="37"/>
      <c r="D2575" s="37"/>
      <c r="E2575" s="37"/>
    </row>
    <row r="2576" spans="1:5" ht="12.75" x14ac:dyDescent="0.2">
      <c r="A2576" s="36" t="s">
        <v>1853</v>
      </c>
      <c r="B2576" s="36" t="s">
        <v>402</v>
      </c>
      <c r="C2576" s="36" t="s">
        <v>1856</v>
      </c>
      <c r="D2576" s="37"/>
      <c r="E2576" s="37"/>
    </row>
    <row r="2577" spans="1:5" ht="12.75" x14ac:dyDescent="0.2">
      <c r="A2577" s="36" t="s">
        <v>1858</v>
      </c>
      <c r="B2577" s="37"/>
      <c r="C2577" s="37"/>
      <c r="D2577" s="37"/>
      <c r="E2577" s="37"/>
    </row>
    <row r="2578" spans="1:5" ht="12.75" x14ac:dyDescent="0.2">
      <c r="A2578" s="36" t="s">
        <v>1859</v>
      </c>
      <c r="B2578" s="37"/>
      <c r="C2578" s="37"/>
      <c r="D2578" s="37"/>
      <c r="E2578" s="37"/>
    </row>
    <row r="2579" spans="1:5" ht="12.75" x14ac:dyDescent="0.2">
      <c r="A2579" s="36" t="s">
        <v>1860</v>
      </c>
      <c r="B2579" s="37"/>
      <c r="C2579" s="37"/>
      <c r="D2579" s="37"/>
      <c r="E2579" s="37"/>
    </row>
    <row r="2580" spans="1:5" ht="12.75" x14ac:dyDescent="0.2">
      <c r="A2580" s="36" t="s">
        <v>1861</v>
      </c>
      <c r="B2580" s="37"/>
      <c r="C2580" s="37"/>
      <c r="D2580" s="37"/>
      <c r="E2580" s="37"/>
    </row>
    <row r="2581" spans="1:5" ht="12.75" x14ac:dyDescent="0.2">
      <c r="A2581" s="37"/>
      <c r="B2581" s="37"/>
      <c r="C2581" s="37"/>
      <c r="D2581" s="37"/>
      <c r="E2581" s="37"/>
    </row>
    <row r="2582" spans="1:5" ht="12.75" x14ac:dyDescent="0.2">
      <c r="A2582" s="36" t="s">
        <v>1862</v>
      </c>
      <c r="B2582" s="37"/>
      <c r="C2582" s="37"/>
      <c r="D2582" s="37"/>
      <c r="E2582" s="37"/>
    </row>
    <row r="2583" spans="1:5" ht="12.75" x14ac:dyDescent="0.2">
      <c r="A2583" s="37"/>
      <c r="B2583" s="36" t="s">
        <v>398</v>
      </c>
      <c r="C2583" s="37"/>
      <c r="D2583" s="37"/>
      <c r="E2583" s="37"/>
    </row>
    <row r="2584" spans="1:5" ht="12.75" x14ac:dyDescent="0.2">
      <c r="A2584" s="37"/>
      <c r="B2584" s="36" t="s">
        <v>399</v>
      </c>
      <c r="C2584" s="37"/>
      <c r="D2584" s="37"/>
      <c r="E2584" s="37"/>
    </row>
    <row r="2585" spans="1:5" ht="12.75" x14ac:dyDescent="0.2">
      <c r="A2585" s="37"/>
      <c r="B2585" s="36" t="s">
        <v>400</v>
      </c>
      <c r="C2585" s="36" t="s">
        <v>1862</v>
      </c>
      <c r="D2585" s="37"/>
      <c r="E2585" s="37"/>
    </row>
    <row r="2586" spans="1:5" ht="12.75" x14ac:dyDescent="0.2">
      <c r="A2586" s="37"/>
      <c r="B2586" s="36" t="s">
        <v>401</v>
      </c>
      <c r="C2586" s="37"/>
      <c r="D2586" s="37"/>
      <c r="E2586" s="37"/>
    </row>
    <row r="2587" spans="1:5" ht="12.75" x14ac:dyDescent="0.2">
      <c r="A2587" s="36" t="s">
        <v>1863</v>
      </c>
      <c r="B2587" s="36" t="s">
        <v>402</v>
      </c>
      <c r="C2587" s="36" t="s">
        <v>1864</v>
      </c>
      <c r="D2587" s="37"/>
      <c r="E2587" s="37"/>
    </row>
    <row r="2588" spans="1:5" ht="12.75" x14ac:dyDescent="0.2">
      <c r="A2588" s="36" t="s">
        <v>1865</v>
      </c>
      <c r="B2588" s="37"/>
      <c r="C2588" s="37"/>
      <c r="D2588" s="37"/>
      <c r="E2588" s="37"/>
    </row>
    <row r="2589" spans="1:5" ht="12.75" x14ac:dyDescent="0.2">
      <c r="A2589" s="36" t="s">
        <v>1866</v>
      </c>
      <c r="B2589" s="37"/>
      <c r="C2589" s="37"/>
      <c r="D2589" s="37"/>
      <c r="E2589" s="37"/>
    </row>
    <row r="2590" spans="1:5" ht="12.75" x14ac:dyDescent="0.2">
      <c r="A2590" s="36" t="s">
        <v>1867</v>
      </c>
      <c r="B2590" s="37"/>
      <c r="C2590" s="37"/>
      <c r="D2590" s="37"/>
      <c r="E2590" s="37"/>
    </row>
    <row r="2591" spans="1:5" ht="12.75" x14ac:dyDescent="0.2">
      <c r="A2591" s="36" t="s">
        <v>1868</v>
      </c>
      <c r="B2591" s="37"/>
      <c r="C2591" s="37"/>
      <c r="D2591" s="37"/>
      <c r="E2591" s="37"/>
    </row>
    <row r="2592" spans="1:5" ht="12.75" x14ac:dyDescent="0.2">
      <c r="A2592" s="36" t="s">
        <v>1869</v>
      </c>
      <c r="B2592" s="37"/>
      <c r="C2592" s="37"/>
      <c r="D2592" s="37"/>
      <c r="E2592" s="37"/>
    </row>
    <row r="2593" spans="1:5" ht="12.75" x14ac:dyDescent="0.2">
      <c r="A2593" s="37"/>
      <c r="B2593" s="36" t="s">
        <v>422</v>
      </c>
      <c r="C2593" s="36" t="s">
        <v>1870</v>
      </c>
      <c r="D2593" s="36" t="s">
        <v>489</v>
      </c>
      <c r="E2593" s="37"/>
    </row>
    <row r="2594" spans="1:5" ht="12.75" x14ac:dyDescent="0.2">
      <c r="A2594" s="37"/>
      <c r="B2594" s="37"/>
      <c r="C2594" s="37"/>
      <c r="D2594" s="37"/>
      <c r="E2594" s="37"/>
    </row>
    <row r="2595" spans="1:5" ht="12.75" x14ac:dyDescent="0.2">
      <c r="A2595" s="36" t="s">
        <v>1871</v>
      </c>
      <c r="B2595" s="37"/>
      <c r="C2595" s="37"/>
      <c r="D2595" s="37"/>
      <c r="E2595" s="37"/>
    </row>
    <row r="2596" spans="1:5" ht="12.75" x14ac:dyDescent="0.2">
      <c r="A2596" s="37"/>
      <c r="B2596" s="36" t="s">
        <v>398</v>
      </c>
      <c r="C2596" s="37"/>
      <c r="D2596" s="37"/>
      <c r="E2596" s="37"/>
    </row>
    <row r="2597" spans="1:5" ht="12.75" x14ac:dyDescent="0.2">
      <c r="A2597" s="37"/>
      <c r="B2597" s="36" t="s">
        <v>399</v>
      </c>
      <c r="C2597" s="37"/>
      <c r="D2597" s="37"/>
      <c r="E2597" s="37"/>
    </row>
    <row r="2598" spans="1:5" ht="12.75" x14ac:dyDescent="0.2">
      <c r="A2598" s="37"/>
      <c r="B2598" s="36" t="s">
        <v>400</v>
      </c>
      <c r="C2598" s="36" t="s">
        <v>1871</v>
      </c>
      <c r="D2598" s="37"/>
      <c r="E2598" s="37"/>
    </row>
    <row r="2599" spans="1:5" ht="12.75" x14ac:dyDescent="0.2">
      <c r="A2599" s="37"/>
      <c r="B2599" s="36" t="s">
        <v>401</v>
      </c>
      <c r="C2599" s="37"/>
      <c r="D2599" s="37"/>
      <c r="E2599" s="37"/>
    </row>
    <row r="2600" spans="1:5" ht="12.75" x14ac:dyDescent="0.2">
      <c r="A2600" s="36" t="s">
        <v>1872</v>
      </c>
      <c r="B2600" s="36" t="s">
        <v>402</v>
      </c>
      <c r="C2600" s="36" t="s">
        <v>1873</v>
      </c>
      <c r="D2600" s="37"/>
      <c r="E2600" s="37"/>
    </row>
    <row r="2601" spans="1:5" ht="12.75" x14ac:dyDescent="0.2">
      <c r="A2601" s="36" t="s">
        <v>1874</v>
      </c>
      <c r="B2601" s="37"/>
      <c r="C2601" s="37"/>
      <c r="D2601" s="37"/>
      <c r="E2601" s="37"/>
    </row>
    <row r="2602" spans="1:5" ht="12.75" x14ac:dyDescent="0.2">
      <c r="A2602" s="36" t="s">
        <v>1875</v>
      </c>
      <c r="B2602" s="37"/>
      <c r="C2602" s="37"/>
      <c r="D2602" s="37"/>
      <c r="E2602" s="37"/>
    </row>
    <row r="2603" spans="1:5" ht="12.75" x14ac:dyDescent="0.2">
      <c r="A2603" s="36" t="s">
        <v>1876</v>
      </c>
      <c r="B2603" s="37"/>
      <c r="C2603" s="37"/>
      <c r="D2603" s="37"/>
      <c r="E2603" s="37"/>
    </row>
    <row r="2604" spans="1:5" ht="12.75" x14ac:dyDescent="0.2">
      <c r="A2604" s="36" t="s">
        <v>1877</v>
      </c>
      <c r="B2604" s="37"/>
      <c r="C2604" s="37"/>
      <c r="D2604" s="37"/>
      <c r="E2604" s="37"/>
    </row>
    <row r="2605" spans="1:5" ht="12.75" x14ac:dyDescent="0.2">
      <c r="A2605" s="36" t="s">
        <v>1878</v>
      </c>
      <c r="B2605" s="37"/>
      <c r="C2605" s="37"/>
      <c r="D2605" s="37"/>
      <c r="E2605" s="37"/>
    </row>
    <row r="2606" spans="1:5" ht="12.75" x14ac:dyDescent="0.2">
      <c r="A2606" s="36" t="s">
        <v>1879</v>
      </c>
      <c r="B2606" s="37"/>
      <c r="C2606" s="37"/>
      <c r="D2606" s="37"/>
      <c r="E2606" s="37"/>
    </row>
    <row r="2607" spans="1:5" ht="12.75" x14ac:dyDescent="0.2">
      <c r="A2607" s="37"/>
      <c r="B2607" s="37"/>
      <c r="C2607" s="37"/>
      <c r="D2607" s="37"/>
      <c r="E2607" s="37"/>
    </row>
    <row r="2608" spans="1:5" ht="12.75" x14ac:dyDescent="0.2">
      <c r="A2608" s="36" t="s">
        <v>1880</v>
      </c>
      <c r="B2608" s="37"/>
      <c r="C2608" s="37"/>
      <c r="D2608" s="37"/>
      <c r="E2608" s="37"/>
    </row>
    <row r="2609" spans="1:5" ht="12.75" x14ac:dyDescent="0.2">
      <c r="A2609" s="37"/>
      <c r="B2609" s="36" t="s">
        <v>398</v>
      </c>
      <c r="C2609" s="37"/>
      <c r="D2609" s="37"/>
      <c r="E2609" s="37"/>
    </row>
    <row r="2610" spans="1:5" ht="12.75" x14ac:dyDescent="0.2">
      <c r="A2610" s="37"/>
      <c r="B2610" s="36" t="s">
        <v>399</v>
      </c>
      <c r="C2610" s="37"/>
      <c r="D2610" s="37"/>
      <c r="E2610" s="37"/>
    </row>
    <row r="2611" spans="1:5" ht="12.75" x14ac:dyDescent="0.2">
      <c r="A2611" s="37"/>
      <c r="B2611" s="36" t="s">
        <v>400</v>
      </c>
      <c r="C2611" s="36" t="s">
        <v>1880</v>
      </c>
      <c r="D2611" s="37"/>
      <c r="E2611" s="37"/>
    </row>
    <row r="2612" spans="1:5" ht="12.75" x14ac:dyDescent="0.2">
      <c r="A2612" s="37"/>
      <c r="B2612" s="36" t="s">
        <v>401</v>
      </c>
      <c r="C2612" s="37"/>
      <c r="D2612" s="37"/>
      <c r="E2612" s="37"/>
    </row>
    <row r="2613" spans="1:5" ht="12.75" x14ac:dyDescent="0.2">
      <c r="A2613" s="36" t="s">
        <v>1881</v>
      </c>
      <c r="B2613" s="36" t="s">
        <v>402</v>
      </c>
      <c r="C2613" s="36" t="s">
        <v>1882</v>
      </c>
      <c r="D2613" s="37"/>
      <c r="E2613" s="37"/>
    </row>
    <row r="2614" spans="1:5" ht="12.75" x14ac:dyDescent="0.2">
      <c r="A2614" s="36" t="s">
        <v>1883</v>
      </c>
      <c r="B2614" s="37"/>
      <c r="C2614" s="37"/>
      <c r="D2614" s="37"/>
      <c r="E2614" s="37"/>
    </row>
    <row r="2615" spans="1:5" ht="12.75" x14ac:dyDescent="0.2">
      <c r="A2615" s="36" t="s">
        <v>1884</v>
      </c>
      <c r="B2615" s="37"/>
      <c r="C2615" s="37"/>
      <c r="D2615" s="37"/>
      <c r="E2615" s="37"/>
    </row>
    <row r="2616" spans="1:5" ht="12.75" x14ac:dyDescent="0.2">
      <c r="A2616" s="36" t="s">
        <v>1885</v>
      </c>
      <c r="B2616" s="37"/>
      <c r="C2616" s="37"/>
      <c r="D2616" s="37"/>
      <c r="E2616" s="37"/>
    </row>
    <row r="2617" spans="1:5" ht="12.75" x14ac:dyDescent="0.2">
      <c r="A2617" s="36" t="s">
        <v>1886</v>
      </c>
      <c r="B2617" s="37"/>
      <c r="C2617" s="37"/>
      <c r="D2617" s="37"/>
      <c r="E2617" s="37"/>
    </row>
    <row r="2618" spans="1:5" ht="12.75" x14ac:dyDescent="0.2">
      <c r="A2618" s="36" t="s">
        <v>1887</v>
      </c>
      <c r="B2618" s="37"/>
      <c r="C2618" s="37"/>
      <c r="D2618" s="37"/>
      <c r="E2618" s="37"/>
    </row>
    <row r="2619" spans="1:5" ht="12.75" x14ac:dyDescent="0.2">
      <c r="A2619" s="37"/>
      <c r="B2619" s="37"/>
      <c r="C2619" s="37"/>
      <c r="D2619" s="37"/>
      <c r="E2619" s="37"/>
    </row>
    <row r="2620" spans="1:5" ht="12.75" x14ac:dyDescent="0.2">
      <c r="A2620" s="36" t="s">
        <v>1888</v>
      </c>
      <c r="B2620" s="37"/>
      <c r="C2620" s="37"/>
      <c r="D2620" s="37"/>
      <c r="E2620" s="37"/>
    </row>
    <row r="2621" spans="1:5" ht="12.75" x14ac:dyDescent="0.2">
      <c r="A2621" s="37"/>
      <c r="B2621" s="36" t="s">
        <v>398</v>
      </c>
      <c r="C2621" s="37"/>
      <c r="D2621" s="37"/>
      <c r="E2621" s="37"/>
    </row>
    <row r="2622" spans="1:5" ht="12.75" x14ac:dyDescent="0.2">
      <c r="A2622" s="37"/>
      <c r="B2622" s="36" t="s">
        <v>399</v>
      </c>
      <c r="C2622" s="37"/>
      <c r="D2622" s="37"/>
      <c r="E2622" s="37"/>
    </row>
    <row r="2623" spans="1:5" ht="12.75" x14ac:dyDescent="0.2">
      <c r="A2623" s="37"/>
      <c r="B2623" s="36" t="s">
        <v>400</v>
      </c>
      <c r="C2623" s="36" t="s">
        <v>1888</v>
      </c>
      <c r="D2623" s="37"/>
      <c r="E2623" s="37"/>
    </row>
    <row r="2624" spans="1:5" ht="12.75" x14ac:dyDescent="0.2">
      <c r="A2624" s="37"/>
      <c r="B2624" s="36" t="s">
        <v>401</v>
      </c>
      <c r="C2624" s="37"/>
      <c r="D2624" s="37"/>
      <c r="E2624" s="37"/>
    </row>
    <row r="2625" spans="1:5" ht="12.75" x14ac:dyDescent="0.2">
      <c r="A2625" s="36" t="s">
        <v>1889</v>
      </c>
      <c r="B2625" s="36" t="s">
        <v>402</v>
      </c>
      <c r="C2625" s="36" t="s">
        <v>1890</v>
      </c>
      <c r="D2625" s="37"/>
      <c r="E2625" s="37"/>
    </row>
    <row r="2626" spans="1:5" ht="12.75" x14ac:dyDescent="0.2">
      <c r="A2626" s="36" t="s">
        <v>1891</v>
      </c>
      <c r="B2626" s="37"/>
      <c r="C2626" s="37"/>
      <c r="D2626" s="37"/>
      <c r="E2626" s="37"/>
    </row>
    <row r="2627" spans="1:5" ht="12.75" x14ac:dyDescent="0.2">
      <c r="A2627" s="36" t="s">
        <v>1892</v>
      </c>
      <c r="B2627" s="37"/>
      <c r="C2627" s="37"/>
      <c r="D2627" s="37"/>
      <c r="E2627" s="37"/>
    </row>
    <row r="2628" spans="1:5" ht="12.75" x14ac:dyDescent="0.2">
      <c r="A2628" s="36" t="s">
        <v>267</v>
      </c>
      <c r="B2628" s="37"/>
      <c r="C2628" s="37"/>
      <c r="D2628" s="37"/>
      <c r="E2628" s="37"/>
    </row>
    <row r="2629" spans="1:5" ht="12.75" x14ac:dyDescent="0.2">
      <c r="A2629" s="36" t="s">
        <v>1893</v>
      </c>
      <c r="B2629" s="37"/>
      <c r="C2629" s="37"/>
      <c r="D2629" s="37"/>
      <c r="E2629" s="37"/>
    </row>
    <row r="2630" spans="1:5" ht="12.75" x14ac:dyDescent="0.2">
      <c r="A2630" s="36" t="s">
        <v>1894</v>
      </c>
      <c r="B2630" s="37"/>
      <c r="C2630" s="37"/>
      <c r="D2630" s="37"/>
      <c r="E2630" s="37"/>
    </row>
    <row r="2631" spans="1:5" ht="12.75" x14ac:dyDescent="0.2">
      <c r="A2631" s="36" t="s">
        <v>1895</v>
      </c>
      <c r="B2631" s="37"/>
      <c r="C2631" s="37"/>
      <c r="D2631" s="37"/>
      <c r="E2631" s="37"/>
    </row>
    <row r="2632" spans="1:5" ht="12.75" x14ac:dyDescent="0.2">
      <c r="A2632" s="36" t="s">
        <v>1896</v>
      </c>
      <c r="B2632" s="37"/>
      <c r="C2632" s="37"/>
      <c r="D2632" s="37"/>
      <c r="E2632" s="37"/>
    </row>
    <row r="2633" spans="1:5" ht="12.75" x14ac:dyDescent="0.2">
      <c r="A2633" s="37"/>
      <c r="B2633" s="37"/>
      <c r="C2633" s="37"/>
      <c r="D2633" s="37"/>
      <c r="E2633" s="37"/>
    </row>
    <row r="2634" spans="1:5" ht="12.75" x14ac:dyDescent="0.2">
      <c r="A2634" s="36" t="s">
        <v>1897</v>
      </c>
      <c r="B2634" s="37"/>
      <c r="C2634" s="37"/>
      <c r="D2634" s="37"/>
      <c r="E2634" s="37"/>
    </row>
    <row r="2635" spans="1:5" ht="12.75" x14ac:dyDescent="0.2">
      <c r="A2635" s="37"/>
      <c r="B2635" s="36" t="s">
        <v>398</v>
      </c>
      <c r="C2635" s="37"/>
      <c r="D2635" s="37"/>
      <c r="E2635" s="37"/>
    </row>
    <row r="2636" spans="1:5" ht="12.75" x14ac:dyDescent="0.2">
      <c r="A2636" s="37"/>
      <c r="B2636" s="36" t="s">
        <v>399</v>
      </c>
      <c r="C2636" s="37"/>
      <c r="D2636" s="37"/>
      <c r="E2636" s="37"/>
    </row>
    <row r="2637" spans="1:5" ht="12.75" x14ac:dyDescent="0.2">
      <c r="A2637" s="37"/>
      <c r="B2637" s="36" t="s">
        <v>400</v>
      </c>
      <c r="C2637" s="36" t="s">
        <v>1897</v>
      </c>
      <c r="D2637" s="37"/>
      <c r="E2637" s="37"/>
    </row>
    <row r="2638" spans="1:5" ht="12.75" x14ac:dyDescent="0.2">
      <c r="A2638" s="37"/>
      <c r="B2638" s="36" t="s">
        <v>401</v>
      </c>
      <c r="C2638" s="37"/>
      <c r="D2638" s="37"/>
      <c r="E2638" s="37"/>
    </row>
    <row r="2639" spans="1:5" ht="12.75" x14ac:dyDescent="0.2">
      <c r="A2639" s="36" t="s">
        <v>1898</v>
      </c>
      <c r="B2639" s="36" t="s">
        <v>402</v>
      </c>
      <c r="C2639" s="36" t="s">
        <v>1899</v>
      </c>
      <c r="D2639" s="37"/>
      <c r="E2639" s="37"/>
    </row>
    <row r="2640" spans="1:5" ht="12.75" x14ac:dyDescent="0.2">
      <c r="A2640" s="36" t="s">
        <v>1900</v>
      </c>
      <c r="B2640" s="37"/>
      <c r="C2640" s="37"/>
      <c r="D2640" s="37"/>
      <c r="E2640" s="37"/>
    </row>
    <row r="2641" spans="1:5" ht="12.75" x14ac:dyDescent="0.2">
      <c r="A2641" s="36" t="s">
        <v>154</v>
      </c>
      <c r="B2641" s="37"/>
      <c r="C2641" s="37"/>
      <c r="D2641" s="37"/>
      <c r="E2641" s="37"/>
    </row>
    <row r="2642" spans="1:5" ht="12.75" x14ac:dyDescent="0.2">
      <c r="A2642" s="36" t="s">
        <v>1901</v>
      </c>
      <c r="B2642" s="37"/>
      <c r="C2642" s="37"/>
      <c r="D2642" s="37"/>
      <c r="E2642" s="37"/>
    </row>
    <row r="2643" spans="1:5" ht="12.75" x14ac:dyDescent="0.2">
      <c r="A2643" s="36" t="s">
        <v>1902</v>
      </c>
      <c r="B2643" s="37"/>
      <c r="C2643" s="37"/>
      <c r="D2643" s="37"/>
      <c r="E2643" s="37"/>
    </row>
    <row r="2644" spans="1:5" ht="12.75" x14ac:dyDescent="0.2">
      <c r="A2644" s="36" t="s">
        <v>1903</v>
      </c>
      <c r="B2644" s="37"/>
      <c r="C2644" s="37"/>
      <c r="D2644" s="37"/>
      <c r="E2644" s="37"/>
    </row>
    <row r="2645" spans="1:5" ht="12.75" x14ac:dyDescent="0.2">
      <c r="A2645" s="37"/>
      <c r="B2645" s="37"/>
      <c r="C2645" s="37"/>
      <c r="D2645" s="37"/>
      <c r="E2645" s="37"/>
    </row>
    <row r="2646" spans="1:5" ht="12.75" x14ac:dyDescent="0.2">
      <c r="A2646" s="36" t="s">
        <v>1904</v>
      </c>
      <c r="B2646" s="37"/>
      <c r="C2646" s="37"/>
      <c r="D2646" s="37"/>
      <c r="E2646" s="37"/>
    </row>
    <row r="2647" spans="1:5" ht="12.75" x14ac:dyDescent="0.2">
      <c r="A2647" s="37"/>
      <c r="B2647" s="36" t="s">
        <v>398</v>
      </c>
      <c r="C2647" s="37"/>
      <c r="D2647" s="37"/>
      <c r="E2647" s="37"/>
    </row>
    <row r="2648" spans="1:5" ht="12.75" x14ac:dyDescent="0.2">
      <c r="A2648" s="37"/>
      <c r="B2648" s="36" t="s">
        <v>399</v>
      </c>
      <c r="C2648" s="37"/>
      <c r="D2648" s="37"/>
      <c r="E2648" s="37"/>
    </row>
    <row r="2649" spans="1:5" ht="12.75" x14ac:dyDescent="0.2">
      <c r="A2649" s="37"/>
      <c r="B2649" s="36" t="s">
        <v>400</v>
      </c>
      <c r="C2649" s="36" t="s">
        <v>1904</v>
      </c>
      <c r="D2649" s="37"/>
      <c r="E2649" s="37"/>
    </row>
    <row r="2650" spans="1:5" ht="12.75" x14ac:dyDescent="0.2">
      <c r="A2650" s="37"/>
      <c r="B2650" s="36" t="s">
        <v>401</v>
      </c>
      <c r="C2650" s="37"/>
      <c r="D2650" s="37"/>
      <c r="E2650" s="37"/>
    </row>
    <row r="2651" spans="1:5" ht="12.75" x14ac:dyDescent="0.2">
      <c r="A2651" s="36" t="s">
        <v>1905</v>
      </c>
      <c r="B2651" s="36" t="s">
        <v>402</v>
      </c>
      <c r="C2651" s="36" t="s">
        <v>1906</v>
      </c>
      <c r="D2651" s="37"/>
      <c r="E2651" s="37"/>
    </row>
    <row r="2652" spans="1:5" ht="12.75" x14ac:dyDescent="0.2">
      <c r="A2652" s="36" t="s">
        <v>1907</v>
      </c>
      <c r="B2652" s="37"/>
      <c r="C2652" s="37"/>
      <c r="D2652" s="37"/>
      <c r="E2652" s="37"/>
    </row>
    <row r="2653" spans="1:5" ht="12.75" x14ac:dyDescent="0.2">
      <c r="A2653" s="36" t="s">
        <v>1908</v>
      </c>
      <c r="B2653" s="37"/>
      <c r="C2653" s="37"/>
      <c r="D2653" s="37"/>
      <c r="E2653" s="37"/>
    </row>
    <row r="2654" spans="1:5" ht="12.75" x14ac:dyDescent="0.2">
      <c r="A2654" s="36" t="s">
        <v>1909</v>
      </c>
      <c r="B2654" s="37"/>
      <c r="C2654" s="37"/>
      <c r="D2654" s="37"/>
      <c r="E2654" s="37"/>
    </row>
    <row r="2655" spans="1:5" ht="12.75" x14ac:dyDescent="0.2">
      <c r="A2655" s="36" t="s">
        <v>1910</v>
      </c>
      <c r="B2655" s="37"/>
      <c r="C2655" s="37"/>
      <c r="D2655" s="37"/>
      <c r="E2655" s="37"/>
    </row>
    <row r="2656" spans="1:5" ht="12.75" x14ac:dyDescent="0.2">
      <c r="A2656" s="36" t="s">
        <v>1911</v>
      </c>
      <c r="B2656" s="37"/>
      <c r="C2656" s="37"/>
      <c r="D2656" s="37"/>
      <c r="E2656" s="37"/>
    </row>
    <row r="2657" spans="1:5" ht="12.75" x14ac:dyDescent="0.2">
      <c r="A2657" s="36" t="s">
        <v>1912</v>
      </c>
      <c r="B2657" s="37"/>
      <c r="C2657" s="37"/>
      <c r="D2657" s="37"/>
      <c r="E2657" s="37"/>
    </row>
    <row r="2658" spans="1:5" ht="12.75" x14ac:dyDescent="0.2">
      <c r="A2658" s="36" t="s">
        <v>1913</v>
      </c>
      <c r="B2658" s="37"/>
      <c r="C2658" s="37"/>
      <c r="D2658" s="37"/>
      <c r="E2658" s="37"/>
    </row>
    <row r="2659" spans="1:5" ht="12.75" x14ac:dyDescent="0.2">
      <c r="A2659" s="37"/>
      <c r="B2659" s="37"/>
      <c r="C2659" s="37"/>
      <c r="D2659" s="37"/>
      <c r="E2659" s="37"/>
    </row>
    <row r="2660" spans="1:5" ht="12.75" x14ac:dyDescent="0.2">
      <c r="A2660" s="36" t="s">
        <v>1914</v>
      </c>
      <c r="B2660" s="37"/>
      <c r="C2660" s="37"/>
      <c r="D2660" s="37"/>
      <c r="E2660" s="37"/>
    </row>
    <row r="2661" spans="1:5" ht="12.75" x14ac:dyDescent="0.2">
      <c r="A2661" s="37"/>
      <c r="B2661" s="36" t="s">
        <v>398</v>
      </c>
      <c r="C2661" s="37"/>
      <c r="D2661" s="37"/>
      <c r="E2661" s="37"/>
    </row>
    <row r="2662" spans="1:5" ht="12.75" x14ac:dyDescent="0.2">
      <c r="A2662" s="37"/>
      <c r="B2662" s="36" t="s">
        <v>399</v>
      </c>
      <c r="C2662" s="37"/>
      <c r="D2662" s="37"/>
      <c r="E2662" s="37"/>
    </row>
    <row r="2663" spans="1:5" ht="12.75" x14ac:dyDescent="0.2">
      <c r="A2663" s="37"/>
      <c r="B2663" s="36" t="s">
        <v>400</v>
      </c>
      <c r="C2663" s="36" t="s">
        <v>1914</v>
      </c>
      <c r="D2663" s="37"/>
      <c r="E2663" s="37"/>
    </row>
    <row r="2664" spans="1:5" ht="12.75" x14ac:dyDescent="0.2">
      <c r="A2664" s="37"/>
      <c r="B2664" s="36" t="s">
        <v>401</v>
      </c>
      <c r="C2664" s="37"/>
      <c r="D2664" s="37"/>
      <c r="E2664" s="37"/>
    </row>
    <row r="2665" spans="1:5" ht="12.75" x14ac:dyDescent="0.2">
      <c r="A2665" s="36" t="s">
        <v>1915</v>
      </c>
      <c r="B2665" s="36" t="s">
        <v>402</v>
      </c>
      <c r="C2665" s="36" t="s">
        <v>1916</v>
      </c>
      <c r="D2665" s="37"/>
      <c r="E2665" s="37"/>
    </row>
    <row r="2666" spans="1:5" ht="12.75" x14ac:dyDescent="0.2">
      <c r="A2666" s="36" t="s">
        <v>1917</v>
      </c>
      <c r="B2666" s="37"/>
      <c r="C2666" s="37"/>
      <c r="D2666" s="37"/>
      <c r="E2666" s="37"/>
    </row>
    <row r="2667" spans="1:5" ht="12.75" x14ac:dyDescent="0.2">
      <c r="A2667" s="36" t="s">
        <v>1918</v>
      </c>
      <c r="B2667" s="37"/>
      <c r="C2667" s="37"/>
      <c r="D2667" s="37"/>
      <c r="E2667" s="37"/>
    </row>
    <row r="2668" spans="1:5" ht="12.75" x14ac:dyDescent="0.2">
      <c r="A2668" s="36" t="s">
        <v>1919</v>
      </c>
      <c r="B2668" s="37"/>
      <c r="C2668" s="37"/>
      <c r="D2668" s="37"/>
      <c r="E2668" s="37"/>
    </row>
    <row r="2669" spans="1:5" ht="12.75" x14ac:dyDescent="0.2">
      <c r="A2669" s="36" t="s">
        <v>1920</v>
      </c>
      <c r="B2669" s="37"/>
      <c r="C2669" s="37"/>
      <c r="D2669" s="37"/>
      <c r="E2669" s="37"/>
    </row>
    <row r="2670" spans="1:5" ht="12.75" x14ac:dyDescent="0.2">
      <c r="A2670" s="36" t="s">
        <v>1921</v>
      </c>
      <c r="B2670" s="37"/>
      <c r="C2670" s="37"/>
      <c r="D2670" s="37"/>
      <c r="E2670" s="37"/>
    </row>
    <row r="2671" spans="1:5" ht="12.75" x14ac:dyDescent="0.2">
      <c r="A2671" s="36" t="s">
        <v>1922</v>
      </c>
      <c r="B2671" s="37"/>
      <c r="C2671" s="37"/>
      <c r="D2671" s="37"/>
      <c r="E2671" s="37"/>
    </row>
    <row r="2672" spans="1:5" ht="12.75" x14ac:dyDescent="0.2">
      <c r="A2672" s="37"/>
      <c r="B2672" s="37"/>
      <c r="C2672" s="37"/>
      <c r="D2672" s="37"/>
      <c r="E2672" s="37"/>
    </row>
    <row r="2673" spans="1:5" ht="12.75" x14ac:dyDescent="0.2">
      <c r="A2673" s="36" t="s">
        <v>1923</v>
      </c>
      <c r="B2673" s="37"/>
      <c r="C2673" s="37"/>
      <c r="D2673" s="37"/>
      <c r="E2673" s="37"/>
    </row>
    <row r="2674" spans="1:5" ht="12.75" x14ac:dyDescent="0.2">
      <c r="A2674" s="37"/>
      <c r="B2674" s="36" t="s">
        <v>398</v>
      </c>
      <c r="C2674" s="37"/>
      <c r="D2674" s="37"/>
      <c r="E2674" s="37"/>
    </row>
    <row r="2675" spans="1:5" ht="12.75" x14ac:dyDescent="0.2">
      <c r="A2675" s="37"/>
      <c r="B2675" s="36" t="s">
        <v>399</v>
      </c>
      <c r="C2675" s="37"/>
      <c r="D2675" s="37"/>
      <c r="E2675" s="37"/>
    </row>
    <row r="2676" spans="1:5" ht="12.75" x14ac:dyDescent="0.2">
      <c r="A2676" s="37"/>
      <c r="B2676" s="36" t="s">
        <v>400</v>
      </c>
      <c r="C2676" s="36" t="s">
        <v>1923</v>
      </c>
      <c r="D2676" s="37"/>
      <c r="E2676" s="37"/>
    </row>
    <row r="2677" spans="1:5" ht="12.75" x14ac:dyDescent="0.2">
      <c r="A2677" s="37"/>
      <c r="B2677" s="36" t="s">
        <v>401</v>
      </c>
      <c r="C2677" s="37"/>
      <c r="D2677" s="37"/>
      <c r="E2677" s="37"/>
    </row>
    <row r="2678" spans="1:5" ht="12.75" x14ac:dyDescent="0.2">
      <c r="A2678" s="36" t="s">
        <v>1924</v>
      </c>
      <c r="B2678" s="36" t="s">
        <v>402</v>
      </c>
      <c r="C2678" s="36" t="s">
        <v>1925</v>
      </c>
      <c r="D2678" s="37"/>
      <c r="E2678" s="37"/>
    </row>
    <row r="2679" spans="1:5" ht="12.75" x14ac:dyDescent="0.2">
      <c r="A2679" s="36" t="s">
        <v>1926</v>
      </c>
      <c r="B2679" s="37"/>
      <c r="C2679" s="37"/>
      <c r="D2679" s="37"/>
      <c r="E2679" s="37"/>
    </row>
    <row r="2680" spans="1:5" ht="12.75" x14ac:dyDescent="0.2">
      <c r="A2680" s="36" t="s">
        <v>1927</v>
      </c>
      <c r="B2680" s="37"/>
      <c r="C2680" s="37"/>
      <c r="D2680" s="37"/>
      <c r="E2680" s="37"/>
    </row>
    <row r="2681" spans="1:5" ht="12.75" x14ac:dyDescent="0.2">
      <c r="A2681" s="36" t="s">
        <v>1928</v>
      </c>
      <c r="B2681" s="37"/>
      <c r="C2681" s="37"/>
      <c r="D2681" s="37"/>
      <c r="E2681" s="37"/>
    </row>
    <row r="2682" spans="1:5" ht="12.75" x14ac:dyDescent="0.2">
      <c r="A2682" s="36" t="s">
        <v>1929</v>
      </c>
      <c r="B2682" s="37"/>
      <c r="C2682" s="37"/>
      <c r="D2682" s="37"/>
      <c r="E2682" s="37"/>
    </row>
    <row r="2683" spans="1:5" ht="12.75" x14ac:dyDescent="0.2">
      <c r="A2683" s="36" t="s">
        <v>1930</v>
      </c>
      <c r="B2683" s="37"/>
      <c r="C2683" s="37"/>
      <c r="D2683" s="37"/>
      <c r="E2683" s="37"/>
    </row>
    <row r="2684" spans="1:5" ht="12.75" x14ac:dyDescent="0.2">
      <c r="A2684" s="36" t="s">
        <v>1931</v>
      </c>
      <c r="B2684" s="37"/>
      <c r="C2684" s="37"/>
      <c r="D2684" s="37"/>
      <c r="E2684" s="37"/>
    </row>
    <row r="2685" spans="1:5" ht="12.75" x14ac:dyDescent="0.2">
      <c r="A2685" s="37"/>
      <c r="B2685" s="37"/>
      <c r="C2685" s="37"/>
      <c r="D2685" s="37"/>
      <c r="E2685" s="37"/>
    </row>
    <row r="2686" spans="1:5" ht="12.75" x14ac:dyDescent="0.2">
      <c r="A2686" s="36" t="s">
        <v>1932</v>
      </c>
      <c r="B2686" s="37"/>
      <c r="C2686" s="37"/>
      <c r="D2686" s="37"/>
      <c r="E2686" s="37"/>
    </row>
    <row r="2687" spans="1:5" ht="12.75" x14ac:dyDescent="0.2">
      <c r="A2687" s="37"/>
      <c r="B2687" s="36" t="s">
        <v>398</v>
      </c>
      <c r="C2687" s="37"/>
      <c r="D2687" s="37"/>
      <c r="E2687" s="37"/>
    </row>
    <row r="2688" spans="1:5" ht="12.75" x14ac:dyDescent="0.2">
      <c r="A2688" s="37"/>
      <c r="B2688" s="36" t="s">
        <v>399</v>
      </c>
      <c r="C2688" s="37"/>
      <c r="D2688" s="37"/>
      <c r="E2688" s="37"/>
    </row>
    <row r="2689" spans="1:5" ht="12.75" x14ac:dyDescent="0.2">
      <c r="A2689" s="37"/>
      <c r="B2689" s="36" t="s">
        <v>400</v>
      </c>
      <c r="C2689" s="36" t="s">
        <v>1932</v>
      </c>
      <c r="D2689" s="37"/>
      <c r="E2689" s="37"/>
    </row>
    <row r="2690" spans="1:5" ht="12.75" x14ac:dyDescent="0.2">
      <c r="A2690" s="37"/>
      <c r="B2690" s="36" t="s">
        <v>401</v>
      </c>
      <c r="C2690" s="37"/>
      <c r="D2690" s="37"/>
      <c r="E2690" s="37"/>
    </row>
    <row r="2691" spans="1:5" ht="12.75" x14ac:dyDescent="0.2">
      <c r="A2691" s="36" t="s">
        <v>1933</v>
      </c>
      <c r="B2691" s="36" t="s">
        <v>402</v>
      </c>
      <c r="C2691" s="36" t="s">
        <v>1934</v>
      </c>
      <c r="D2691" s="37"/>
      <c r="E2691" s="37"/>
    </row>
    <row r="2692" spans="1:5" ht="12.75" x14ac:dyDescent="0.2">
      <c r="A2692" s="36" t="s">
        <v>1935</v>
      </c>
      <c r="B2692" s="37"/>
      <c r="C2692" s="37"/>
      <c r="D2692" s="37"/>
      <c r="E2692" s="37"/>
    </row>
    <row r="2693" spans="1:5" ht="12.75" x14ac:dyDescent="0.2">
      <c r="A2693" s="36" t="s">
        <v>1936</v>
      </c>
      <c r="B2693" s="37"/>
      <c r="C2693" s="37"/>
      <c r="D2693" s="37"/>
      <c r="E2693" s="37"/>
    </row>
    <row r="2694" spans="1:5" ht="12.75" x14ac:dyDescent="0.2">
      <c r="A2694" s="36" t="s">
        <v>1937</v>
      </c>
      <c r="B2694" s="37"/>
      <c r="C2694" s="37"/>
      <c r="D2694" s="37"/>
      <c r="E2694" s="37"/>
    </row>
    <row r="2695" spans="1:5" ht="12.75" x14ac:dyDescent="0.2">
      <c r="A2695" s="37"/>
      <c r="B2695" s="37"/>
      <c r="C2695" s="37"/>
      <c r="D2695" s="37"/>
      <c r="E2695" s="37"/>
    </row>
    <row r="2696" spans="1:5" ht="12.75" x14ac:dyDescent="0.2">
      <c r="A2696" s="36" t="s">
        <v>1938</v>
      </c>
      <c r="B2696" s="37"/>
      <c r="C2696" s="37"/>
      <c r="D2696" s="37"/>
      <c r="E2696" s="37"/>
    </row>
    <row r="2697" spans="1:5" ht="12.75" x14ac:dyDescent="0.2">
      <c r="A2697" s="37"/>
      <c r="B2697" s="36" t="s">
        <v>398</v>
      </c>
      <c r="C2697" s="37"/>
      <c r="D2697" s="37"/>
      <c r="E2697" s="37"/>
    </row>
    <row r="2698" spans="1:5" ht="12.75" x14ac:dyDescent="0.2">
      <c r="A2698" s="37"/>
      <c r="B2698" s="36" t="s">
        <v>399</v>
      </c>
      <c r="C2698" s="37"/>
      <c r="D2698" s="37"/>
      <c r="E2698" s="37"/>
    </row>
    <row r="2699" spans="1:5" ht="12.75" x14ac:dyDescent="0.2">
      <c r="A2699" s="37"/>
      <c r="B2699" s="36" t="s">
        <v>400</v>
      </c>
      <c r="C2699" s="36" t="s">
        <v>1938</v>
      </c>
      <c r="D2699" s="37"/>
      <c r="E2699" s="37"/>
    </row>
    <row r="2700" spans="1:5" ht="12.75" x14ac:dyDescent="0.2">
      <c r="A2700" s="37"/>
      <c r="B2700" s="36" t="s">
        <v>401</v>
      </c>
      <c r="C2700" s="37"/>
      <c r="D2700" s="37"/>
      <c r="E2700" s="37"/>
    </row>
    <row r="2701" spans="1:5" ht="12.75" x14ac:dyDescent="0.2">
      <c r="A2701" s="36" t="s">
        <v>1939</v>
      </c>
      <c r="B2701" s="36" t="s">
        <v>402</v>
      </c>
      <c r="C2701" s="36" t="s">
        <v>1940</v>
      </c>
      <c r="D2701" s="37"/>
      <c r="E2701" s="37"/>
    </row>
    <row r="2702" spans="1:5" ht="12.75" x14ac:dyDescent="0.2">
      <c r="A2702" s="36" t="s">
        <v>1941</v>
      </c>
      <c r="B2702" s="37"/>
      <c r="C2702" s="37"/>
      <c r="D2702" s="37"/>
      <c r="E2702" s="37"/>
    </row>
    <row r="2703" spans="1:5" ht="12.75" x14ac:dyDescent="0.2">
      <c r="A2703" s="36" t="s">
        <v>1942</v>
      </c>
      <c r="B2703" s="37"/>
      <c r="C2703" s="37"/>
      <c r="D2703" s="37"/>
      <c r="E2703" s="37"/>
    </row>
    <row r="2704" spans="1:5" ht="12.75" x14ac:dyDescent="0.2">
      <c r="A2704" s="36" t="s">
        <v>1943</v>
      </c>
      <c r="B2704" s="37"/>
      <c r="C2704" s="37"/>
      <c r="D2704" s="37"/>
      <c r="E2704" s="37"/>
    </row>
    <row r="2705" spans="1:5" ht="12.75" x14ac:dyDescent="0.2">
      <c r="A2705" s="36" t="s">
        <v>1944</v>
      </c>
      <c r="B2705" s="37"/>
      <c r="C2705" s="37"/>
      <c r="D2705" s="37"/>
      <c r="E2705" s="37"/>
    </row>
    <row r="2706" spans="1:5" ht="12.75" x14ac:dyDescent="0.2">
      <c r="A2706" s="36" t="s">
        <v>1945</v>
      </c>
      <c r="B2706" s="37"/>
      <c r="C2706" s="37"/>
      <c r="D2706" s="37"/>
      <c r="E2706" s="37"/>
    </row>
    <row r="2707" spans="1:5" ht="12.75" x14ac:dyDescent="0.2">
      <c r="A2707" s="36" t="s">
        <v>1946</v>
      </c>
      <c r="B2707" s="37"/>
      <c r="C2707" s="37"/>
      <c r="D2707" s="37"/>
      <c r="E2707" s="37"/>
    </row>
    <row r="2708" spans="1:5" ht="12.75" x14ac:dyDescent="0.2">
      <c r="A2708" s="36" t="s">
        <v>1947</v>
      </c>
      <c r="B2708" s="37"/>
      <c r="C2708" s="37"/>
      <c r="D2708" s="37"/>
      <c r="E2708" s="37"/>
    </row>
    <row r="2709" spans="1:5" ht="12.75" x14ac:dyDescent="0.2">
      <c r="A2709" s="36" t="s">
        <v>1948</v>
      </c>
      <c r="B2709" s="37"/>
      <c r="C2709" s="37"/>
      <c r="D2709" s="37"/>
      <c r="E2709" s="37"/>
    </row>
    <row r="2710" spans="1:5" ht="12.75" x14ac:dyDescent="0.2">
      <c r="A2710" s="37"/>
      <c r="B2710" s="37"/>
      <c r="C2710" s="37"/>
      <c r="D2710" s="37"/>
      <c r="E2710" s="37"/>
    </row>
    <row r="2711" spans="1:5" ht="12.75" x14ac:dyDescent="0.2">
      <c r="A2711" s="36" t="s">
        <v>1949</v>
      </c>
      <c r="B2711" s="37"/>
      <c r="C2711" s="37"/>
      <c r="D2711" s="37"/>
      <c r="E2711" s="37"/>
    </row>
    <row r="2712" spans="1:5" ht="12.75" x14ac:dyDescent="0.2">
      <c r="A2712" s="37"/>
      <c r="B2712" s="36" t="s">
        <v>398</v>
      </c>
      <c r="C2712" s="37"/>
      <c r="D2712" s="37"/>
      <c r="E2712" s="37"/>
    </row>
    <row r="2713" spans="1:5" ht="12.75" x14ac:dyDescent="0.2">
      <c r="A2713" s="37"/>
      <c r="B2713" s="36" t="s">
        <v>399</v>
      </c>
      <c r="C2713" s="37"/>
      <c r="D2713" s="37"/>
      <c r="E2713" s="37"/>
    </row>
    <row r="2714" spans="1:5" ht="12.75" x14ac:dyDescent="0.2">
      <c r="A2714" s="37"/>
      <c r="B2714" s="36" t="s">
        <v>400</v>
      </c>
      <c r="C2714" s="36" t="s">
        <v>1949</v>
      </c>
      <c r="D2714" s="37"/>
      <c r="E2714" s="37"/>
    </row>
    <row r="2715" spans="1:5" ht="12.75" x14ac:dyDescent="0.2">
      <c r="A2715" s="37"/>
      <c r="B2715" s="36" t="s">
        <v>401</v>
      </c>
      <c r="C2715" s="37"/>
      <c r="D2715" s="37"/>
      <c r="E2715" s="37"/>
    </row>
    <row r="2716" spans="1:5" ht="12.75" x14ac:dyDescent="0.2">
      <c r="A2716" s="36" t="s">
        <v>1950</v>
      </c>
      <c r="B2716" s="36" t="s">
        <v>402</v>
      </c>
      <c r="C2716" s="36" t="s">
        <v>1951</v>
      </c>
      <c r="D2716" s="37"/>
      <c r="E2716" s="37"/>
    </row>
    <row r="2717" spans="1:5" ht="12.75" x14ac:dyDescent="0.2">
      <c r="A2717" s="36" t="s">
        <v>1952</v>
      </c>
      <c r="B2717" s="37"/>
      <c r="C2717" s="37"/>
      <c r="D2717" s="37"/>
      <c r="E2717" s="37"/>
    </row>
    <row r="2718" spans="1:5" ht="12.75" x14ac:dyDescent="0.2">
      <c r="A2718" s="36" t="s">
        <v>1953</v>
      </c>
      <c r="B2718" s="37"/>
      <c r="C2718" s="37"/>
      <c r="D2718" s="37"/>
      <c r="E2718" s="37"/>
    </row>
    <row r="2719" spans="1:5" ht="12.75" x14ac:dyDescent="0.2">
      <c r="A2719" s="36" t="s">
        <v>1954</v>
      </c>
      <c r="B2719" s="37"/>
      <c r="C2719" s="37"/>
      <c r="D2719" s="37"/>
      <c r="E2719" s="37"/>
    </row>
    <row r="2720" spans="1:5" ht="12.75" x14ac:dyDescent="0.2">
      <c r="A2720" s="36" t="s">
        <v>1955</v>
      </c>
      <c r="B2720" s="37"/>
      <c r="C2720" s="37"/>
      <c r="D2720" s="37"/>
      <c r="E2720" s="37"/>
    </row>
    <row r="2721" spans="1:5" ht="12.75" x14ac:dyDescent="0.2">
      <c r="A2721" s="36" t="s">
        <v>1956</v>
      </c>
      <c r="B2721" s="37"/>
      <c r="C2721" s="37"/>
      <c r="D2721" s="37"/>
      <c r="E2721" s="37"/>
    </row>
    <row r="2722" spans="1:5" ht="12.75" x14ac:dyDescent="0.2">
      <c r="A2722" s="37"/>
      <c r="B2722" s="37"/>
      <c r="C2722" s="37"/>
      <c r="D2722" s="37"/>
      <c r="E2722" s="37"/>
    </row>
    <row r="2723" spans="1:5" ht="12.75" x14ac:dyDescent="0.2">
      <c r="A2723" s="36" t="s">
        <v>1957</v>
      </c>
      <c r="B2723" s="37"/>
      <c r="C2723" s="37"/>
      <c r="D2723" s="37"/>
      <c r="E2723" s="37"/>
    </row>
    <row r="2724" spans="1:5" ht="12.75" x14ac:dyDescent="0.2">
      <c r="A2724" s="37"/>
      <c r="B2724" s="36" t="s">
        <v>398</v>
      </c>
      <c r="C2724" s="37"/>
      <c r="D2724" s="37"/>
      <c r="E2724" s="37"/>
    </row>
    <row r="2725" spans="1:5" ht="12.75" x14ac:dyDescent="0.2">
      <c r="A2725" s="37"/>
      <c r="B2725" s="36" t="s">
        <v>399</v>
      </c>
      <c r="C2725" s="37"/>
      <c r="D2725" s="37"/>
      <c r="E2725" s="37"/>
    </row>
    <row r="2726" spans="1:5" ht="12.75" x14ac:dyDescent="0.2">
      <c r="A2726" s="37"/>
      <c r="B2726" s="36" t="s">
        <v>400</v>
      </c>
      <c r="C2726" s="36" t="s">
        <v>1957</v>
      </c>
      <c r="D2726" s="37"/>
      <c r="E2726" s="37"/>
    </row>
    <row r="2727" spans="1:5" ht="12.75" x14ac:dyDescent="0.2">
      <c r="A2727" s="37"/>
      <c r="B2727" s="36" t="s">
        <v>401</v>
      </c>
      <c r="C2727" s="37"/>
      <c r="D2727" s="37"/>
      <c r="E2727" s="37"/>
    </row>
    <row r="2728" spans="1:5" ht="12.75" x14ac:dyDescent="0.2">
      <c r="A2728" s="36" t="s">
        <v>1958</v>
      </c>
      <c r="B2728" s="36" t="s">
        <v>402</v>
      </c>
      <c r="C2728" s="36" t="s">
        <v>1959</v>
      </c>
      <c r="D2728" s="37"/>
      <c r="E2728" s="37"/>
    </row>
    <row r="2729" spans="1:5" ht="12.75" x14ac:dyDescent="0.2">
      <c r="A2729" s="36" t="s">
        <v>1960</v>
      </c>
      <c r="B2729" s="37"/>
      <c r="C2729" s="37"/>
      <c r="D2729" s="37"/>
      <c r="E2729" s="37"/>
    </row>
    <row r="2730" spans="1:5" ht="12.75" x14ac:dyDescent="0.2">
      <c r="A2730" s="36" t="s">
        <v>1961</v>
      </c>
      <c r="B2730" s="37"/>
      <c r="C2730" s="37"/>
      <c r="D2730" s="37"/>
      <c r="E2730" s="37"/>
    </row>
    <row r="2731" spans="1:5" ht="12.75" x14ac:dyDescent="0.2">
      <c r="A2731" s="36" t="s">
        <v>1962</v>
      </c>
      <c r="B2731" s="37"/>
      <c r="C2731" s="37"/>
      <c r="D2731" s="37"/>
      <c r="E2731" s="37"/>
    </row>
    <row r="2732" spans="1:5" ht="12.75" x14ac:dyDescent="0.2">
      <c r="A2732" s="36" t="s">
        <v>1963</v>
      </c>
      <c r="B2732" s="37"/>
      <c r="C2732" s="37"/>
      <c r="D2732" s="37"/>
      <c r="E2732" s="37"/>
    </row>
    <row r="2733" spans="1:5" ht="12.75" x14ac:dyDescent="0.2">
      <c r="A2733" s="37"/>
      <c r="B2733" s="37"/>
      <c r="C2733" s="37"/>
      <c r="D2733" s="37"/>
      <c r="E2733" s="37"/>
    </row>
    <row r="2734" spans="1:5" ht="12.75" x14ac:dyDescent="0.2">
      <c r="A2734" s="36" t="s">
        <v>1964</v>
      </c>
      <c r="B2734" s="37"/>
      <c r="C2734" s="37"/>
      <c r="D2734" s="37"/>
      <c r="E2734" s="37"/>
    </row>
    <row r="2735" spans="1:5" ht="12.75" x14ac:dyDescent="0.2">
      <c r="A2735" s="37"/>
      <c r="B2735" s="36" t="s">
        <v>398</v>
      </c>
      <c r="C2735" s="37"/>
      <c r="D2735" s="37"/>
      <c r="E2735" s="37"/>
    </row>
    <row r="2736" spans="1:5" ht="12.75" x14ac:dyDescent="0.2">
      <c r="A2736" s="37"/>
      <c r="B2736" s="36" t="s">
        <v>399</v>
      </c>
      <c r="C2736" s="37"/>
      <c r="D2736" s="37"/>
      <c r="E2736" s="37"/>
    </row>
    <row r="2737" spans="1:5" ht="12.75" x14ac:dyDescent="0.2">
      <c r="A2737" s="37"/>
      <c r="B2737" s="36" t="s">
        <v>400</v>
      </c>
      <c r="C2737" s="36" t="s">
        <v>1964</v>
      </c>
      <c r="D2737" s="37"/>
      <c r="E2737" s="37"/>
    </row>
    <row r="2738" spans="1:5" ht="12.75" x14ac:dyDescent="0.2">
      <c r="A2738" s="37"/>
      <c r="B2738" s="36" t="s">
        <v>401</v>
      </c>
      <c r="C2738" s="37"/>
      <c r="D2738" s="37"/>
      <c r="E2738" s="37"/>
    </row>
    <row r="2739" spans="1:5" ht="12.75" x14ac:dyDescent="0.2">
      <c r="A2739" s="36" t="s">
        <v>1965</v>
      </c>
      <c r="B2739" s="36" t="s">
        <v>402</v>
      </c>
      <c r="C2739" s="36" t="s">
        <v>1966</v>
      </c>
      <c r="D2739" s="37"/>
      <c r="E2739" s="37"/>
    </row>
    <row r="2740" spans="1:5" ht="12.75" x14ac:dyDescent="0.2">
      <c r="A2740" s="36" t="s">
        <v>1967</v>
      </c>
      <c r="B2740" s="37"/>
      <c r="C2740" s="37"/>
      <c r="D2740" s="37"/>
      <c r="E2740" s="37"/>
    </row>
    <row r="2741" spans="1:5" ht="12.75" x14ac:dyDescent="0.2">
      <c r="A2741" s="36" t="s">
        <v>1968</v>
      </c>
      <c r="B2741" s="37"/>
      <c r="C2741" s="37"/>
      <c r="D2741" s="37"/>
      <c r="E2741" s="37"/>
    </row>
    <row r="2742" spans="1:5" ht="12.75" x14ac:dyDescent="0.2">
      <c r="A2742" s="36" t="s">
        <v>1970</v>
      </c>
      <c r="B2742" s="37"/>
      <c r="C2742" s="37"/>
      <c r="D2742" s="37"/>
      <c r="E2742" s="37"/>
    </row>
    <row r="2743" spans="1:5" ht="12.75" x14ac:dyDescent="0.2">
      <c r="A2743" s="36" t="s">
        <v>1972</v>
      </c>
      <c r="B2743" s="37"/>
      <c r="C2743" s="37"/>
      <c r="D2743" s="37"/>
      <c r="E2743" s="37"/>
    </row>
    <row r="2744" spans="1:5" ht="12.75" x14ac:dyDescent="0.2">
      <c r="A2744" s="36" t="s">
        <v>1973</v>
      </c>
      <c r="B2744" s="37"/>
      <c r="C2744" s="37"/>
      <c r="D2744" s="37"/>
      <c r="E2744" s="37"/>
    </row>
    <row r="2745" spans="1:5" ht="12.75" x14ac:dyDescent="0.2">
      <c r="A2745" s="37"/>
      <c r="B2745" s="37"/>
      <c r="C2745" s="37"/>
      <c r="D2745" s="37"/>
      <c r="E2745" s="37"/>
    </row>
    <row r="2746" spans="1:5" ht="12.75" x14ac:dyDescent="0.2">
      <c r="A2746" s="36" t="s">
        <v>1974</v>
      </c>
      <c r="B2746" s="37"/>
      <c r="C2746" s="37"/>
      <c r="D2746" s="37"/>
      <c r="E2746" s="37"/>
    </row>
    <row r="2747" spans="1:5" ht="12.75" x14ac:dyDescent="0.2">
      <c r="A2747" s="37"/>
      <c r="B2747" s="36" t="s">
        <v>398</v>
      </c>
      <c r="C2747" s="37"/>
      <c r="D2747" s="37"/>
      <c r="E2747" s="37"/>
    </row>
    <row r="2748" spans="1:5" ht="12.75" x14ac:dyDescent="0.2">
      <c r="A2748" s="37"/>
      <c r="B2748" s="36" t="s">
        <v>399</v>
      </c>
      <c r="C2748" s="37"/>
      <c r="D2748" s="37"/>
      <c r="E2748" s="37"/>
    </row>
    <row r="2749" spans="1:5" ht="12.75" x14ac:dyDescent="0.2">
      <c r="A2749" s="37"/>
      <c r="B2749" s="36" t="s">
        <v>400</v>
      </c>
      <c r="C2749" s="36" t="s">
        <v>1974</v>
      </c>
      <c r="D2749" s="37"/>
      <c r="E2749" s="37"/>
    </row>
    <row r="2750" spans="1:5" ht="12.75" x14ac:dyDescent="0.2">
      <c r="A2750" s="37"/>
      <c r="B2750" s="36" t="s">
        <v>401</v>
      </c>
      <c r="C2750" s="37"/>
      <c r="D2750" s="37"/>
      <c r="E2750" s="37"/>
    </row>
    <row r="2751" spans="1:5" ht="12.75" x14ac:dyDescent="0.2">
      <c r="A2751" s="36" t="s">
        <v>1975</v>
      </c>
      <c r="B2751" s="36" t="s">
        <v>402</v>
      </c>
      <c r="C2751" s="36" t="s">
        <v>1976</v>
      </c>
      <c r="D2751" s="37"/>
      <c r="E2751" s="37"/>
    </row>
    <row r="2752" spans="1:5" ht="12.75" x14ac:dyDescent="0.2">
      <c r="A2752" s="36" t="s">
        <v>1977</v>
      </c>
      <c r="B2752" s="37"/>
      <c r="C2752" s="37"/>
      <c r="D2752" s="37"/>
      <c r="E2752" s="37"/>
    </row>
    <row r="2753" spans="1:5" ht="12.75" x14ac:dyDescent="0.2">
      <c r="A2753" s="36" t="s">
        <v>1978</v>
      </c>
      <c r="B2753" s="37"/>
      <c r="C2753" s="37"/>
      <c r="D2753" s="37"/>
      <c r="E2753" s="37"/>
    </row>
    <row r="2754" spans="1:5" ht="12.75" x14ac:dyDescent="0.2">
      <c r="A2754" s="36" t="s">
        <v>1979</v>
      </c>
      <c r="B2754" s="37"/>
      <c r="C2754" s="37"/>
      <c r="D2754" s="37"/>
      <c r="E2754" s="37"/>
    </row>
    <row r="2755" spans="1:5" ht="12.75" x14ac:dyDescent="0.2">
      <c r="A2755" s="36" t="s">
        <v>1980</v>
      </c>
      <c r="B2755" s="37"/>
      <c r="C2755" s="37"/>
      <c r="D2755" s="37"/>
      <c r="E2755" s="37"/>
    </row>
    <row r="2756" spans="1:5" ht="12.75" x14ac:dyDescent="0.2">
      <c r="A2756" s="37"/>
      <c r="B2756" s="36" t="s">
        <v>403</v>
      </c>
      <c r="C2756" s="36" t="s">
        <v>25</v>
      </c>
      <c r="D2756" s="36" t="s">
        <v>27</v>
      </c>
      <c r="E2756" s="37"/>
    </row>
    <row r="2757" spans="1:5" ht="12.75" x14ac:dyDescent="0.2">
      <c r="A2757" s="37"/>
      <c r="B2757" s="36" t="s">
        <v>403</v>
      </c>
      <c r="C2757" s="36" t="s">
        <v>30</v>
      </c>
      <c r="D2757" s="36" t="s">
        <v>31</v>
      </c>
      <c r="E2757" s="37"/>
    </row>
    <row r="2758" spans="1:5" ht="12.75" x14ac:dyDescent="0.2">
      <c r="A2758" s="37"/>
      <c r="B2758" s="36" t="s">
        <v>403</v>
      </c>
      <c r="C2758" s="36" t="s">
        <v>16</v>
      </c>
      <c r="D2758" s="36" t="s">
        <v>10</v>
      </c>
      <c r="E2758" s="37"/>
    </row>
    <row r="2759" spans="1:5" ht="12.75" x14ac:dyDescent="0.2">
      <c r="A2759" s="37"/>
      <c r="B2759" s="37"/>
      <c r="C2759" s="37"/>
      <c r="D2759" s="37"/>
      <c r="E2759" s="37"/>
    </row>
    <row r="2760" spans="1:5" ht="12.75" x14ac:dyDescent="0.2">
      <c r="A2760" s="36" t="s">
        <v>1981</v>
      </c>
      <c r="B2760" s="37"/>
      <c r="C2760" s="37"/>
      <c r="D2760" s="37"/>
      <c r="E2760" s="37"/>
    </row>
    <row r="2761" spans="1:5" ht="12.75" x14ac:dyDescent="0.2">
      <c r="A2761" s="37"/>
      <c r="B2761" s="36" t="s">
        <v>398</v>
      </c>
      <c r="C2761" s="37"/>
      <c r="D2761" s="37"/>
      <c r="E2761" s="37"/>
    </row>
    <row r="2762" spans="1:5" ht="12.75" x14ac:dyDescent="0.2">
      <c r="A2762" s="37"/>
      <c r="B2762" s="36" t="s">
        <v>399</v>
      </c>
      <c r="C2762" s="37"/>
      <c r="D2762" s="37"/>
      <c r="E2762" s="37"/>
    </row>
    <row r="2763" spans="1:5" ht="12.75" x14ac:dyDescent="0.2">
      <c r="A2763" s="37"/>
      <c r="B2763" s="36" t="s">
        <v>400</v>
      </c>
      <c r="C2763" s="36" t="s">
        <v>1981</v>
      </c>
      <c r="D2763" s="37"/>
      <c r="E2763" s="37"/>
    </row>
    <row r="2764" spans="1:5" ht="12.75" x14ac:dyDescent="0.2">
      <c r="A2764" s="37"/>
      <c r="B2764" s="36" t="s">
        <v>401</v>
      </c>
      <c r="C2764" s="37"/>
      <c r="D2764" s="37"/>
      <c r="E2764" s="37"/>
    </row>
    <row r="2765" spans="1:5" ht="12.75" x14ac:dyDescent="0.2">
      <c r="A2765" s="36" t="s">
        <v>1982</v>
      </c>
      <c r="B2765" s="36" t="s">
        <v>402</v>
      </c>
      <c r="C2765" s="36" t="s">
        <v>1983</v>
      </c>
      <c r="D2765" s="37"/>
      <c r="E2765" s="37"/>
    </row>
    <row r="2766" spans="1:5" ht="12.75" x14ac:dyDescent="0.2">
      <c r="A2766" s="36" t="s">
        <v>1984</v>
      </c>
      <c r="B2766" s="37"/>
      <c r="C2766" s="37"/>
      <c r="D2766" s="37"/>
      <c r="E2766" s="37"/>
    </row>
    <row r="2767" spans="1:5" ht="12.75" x14ac:dyDescent="0.2">
      <c r="A2767" s="36" t="s">
        <v>1985</v>
      </c>
      <c r="B2767" s="37"/>
      <c r="C2767" s="37"/>
      <c r="D2767" s="37"/>
      <c r="E2767" s="37"/>
    </row>
    <row r="2768" spans="1:5" ht="12.75" x14ac:dyDescent="0.2">
      <c r="A2768" s="36" t="s">
        <v>1986</v>
      </c>
      <c r="B2768" s="37"/>
      <c r="C2768" s="37"/>
      <c r="D2768" s="37"/>
      <c r="E2768" s="37"/>
    </row>
    <row r="2769" spans="1:5" ht="12.75" x14ac:dyDescent="0.2">
      <c r="A2769" s="36" t="s">
        <v>1987</v>
      </c>
      <c r="B2769" s="37"/>
      <c r="C2769" s="37"/>
      <c r="D2769" s="37"/>
      <c r="E2769" s="37"/>
    </row>
    <row r="2770" spans="1:5" ht="12.75" x14ac:dyDescent="0.2">
      <c r="A2770" s="36" t="s">
        <v>1988</v>
      </c>
      <c r="B2770" s="37"/>
      <c r="C2770" s="37"/>
      <c r="D2770" s="37"/>
      <c r="E2770" s="37"/>
    </row>
    <row r="2771" spans="1:5" ht="12.75" x14ac:dyDescent="0.2">
      <c r="A2771" s="36" t="s">
        <v>1989</v>
      </c>
      <c r="B2771" s="37"/>
      <c r="C2771" s="37"/>
      <c r="D2771" s="37"/>
      <c r="E2771" s="37"/>
    </row>
    <row r="2772" spans="1:5" ht="12.75" x14ac:dyDescent="0.2">
      <c r="A2772" s="36" t="s">
        <v>1990</v>
      </c>
      <c r="B2772" s="37"/>
      <c r="C2772" s="37"/>
      <c r="D2772" s="37"/>
      <c r="E2772" s="37"/>
    </row>
    <row r="2773" spans="1:5" ht="12.75" x14ac:dyDescent="0.2">
      <c r="A2773" s="36" t="s">
        <v>1991</v>
      </c>
      <c r="B2773" s="37"/>
      <c r="C2773" s="37"/>
      <c r="D2773" s="37"/>
      <c r="E2773" s="37"/>
    </row>
    <row r="2774" spans="1:5" ht="12.75" x14ac:dyDescent="0.2">
      <c r="A2774" s="36" t="s">
        <v>1992</v>
      </c>
      <c r="B2774" s="37"/>
      <c r="C2774" s="37"/>
      <c r="D2774" s="37"/>
      <c r="E2774" s="37"/>
    </row>
    <row r="2775" spans="1:5" ht="12.75" x14ac:dyDescent="0.2">
      <c r="A2775" s="37"/>
      <c r="B2775" s="37"/>
      <c r="C2775" s="37"/>
      <c r="D2775" s="37"/>
      <c r="E2775" s="37"/>
    </row>
    <row r="2776" spans="1:5" ht="12.75" x14ac:dyDescent="0.2">
      <c r="A2776" s="36" t="s">
        <v>1993</v>
      </c>
      <c r="B2776" s="37"/>
      <c r="C2776" s="37"/>
      <c r="D2776" s="37"/>
      <c r="E2776" s="37"/>
    </row>
    <row r="2777" spans="1:5" ht="12.75" x14ac:dyDescent="0.2">
      <c r="A2777" s="37"/>
      <c r="B2777" s="36" t="s">
        <v>398</v>
      </c>
      <c r="C2777" s="37"/>
      <c r="D2777" s="37"/>
      <c r="E2777" s="37"/>
    </row>
    <row r="2778" spans="1:5" ht="12.75" x14ac:dyDescent="0.2">
      <c r="A2778" s="37"/>
      <c r="B2778" s="36" t="s">
        <v>399</v>
      </c>
      <c r="C2778" s="37"/>
      <c r="D2778" s="37"/>
      <c r="E2778" s="37"/>
    </row>
    <row r="2779" spans="1:5" ht="12.75" x14ac:dyDescent="0.2">
      <c r="A2779" s="37"/>
      <c r="B2779" s="36" t="s">
        <v>400</v>
      </c>
      <c r="C2779" s="36" t="s">
        <v>1993</v>
      </c>
      <c r="D2779" s="37"/>
      <c r="E2779" s="37"/>
    </row>
    <row r="2780" spans="1:5" ht="12.75" x14ac:dyDescent="0.2">
      <c r="A2780" s="37"/>
      <c r="B2780" s="36" t="s">
        <v>401</v>
      </c>
      <c r="C2780" s="37"/>
      <c r="D2780" s="37"/>
      <c r="E2780" s="37"/>
    </row>
    <row r="2781" spans="1:5" ht="12.75" x14ac:dyDescent="0.2">
      <c r="A2781" s="36" t="s">
        <v>1994</v>
      </c>
      <c r="B2781" s="36" t="s">
        <v>402</v>
      </c>
      <c r="C2781" s="36" t="s">
        <v>1995</v>
      </c>
      <c r="D2781" s="37"/>
      <c r="E2781" s="37"/>
    </row>
    <row r="2782" spans="1:5" ht="12.75" x14ac:dyDescent="0.2">
      <c r="A2782" s="36" t="s">
        <v>1996</v>
      </c>
      <c r="B2782" s="37"/>
      <c r="C2782" s="37"/>
      <c r="D2782" s="37"/>
      <c r="E2782" s="37"/>
    </row>
    <row r="2783" spans="1:5" ht="12.75" x14ac:dyDescent="0.2">
      <c r="A2783" s="36" t="s">
        <v>1997</v>
      </c>
      <c r="B2783" s="37"/>
      <c r="C2783" s="37"/>
      <c r="D2783" s="37"/>
      <c r="E2783" s="37"/>
    </row>
    <row r="2784" spans="1:5" ht="12.75" x14ac:dyDescent="0.2">
      <c r="A2784" s="36" t="s">
        <v>1998</v>
      </c>
      <c r="B2784" s="37"/>
      <c r="C2784" s="37"/>
      <c r="D2784" s="37"/>
      <c r="E2784" s="37"/>
    </row>
    <row r="2785" spans="1:5" ht="12.75" x14ac:dyDescent="0.2">
      <c r="A2785" s="36" t="s">
        <v>1999</v>
      </c>
      <c r="B2785" s="37"/>
      <c r="C2785" s="37"/>
      <c r="D2785" s="37"/>
      <c r="E2785" s="37"/>
    </row>
    <row r="2786" spans="1:5" ht="12.75" x14ac:dyDescent="0.2">
      <c r="A2786" s="36" t="s">
        <v>2000</v>
      </c>
      <c r="B2786" s="37"/>
      <c r="C2786" s="37"/>
      <c r="D2786" s="37"/>
      <c r="E2786" s="37"/>
    </row>
    <row r="2787" spans="1:5" ht="12.75" x14ac:dyDescent="0.2">
      <c r="A2787" s="36" t="s">
        <v>2001</v>
      </c>
      <c r="B2787" s="37"/>
      <c r="C2787" s="37"/>
      <c r="D2787" s="37"/>
      <c r="E2787" s="37"/>
    </row>
    <row r="2788" spans="1:5" ht="12.75" x14ac:dyDescent="0.2">
      <c r="A2788" s="36" t="s">
        <v>2002</v>
      </c>
      <c r="B2788" s="37"/>
      <c r="C2788" s="37"/>
      <c r="D2788" s="37"/>
      <c r="E2788" s="37"/>
    </row>
    <row r="2789" spans="1:5" ht="12.75" x14ac:dyDescent="0.2">
      <c r="A2789" s="36" t="s">
        <v>2003</v>
      </c>
      <c r="B2789" s="37"/>
      <c r="C2789" s="37"/>
      <c r="D2789" s="37"/>
      <c r="E2789" s="37"/>
    </row>
    <row r="2790" spans="1:5" ht="12.75" x14ac:dyDescent="0.2">
      <c r="A2790" s="36" t="s">
        <v>2004</v>
      </c>
      <c r="B2790" s="37"/>
      <c r="C2790" s="37"/>
      <c r="D2790" s="37"/>
      <c r="E2790" s="37"/>
    </row>
    <row r="2791" spans="1:5" ht="12.75" x14ac:dyDescent="0.2">
      <c r="A2791" s="37"/>
      <c r="B2791" s="37"/>
      <c r="C2791" s="37"/>
      <c r="D2791" s="37"/>
      <c r="E2791" s="37"/>
    </row>
    <row r="2792" spans="1:5" ht="12.75" x14ac:dyDescent="0.2">
      <c r="A2792" s="36" t="s">
        <v>2005</v>
      </c>
      <c r="B2792" s="37"/>
      <c r="C2792" s="37"/>
      <c r="D2792" s="37"/>
      <c r="E2792" s="37"/>
    </row>
    <row r="2793" spans="1:5" ht="12.75" x14ac:dyDescent="0.2">
      <c r="A2793" s="37"/>
      <c r="B2793" s="36" t="s">
        <v>398</v>
      </c>
      <c r="C2793" s="37"/>
      <c r="D2793" s="37"/>
      <c r="E2793" s="37"/>
    </row>
    <row r="2794" spans="1:5" ht="12.75" x14ac:dyDescent="0.2">
      <c r="A2794" s="37"/>
      <c r="B2794" s="36" t="s">
        <v>399</v>
      </c>
      <c r="C2794" s="37"/>
      <c r="D2794" s="37"/>
      <c r="E2794" s="37"/>
    </row>
    <row r="2795" spans="1:5" ht="12.75" x14ac:dyDescent="0.2">
      <c r="A2795" s="37"/>
      <c r="B2795" s="36" t="s">
        <v>400</v>
      </c>
      <c r="C2795" s="36" t="s">
        <v>2005</v>
      </c>
      <c r="D2795" s="37"/>
      <c r="E2795" s="37"/>
    </row>
    <row r="2796" spans="1:5" ht="12.75" x14ac:dyDescent="0.2">
      <c r="A2796" s="37"/>
      <c r="B2796" s="36" t="s">
        <v>401</v>
      </c>
      <c r="C2796" s="37"/>
      <c r="D2796" s="37"/>
      <c r="E2796" s="37"/>
    </row>
    <row r="2797" spans="1:5" ht="12.75" x14ac:dyDescent="0.2">
      <c r="A2797" s="36" t="s">
        <v>2006</v>
      </c>
      <c r="B2797" s="36" t="s">
        <v>402</v>
      </c>
      <c r="C2797" s="36" t="s">
        <v>2007</v>
      </c>
      <c r="D2797" s="37"/>
      <c r="E2797" s="37"/>
    </row>
    <row r="2798" spans="1:5" ht="12.75" x14ac:dyDescent="0.2">
      <c r="A2798" s="36" t="s">
        <v>2008</v>
      </c>
      <c r="B2798" s="37"/>
      <c r="C2798" s="37"/>
      <c r="D2798" s="37"/>
      <c r="E2798" s="37"/>
    </row>
    <row r="2799" spans="1:5" ht="12.75" x14ac:dyDescent="0.2">
      <c r="A2799" s="36" t="s">
        <v>2009</v>
      </c>
      <c r="B2799" s="37"/>
      <c r="C2799" s="37"/>
      <c r="D2799" s="37"/>
      <c r="E2799" s="37"/>
    </row>
    <row r="2800" spans="1:5" ht="12.75" x14ac:dyDescent="0.2">
      <c r="A2800" s="36" t="s">
        <v>2010</v>
      </c>
      <c r="B2800" s="37"/>
      <c r="C2800" s="37"/>
      <c r="D2800" s="37"/>
      <c r="E2800" s="37"/>
    </row>
    <row r="2801" spans="1:5" ht="12.75" x14ac:dyDescent="0.2">
      <c r="A2801" s="36" t="s">
        <v>2011</v>
      </c>
      <c r="B2801" s="37"/>
      <c r="C2801" s="37"/>
      <c r="D2801" s="37"/>
      <c r="E2801" s="37"/>
    </row>
    <row r="2802" spans="1:5" ht="12.75" x14ac:dyDescent="0.2">
      <c r="A2802" s="36" t="s">
        <v>2012</v>
      </c>
      <c r="B2802" s="37"/>
      <c r="C2802" s="37"/>
      <c r="D2802" s="37"/>
      <c r="E2802" s="37"/>
    </row>
    <row r="2803" spans="1:5" ht="12.75" x14ac:dyDescent="0.2">
      <c r="A2803" s="37"/>
      <c r="B2803" s="37"/>
      <c r="C2803" s="37"/>
      <c r="D2803" s="37"/>
      <c r="E2803" s="37"/>
    </row>
    <row r="2804" spans="1:5" ht="12.75" x14ac:dyDescent="0.2">
      <c r="A2804" s="36" t="s">
        <v>2013</v>
      </c>
      <c r="B2804" s="37"/>
      <c r="C2804" s="37"/>
      <c r="D2804" s="37"/>
      <c r="E2804" s="37"/>
    </row>
    <row r="2805" spans="1:5" ht="12.75" x14ac:dyDescent="0.2">
      <c r="A2805" s="37"/>
      <c r="B2805" s="36" t="s">
        <v>398</v>
      </c>
      <c r="C2805" s="37"/>
      <c r="D2805" s="37"/>
      <c r="E2805" s="37"/>
    </row>
    <row r="2806" spans="1:5" ht="12.75" x14ac:dyDescent="0.2">
      <c r="A2806" s="37"/>
      <c r="B2806" s="36" t="s">
        <v>399</v>
      </c>
      <c r="C2806" s="37"/>
      <c r="D2806" s="37"/>
      <c r="E2806" s="37"/>
    </row>
    <row r="2807" spans="1:5" ht="12.75" x14ac:dyDescent="0.2">
      <c r="A2807" s="37"/>
      <c r="B2807" s="36" t="s">
        <v>400</v>
      </c>
      <c r="C2807" s="36" t="s">
        <v>2013</v>
      </c>
      <c r="D2807" s="37"/>
      <c r="E2807" s="37"/>
    </row>
    <row r="2808" spans="1:5" ht="12.75" x14ac:dyDescent="0.2">
      <c r="A2808" s="37"/>
      <c r="B2808" s="36" t="s">
        <v>401</v>
      </c>
      <c r="C2808" s="37"/>
      <c r="D2808" s="37"/>
      <c r="E2808" s="37"/>
    </row>
    <row r="2809" spans="1:5" ht="12.75" x14ac:dyDescent="0.2">
      <c r="A2809" s="36" t="s">
        <v>2014</v>
      </c>
      <c r="B2809" s="36" t="s">
        <v>402</v>
      </c>
      <c r="C2809" s="36" t="s">
        <v>2015</v>
      </c>
      <c r="D2809" s="37"/>
      <c r="E2809" s="37"/>
    </row>
    <row r="2810" spans="1:5" ht="12.75" x14ac:dyDescent="0.2">
      <c r="A2810" s="36" t="s">
        <v>2016</v>
      </c>
      <c r="B2810" s="37"/>
      <c r="C2810" s="37"/>
      <c r="D2810" s="37"/>
      <c r="E2810" s="37"/>
    </row>
    <row r="2811" spans="1:5" ht="12.75" x14ac:dyDescent="0.2">
      <c r="A2811" s="36" t="s">
        <v>2017</v>
      </c>
      <c r="B2811" s="37"/>
      <c r="C2811" s="37"/>
      <c r="D2811" s="37"/>
      <c r="E2811" s="37"/>
    </row>
    <row r="2812" spans="1:5" ht="12.75" x14ac:dyDescent="0.2">
      <c r="A2812" s="36" t="s">
        <v>2018</v>
      </c>
      <c r="B2812" s="37"/>
      <c r="C2812" s="37"/>
      <c r="D2812" s="37"/>
      <c r="E2812" s="37"/>
    </row>
    <row r="2813" spans="1:5" ht="12.75" x14ac:dyDescent="0.2">
      <c r="A2813" s="36" t="s">
        <v>2019</v>
      </c>
      <c r="B2813" s="37"/>
      <c r="C2813" s="37"/>
      <c r="D2813" s="37"/>
      <c r="E2813" s="37"/>
    </row>
    <row r="2814" spans="1:5" ht="12.75" x14ac:dyDescent="0.2">
      <c r="A2814" s="37"/>
      <c r="B2814" s="36" t="s">
        <v>403</v>
      </c>
      <c r="C2814" s="36" t="s">
        <v>16</v>
      </c>
      <c r="D2814" s="36" t="s">
        <v>10</v>
      </c>
      <c r="E2814" s="37"/>
    </row>
    <row r="2815" spans="1:5" ht="12.75" x14ac:dyDescent="0.2">
      <c r="A2815" s="37"/>
      <c r="B2815" s="37"/>
      <c r="C2815" s="37"/>
      <c r="D2815" s="37"/>
      <c r="E2815" s="37"/>
    </row>
    <row r="2816" spans="1:5" ht="12.75" x14ac:dyDescent="0.2">
      <c r="A2816" s="36" t="s">
        <v>2020</v>
      </c>
      <c r="B2816" s="37"/>
      <c r="C2816" s="37"/>
      <c r="D2816" s="37"/>
      <c r="E2816" s="37"/>
    </row>
    <row r="2817" spans="1:5" ht="12.75" x14ac:dyDescent="0.2">
      <c r="A2817" s="37"/>
      <c r="B2817" s="36" t="s">
        <v>398</v>
      </c>
      <c r="C2817" s="37"/>
      <c r="D2817" s="37"/>
      <c r="E2817" s="37"/>
    </row>
    <row r="2818" spans="1:5" ht="12.75" x14ac:dyDescent="0.2">
      <c r="A2818" s="37"/>
      <c r="B2818" s="36" t="s">
        <v>399</v>
      </c>
      <c r="C2818" s="37"/>
      <c r="D2818" s="37"/>
      <c r="E2818" s="37"/>
    </row>
    <row r="2819" spans="1:5" ht="12.75" x14ac:dyDescent="0.2">
      <c r="A2819" s="37"/>
      <c r="B2819" s="36" t="s">
        <v>400</v>
      </c>
      <c r="C2819" s="36" t="s">
        <v>2020</v>
      </c>
      <c r="D2819" s="37"/>
      <c r="E2819" s="37"/>
    </row>
    <row r="2820" spans="1:5" ht="12.75" x14ac:dyDescent="0.2">
      <c r="A2820" s="37"/>
      <c r="B2820" s="36" t="s">
        <v>401</v>
      </c>
      <c r="C2820" s="37"/>
      <c r="D2820" s="37"/>
      <c r="E2820" s="37"/>
    </row>
    <row r="2821" spans="1:5" ht="51" x14ac:dyDescent="0.2">
      <c r="A2821" s="36" t="s">
        <v>2021</v>
      </c>
      <c r="B2821" s="36" t="s">
        <v>402</v>
      </c>
      <c r="C2821" s="36" t="s">
        <v>2022</v>
      </c>
      <c r="D2821" s="37"/>
      <c r="E2821" s="37"/>
    </row>
    <row r="2822" spans="1:5" ht="12.75" x14ac:dyDescent="0.2">
      <c r="A2822" s="36" t="s">
        <v>2023</v>
      </c>
      <c r="B2822" s="37"/>
      <c r="C2822" s="37"/>
      <c r="D2822" s="37"/>
      <c r="E2822" s="37"/>
    </row>
    <row r="2823" spans="1:5" ht="12.75" x14ac:dyDescent="0.2">
      <c r="A2823" s="36" t="s">
        <v>2024</v>
      </c>
      <c r="B2823" s="37"/>
      <c r="C2823" s="37"/>
      <c r="D2823" s="37"/>
      <c r="E2823" s="37"/>
    </row>
    <row r="2824" spans="1:5" ht="12.75" x14ac:dyDescent="0.2">
      <c r="A2824" s="36" t="s">
        <v>2025</v>
      </c>
      <c r="B2824" s="37"/>
      <c r="C2824" s="37"/>
      <c r="D2824" s="37"/>
      <c r="E2824" s="37"/>
    </row>
    <row r="2825" spans="1:5" ht="12.75" x14ac:dyDescent="0.2">
      <c r="A2825" s="36" t="s">
        <v>2026</v>
      </c>
      <c r="B2825" s="37"/>
      <c r="C2825" s="37"/>
      <c r="D2825" s="37"/>
      <c r="E2825" s="37"/>
    </row>
    <row r="2826" spans="1:5" ht="12.75" x14ac:dyDescent="0.2">
      <c r="A2826" s="36" t="s">
        <v>2027</v>
      </c>
      <c r="B2826" s="37"/>
      <c r="C2826" s="37"/>
      <c r="D2826" s="37"/>
      <c r="E2826" s="37"/>
    </row>
    <row r="2827" spans="1:5" ht="12.75" x14ac:dyDescent="0.2">
      <c r="A2827" s="36" t="s">
        <v>2028</v>
      </c>
      <c r="B2827" s="37"/>
      <c r="C2827" s="37"/>
      <c r="D2827" s="37"/>
      <c r="E2827" s="37"/>
    </row>
    <row r="2828" spans="1:5" ht="12.75" x14ac:dyDescent="0.2">
      <c r="A2828" s="36" t="s">
        <v>2029</v>
      </c>
      <c r="B2828" s="37"/>
      <c r="C2828" s="37"/>
      <c r="D2828" s="37"/>
      <c r="E2828" s="37"/>
    </row>
    <row r="2829" spans="1:5" ht="12.75" x14ac:dyDescent="0.2">
      <c r="A2829" s="37"/>
      <c r="B2829" s="37"/>
      <c r="C2829" s="37"/>
      <c r="D2829" s="37"/>
      <c r="E2829" s="37"/>
    </row>
    <row r="2830" spans="1:5" ht="12.75" x14ac:dyDescent="0.2">
      <c r="A2830" s="36" t="s">
        <v>2030</v>
      </c>
      <c r="B2830" s="37"/>
      <c r="C2830" s="37"/>
      <c r="D2830" s="37"/>
      <c r="E2830" s="37"/>
    </row>
    <row r="2831" spans="1:5" ht="12.75" x14ac:dyDescent="0.2">
      <c r="A2831" s="37"/>
      <c r="B2831" s="36" t="s">
        <v>398</v>
      </c>
      <c r="C2831" s="37"/>
      <c r="D2831" s="37"/>
      <c r="E2831" s="37"/>
    </row>
    <row r="2832" spans="1:5" ht="12.75" x14ac:dyDescent="0.2">
      <c r="A2832" s="37"/>
      <c r="B2832" s="36" t="s">
        <v>399</v>
      </c>
      <c r="C2832" s="37"/>
      <c r="D2832" s="37"/>
      <c r="E2832" s="37"/>
    </row>
    <row r="2833" spans="1:5" ht="12.75" x14ac:dyDescent="0.2">
      <c r="A2833" s="37"/>
      <c r="B2833" s="36" t="s">
        <v>400</v>
      </c>
      <c r="C2833" s="36" t="s">
        <v>2030</v>
      </c>
      <c r="D2833" s="37"/>
      <c r="E2833" s="37"/>
    </row>
    <row r="2834" spans="1:5" ht="12.75" x14ac:dyDescent="0.2">
      <c r="A2834" s="37"/>
      <c r="B2834" s="36" t="s">
        <v>401</v>
      </c>
      <c r="C2834" s="37"/>
      <c r="D2834" s="37"/>
      <c r="E2834" s="37"/>
    </row>
    <row r="2835" spans="1:5" ht="12.75" x14ac:dyDescent="0.2">
      <c r="A2835" s="36" t="s">
        <v>2031</v>
      </c>
      <c r="B2835" s="36" t="s">
        <v>402</v>
      </c>
      <c r="C2835" s="36" t="s">
        <v>2032</v>
      </c>
      <c r="D2835" s="37"/>
      <c r="E2835" s="37"/>
    </row>
    <row r="2836" spans="1:5" ht="12.75" x14ac:dyDescent="0.2">
      <c r="A2836" s="36" t="s">
        <v>2033</v>
      </c>
      <c r="B2836" s="37"/>
      <c r="C2836" s="37"/>
      <c r="D2836" s="37"/>
      <c r="E2836" s="37"/>
    </row>
    <row r="2837" spans="1:5" ht="12.75" x14ac:dyDescent="0.2">
      <c r="A2837" s="37"/>
      <c r="B2837" s="37"/>
      <c r="C2837" s="37"/>
      <c r="D2837" s="37"/>
      <c r="E2837" s="37"/>
    </row>
    <row r="2838" spans="1:5" ht="12.75" x14ac:dyDescent="0.2">
      <c r="A2838" s="36" t="s">
        <v>2034</v>
      </c>
      <c r="B2838" s="37"/>
      <c r="C2838" s="37"/>
      <c r="D2838" s="37"/>
      <c r="E2838" s="37"/>
    </row>
    <row r="2839" spans="1:5" ht="12.75" x14ac:dyDescent="0.2">
      <c r="A2839" s="37"/>
      <c r="B2839" s="36" t="s">
        <v>398</v>
      </c>
      <c r="C2839" s="37"/>
      <c r="D2839" s="37"/>
      <c r="E2839" s="37"/>
    </row>
    <row r="2840" spans="1:5" ht="12.75" x14ac:dyDescent="0.2">
      <c r="A2840" s="37"/>
      <c r="B2840" s="36" t="s">
        <v>399</v>
      </c>
      <c r="C2840" s="37"/>
      <c r="D2840" s="37"/>
      <c r="E2840" s="37"/>
    </row>
    <row r="2841" spans="1:5" ht="12.75" x14ac:dyDescent="0.2">
      <c r="A2841" s="37"/>
      <c r="B2841" s="36" t="s">
        <v>400</v>
      </c>
      <c r="C2841" s="36" t="s">
        <v>2034</v>
      </c>
      <c r="D2841" s="37"/>
      <c r="E2841" s="37"/>
    </row>
    <row r="2842" spans="1:5" ht="12.75" x14ac:dyDescent="0.2">
      <c r="A2842" s="37"/>
      <c r="B2842" s="36" t="s">
        <v>401</v>
      </c>
      <c r="C2842" s="37"/>
      <c r="D2842" s="37"/>
      <c r="E2842" s="37"/>
    </row>
    <row r="2843" spans="1:5" ht="38.25" x14ac:dyDescent="0.2">
      <c r="A2843" s="36" t="s">
        <v>2035</v>
      </c>
      <c r="B2843" s="36" t="s">
        <v>402</v>
      </c>
      <c r="C2843" s="36" t="s">
        <v>2036</v>
      </c>
      <c r="D2843" s="37"/>
      <c r="E2843" s="37"/>
    </row>
    <row r="2844" spans="1:5" ht="12.75" x14ac:dyDescent="0.2">
      <c r="A2844" s="36" t="s">
        <v>2037</v>
      </c>
      <c r="B2844" s="37"/>
      <c r="C2844" s="37"/>
      <c r="D2844" s="37"/>
      <c r="E2844" s="37"/>
    </row>
    <row r="2845" spans="1:5" ht="12.75" x14ac:dyDescent="0.2">
      <c r="A2845" s="36" t="s">
        <v>2038</v>
      </c>
      <c r="B2845" s="37"/>
      <c r="C2845" s="37"/>
      <c r="D2845" s="37"/>
      <c r="E2845" s="37"/>
    </row>
    <row r="2846" spans="1:5" ht="12.75" x14ac:dyDescent="0.2">
      <c r="A2846" s="36" t="s">
        <v>2039</v>
      </c>
      <c r="B2846" s="37"/>
      <c r="C2846" s="37"/>
      <c r="D2846" s="37"/>
      <c r="E2846" s="37"/>
    </row>
    <row r="2847" spans="1:5" ht="12.75" x14ac:dyDescent="0.2">
      <c r="A2847" s="36" t="s">
        <v>2040</v>
      </c>
      <c r="B2847" s="37"/>
      <c r="C2847" s="37"/>
      <c r="D2847" s="37"/>
      <c r="E2847" s="37"/>
    </row>
    <row r="2848" spans="1:5" ht="12.75" x14ac:dyDescent="0.2">
      <c r="A2848" s="36" t="s">
        <v>2041</v>
      </c>
      <c r="B2848" s="37"/>
      <c r="C2848" s="37"/>
      <c r="D2848" s="37"/>
      <c r="E2848" s="37"/>
    </row>
    <row r="2849" spans="1:5" ht="12.75" x14ac:dyDescent="0.2">
      <c r="A2849" s="36" t="s">
        <v>2042</v>
      </c>
      <c r="B2849" s="37"/>
      <c r="C2849" s="37"/>
      <c r="D2849" s="37"/>
      <c r="E2849" s="37"/>
    </row>
    <row r="2850" spans="1:5" ht="12.75" x14ac:dyDescent="0.2">
      <c r="A2850" s="36" t="s">
        <v>2043</v>
      </c>
      <c r="B2850" s="37"/>
      <c r="C2850" s="37"/>
      <c r="D2850" s="37"/>
      <c r="E2850" s="37"/>
    </row>
    <row r="2851" spans="1:5" ht="12.75" x14ac:dyDescent="0.2">
      <c r="A2851" s="36" t="s">
        <v>2044</v>
      </c>
      <c r="B2851" s="37"/>
      <c r="C2851" s="37"/>
      <c r="D2851" s="37"/>
      <c r="E2851" s="37"/>
    </row>
    <row r="2852" spans="1:5" ht="12.75" x14ac:dyDescent="0.2">
      <c r="A2852" s="36" t="s">
        <v>2045</v>
      </c>
      <c r="B2852" s="37"/>
      <c r="C2852" s="37"/>
      <c r="D2852" s="37"/>
      <c r="E2852" s="37"/>
    </row>
    <row r="2853" spans="1:5" ht="12.75" x14ac:dyDescent="0.2">
      <c r="A2853" s="37"/>
      <c r="B2853" s="37"/>
      <c r="C2853" s="37"/>
      <c r="D2853" s="37"/>
      <c r="E2853" s="37"/>
    </row>
    <row r="2854" spans="1:5" ht="12.75" x14ac:dyDescent="0.2">
      <c r="A2854" s="36" t="s">
        <v>2046</v>
      </c>
      <c r="B2854" s="37"/>
      <c r="C2854" s="37"/>
      <c r="D2854" s="37"/>
      <c r="E2854" s="37"/>
    </row>
    <row r="2855" spans="1:5" ht="12.75" x14ac:dyDescent="0.2">
      <c r="A2855" s="37"/>
      <c r="B2855" s="36" t="s">
        <v>398</v>
      </c>
      <c r="C2855" s="37"/>
      <c r="D2855" s="37"/>
      <c r="E2855" s="37"/>
    </row>
    <row r="2856" spans="1:5" ht="12.75" x14ac:dyDescent="0.2">
      <c r="A2856" s="37"/>
      <c r="B2856" s="36" t="s">
        <v>399</v>
      </c>
      <c r="C2856" s="37"/>
      <c r="D2856" s="37"/>
      <c r="E2856" s="37"/>
    </row>
    <row r="2857" spans="1:5" ht="12.75" x14ac:dyDescent="0.2">
      <c r="A2857" s="37"/>
      <c r="B2857" s="36" t="s">
        <v>400</v>
      </c>
      <c r="C2857" s="36" t="s">
        <v>2046</v>
      </c>
      <c r="D2857" s="37"/>
      <c r="E2857" s="37"/>
    </row>
    <row r="2858" spans="1:5" ht="12.75" x14ac:dyDescent="0.2">
      <c r="A2858" s="37"/>
      <c r="B2858" s="36" t="s">
        <v>401</v>
      </c>
      <c r="C2858" s="37"/>
      <c r="D2858" s="37"/>
      <c r="E2858" s="37"/>
    </row>
    <row r="2859" spans="1:5" ht="12.75" x14ac:dyDescent="0.2">
      <c r="A2859" s="36" t="s">
        <v>2047</v>
      </c>
      <c r="B2859" s="36" t="s">
        <v>402</v>
      </c>
      <c r="C2859" s="36" t="s">
        <v>2048</v>
      </c>
      <c r="D2859" s="37"/>
      <c r="E2859" s="37"/>
    </row>
    <row r="2860" spans="1:5" ht="12.75" x14ac:dyDescent="0.2">
      <c r="A2860" s="36" t="s">
        <v>2049</v>
      </c>
      <c r="B2860" s="37"/>
      <c r="C2860" s="37"/>
      <c r="D2860" s="37"/>
      <c r="E2860" s="37"/>
    </row>
    <row r="2861" spans="1:5" ht="12.75" x14ac:dyDescent="0.2">
      <c r="A2861" s="36" t="s">
        <v>2050</v>
      </c>
      <c r="B2861" s="37"/>
      <c r="C2861" s="37"/>
      <c r="D2861" s="37"/>
      <c r="E2861" s="37"/>
    </row>
    <row r="2862" spans="1:5" ht="12.75" x14ac:dyDescent="0.2">
      <c r="A2862" s="36" t="s">
        <v>2051</v>
      </c>
      <c r="B2862" s="37"/>
      <c r="C2862" s="37"/>
      <c r="D2862" s="37"/>
      <c r="E2862" s="37"/>
    </row>
    <row r="2863" spans="1:5" ht="12.75" x14ac:dyDescent="0.2">
      <c r="A2863" s="36" t="s">
        <v>2052</v>
      </c>
      <c r="B2863" s="37"/>
      <c r="C2863" s="37"/>
      <c r="D2863" s="37"/>
      <c r="E2863" s="37"/>
    </row>
    <row r="2864" spans="1:5" ht="12.75" x14ac:dyDescent="0.2">
      <c r="A2864" s="36" t="s">
        <v>2053</v>
      </c>
      <c r="B2864" s="37"/>
      <c r="C2864" s="37"/>
      <c r="D2864" s="37"/>
      <c r="E2864" s="37"/>
    </row>
    <row r="2865" spans="1:5" ht="12.75" x14ac:dyDescent="0.2">
      <c r="A2865" s="36" t="s">
        <v>2054</v>
      </c>
      <c r="B2865" s="37"/>
      <c r="C2865" s="37"/>
      <c r="D2865" s="37"/>
      <c r="E2865" s="37"/>
    </row>
    <row r="2866" spans="1:5" ht="12.75" x14ac:dyDescent="0.2">
      <c r="A2866" s="36" t="s">
        <v>2055</v>
      </c>
      <c r="B2866" s="37"/>
      <c r="C2866" s="37"/>
      <c r="D2866" s="37"/>
      <c r="E2866" s="37"/>
    </row>
    <row r="2867" spans="1:5" ht="12.75" x14ac:dyDescent="0.2">
      <c r="A2867" s="36" t="s">
        <v>2056</v>
      </c>
      <c r="B2867" s="37"/>
      <c r="C2867" s="37"/>
      <c r="D2867" s="37"/>
      <c r="E2867" s="37"/>
    </row>
    <row r="2868" spans="1:5" ht="12.75" x14ac:dyDescent="0.2">
      <c r="A2868" s="37"/>
      <c r="B2868" s="37"/>
      <c r="C2868" s="37"/>
      <c r="D2868" s="37"/>
      <c r="E2868" s="37"/>
    </row>
    <row r="2869" spans="1:5" ht="12.75" x14ac:dyDescent="0.2">
      <c r="A2869" s="36" t="s">
        <v>2057</v>
      </c>
      <c r="B2869" s="37"/>
      <c r="C2869" s="37"/>
      <c r="D2869" s="37"/>
      <c r="E2869" s="37"/>
    </row>
    <row r="2870" spans="1:5" ht="12.75" x14ac:dyDescent="0.2">
      <c r="A2870" s="37"/>
      <c r="B2870" s="36" t="s">
        <v>398</v>
      </c>
      <c r="C2870" s="37"/>
      <c r="D2870" s="37"/>
      <c r="E2870" s="37"/>
    </row>
    <row r="2871" spans="1:5" ht="12.75" x14ac:dyDescent="0.2">
      <c r="A2871" s="37"/>
      <c r="B2871" s="36" t="s">
        <v>399</v>
      </c>
      <c r="C2871" s="37"/>
      <c r="D2871" s="37"/>
      <c r="E2871" s="37"/>
    </row>
    <row r="2872" spans="1:5" ht="12.75" x14ac:dyDescent="0.2">
      <c r="A2872" s="37"/>
      <c r="B2872" s="36" t="s">
        <v>400</v>
      </c>
      <c r="C2872" s="36" t="s">
        <v>2057</v>
      </c>
      <c r="D2872" s="37"/>
      <c r="E2872" s="37"/>
    </row>
    <row r="2873" spans="1:5" ht="12.75" x14ac:dyDescent="0.2">
      <c r="A2873" s="37"/>
      <c r="B2873" s="36" t="s">
        <v>401</v>
      </c>
      <c r="C2873" s="37"/>
      <c r="D2873" s="37"/>
      <c r="E2873" s="37"/>
    </row>
    <row r="2874" spans="1:5" ht="12.75" x14ac:dyDescent="0.2">
      <c r="A2874" s="36" t="s">
        <v>2058</v>
      </c>
      <c r="B2874" s="36" t="s">
        <v>402</v>
      </c>
      <c r="C2874" s="36" t="s">
        <v>2059</v>
      </c>
      <c r="D2874" s="37"/>
      <c r="E2874" s="37"/>
    </row>
    <row r="2875" spans="1:5" ht="12.75" x14ac:dyDescent="0.2">
      <c r="A2875" s="36" t="s">
        <v>2060</v>
      </c>
      <c r="B2875" s="37"/>
      <c r="C2875" s="37"/>
      <c r="D2875" s="37"/>
      <c r="E2875" s="37"/>
    </row>
    <row r="2876" spans="1:5" ht="12.75" x14ac:dyDescent="0.2">
      <c r="A2876" s="37"/>
      <c r="B2876" s="37"/>
      <c r="C2876" s="37"/>
      <c r="D2876" s="37"/>
      <c r="E2876" s="37"/>
    </row>
    <row r="2877" spans="1:5" ht="12.75" x14ac:dyDescent="0.2">
      <c r="A2877" s="36" t="s">
        <v>2061</v>
      </c>
      <c r="B2877" s="37"/>
      <c r="C2877" s="37"/>
      <c r="D2877" s="37"/>
      <c r="E2877" s="37"/>
    </row>
    <row r="2878" spans="1:5" ht="12.75" x14ac:dyDescent="0.2">
      <c r="A2878" s="37"/>
      <c r="B2878" s="36" t="s">
        <v>398</v>
      </c>
      <c r="C2878" s="37"/>
      <c r="D2878" s="37"/>
      <c r="E2878" s="37"/>
    </row>
    <row r="2879" spans="1:5" ht="12.75" x14ac:dyDescent="0.2">
      <c r="A2879" s="37"/>
      <c r="B2879" s="36" t="s">
        <v>399</v>
      </c>
      <c r="C2879" s="37"/>
      <c r="D2879" s="37"/>
      <c r="E2879" s="37"/>
    </row>
    <row r="2880" spans="1:5" ht="12.75" x14ac:dyDescent="0.2">
      <c r="A2880" s="37"/>
      <c r="B2880" s="36" t="s">
        <v>400</v>
      </c>
      <c r="C2880" s="36" t="s">
        <v>2061</v>
      </c>
      <c r="D2880" s="37"/>
      <c r="E2880" s="37"/>
    </row>
    <row r="2881" spans="1:5" ht="12.75" x14ac:dyDescent="0.2">
      <c r="A2881" s="37"/>
      <c r="B2881" s="36" t="s">
        <v>401</v>
      </c>
      <c r="C2881" s="37"/>
      <c r="D2881" s="37"/>
      <c r="E2881" s="37"/>
    </row>
    <row r="2882" spans="1:5" ht="12.75" x14ac:dyDescent="0.2">
      <c r="A2882" s="36" t="s">
        <v>2062</v>
      </c>
      <c r="B2882" s="36" t="s">
        <v>402</v>
      </c>
      <c r="C2882" s="36" t="s">
        <v>2063</v>
      </c>
      <c r="D2882" s="37"/>
      <c r="E2882" s="37"/>
    </row>
    <row r="2883" spans="1:5" ht="12.75" x14ac:dyDescent="0.2">
      <c r="A2883" s="36" t="s">
        <v>2064</v>
      </c>
      <c r="B2883" s="37"/>
      <c r="C2883" s="37"/>
      <c r="D2883" s="37"/>
      <c r="E2883" s="37"/>
    </row>
    <row r="2884" spans="1:5" ht="12.75" x14ac:dyDescent="0.2">
      <c r="A2884" s="36" t="s">
        <v>2065</v>
      </c>
      <c r="B2884" s="37"/>
      <c r="C2884" s="37"/>
      <c r="D2884" s="37"/>
      <c r="E2884" s="37"/>
    </row>
    <row r="2885" spans="1:5" ht="12.75" x14ac:dyDescent="0.2">
      <c r="A2885" s="36" t="s">
        <v>2066</v>
      </c>
      <c r="B2885" s="37"/>
      <c r="C2885" s="37"/>
      <c r="D2885" s="37"/>
      <c r="E2885" s="37"/>
    </row>
    <row r="2886" spans="1:5" ht="12.75" x14ac:dyDescent="0.2">
      <c r="A2886" s="36" t="s">
        <v>2067</v>
      </c>
      <c r="B2886" s="37"/>
      <c r="C2886" s="37"/>
      <c r="D2886" s="37"/>
      <c r="E2886" s="37"/>
    </row>
    <row r="2887" spans="1:5" ht="12.75" x14ac:dyDescent="0.2">
      <c r="A2887" s="37"/>
      <c r="B2887" s="37"/>
      <c r="C2887" s="37"/>
      <c r="D2887" s="37"/>
      <c r="E2887" s="37"/>
    </row>
    <row r="2888" spans="1:5" ht="12.75" x14ac:dyDescent="0.2">
      <c r="A2888" s="36" t="s">
        <v>2068</v>
      </c>
      <c r="B2888" s="37"/>
      <c r="C2888" s="37"/>
      <c r="D2888" s="37"/>
      <c r="E2888" s="37"/>
    </row>
    <row r="2889" spans="1:5" ht="12.75" x14ac:dyDescent="0.2">
      <c r="A2889" s="37"/>
      <c r="B2889" s="36" t="s">
        <v>398</v>
      </c>
      <c r="C2889" s="37"/>
      <c r="D2889" s="37"/>
      <c r="E2889" s="37"/>
    </row>
    <row r="2890" spans="1:5" ht="12.75" x14ac:dyDescent="0.2">
      <c r="A2890" s="37"/>
      <c r="B2890" s="36" t="s">
        <v>399</v>
      </c>
      <c r="C2890" s="37"/>
      <c r="D2890" s="37"/>
      <c r="E2890" s="37"/>
    </row>
    <row r="2891" spans="1:5" ht="12.75" x14ac:dyDescent="0.2">
      <c r="A2891" s="37"/>
      <c r="B2891" s="36" t="s">
        <v>400</v>
      </c>
      <c r="C2891" s="36" t="s">
        <v>2068</v>
      </c>
      <c r="D2891" s="37"/>
      <c r="E2891" s="37"/>
    </row>
    <row r="2892" spans="1:5" ht="12.75" x14ac:dyDescent="0.2">
      <c r="A2892" s="37"/>
      <c r="B2892" s="36" t="s">
        <v>401</v>
      </c>
      <c r="C2892" s="37"/>
      <c r="D2892" s="37"/>
      <c r="E2892" s="37"/>
    </row>
    <row r="2893" spans="1:5" ht="12.75" x14ac:dyDescent="0.2">
      <c r="A2893" s="36" t="s">
        <v>2069</v>
      </c>
      <c r="B2893" s="36" t="s">
        <v>402</v>
      </c>
      <c r="C2893" s="36" t="s">
        <v>2070</v>
      </c>
      <c r="D2893" s="37"/>
      <c r="E2893" s="37"/>
    </row>
    <row r="2894" spans="1:5" ht="12.75" x14ac:dyDescent="0.2">
      <c r="A2894" s="36" t="s">
        <v>2071</v>
      </c>
      <c r="B2894" s="37"/>
      <c r="C2894" s="37"/>
      <c r="D2894" s="37"/>
      <c r="E2894" s="37"/>
    </row>
    <row r="2895" spans="1:5" ht="12.75" x14ac:dyDescent="0.2">
      <c r="A2895" s="36" t="s">
        <v>2072</v>
      </c>
      <c r="B2895" s="37"/>
      <c r="C2895" s="37"/>
      <c r="D2895" s="37"/>
      <c r="E2895" s="37"/>
    </row>
    <row r="2896" spans="1:5" ht="12.75" x14ac:dyDescent="0.2">
      <c r="A2896" s="36" t="s">
        <v>2073</v>
      </c>
      <c r="B2896" s="37"/>
      <c r="C2896" s="37"/>
      <c r="D2896" s="37"/>
      <c r="E2896" s="37"/>
    </row>
    <row r="2897" spans="1:5" ht="12.75" x14ac:dyDescent="0.2">
      <c r="A2897" s="36" t="s">
        <v>2074</v>
      </c>
      <c r="B2897" s="37"/>
      <c r="C2897" s="37"/>
      <c r="D2897" s="37"/>
      <c r="E2897" s="37"/>
    </row>
    <row r="2898" spans="1:5" ht="12.75" x14ac:dyDescent="0.2">
      <c r="A2898" s="36" t="s">
        <v>2075</v>
      </c>
      <c r="B2898" s="37"/>
      <c r="C2898" s="37"/>
      <c r="D2898" s="37"/>
      <c r="E2898" s="37"/>
    </row>
    <row r="2899" spans="1:5" ht="12.75" x14ac:dyDescent="0.2">
      <c r="A2899" s="36" t="s">
        <v>2076</v>
      </c>
      <c r="B2899" s="37"/>
      <c r="C2899" s="37"/>
      <c r="D2899" s="37"/>
      <c r="E2899" s="37"/>
    </row>
    <row r="2900" spans="1:5" ht="12.75" x14ac:dyDescent="0.2">
      <c r="A2900" s="36" t="s">
        <v>2077</v>
      </c>
      <c r="B2900" s="37"/>
      <c r="C2900" s="37"/>
      <c r="D2900" s="37"/>
      <c r="E2900" s="37"/>
    </row>
    <row r="2901" spans="1:5" ht="12.75" x14ac:dyDescent="0.2">
      <c r="A2901" s="37"/>
      <c r="B2901" s="37"/>
      <c r="C2901" s="37"/>
      <c r="D2901" s="37"/>
      <c r="E2901" s="37"/>
    </row>
    <row r="2902" spans="1:5" ht="12.75" x14ac:dyDescent="0.2">
      <c r="A2902" s="36" t="s">
        <v>2078</v>
      </c>
      <c r="B2902" s="37"/>
      <c r="C2902" s="37"/>
      <c r="D2902" s="37"/>
      <c r="E2902" s="37"/>
    </row>
    <row r="2903" spans="1:5" ht="12.75" x14ac:dyDescent="0.2">
      <c r="A2903" s="37"/>
      <c r="B2903" s="36" t="s">
        <v>398</v>
      </c>
      <c r="C2903" s="37"/>
      <c r="D2903" s="37"/>
      <c r="E2903" s="37"/>
    </row>
    <row r="2904" spans="1:5" ht="12.75" x14ac:dyDescent="0.2">
      <c r="A2904" s="37"/>
      <c r="B2904" s="36" t="s">
        <v>399</v>
      </c>
      <c r="C2904" s="37"/>
      <c r="D2904" s="37"/>
      <c r="E2904" s="37"/>
    </row>
    <row r="2905" spans="1:5" ht="12.75" x14ac:dyDescent="0.2">
      <c r="A2905" s="37"/>
      <c r="B2905" s="36" t="s">
        <v>400</v>
      </c>
      <c r="C2905" s="36" t="s">
        <v>2078</v>
      </c>
      <c r="D2905" s="37"/>
      <c r="E2905" s="37"/>
    </row>
    <row r="2906" spans="1:5" ht="12.75" x14ac:dyDescent="0.2">
      <c r="A2906" s="37"/>
      <c r="B2906" s="36" t="s">
        <v>401</v>
      </c>
      <c r="C2906" s="37"/>
      <c r="D2906" s="37"/>
      <c r="E2906" s="37"/>
    </row>
    <row r="2907" spans="1:5" ht="12.75" x14ac:dyDescent="0.2">
      <c r="A2907" s="36" t="s">
        <v>2079</v>
      </c>
      <c r="B2907" s="36" t="s">
        <v>402</v>
      </c>
      <c r="C2907" s="36" t="s">
        <v>2080</v>
      </c>
      <c r="D2907" s="37"/>
      <c r="E2907" s="37"/>
    </row>
    <row r="2908" spans="1:5" ht="12.75" x14ac:dyDescent="0.2">
      <c r="A2908" s="36" t="s">
        <v>2081</v>
      </c>
      <c r="B2908" s="37"/>
      <c r="C2908" s="37"/>
      <c r="D2908" s="37"/>
      <c r="E2908" s="37"/>
    </row>
    <row r="2909" spans="1:5" ht="12.75" x14ac:dyDescent="0.2">
      <c r="A2909" s="36" t="s">
        <v>2082</v>
      </c>
      <c r="B2909" s="37"/>
      <c r="C2909" s="37"/>
      <c r="D2909" s="37"/>
      <c r="E2909" s="37"/>
    </row>
    <row r="2910" spans="1:5" ht="12.75" x14ac:dyDescent="0.2">
      <c r="A2910" s="36" t="s">
        <v>2083</v>
      </c>
      <c r="B2910" s="37"/>
      <c r="C2910" s="37"/>
      <c r="D2910" s="37"/>
      <c r="E2910" s="37"/>
    </row>
    <row r="2911" spans="1:5" ht="12.75" x14ac:dyDescent="0.2">
      <c r="A2911" s="36" t="s">
        <v>2084</v>
      </c>
      <c r="B2911" s="37"/>
      <c r="C2911" s="37"/>
      <c r="D2911" s="37"/>
      <c r="E2911" s="37"/>
    </row>
    <row r="2912" spans="1:5" ht="12.75" x14ac:dyDescent="0.2">
      <c r="A2912" s="36" t="s">
        <v>2085</v>
      </c>
      <c r="B2912" s="37"/>
      <c r="C2912" s="37"/>
      <c r="D2912" s="37"/>
      <c r="E2912" s="37"/>
    </row>
    <row r="2913" spans="1:5" ht="12.75" x14ac:dyDescent="0.2">
      <c r="A2913" s="37"/>
      <c r="B2913" s="37"/>
      <c r="C2913" s="37"/>
      <c r="D2913" s="37"/>
      <c r="E2913" s="37"/>
    </row>
    <row r="2914" spans="1:5" ht="12.75" x14ac:dyDescent="0.2">
      <c r="A2914" s="36" t="s">
        <v>2086</v>
      </c>
      <c r="B2914" s="37"/>
      <c r="C2914" s="37"/>
      <c r="D2914" s="37"/>
      <c r="E2914" s="37"/>
    </row>
    <row r="2915" spans="1:5" ht="12.75" x14ac:dyDescent="0.2">
      <c r="A2915" s="37"/>
      <c r="B2915" s="36" t="s">
        <v>398</v>
      </c>
      <c r="C2915" s="37"/>
      <c r="D2915" s="37"/>
      <c r="E2915" s="37"/>
    </row>
    <row r="2916" spans="1:5" ht="12.75" x14ac:dyDescent="0.2">
      <c r="A2916" s="37"/>
      <c r="B2916" s="36" t="s">
        <v>399</v>
      </c>
      <c r="C2916" s="37"/>
      <c r="D2916" s="37"/>
      <c r="E2916" s="37"/>
    </row>
    <row r="2917" spans="1:5" ht="12.75" x14ac:dyDescent="0.2">
      <c r="A2917" s="37"/>
      <c r="B2917" s="36" t="s">
        <v>400</v>
      </c>
      <c r="C2917" s="36" t="s">
        <v>2086</v>
      </c>
      <c r="D2917" s="37"/>
      <c r="E2917" s="37"/>
    </row>
    <row r="2918" spans="1:5" ht="12.75" x14ac:dyDescent="0.2">
      <c r="A2918" s="37"/>
      <c r="B2918" s="36" t="s">
        <v>401</v>
      </c>
      <c r="C2918" s="37"/>
      <c r="D2918" s="37"/>
      <c r="E2918" s="37"/>
    </row>
    <row r="2919" spans="1:5" ht="12.75" x14ac:dyDescent="0.2">
      <c r="A2919" s="36" t="s">
        <v>2087</v>
      </c>
      <c r="B2919" s="36" t="s">
        <v>402</v>
      </c>
      <c r="C2919" s="36" t="s">
        <v>2088</v>
      </c>
      <c r="D2919" s="37"/>
      <c r="E2919" s="37"/>
    </row>
    <row r="2920" spans="1:5" ht="12.75" x14ac:dyDescent="0.2">
      <c r="A2920" s="36" t="s">
        <v>2089</v>
      </c>
      <c r="B2920" s="37"/>
      <c r="C2920" s="37"/>
      <c r="D2920" s="37"/>
      <c r="E2920" s="37"/>
    </row>
    <row r="2921" spans="1:5" ht="12.75" x14ac:dyDescent="0.2">
      <c r="A2921" s="36" t="s">
        <v>2090</v>
      </c>
      <c r="B2921" s="37"/>
      <c r="C2921" s="37"/>
      <c r="D2921" s="37"/>
      <c r="E2921" s="37"/>
    </row>
    <row r="2922" spans="1:5" ht="12.75" x14ac:dyDescent="0.2">
      <c r="A2922" s="36" t="s">
        <v>2091</v>
      </c>
      <c r="B2922" s="37"/>
      <c r="C2922" s="37"/>
      <c r="D2922" s="37"/>
      <c r="E2922" s="37"/>
    </row>
    <row r="2923" spans="1:5" ht="12.75" x14ac:dyDescent="0.2">
      <c r="A2923" s="36" t="s">
        <v>2092</v>
      </c>
      <c r="B2923" s="37"/>
      <c r="C2923" s="37"/>
      <c r="D2923" s="37"/>
      <c r="E2923" s="37"/>
    </row>
    <row r="2924" spans="1:5" ht="12.75" x14ac:dyDescent="0.2">
      <c r="A2924" s="37"/>
      <c r="B2924" s="36" t="s">
        <v>403</v>
      </c>
      <c r="C2924" s="36" t="s">
        <v>25</v>
      </c>
      <c r="D2924" s="36" t="s">
        <v>27</v>
      </c>
      <c r="E2924" s="37"/>
    </row>
    <row r="2925" spans="1:5" ht="12.75" x14ac:dyDescent="0.2">
      <c r="A2925" s="37"/>
      <c r="B2925" s="36" t="s">
        <v>403</v>
      </c>
      <c r="C2925" s="36" t="s">
        <v>30</v>
      </c>
      <c r="D2925" s="36" t="s">
        <v>31</v>
      </c>
      <c r="E2925" s="37"/>
    </row>
    <row r="2926" spans="1:5" ht="12.75" x14ac:dyDescent="0.2">
      <c r="A2926" s="37"/>
      <c r="B2926" s="36" t="s">
        <v>403</v>
      </c>
      <c r="C2926" s="36" t="s">
        <v>16</v>
      </c>
      <c r="D2926" s="36" t="s">
        <v>10</v>
      </c>
      <c r="E2926" s="37"/>
    </row>
    <row r="2927" spans="1:5" ht="12.75" x14ac:dyDescent="0.2">
      <c r="A2927" s="37"/>
      <c r="B2927" s="37"/>
      <c r="C2927" s="37"/>
      <c r="D2927" s="37"/>
      <c r="E2927" s="37"/>
    </row>
    <row r="2928" spans="1:5" ht="12.75" x14ac:dyDescent="0.2">
      <c r="A2928" s="36" t="s">
        <v>2093</v>
      </c>
      <c r="B2928" s="37"/>
      <c r="C2928" s="37"/>
      <c r="D2928" s="37"/>
      <c r="E2928" s="37"/>
    </row>
    <row r="2929" spans="1:5" ht="12.75" x14ac:dyDescent="0.2">
      <c r="A2929" s="37"/>
      <c r="B2929" s="36" t="s">
        <v>398</v>
      </c>
      <c r="C2929" s="37"/>
      <c r="D2929" s="37"/>
      <c r="E2929" s="37"/>
    </row>
    <row r="2930" spans="1:5" ht="12.75" x14ac:dyDescent="0.2">
      <c r="A2930" s="37"/>
      <c r="B2930" s="36" t="s">
        <v>399</v>
      </c>
      <c r="C2930" s="37"/>
      <c r="D2930" s="37"/>
      <c r="E2930" s="37"/>
    </row>
    <row r="2931" spans="1:5" ht="12.75" x14ac:dyDescent="0.2">
      <c r="A2931" s="37"/>
      <c r="B2931" s="36" t="s">
        <v>400</v>
      </c>
      <c r="C2931" s="36" t="s">
        <v>2093</v>
      </c>
      <c r="D2931" s="37"/>
      <c r="E2931" s="37"/>
    </row>
    <row r="2932" spans="1:5" ht="12.75" x14ac:dyDescent="0.2">
      <c r="A2932" s="37"/>
      <c r="B2932" s="36" t="s">
        <v>401</v>
      </c>
      <c r="C2932" s="37"/>
      <c r="D2932" s="37"/>
      <c r="E2932" s="37"/>
    </row>
    <row r="2933" spans="1:5" ht="12.75" x14ac:dyDescent="0.2">
      <c r="A2933" s="36" t="s">
        <v>2094</v>
      </c>
      <c r="B2933" s="36" t="s">
        <v>402</v>
      </c>
      <c r="C2933" s="36" t="s">
        <v>2095</v>
      </c>
      <c r="D2933" s="37"/>
      <c r="E2933" s="37"/>
    </row>
    <row r="2934" spans="1:5" ht="12.75" x14ac:dyDescent="0.2">
      <c r="A2934" s="36" t="s">
        <v>2096</v>
      </c>
      <c r="B2934" s="37"/>
      <c r="C2934" s="37"/>
      <c r="D2934" s="37"/>
      <c r="E2934" s="37"/>
    </row>
    <row r="2935" spans="1:5" ht="12.75" x14ac:dyDescent="0.2">
      <c r="A2935" s="36" t="s">
        <v>2097</v>
      </c>
      <c r="B2935" s="37"/>
      <c r="C2935" s="37"/>
      <c r="D2935" s="37"/>
      <c r="E2935" s="37"/>
    </row>
    <row r="2936" spans="1:5" ht="12.75" x14ac:dyDescent="0.2">
      <c r="A2936" s="36" t="s">
        <v>2098</v>
      </c>
      <c r="B2936" s="37"/>
      <c r="C2936" s="37"/>
      <c r="D2936" s="37"/>
      <c r="E2936" s="37"/>
    </row>
    <row r="2937" spans="1:5" ht="12.75" x14ac:dyDescent="0.2">
      <c r="A2937" s="37"/>
      <c r="B2937" s="37"/>
      <c r="C2937" s="37"/>
      <c r="D2937" s="37"/>
      <c r="E2937" s="37"/>
    </row>
    <row r="2938" spans="1:5" ht="12.75" x14ac:dyDescent="0.2">
      <c r="A2938" s="36" t="s">
        <v>2099</v>
      </c>
      <c r="B2938" s="37"/>
      <c r="C2938" s="37"/>
      <c r="D2938" s="37"/>
      <c r="E2938" s="37"/>
    </row>
    <row r="2939" spans="1:5" ht="12.75" x14ac:dyDescent="0.2">
      <c r="A2939" s="37"/>
      <c r="B2939" s="36" t="s">
        <v>398</v>
      </c>
      <c r="C2939" s="37"/>
      <c r="D2939" s="37"/>
      <c r="E2939" s="37"/>
    </row>
    <row r="2940" spans="1:5" ht="12.75" x14ac:dyDescent="0.2">
      <c r="A2940" s="37"/>
      <c r="B2940" s="36" t="s">
        <v>399</v>
      </c>
      <c r="C2940" s="37"/>
      <c r="D2940" s="37"/>
      <c r="E2940" s="37"/>
    </row>
    <row r="2941" spans="1:5" ht="12.75" x14ac:dyDescent="0.2">
      <c r="A2941" s="37"/>
      <c r="B2941" s="36" t="s">
        <v>400</v>
      </c>
      <c r="C2941" s="36" t="s">
        <v>2099</v>
      </c>
      <c r="D2941" s="37"/>
      <c r="E2941" s="37"/>
    </row>
    <row r="2942" spans="1:5" ht="12.75" x14ac:dyDescent="0.2">
      <c r="A2942" s="37"/>
      <c r="B2942" s="36" t="s">
        <v>401</v>
      </c>
      <c r="C2942" s="37"/>
      <c r="D2942" s="37"/>
      <c r="E2942" s="37"/>
    </row>
    <row r="2943" spans="1:5" ht="12.75" x14ac:dyDescent="0.2">
      <c r="A2943" s="36" t="s">
        <v>2100</v>
      </c>
      <c r="B2943" s="36" t="s">
        <v>402</v>
      </c>
      <c r="C2943" s="36" t="s">
        <v>2101</v>
      </c>
      <c r="D2943" s="37"/>
      <c r="E2943" s="37"/>
    </row>
    <row r="2944" spans="1:5" ht="12.75" x14ac:dyDescent="0.2">
      <c r="A2944" s="36" t="s">
        <v>2102</v>
      </c>
      <c r="B2944" s="37"/>
      <c r="C2944" s="37"/>
      <c r="D2944" s="37"/>
      <c r="E2944" s="37"/>
    </row>
    <row r="2945" spans="1:5" ht="12.75" x14ac:dyDescent="0.2">
      <c r="A2945" s="36" t="s">
        <v>2103</v>
      </c>
      <c r="B2945" s="37"/>
      <c r="C2945" s="37"/>
      <c r="D2945" s="37"/>
      <c r="E2945" s="37"/>
    </row>
    <row r="2946" spans="1:5" ht="12.75" x14ac:dyDescent="0.2">
      <c r="A2946" s="36" t="s">
        <v>2104</v>
      </c>
      <c r="B2946" s="37"/>
      <c r="C2946" s="37"/>
      <c r="D2946" s="37"/>
      <c r="E2946" s="37"/>
    </row>
    <row r="2947" spans="1:5" ht="12.75" x14ac:dyDescent="0.2">
      <c r="A2947" s="36" t="s">
        <v>2105</v>
      </c>
      <c r="B2947" s="37"/>
      <c r="C2947" s="37"/>
      <c r="D2947" s="37"/>
      <c r="E2947" s="37"/>
    </row>
    <row r="2948" spans="1:5" ht="12.75" x14ac:dyDescent="0.2">
      <c r="A2948" s="36" t="s">
        <v>1307</v>
      </c>
      <c r="B2948" s="37"/>
      <c r="C2948" s="37"/>
      <c r="D2948" s="37"/>
      <c r="E2948" s="37"/>
    </row>
    <row r="2949" spans="1:5" ht="12.75" x14ac:dyDescent="0.2">
      <c r="A2949" s="36" t="s">
        <v>2106</v>
      </c>
      <c r="B2949" s="37"/>
      <c r="C2949" s="37"/>
      <c r="D2949" s="37"/>
      <c r="E2949" s="37"/>
    </row>
    <row r="2950" spans="1:5" ht="12.75" x14ac:dyDescent="0.2">
      <c r="A2950" s="36" t="s">
        <v>2108</v>
      </c>
      <c r="B2950" s="37"/>
      <c r="C2950" s="37"/>
      <c r="D2950" s="37"/>
      <c r="E2950" s="37"/>
    </row>
    <row r="2951" spans="1:5" ht="12.75" x14ac:dyDescent="0.2">
      <c r="A2951" s="36" t="s">
        <v>2109</v>
      </c>
      <c r="B2951" s="37"/>
      <c r="C2951" s="37"/>
      <c r="D2951" s="37"/>
      <c r="E2951" s="37"/>
    </row>
    <row r="2952" spans="1:5" ht="12.75" x14ac:dyDescent="0.2">
      <c r="A2952" s="36" t="s">
        <v>2110</v>
      </c>
      <c r="B2952" s="37"/>
      <c r="C2952" s="37"/>
      <c r="D2952" s="37"/>
      <c r="E2952" s="37"/>
    </row>
    <row r="2953" spans="1:5" ht="12.75" x14ac:dyDescent="0.2">
      <c r="A2953" s="37"/>
      <c r="B2953" s="36" t="s">
        <v>403</v>
      </c>
      <c r="C2953" s="36" t="s">
        <v>25</v>
      </c>
      <c r="D2953" s="36" t="s">
        <v>27</v>
      </c>
      <c r="E2953" s="37"/>
    </row>
    <row r="2954" spans="1:5" ht="12.75" x14ac:dyDescent="0.2">
      <c r="A2954" s="37"/>
      <c r="B2954" s="36" t="s">
        <v>403</v>
      </c>
      <c r="C2954" s="36" t="s">
        <v>30</v>
      </c>
      <c r="D2954" s="36" t="s">
        <v>31</v>
      </c>
      <c r="E2954" s="37"/>
    </row>
    <row r="2955" spans="1:5" ht="12.75" x14ac:dyDescent="0.2">
      <c r="A2955" s="37"/>
      <c r="B2955" s="36" t="s">
        <v>403</v>
      </c>
      <c r="C2955" s="36" t="s">
        <v>16</v>
      </c>
      <c r="D2955" s="36" t="s">
        <v>10</v>
      </c>
      <c r="E2955" s="37"/>
    </row>
    <row r="2956" spans="1:5" ht="12.75" x14ac:dyDescent="0.2">
      <c r="A2956" s="37"/>
      <c r="B2956" s="37"/>
      <c r="C2956" s="37"/>
      <c r="D2956" s="37"/>
      <c r="E2956" s="37"/>
    </row>
    <row r="2957" spans="1:5" ht="12.75" x14ac:dyDescent="0.2">
      <c r="A2957" s="36" t="s">
        <v>2111</v>
      </c>
      <c r="B2957" s="37"/>
      <c r="C2957" s="37"/>
      <c r="D2957" s="37"/>
      <c r="E2957" s="37"/>
    </row>
    <row r="2958" spans="1:5" ht="12.75" x14ac:dyDescent="0.2">
      <c r="A2958" s="37"/>
      <c r="B2958" s="36" t="s">
        <v>398</v>
      </c>
      <c r="C2958" s="37"/>
      <c r="D2958" s="37"/>
      <c r="E2958" s="37"/>
    </row>
    <row r="2959" spans="1:5" ht="12.75" x14ac:dyDescent="0.2">
      <c r="A2959" s="37"/>
      <c r="B2959" s="36" t="s">
        <v>399</v>
      </c>
      <c r="C2959" s="37"/>
      <c r="D2959" s="37"/>
      <c r="E2959" s="37"/>
    </row>
    <row r="2960" spans="1:5" ht="12.75" x14ac:dyDescent="0.2">
      <c r="A2960" s="37"/>
      <c r="B2960" s="36" t="s">
        <v>400</v>
      </c>
      <c r="C2960" s="36" t="s">
        <v>2111</v>
      </c>
      <c r="D2960" s="37"/>
      <c r="E2960" s="37"/>
    </row>
    <row r="2961" spans="1:5" ht="12.75" x14ac:dyDescent="0.2">
      <c r="A2961" s="37"/>
      <c r="B2961" s="36" t="s">
        <v>401</v>
      </c>
      <c r="C2961" s="37"/>
      <c r="D2961" s="37"/>
      <c r="E2961" s="37"/>
    </row>
    <row r="2962" spans="1:5" ht="12.75" x14ac:dyDescent="0.2">
      <c r="A2962" s="36" t="s">
        <v>2112</v>
      </c>
      <c r="B2962" s="36" t="s">
        <v>402</v>
      </c>
      <c r="C2962" s="36" t="s">
        <v>2113</v>
      </c>
      <c r="D2962" s="37"/>
      <c r="E2962" s="37"/>
    </row>
    <row r="2963" spans="1:5" ht="12.75" x14ac:dyDescent="0.2">
      <c r="A2963" s="36" t="s">
        <v>2114</v>
      </c>
      <c r="B2963" s="37"/>
      <c r="C2963" s="37"/>
      <c r="D2963" s="37"/>
      <c r="E2963" s="37"/>
    </row>
    <row r="2964" spans="1:5" ht="12.75" x14ac:dyDescent="0.2">
      <c r="A2964" s="36" t="s">
        <v>2115</v>
      </c>
      <c r="B2964" s="37"/>
      <c r="C2964" s="37"/>
      <c r="D2964" s="37"/>
      <c r="E2964" s="37"/>
    </row>
    <row r="2965" spans="1:5" ht="12.75" x14ac:dyDescent="0.2">
      <c r="A2965" s="36" t="s">
        <v>2116</v>
      </c>
      <c r="B2965" s="37"/>
      <c r="C2965" s="37"/>
      <c r="D2965" s="37"/>
      <c r="E2965" s="37"/>
    </row>
    <row r="2966" spans="1:5" ht="12.75" x14ac:dyDescent="0.2">
      <c r="A2966" s="36" t="s">
        <v>2117</v>
      </c>
      <c r="B2966" s="37"/>
      <c r="C2966" s="37"/>
      <c r="D2966" s="37"/>
      <c r="E2966" s="37"/>
    </row>
    <row r="2967" spans="1:5" ht="12.75" x14ac:dyDescent="0.2">
      <c r="A2967" s="37"/>
      <c r="B2967" s="37"/>
      <c r="C2967" s="37"/>
      <c r="D2967" s="37"/>
      <c r="E2967" s="37"/>
    </row>
    <row r="2968" spans="1:5" ht="12.75" x14ac:dyDescent="0.2">
      <c r="A2968" s="36" t="s">
        <v>2118</v>
      </c>
      <c r="B2968" s="37"/>
      <c r="C2968" s="37"/>
      <c r="D2968" s="37"/>
      <c r="E2968" s="37"/>
    </row>
    <row r="2969" spans="1:5" ht="12.75" x14ac:dyDescent="0.2">
      <c r="A2969" s="37"/>
      <c r="B2969" s="36" t="s">
        <v>398</v>
      </c>
      <c r="C2969" s="37"/>
      <c r="D2969" s="37"/>
      <c r="E2969" s="37"/>
    </row>
    <row r="2970" spans="1:5" ht="12.75" x14ac:dyDescent="0.2">
      <c r="A2970" s="37"/>
      <c r="B2970" s="36" t="s">
        <v>399</v>
      </c>
      <c r="C2970" s="37"/>
      <c r="D2970" s="37"/>
      <c r="E2970" s="37"/>
    </row>
    <row r="2971" spans="1:5" ht="12.75" x14ac:dyDescent="0.2">
      <c r="A2971" s="37"/>
      <c r="B2971" s="36" t="s">
        <v>400</v>
      </c>
      <c r="C2971" s="36" t="s">
        <v>2118</v>
      </c>
      <c r="D2971" s="37"/>
      <c r="E2971" s="37"/>
    </row>
    <row r="2972" spans="1:5" ht="12.75" x14ac:dyDescent="0.2">
      <c r="A2972" s="37"/>
      <c r="B2972" s="36" t="s">
        <v>401</v>
      </c>
      <c r="C2972" s="37"/>
      <c r="D2972" s="37"/>
      <c r="E2972" s="37"/>
    </row>
    <row r="2973" spans="1:5" ht="12.75" x14ac:dyDescent="0.2">
      <c r="A2973" s="36" t="s">
        <v>2119</v>
      </c>
      <c r="B2973" s="36" t="s">
        <v>402</v>
      </c>
      <c r="C2973" s="36" t="s">
        <v>20</v>
      </c>
      <c r="D2973" s="37"/>
      <c r="E2973" s="37"/>
    </row>
    <row r="2974" spans="1:5" ht="12.75" x14ac:dyDescent="0.2">
      <c r="A2974" s="36" t="s">
        <v>2120</v>
      </c>
      <c r="B2974" s="37"/>
      <c r="C2974" s="37"/>
      <c r="D2974" s="37"/>
      <c r="E2974" s="37"/>
    </row>
    <row r="2975" spans="1:5" ht="12.75" x14ac:dyDescent="0.2">
      <c r="A2975" s="36" t="s">
        <v>2122</v>
      </c>
      <c r="B2975" s="37"/>
      <c r="C2975" s="37"/>
      <c r="D2975" s="37"/>
      <c r="E2975" s="37"/>
    </row>
    <row r="2976" spans="1:5" ht="12.75" x14ac:dyDescent="0.2">
      <c r="A2976" s="36" t="s">
        <v>2123</v>
      </c>
      <c r="B2976" s="37"/>
      <c r="C2976" s="37"/>
      <c r="D2976" s="37"/>
      <c r="E2976" s="37"/>
    </row>
    <row r="2977" spans="1:5" ht="12.75" x14ac:dyDescent="0.2">
      <c r="A2977" s="36" t="s">
        <v>2124</v>
      </c>
      <c r="B2977" s="37"/>
      <c r="C2977" s="37"/>
      <c r="D2977" s="37"/>
      <c r="E2977" s="37"/>
    </row>
    <row r="2978" spans="1:5" ht="12.75" x14ac:dyDescent="0.2">
      <c r="A2978" s="37"/>
      <c r="B2978" s="37"/>
      <c r="C2978" s="37"/>
      <c r="D2978" s="37"/>
      <c r="E2978" s="37"/>
    </row>
    <row r="2979" spans="1:5" ht="12.75" x14ac:dyDescent="0.2">
      <c r="A2979" s="36" t="s">
        <v>2125</v>
      </c>
      <c r="B2979" s="37"/>
      <c r="C2979" s="37"/>
      <c r="D2979" s="37"/>
      <c r="E2979" s="37"/>
    </row>
    <row r="2980" spans="1:5" ht="12.75" x14ac:dyDescent="0.2">
      <c r="A2980" s="37"/>
      <c r="B2980" s="36" t="s">
        <v>398</v>
      </c>
      <c r="C2980" s="36" t="s">
        <v>2198</v>
      </c>
      <c r="D2980" s="37"/>
      <c r="E2980" s="37"/>
    </row>
    <row r="2981" spans="1:5" ht="12.75" x14ac:dyDescent="0.2">
      <c r="A2981" s="37"/>
      <c r="B2981" s="36" t="s">
        <v>399</v>
      </c>
      <c r="C2981" s="36" t="s">
        <v>2198</v>
      </c>
      <c r="D2981" s="37"/>
      <c r="E2981" s="37"/>
    </row>
    <row r="2982" spans="1:5" ht="12.75" x14ac:dyDescent="0.2">
      <c r="A2982" s="37"/>
      <c r="B2982" s="36" t="s">
        <v>400</v>
      </c>
      <c r="C2982" s="36" t="s">
        <v>2244</v>
      </c>
      <c r="D2982" s="37"/>
      <c r="E2982" s="37"/>
    </row>
    <row r="2983" spans="1:5" ht="12.75" x14ac:dyDescent="0.2">
      <c r="A2983" s="37"/>
      <c r="B2983" s="36" t="s">
        <v>401</v>
      </c>
      <c r="C2983" s="37"/>
      <c r="D2983" s="37"/>
      <c r="E2983" s="37"/>
    </row>
    <row r="2984" spans="1:5" ht="12.75" x14ac:dyDescent="0.2">
      <c r="A2984" s="36" t="s">
        <v>1571</v>
      </c>
      <c r="B2984" s="37"/>
      <c r="C2984" s="37"/>
      <c r="D2984" s="37"/>
      <c r="E2984" s="37"/>
    </row>
    <row r="2985" spans="1:5" ht="12.75" x14ac:dyDescent="0.2">
      <c r="A2985" s="36" t="s">
        <v>2126</v>
      </c>
      <c r="B2985" s="37"/>
      <c r="C2985" s="37"/>
      <c r="D2985" s="37"/>
      <c r="E2985" s="37"/>
    </row>
    <row r="2986" spans="1:5" ht="12.75" x14ac:dyDescent="0.2">
      <c r="A2986" s="36" t="s">
        <v>2127</v>
      </c>
      <c r="B2986" s="37"/>
      <c r="C2986" s="37"/>
      <c r="D2986" s="37"/>
      <c r="E2986" s="37"/>
    </row>
    <row r="2987" spans="1:5" ht="12.75" x14ac:dyDescent="0.2">
      <c r="A2987" s="37"/>
      <c r="B2987" s="36" t="s">
        <v>422</v>
      </c>
      <c r="C2987" s="36" t="s">
        <v>2128</v>
      </c>
      <c r="D2987" s="36" t="s">
        <v>2129</v>
      </c>
      <c r="E2987" s="37"/>
    </row>
    <row r="2988" spans="1:5" ht="12.75" x14ac:dyDescent="0.2">
      <c r="A2988" s="37"/>
      <c r="B2988" s="37"/>
      <c r="C2988" s="37"/>
      <c r="D2988" s="37"/>
      <c r="E2988" s="37"/>
    </row>
    <row r="2989" spans="1:5" ht="25.5" x14ac:dyDescent="0.2">
      <c r="A2989" s="36" t="s">
        <v>2130</v>
      </c>
      <c r="B2989" s="37"/>
      <c r="C2989" s="37"/>
      <c r="D2989" s="37"/>
      <c r="E2989" s="37"/>
    </row>
    <row r="2990" spans="1:5" ht="12.75" x14ac:dyDescent="0.2">
      <c r="A2990" s="37"/>
      <c r="B2990" s="36" t="s">
        <v>398</v>
      </c>
      <c r="C2990" s="36" t="s">
        <v>2198</v>
      </c>
      <c r="D2990" s="37"/>
      <c r="E2990" s="37"/>
    </row>
    <row r="2991" spans="1:5" ht="12.75" x14ac:dyDescent="0.2">
      <c r="A2991" s="37"/>
      <c r="B2991" s="36" t="s">
        <v>399</v>
      </c>
      <c r="C2991" s="36" t="s">
        <v>2198</v>
      </c>
      <c r="D2991" s="37"/>
      <c r="E2991" s="37"/>
    </row>
    <row r="2992" spans="1:5" ht="12.75" x14ac:dyDescent="0.2">
      <c r="A2992" s="37"/>
      <c r="B2992" s="36" t="s">
        <v>400</v>
      </c>
      <c r="C2992" s="36" t="s">
        <v>2244</v>
      </c>
      <c r="D2992" s="37"/>
      <c r="E2992" s="37"/>
    </row>
    <row r="2993" spans="1:5" ht="12.75" x14ac:dyDescent="0.2">
      <c r="A2993" s="37"/>
      <c r="B2993" s="36" t="s">
        <v>401</v>
      </c>
      <c r="C2993" s="37"/>
      <c r="D2993" s="37"/>
      <c r="E2993" s="37"/>
    </row>
    <row r="2994" spans="1:5" ht="12.75" x14ac:dyDescent="0.2">
      <c r="A2994" s="36" t="s">
        <v>2131</v>
      </c>
      <c r="B2994" s="37"/>
      <c r="C2994" s="37"/>
      <c r="D2994" s="37"/>
      <c r="E2994" s="37"/>
    </row>
    <row r="2995" spans="1:5" ht="12.75" x14ac:dyDescent="0.2">
      <c r="A2995" s="36" t="s">
        <v>2132</v>
      </c>
      <c r="B2995" s="37"/>
      <c r="C2995" s="37"/>
      <c r="D2995" s="37"/>
      <c r="E2995" s="37"/>
    </row>
    <row r="2996" spans="1:5" ht="12.75" x14ac:dyDescent="0.2">
      <c r="A2996" s="36" t="s">
        <v>2133</v>
      </c>
      <c r="B2996" s="37"/>
      <c r="C2996" s="37"/>
      <c r="D2996" s="37"/>
      <c r="E2996" s="37"/>
    </row>
    <row r="2997" spans="1:5" ht="12.75" x14ac:dyDescent="0.2">
      <c r="A2997" s="36" t="s">
        <v>2134</v>
      </c>
      <c r="B2997" s="37"/>
      <c r="C2997" s="37"/>
      <c r="D2997" s="37"/>
      <c r="E2997" s="37"/>
    </row>
    <row r="2998" spans="1:5" ht="12.75" x14ac:dyDescent="0.2">
      <c r="A2998" s="37"/>
      <c r="B2998" s="36" t="s">
        <v>422</v>
      </c>
      <c r="C2998" s="36" t="s">
        <v>2135</v>
      </c>
      <c r="D2998" s="36" t="s">
        <v>808</v>
      </c>
      <c r="E2998" s="37"/>
    </row>
    <row r="2999" spans="1:5" ht="12.75" x14ac:dyDescent="0.2">
      <c r="A2999" s="37"/>
      <c r="B2999" s="36" t="s">
        <v>422</v>
      </c>
      <c r="C2999" s="36" t="s">
        <v>2136</v>
      </c>
      <c r="D2999" s="36" t="s">
        <v>2137</v>
      </c>
      <c r="E2999" s="37"/>
    </row>
    <row r="3000" spans="1:5" ht="12.75" x14ac:dyDescent="0.2">
      <c r="A3000" s="37"/>
      <c r="B3000" s="37"/>
      <c r="C3000" s="37"/>
      <c r="D3000" s="37"/>
      <c r="E3000" s="37"/>
    </row>
    <row r="3001" spans="1:5" ht="12.75" x14ac:dyDescent="0.2">
      <c r="A3001" s="36" t="s">
        <v>2138</v>
      </c>
      <c r="B3001" s="37"/>
      <c r="C3001" s="37"/>
      <c r="D3001" s="37"/>
      <c r="E3001" s="37"/>
    </row>
    <row r="3002" spans="1:5" ht="12.75" x14ac:dyDescent="0.2">
      <c r="A3002" s="37"/>
      <c r="B3002" s="36" t="s">
        <v>398</v>
      </c>
      <c r="C3002" s="36" t="s">
        <v>2198</v>
      </c>
      <c r="D3002" s="37"/>
      <c r="E3002" s="37"/>
    </row>
    <row r="3003" spans="1:5" ht="12.75" x14ac:dyDescent="0.2">
      <c r="A3003" s="37"/>
      <c r="B3003" s="36" t="s">
        <v>399</v>
      </c>
      <c r="C3003" s="36" t="s">
        <v>2198</v>
      </c>
      <c r="D3003" s="37"/>
      <c r="E3003" s="37"/>
    </row>
    <row r="3004" spans="1:5" ht="12.75" x14ac:dyDescent="0.2">
      <c r="A3004" s="37"/>
      <c r="B3004" s="36" t="s">
        <v>400</v>
      </c>
      <c r="C3004" s="36" t="s">
        <v>2244</v>
      </c>
      <c r="D3004" s="37"/>
      <c r="E3004" s="37"/>
    </row>
    <row r="3005" spans="1:5" ht="12.75" x14ac:dyDescent="0.2">
      <c r="A3005" s="37"/>
      <c r="B3005" s="36" t="s">
        <v>401</v>
      </c>
      <c r="C3005" s="37"/>
      <c r="D3005" s="37"/>
      <c r="E3005" s="37"/>
    </row>
    <row r="3006" spans="1:5" ht="12.75" x14ac:dyDescent="0.2">
      <c r="A3006" s="36" t="s">
        <v>2139</v>
      </c>
      <c r="B3006" s="37"/>
      <c r="C3006" s="37"/>
      <c r="D3006" s="37"/>
      <c r="E3006" s="37"/>
    </row>
    <row r="3007" spans="1:5" ht="12.75" x14ac:dyDescent="0.2">
      <c r="A3007" s="36" t="s">
        <v>2140</v>
      </c>
      <c r="B3007" s="37"/>
      <c r="C3007" s="37"/>
      <c r="D3007" s="37"/>
      <c r="E3007" s="37"/>
    </row>
    <row r="3008" spans="1:5" ht="12.75" x14ac:dyDescent="0.2">
      <c r="A3008" s="36" t="s">
        <v>2141</v>
      </c>
      <c r="B3008" s="37"/>
      <c r="C3008" s="37"/>
      <c r="D3008" s="37"/>
      <c r="E3008" s="37"/>
    </row>
    <row r="3009" spans="1:5" ht="12.75" x14ac:dyDescent="0.2">
      <c r="A3009" s="36" t="s">
        <v>2142</v>
      </c>
      <c r="B3009" s="37"/>
      <c r="C3009" s="37"/>
      <c r="D3009" s="37"/>
      <c r="E3009" s="37"/>
    </row>
    <row r="3010" spans="1:5" ht="12.75" x14ac:dyDescent="0.2">
      <c r="A3010" s="36" t="s">
        <v>2143</v>
      </c>
      <c r="B3010" s="37"/>
      <c r="C3010" s="37"/>
      <c r="D3010" s="37"/>
      <c r="E3010" s="37"/>
    </row>
    <row r="3011" spans="1:5" ht="12.75" x14ac:dyDescent="0.2">
      <c r="A3011" s="36" t="s">
        <v>2144</v>
      </c>
      <c r="B3011" s="37"/>
      <c r="C3011" s="37"/>
      <c r="D3011" s="37"/>
      <c r="E3011" s="37"/>
    </row>
    <row r="3012" spans="1:5" ht="12.75" x14ac:dyDescent="0.2">
      <c r="A3012" s="36" t="s">
        <v>2145</v>
      </c>
      <c r="B3012" s="37"/>
      <c r="C3012" s="37"/>
      <c r="D3012" s="37"/>
      <c r="E3012" s="37"/>
    </row>
    <row r="3013" spans="1:5" ht="12.75" x14ac:dyDescent="0.2">
      <c r="A3013" s="36" t="s">
        <v>2146</v>
      </c>
      <c r="B3013" s="37"/>
      <c r="C3013" s="37"/>
      <c r="D3013" s="37"/>
      <c r="E3013" s="37"/>
    </row>
    <row r="3014" spans="1:5" ht="12.75" x14ac:dyDescent="0.2">
      <c r="A3014" s="37"/>
      <c r="B3014" s="36" t="s">
        <v>422</v>
      </c>
      <c r="C3014" s="36" t="s">
        <v>2135</v>
      </c>
      <c r="D3014" s="36" t="s">
        <v>808</v>
      </c>
      <c r="E3014" s="37"/>
    </row>
    <row r="3015" spans="1:5" ht="12.75" x14ac:dyDescent="0.2">
      <c r="A3015" s="37"/>
      <c r="B3015" s="37"/>
      <c r="C3015" s="37"/>
      <c r="D3015" s="37"/>
      <c r="E3015" s="37"/>
    </row>
    <row r="3016" spans="1:5" ht="12.75" x14ac:dyDescent="0.2">
      <c r="A3016" s="36" t="s">
        <v>2147</v>
      </c>
      <c r="B3016" s="37"/>
      <c r="C3016" s="37"/>
      <c r="D3016" s="37"/>
      <c r="E3016" s="37"/>
    </row>
    <row r="3017" spans="1:5" ht="12.75" x14ac:dyDescent="0.2">
      <c r="A3017" s="37"/>
      <c r="B3017" s="36" t="s">
        <v>398</v>
      </c>
      <c r="C3017" s="36" t="s">
        <v>2198</v>
      </c>
      <c r="D3017" s="37"/>
      <c r="E3017" s="37"/>
    </row>
    <row r="3018" spans="1:5" ht="12.75" x14ac:dyDescent="0.2">
      <c r="A3018" s="37"/>
      <c r="B3018" s="36" t="s">
        <v>399</v>
      </c>
      <c r="C3018" s="36" t="s">
        <v>2198</v>
      </c>
      <c r="D3018" s="37"/>
      <c r="E3018" s="37"/>
    </row>
    <row r="3019" spans="1:5" ht="12.75" x14ac:dyDescent="0.2">
      <c r="A3019" s="37"/>
      <c r="B3019" s="36" t="s">
        <v>400</v>
      </c>
      <c r="C3019" s="36" t="s">
        <v>2244</v>
      </c>
      <c r="D3019" s="37"/>
      <c r="E3019" s="37"/>
    </row>
    <row r="3020" spans="1:5" ht="12.75" x14ac:dyDescent="0.2">
      <c r="A3020" s="37"/>
      <c r="B3020" s="36" t="s">
        <v>401</v>
      </c>
      <c r="C3020" s="37"/>
      <c r="D3020" s="37"/>
      <c r="E3020" s="37"/>
    </row>
    <row r="3021" spans="1:5" ht="12.75" x14ac:dyDescent="0.2">
      <c r="A3021" s="36" t="s">
        <v>2148</v>
      </c>
      <c r="B3021" s="37"/>
      <c r="C3021" s="37"/>
      <c r="D3021" s="37"/>
      <c r="E3021" s="37"/>
    </row>
    <row r="3022" spans="1:5" ht="12.75" x14ac:dyDescent="0.2">
      <c r="A3022" s="36" t="s">
        <v>2149</v>
      </c>
      <c r="B3022" s="37"/>
      <c r="C3022" s="37"/>
      <c r="D3022" s="37"/>
      <c r="E3022" s="37"/>
    </row>
    <row r="3023" spans="1:5" ht="12.75" x14ac:dyDescent="0.2">
      <c r="A3023" s="37"/>
      <c r="B3023" s="36" t="s">
        <v>422</v>
      </c>
      <c r="C3023" s="36" t="s">
        <v>2150</v>
      </c>
      <c r="D3023" s="36" t="s">
        <v>2151</v>
      </c>
      <c r="E3023" s="37"/>
    </row>
    <row r="3024" spans="1:5" ht="12.75" x14ac:dyDescent="0.2">
      <c r="A3024" s="37"/>
      <c r="B3024" s="37"/>
      <c r="C3024" s="37"/>
      <c r="D3024" s="37"/>
      <c r="E3024" s="37"/>
    </row>
    <row r="3025" spans="1:5" ht="12.75" x14ac:dyDescent="0.2">
      <c r="A3025" s="36" t="s">
        <v>2152</v>
      </c>
      <c r="B3025" s="37"/>
      <c r="C3025" s="37"/>
      <c r="D3025" s="37"/>
      <c r="E3025" s="37"/>
    </row>
    <row r="3026" spans="1:5" ht="12.75" x14ac:dyDescent="0.2">
      <c r="A3026" s="37"/>
      <c r="B3026" s="36" t="s">
        <v>398</v>
      </c>
      <c r="C3026" s="36" t="s">
        <v>2198</v>
      </c>
      <c r="D3026" s="37"/>
      <c r="E3026" s="37"/>
    </row>
    <row r="3027" spans="1:5" ht="12.75" x14ac:dyDescent="0.2">
      <c r="A3027" s="37"/>
      <c r="B3027" s="36" t="s">
        <v>399</v>
      </c>
      <c r="C3027" s="36" t="s">
        <v>2198</v>
      </c>
      <c r="D3027" s="37"/>
      <c r="E3027" s="37"/>
    </row>
    <row r="3028" spans="1:5" ht="12.75" x14ac:dyDescent="0.2">
      <c r="A3028" s="37"/>
      <c r="B3028" s="36" t="s">
        <v>400</v>
      </c>
      <c r="C3028" s="36" t="s">
        <v>2244</v>
      </c>
      <c r="D3028" s="37"/>
      <c r="E3028" s="37"/>
    </row>
    <row r="3029" spans="1:5" ht="12.75" x14ac:dyDescent="0.2">
      <c r="A3029" s="37"/>
      <c r="B3029" s="36" t="s">
        <v>401</v>
      </c>
      <c r="C3029" s="37"/>
      <c r="D3029" s="37"/>
      <c r="E3029" s="37"/>
    </row>
    <row r="3030" spans="1:5" ht="12.75" x14ac:dyDescent="0.2">
      <c r="A3030" s="36" t="s">
        <v>2153</v>
      </c>
      <c r="B3030" s="37"/>
      <c r="C3030" s="37"/>
      <c r="D3030" s="37"/>
      <c r="E3030" s="37"/>
    </row>
    <row r="3031" spans="1:5" ht="12.75" x14ac:dyDescent="0.2">
      <c r="A3031" s="36" t="s">
        <v>2154</v>
      </c>
      <c r="B3031" s="37"/>
      <c r="C3031" s="37"/>
      <c r="D3031" s="37"/>
      <c r="E3031" s="37"/>
    </row>
    <row r="3032" spans="1:5" ht="12.75" x14ac:dyDescent="0.2">
      <c r="A3032" s="36" t="s">
        <v>2155</v>
      </c>
      <c r="B3032" s="37"/>
      <c r="C3032" s="37"/>
      <c r="D3032" s="37"/>
      <c r="E3032" s="37"/>
    </row>
    <row r="3033" spans="1:5" ht="12.75" x14ac:dyDescent="0.2">
      <c r="A3033" s="36" t="s">
        <v>2156</v>
      </c>
      <c r="B3033" s="37"/>
      <c r="C3033" s="37"/>
      <c r="D3033" s="37"/>
      <c r="E3033" s="37"/>
    </row>
    <row r="3034" spans="1:5" ht="12.75" x14ac:dyDescent="0.2">
      <c r="A3034" s="36" t="s">
        <v>2157</v>
      </c>
      <c r="B3034" s="37"/>
      <c r="C3034" s="37"/>
      <c r="D3034" s="37"/>
      <c r="E3034" s="37"/>
    </row>
    <row r="3035" spans="1:5" ht="12.75" x14ac:dyDescent="0.2">
      <c r="A3035" s="36" t="s">
        <v>2158</v>
      </c>
      <c r="B3035" s="37"/>
      <c r="C3035" s="37"/>
      <c r="D3035" s="37"/>
      <c r="E3035" s="37"/>
    </row>
    <row r="3036" spans="1:5" ht="12.75" x14ac:dyDescent="0.2">
      <c r="A3036" s="36" t="s">
        <v>2159</v>
      </c>
      <c r="B3036" s="37"/>
      <c r="C3036" s="37"/>
      <c r="D3036" s="37"/>
      <c r="E3036" s="37"/>
    </row>
    <row r="3037" spans="1:5" ht="12.75" x14ac:dyDescent="0.2">
      <c r="A3037" s="36" t="s">
        <v>2160</v>
      </c>
      <c r="B3037" s="37"/>
      <c r="C3037" s="37"/>
      <c r="D3037" s="37"/>
      <c r="E3037" s="37"/>
    </row>
    <row r="3038" spans="1:5" ht="12.75" x14ac:dyDescent="0.2">
      <c r="A3038" s="36" t="s">
        <v>2161</v>
      </c>
      <c r="B3038" s="37"/>
      <c r="C3038" s="37"/>
      <c r="D3038" s="37"/>
      <c r="E3038" s="37"/>
    </row>
    <row r="3039" spans="1:5" ht="12.75" x14ac:dyDescent="0.2">
      <c r="A3039" s="36" t="s">
        <v>2162</v>
      </c>
      <c r="B3039" s="37"/>
      <c r="C3039" s="37"/>
      <c r="D3039" s="37"/>
      <c r="E3039" s="37"/>
    </row>
    <row r="3040" spans="1:5" ht="12.75" x14ac:dyDescent="0.2">
      <c r="A3040" s="37"/>
      <c r="B3040" s="36" t="s">
        <v>422</v>
      </c>
      <c r="C3040" s="36" t="s">
        <v>2136</v>
      </c>
      <c r="D3040" s="36" t="s">
        <v>2137</v>
      </c>
      <c r="E3040" s="37"/>
    </row>
    <row r="3041" spans="1:5" ht="12.75" x14ac:dyDescent="0.2">
      <c r="A3041" s="37"/>
      <c r="B3041" s="37"/>
      <c r="C3041" s="37"/>
      <c r="D3041" s="37"/>
      <c r="E3041" s="37"/>
    </row>
    <row r="3042" spans="1:5" ht="12.75" x14ac:dyDescent="0.2">
      <c r="A3042" s="36" t="s">
        <v>2163</v>
      </c>
      <c r="B3042" s="37"/>
      <c r="C3042" s="37"/>
      <c r="D3042" s="37"/>
      <c r="E3042" s="37"/>
    </row>
    <row r="3043" spans="1:5" ht="12.75" x14ac:dyDescent="0.2">
      <c r="A3043" s="37"/>
      <c r="B3043" s="36" t="s">
        <v>398</v>
      </c>
      <c r="C3043" s="36" t="s">
        <v>2198</v>
      </c>
      <c r="D3043" s="37"/>
      <c r="E3043" s="37"/>
    </row>
    <row r="3044" spans="1:5" ht="12.75" x14ac:dyDescent="0.2">
      <c r="A3044" s="37"/>
      <c r="B3044" s="36" t="s">
        <v>399</v>
      </c>
      <c r="C3044" s="36" t="s">
        <v>2198</v>
      </c>
      <c r="D3044" s="37"/>
      <c r="E3044" s="37"/>
    </row>
    <row r="3045" spans="1:5" ht="12.75" x14ac:dyDescent="0.2">
      <c r="A3045" s="37"/>
      <c r="B3045" s="36" t="s">
        <v>400</v>
      </c>
      <c r="C3045" s="36" t="s">
        <v>2244</v>
      </c>
      <c r="D3045" s="37"/>
      <c r="E3045" s="37"/>
    </row>
    <row r="3046" spans="1:5" ht="12.75" x14ac:dyDescent="0.2">
      <c r="A3046" s="37"/>
      <c r="B3046" s="36" t="s">
        <v>401</v>
      </c>
      <c r="C3046" s="37"/>
      <c r="D3046" s="37"/>
      <c r="E3046" s="37"/>
    </row>
    <row r="3047" spans="1:5" ht="12.75" x14ac:dyDescent="0.2">
      <c r="A3047" s="36" t="s">
        <v>2164</v>
      </c>
      <c r="B3047" s="37"/>
      <c r="C3047" s="37"/>
      <c r="D3047" s="37"/>
      <c r="E3047" s="37"/>
    </row>
    <row r="3048" spans="1:5" ht="12.75" x14ac:dyDescent="0.2">
      <c r="A3048" s="36" t="s">
        <v>2165</v>
      </c>
      <c r="B3048" s="37"/>
      <c r="C3048" s="37"/>
      <c r="D3048" s="37"/>
      <c r="E3048" s="37"/>
    </row>
    <row r="3049" spans="1:5" ht="12.75" x14ac:dyDescent="0.2">
      <c r="A3049" s="36" t="s">
        <v>2166</v>
      </c>
      <c r="B3049" s="37"/>
      <c r="C3049" s="37"/>
      <c r="D3049" s="37"/>
      <c r="E3049" s="37"/>
    </row>
    <row r="3050" spans="1:5" ht="12.75" x14ac:dyDescent="0.2">
      <c r="A3050" s="36" t="s">
        <v>2167</v>
      </c>
      <c r="B3050" s="37"/>
      <c r="C3050" s="37"/>
      <c r="D3050" s="37"/>
      <c r="E3050" s="37"/>
    </row>
    <row r="3051" spans="1:5" ht="12.75" x14ac:dyDescent="0.2">
      <c r="A3051" s="36" t="s">
        <v>2168</v>
      </c>
      <c r="B3051" s="37"/>
      <c r="C3051" s="37"/>
      <c r="D3051" s="37"/>
      <c r="E3051" s="37"/>
    </row>
    <row r="3052" spans="1:5" ht="12.75" x14ac:dyDescent="0.2">
      <c r="A3052" s="36" t="s">
        <v>2169</v>
      </c>
      <c r="B3052" s="37"/>
      <c r="C3052" s="37"/>
      <c r="D3052" s="37"/>
      <c r="E3052" s="37"/>
    </row>
    <row r="3053" spans="1:5" ht="12.75" x14ac:dyDescent="0.2">
      <c r="A3053" s="36" t="s">
        <v>2170</v>
      </c>
      <c r="B3053" s="37"/>
      <c r="C3053" s="37"/>
      <c r="D3053" s="37"/>
      <c r="E3053" s="37"/>
    </row>
    <row r="3054" spans="1:5" ht="12.75" x14ac:dyDescent="0.2">
      <c r="A3054" s="37"/>
      <c r="B3054" s="36" t="s">
        <v>422</v>
      </c>
      <c r="C3054" s="36" t="s">
        <v>2171</v>
      </c>
      <c r="D3054" s="36" t="s">
        <v>2172</v>
      </c>
      <c r="E3054" s="37"/>
    </row>
    <row r="3055" spans="1:5" ht="12.75" x14ac:dyDescent="0.2">
      <c r="A3055" s="37"/>
      <c r="B3055" s="37"/>
      <c r="C3055" s="37"/>
      <c r="D3055" s="37"/>
      <c r="E3055" s="37"/>
    </row>
    <row r="3056" spans="1:5" ht="12.75" x14ac:dyDescent="0.2">
      <c r="A3056" s="36" t="s">
        <v>2173</v>
      </c>
      <c r="B3056" s="37"/>
      <c r="C3056" s="37"/>
      <c r="D3056" s="37"/>
      <c r="E3056" s="37"/>
    </row>
    <row r="3057" spans="1:5" ht="12.75" x14ac:dyDescent="0.2">
      <c r="A3057" s="37"/>
      <c r="B3057" s="36" t="s">
        <v>398</v>
      </c>
      <c r="C3057" s="37"/>
      <c r="D3057" s="37"/>
      <c r="E3057" s="37"/>
    </row>
    <row r="3058" spans="1:5" ht="12.75" x14ac:dyDescent="0.2">
      <c r="A3058" s="37"/>
      <c r="B3058" s="36" t="s">
        <v>399</v>
      </c>
      <c r="C3058" s="36" t="s">
        <v>2198</v>
      </c>
      <c r="D3058" s="37"/>
      <c r="E3058" s="37"/>
    </row>
    <row r="3059" spans="1:5" ht="12.75" x14ac:dyDescent="0.2">
      <c r="A3059" s="37"/>
      <c r="B3059" s="36" t="s">
        <v>400</v>
      </c>
      <c r="C3059" s="36" t="s">
        <v>2173</v>
      </c>
      <c r="D3059" s="37"/>
      <c r="E3059" s="37"/>
    </row>
    <row r="3060" spans="1:5" ht="12.75" x14ac:dyDescent="0.2">
      <c r="A3060" s="37"/>
      <c r="B3060" s="36" t="s">
        <v>401</v>
      </c>
      <c r="C3060" s="37"/>
      <c r="D3060" s="37"/>
      <c r="E3060" s="37"/>
    </row>
    <row r="3061" spans="1:5" ht="12.75" x14ac:dyDescent="0.2">
      <c r="A3061" s="36" t="s">
        <v>2174</v>
      </c>
      <c r="B3061" s="37"/>
      <c r="C3061" s="37"/>
      <c r="D3061" s="37"/>
      <c r="E3061" s="37"/>
    </row>
    <row r="3062" spans="1:5" ht="12.75" x14ac:dyDescent="0.2">
      <c r="A3062" s="36" t="s">
        <v>2175</v>
      </c>
      <c r="B3062" s="37"/>
      <c r="C3062" s="37"/>
      <c r="D3062" s="37"/>
      <c r="E3062" s="37"/>
    </row>
    <row r="3063" spans="1:5" ht="12.75" x14ac:dyDescent="0.2">
      <c r="A3063" s="36" t="s">
        <v>2176</v>
      </c>
      <c r="B3063" s="37"/>
      <c r="C3063" s="37"/>
      <c r="D3063" s="37"/>
      <c r="E3063" s="37"/>
    </row>
    <row r="3064" spans="1:5" ht="12.75" x14ac:dyDescent="0.2">
      <c r="A3064" s="36" t="s">
        <v>2177</v>
      </c>
      <c r="B3064" s="37"/>
      <c r="C3064" s="37"/>
      <c r="D3064" s="37"/>
      <c r="E3064" s="37"/>
    </row>
    <row r="3065" spans="1:5" ht="12.75" x14ac:dyDescent="0.2">
      <c r="A3065" s="36" t="s">
        <v>2178</v>
      </c>
      <c r="B3065" s="37"/>
      <c r="C3065" s="37"/>
      <c r="D3065" s="37"/>
      <c r="E3065" s="37"/>
    </row>
    <row r="3066" spans="1:5" ht="12.75" x14ac:dyDescent="0.2">
      <c r="A3066" s="36" t="s">
        <v>2179</v>
      </c>
      <c r="B3066" s="37"/>
      <c r="C3066" s="37"/>
      <c r="D3066" s="37"/>
      <c r="E3066" s="37"/>
    </row>
    <row r="3067" spans="1:5" ht="12.75" x14ac:dyDescent="0.2">
      <c r="A3067" s="36" t="s">
        <v>2180</v>
      </c>
      <c r="B3067" s="37"/>
      <c r="C3067" s="37"/>
      <c r="D3067" s="37"/>
      <c r="E3067" s="37"/>
    </row>
    <row r="3068" spans="1:5" ht="12.75" x14ac:dyDescent="0.2">
      <c r="A3068" s="36" t="s">
        <v>2181</v>
      </c>
      <c r="B3068" s="37"/>
      <c r="C3068" s="37"/>
      <c r="D3068" s="37"/>
      <c r="E3068" s="37"/>
    </row>
    <row r="3069" spans="1:5" ht="12.75" x14ac:dyDescent="0.2">
      <c r="A3069" s="36" t="s">
        <v>2182</v>
      </c>
      <c r="B3069" s="37"/>
      <c r="C3069" s="37"/>
      <c r="D3069" s="37"/>
      <c r="E3069" s="37"/>
    </row>
    <row r="3070" spans="1:5" ht="12.75" x14ac:dyDescent="0.2">
      <c r="A3070" s="36" t="s">
        <v>2183</v>
      </c>
      <c r="B3070" s="37"/>
      <c r="C3070" s="37"/>
      <c r="D3070" s="37"/>
      <c r="E3070" s="37"/>
    </row>
    <row r="3071" spans="1:5" ht="12.75" x14ac:dyDescent="0.2">
      <c r="A3071" s="37"/>
      <c r="B3071" s="36" t="s">
        <v>422</v>
      </c>
      <c r="C3071" s="36" t="s">
        <v>2128</v>
      </c>
      <c r="D3071" s="36" t="s">
        <v>2129</v>
      </c>
      <c r="E3071" s="37"/>
    </row>
    <row r="3072" spans="1:5" ht="12.75" x14ac:dyDescent="0.2">
      <c r="A3072" s="37"/>
      <c r="B3072" s="36" t="s">
        <v>422</v>
      </c>
      <c r="C3072" s="36" t="s">
        <v>2136</v>
      </c>
      <c r="D3072" s="36" t="s">
        <v>2137</v>
      </c>
      <c r="E3072" s="37"/>
    </row>
    <row r="3073" spans="1:5" ht="12.75" x14ac:dyDescent="0.2">
      <c r="A3073" s="37"/>
      <c r="B3073" s="36" t="s">
        <v>422</v>
      </c>
      <c r="C3073" s="36" t="s">
        <v>2135</v>
      </c>
      <c r="D3073" s="36" t="s">
        <v>808</v>
      </c>
      <c r="E3073" s="37"/>
    </row>
    <row r="3074" spans="1:5" ht="12.75" x14ac:dyDescent="0.2">
      <c r="A3074" s="37"/>
      <c r="B3074" s="37"/>
      <c r="C3074" s="37"/>
      <c r="D3074" s="37"/>
      <c r="E3074" s="37"/>
    </row>
    <row r="3075" spans="1:5" ht="12.75" x14ac:dyDescent="0.2">
      <c r="A3075" s="36" t="s">
        <v>2184</v>
      </c>
      <c r="B3075" s="37"/>
      <c r="C3075" s="37"/>
      <c r="D3075" s="37"/>
      <c r="E3075" s="37"/>
    </row>
    <row r="3076" spans="1:5" ht="12.75" x14ac:dyDescent="0.2">
      <c r="A3076" s="37"/>
      <c r="B3076" s="36" t="s">
        <v>398</v>
      </c>
      <c r="C3076" s="37"/>
      <c r="D3076" s="37"/>
      <c r="E3076" s="37"/>
    </row>
    <row r="3077" spans="1:5" ht="12.75" x14ac:dyDescent="0.2">
      <c r="A3077" s="37"/>
      <c r="B3077" s="36" t="s">
        <v>399</v>
      </c>
      <c r="C3077" s="36" t="s">
        <v>2198</v>
      </c>
      <c r="D3077" s="37"/>
      <c r="E3077" s="37"/>
    </row>
    <row r="3078" spans="1:5" ht="12.75" x14ac:dyDescent="0.2">
      <c r="A3078" s="37"/>
      <c r="B3078" s="36" t="s">
        <v>400</v>
      </c>
      <c r="C3078" s="36" t="s">
        <v>2184</v>
      </c>
      <c r="D3078" s="37"/>
      <c r="E3078" s="37"/>
    </row>
    <row r="3079" spans="1:5" ht="12.75" x14ac:dyDescent="0.2">
      <c r="A3079" s="37"/>
      <c r="B3079" s="36" t="s">
        <v>401</v>
      </c>
      <c r="C3079" s="37"/>
      <c r="D3079" s="37"/>
      <c r="E3079" s="37"/>
    </row>
    <row r="3080" spans="1:5" ht="12.75" x14ac:dyDescent="0.2">
      <c r="A3080" s="36" t="s">
        <v>2185</v>
      </c>
      <c r="B3080" s="37"/>
      <c r="C3080" s="37"/>
      <c r="D3080" s="37"/>
      <c r="E3080" s="37"/>
    </row>
    <row r="3081" spans="1:5" ht="12.75" x14ac:dyDescent="0.2">
      <c r="A3081" s="36" t="s">
        <v>2186</v>
      </c>
      <c r="B3081" s="37"/>
      <c r="C3081" s="37"/>
      <c r="D3081" s="37"/>
      <c r="E3081" s="37"/>
    </row>
    <row r="3082" spans="1:5" ht="12.75" x14ac:dyDescent="0.2">
      <c r="A3082" s="36" t="s">
        <v>2187</v>
      </c>
      <c r="B3082" s="37"/>
      <c r="C3082" s="37"/>
      <c r="D3082" s="37"/>
      <c r="E3082" s="37"/>
    </row>
    <row r="3083" spans="1:5" ht="12.75" x14ac:dyDescent="0.2">
      <c r="A3083" s="36" t="s">
        <v>2188</v>
      </c>
      <c r="B3083" s="37"/>
      <c r="C3083" s="37"/>
      <c r="D3083" s="37"/>
      <c r="E3083" s="37"/>
    </row>
    <row r="3084" spans="1:5" ht="12.75" x14ac:dyDescent="0.2">
      <c r="A3084" s="36" t="s">
        <v>2189</v>
      </c>
      <c r="B3084" s="37"/>
      <c r="C3084" s="37"/>
      <c r="D3084" s="37"/>
      <c r="E3084" s="37"/>
    </row>
    <row r="3085" spans="1:5" ht="12.75" x14ac:dyDescent="0.2">
      <c r="A3085" s="36" t="s">
        <v>2190</v>
      </c>
      <c r="B3085" s="37"/>
      <c r="C3085" s="37"/>
      <c r="D3085" s="37"/>
      <c r="E3085" s="37"/>
    </row>
    <row r="3086" spans="1:5" ht="12.75" x14ac:dyDescent="0.2">
      <c r="A3086" s="36" t="s">
        <v>2191</v>
      </c>
      <c r="B3086" s="37"/>
      <c r="C3086" s="37"/>
      <c r="D3086" s="37"/>
      <c r="E3086" s="37"/>
    </row>
    <row r="3087" spans="1:5" ht="12.75" x14ac:dyDescent="0.2">
      <c r="A3087" s="36" t="s">
        <v>2192</v>
      </c>
      <c r="B3087" s="37"/>
      <c r="C3087" s="37"/>
      <c r="D3087" s="37"/>
      <c r="E3087" s="37"/>
    </row>
    <row r="3088" spans="1:5" ht="12.75" x14ac:dyDescent="0.2">
      <c r="A3088" s="36" t="s">
        <v>2193</v>
      </c>
      <c r="B3088" s="37"/>
      <c r="C3088" s="37"/>
      <c r="D3088" s="37"/>
      <c r="E3088" s="37"/>
    </row>
    <row r="3089" spans="1:5" ht="12.75" x14ac:dyDescent="0.2">
      <c r="A3089" s="36" t="s">
        <v>2194</v>
      </c>
      <c r="B3089" s="37"/>
      <c r="C3089" s="37"/>
      <c r="D3089" s="37"/>
      <c r="E3089" s="37"/>
    </row>
    <row r="3090" spans="1:5" ht="12.75" x14ac:dyDescent="0.2">
      <c r="A3090" s="36" t="s">
        <v>2195</v>
      </c>
      <c r="B3090" s="37"/>
      <c r="C3090" s="37"/>
      <c r="D3090" s="37"/>
      <c r="E3090" s="37"/>
    </row>
    <row r="3091" spans="1:5" ht="12.75" x14ac:dyDescent="0.2">
      <c r="A3091" s="36" t="s">
        <v>2196</v>
      </c>
      <c r="B3091" s="37"/>
      <c r="C3091" s="37"/>
      <c r="D3091" s="37"/>
      <c r="E3091" s="37"/>
    </row>
    <row r="3092" spans="1:5" ht="12.75" x14ac:dyDescent="0.2">
      <c r="A3092" s="37"/>
      <c r="B3092" s="36" t="s">
        <v>422</v>
      </c>
      <c r="C3092" s="36" t="s">
        <v>2136</v>
      </c>
      <c r="D3092" s="36" t="s">
        <v>2137</v>
      </c>
      <c r="E3092" s="37"/>
    </row>
    <row r="3093" spans="1:5" ht="12.75" x14ac:dyDescent="0.2">
      <c r="A3093" s="37"/>
      <c r="B3093" s="36" t="s">
        <v>422</v>
      </c>
      <c r="C3093" s="36" t="s">
        <v>2197</v>
      </c>
      <c r="D3093" s="36" t="s">
        <v>2151</v>
      </c>
      <c r="E3093" s="37"/>
    </row>
    <row r="3094" spans="1:5" ht="12.75" x14ac:dyDescent="0.2">
      <c r="A3094" s="37"/>
      <c r="B3094" s="36" t="s">
        <v>422</v>
      </c>
      <c r="C3094" s="36" t="s">
        <v>2135</v>
      </c>
      <c r="D3094" s="36" t="s">
        <v>808</v>
      </c>
      <c r="E3094" s="37"/>
    </row>
    <row r="3095" spans="1:5" ht="12.75" x14ac:dyDescent="0.2">
      <c r="A3095" s="37"/>
      <c r="B3095" s="37"/>
      <c r="C3095" s="37"/>
      <c r="D3095" s="37"/>
      <c r="E3095" s="37"/>
    </row>
    <row r="3096" spans="1:5" ht="12.75" x14ac:dyDescent="0.2">
      <c r="A3096" s="36" t="s">
        <v>2198</v>
      </c>
      <c r="B3096" s="37"/>
      <c r="C3096" s="37"/>
      <c r="D3096" s="37"/>
      <c r="E3096" s="37"/>
    </row>
    <row r="3097" spans="1:5" ht="12.75" x14ac:dyDescent="0.2">
      <c r="A3097" s="37"/>
      <c r="B3097" s="36" t="s">
        <v>398</v>
      </c>
      <c r="C3097" s="37"/>
      <c r="D3097" s="37"/>
      <c r="E3097" s="37"/>
    </row>
    <row r="3098" spans="1:5" ht="12.75" x14ac:dyDescent="0.2">
      <c r="A3098" s="37"/>
      <c r="B3098" s="36" t="s">
        <v>399</v>
      </c>
      <c r="C3098" s="36" t="s">
        <v>2198</v>
      </c>
      <c r="D3098" s="37"/>
      <c r="E3098" s="37"/>
    </row>
    <row r="3099" spans="1:5" ht="12.75" x14ac:dyDescent="0.2">
      <c r="A3099" s="37"/>
      <c r="B3099" s="36" t="s">
        <v>400</v>
      </c>
      <c r="C3099" s="36" t="s">
        <v>2198</v>
      </c>
      <c r="D3099" s="37"/>
      <c r="E3099" s="37"/>
    </row>
    <row r="3100" spans="1:5" ht="12.75" x14ac:dyDescent="0.2">
      <c r="A3100" s="37"/>
      <c r="B3100" s="36" t="s">
        <v>401</v>
      </c>
      <c r="C3100" s="37"/>
      <c r="D3100" s="37"/>
      <c r="E3100" s="37"/>
    </row>
    <row r="3101" spans="1:5" ht="12.75" x14ac:dyDescent="0.2">
      <c r="A3101" s="36" t="s">
        <v>2199</v>
      </c>
      <c r="B3101" s="37"/>
      <c r="C3101" s="37"/>
      <c r="D3101" s="37"/>
      <c r="E3101" s="37"/>
    </row>
    <row r="3102" spans="1:5" ht="12.75" x14ac:dyDescent="0.2">
      <c r="A3102" s="36" t="s">
        <v>2200</v>
      </c>
      <c r="B3102" s="37"/>
      <c r="C3102" s="37"/>
      <c r="D3102" s="37"/>
      <c r="E3102" s="37"/>
    </row>
    <row r="3103" spans="1:5" ht="12.75" x14ac:dyDescent="0.2">
      <c r="A3103" s="36" t="s">
        <v>2201</v>
      </c>
      <c r="B3103" s="37"/>
      <c r="C3103" s="37"/>
      <c r="D3103" s="37"/>
      <c r="E3103" s="37"/>
    </row>
    <row r="3104" spans="1:5" ht="12.75" x14ac:dyDescent="0.2">
      <c r="A3104" s="36" t="s">
        <v>2202</v>
      </c>
      <c r="B3104" s="37"/>
      <c r="C3104" s="37"/>
      <c r="D3104" s="37"/>
      <c r="E3104" s="37"/>
    </row>
    <row r="3105" spans="1:5" ht="12.75" x14ac:dyDescent="0.2">
      <c r="A3105" s="36" t="s">
        <v>2203</v>
      </c>
      <c r="B3105" s="37"/>
      <c r="C3105" s="37"/>
      <c r="D3105" s="37"/>
      <c r="E3105" s="37"/>
    </row>
    <row r="3106" spans="1:5" ht="12.75" x14ac:dyDescent="0.2">
      <c r="A3106" s="36" t="s">
        <v>2204</v>
      </c>
      <c r="B3106" s="37"/>
      <c r="C3106" s="37"/>
      <c r="D3106" s="37"/>
      <c r="E3106" s="37"/>
    </row>
    <row r="3107" spans="1:5" ht="12.75" x14ac:dyDescent="0.2">
      <c r="A3107" s="36" t="s">
        <v>2205</v>
      </c>
      <c r="B3107" s="37"/>
      <c r="C3107" s="37"/>
      <c r="D3107" s="37"/>
      <c r="E3107" s="37"/>
    </row>
    <row r="3108" spans="1:5" ht="12.75" x14ac:dyDescent="0.2">
      <c r="A3108" s="36" t="s">
        <v>2206</v>
      </c>
      <c r="B3108" s="37"/>
      <c r="C3108" s="37"/>
      <c r="D3108" s="37"/>
      <c r="E3108" s="37"/>
    </row>
    <row r="3109" spans="1:5" ht="12.75" x14ac:dyDescent="0.2">
      <c r="A3109" s="36" t="s">
        <v>2207</v>
      </c>
      <c r="B3109" s="37"/>
      <c r="C3109" s="37"/>
      <c r="D3109" s="37"/>
      <c r="E3109" s="37"/>
    </row>
    <row r="3110" spans="1:5" ht="12.75" x14ac:dyDescent="0.2">
      <c r="A3110" s="36" t="s">
        <v>2208</v>
      </c>
      <c r="B3110" s="37"/>
      <c r="C3110" s="37"/>
      <c r="D3110" s="37"/>
      <c r="E3110" s="37"/>
    </row>
    <row r="3111" spans="1:5" ht="12.75" x14ac:dyDescent="0.2">
      <c r="A3111" s="36" t="s">
        <v>2209</v>
      </c>
      <c r="B3111" s="37"/>
      <c r="C3111" s="37"/>
      <c r="D3111" s="37"/>
      <c r="E3111" s="37"/>
    </row>
    <row r="3112" spans="1:5" ht="12.75" x14ac:dyDescent="0.2">
      <c r="A3112" s="36" t="s">
        <v>2210</v>
      </c>
      <c r="B3112" s="37"/>
      <c r="C3112" s="37"/>
      <c r="D3112" s="37"/>
      <c r="E3112" s="37"/>
    </row>
    <row r="3113" spans="1:5" ht="12.75" x14ac:dyDescent="0.2">
      <c r="A3113" s="36" t="s">
        <v>2211</v>
      </c>
      <c r="B3113" s="37"/>
      <c r="C3113" s="37"/>
      <c r="D3113" s="37"/>
      <c r="E3113" s="37"/>
    </row>
    <row r="3114" spans="1:5" ht="12.75" x14ac:dyDescent="0.2">
      <c r="A3114" s="36" t="s">
        <v>2212</v>
      </c>
      <c r="B3114" s="37"/>
      <c r="C3114" s="37"/>
      <c r="D3114" s="37"/>
      <c r="E3114" s="37"/>
    </row>
    <row r="3115" spans="1:5" ht="12.75" x14ac:dyDescent="0.2">
      <c r="A3115" s="36" t="s">
        <v>2213</v>
      </c>
      <c r="B3115" s="37"/>
      <c r="C3115" s="37"/>
      <c r="D3115" s="37"/>
      <c r="E3115" s="37"/>
    </row>
    <row r="3116" spans="1:5" ht="12.75" x14ac:dyDescent="0.2">
      <c r="A3116" s="36" t="s">
        <v>2214</v>
      </c>
      <c r="B3116" s="37"/>
      <c r="C3116" s="37"/>
      <c r="D3116" s="37"/>
      <c r="E3116" s="37"/>
    </row>
    <row r="3117" spans="1:5" ht="12.75" x14ac:dyDescent="0.2">
      <c r="A3117" s="36" t="s">
        <v>2215</v>
      </c>
      <c r="B3117" s="37"/>
      <c r="C3117" s="37"/>
      <c r="D3117" s="37"/>
      <c r="E3117" s="37"/>
    </row>
    <row r="3118" spans="1:5" ht="12.75" x14ac:dyDescent="0.2">
      <c r="A3118" s="36" t="s">
        <v>2216</v>
      </c>
      <c r="B3118" s="37"/>
      <c r="C3118" s="37"/>
      <c r="D3118" s="37"/>
      <c r="E3118" s="37"/>
    </row>
    <row r="3119" spans="1:5" ht="12.75" x14ac:dyDescent="0.2">
      <c r="A3119" s="37"/>
      <c r="B3119" s="36" t="s">
        <v>422</v>
      </c>
      <c r="C3119" s="36" t="s">
        <v>2136</v>
      </c>
      <c r="D3119" s="36" t="s">
        <v>2137</v>
      </c>
      <c r="E3119" s="37"/>
    </row>
    <row r="3120" spans="1:5" ht="12.75" x14ac:dyDescent="0.2">
      <c r="A3120" s="37"/>
      <c r="B3120" s="36" t="s">
        <v>422</v>
      </c>
      <c r="C3120" s="36" t="s">
        <v>2217</v>
      </c>
      <c r="D3120" s="36" t="s">
        <v>2218</v>
      </c>
      <c r="E3120" s="37"/>
    </row>
    <row r="3121" spans="1:5" ht="12.75" x14ac:dyDescent="0.2">
      <c r="A3121" s="37"/>
      <c r="B3121" s="36" t="s">
        <v>422</v>
      </c>
      <c r="C3121" s="36" t="s">
        <v>2135</v>
      </c>
      <c r="D3121" s="36" t="s">
        <v>808</v>
      </c>
      <c r="E3121" s="37"/>
    </row>
    <row r="3122" spans="1:5" ht="12.75" x14ac:dyDescent="0.2">
      <c r="A3122" s="37"/>
      <c r="B3122" s="37"/>
      <c r="C3122" s="37"/>
      <c r="D3122" s="37"/>
      <c r="E3122" s="37"/>
    </row>
    <row r="3123" spans="1:5" ht="12.75" x14ac:dyDescent="0.2">
      <c r="A3123" s="36" t="s">
        <v>2219</v>
      </c>
      <c r="B3123" s="37"/>
      <c r="C3123" s="37"/>
      <c r="D3123" s="37"/>
      <c r="E3123" s="37"/>
    </row>
    <row r="3124" spans="1:5" ht="12.75" x14ac:dyDescent="0.2">
      <c r="A3124" s="37"/>
      <c r="B3124" s="36" t="s">
        <v>398</v>
      </c>
      <c r="C3124" s="37"/>
      <c r="D3124" s="37"/>
      <c r="E3124" s="37"/>
    </row>
    <row r="3125" spans="1:5" ht="12.75" x14ac:dyDescent="0.2">
      <c r="A3125" s="37"/>
      <c r="B3125" s="36" t="s">
        <v>399</v>
      </c>
      <c r="C3125" s="36" t="s">
        <v>2198</v>
      </c>
      <c r="D3125" s="37"/>
      <c r="E3125" s="37"/>
    </row>
    <row r="3126" spans="1:5" ht="12.75" x14ac:dyDescent="0.2">
      <c r="A3126" s="37"/>
      <c r="B3126" s="36" t="s">
        <v>400</v>
      </c>
      <c r="C3126" s="36" t="s">
        <v>2219</v>
      </c>
      <c r="D3126" s="37"/>
      <c r="E3126" s="37"/>
    </row>
    <row r="3127" spans="1:5" ht="12.75" x14ac:dyDescent="0.2">
      <c r="A3127" s="37"/>
      <c r="B3127" s="36" t="s">
        <v>401</v>
      </c>
      <c r="C3127" s="37"/>
      <c r="D3127" s="37"/>
      <c r="E3127" s="37"/>
    </row>
    <row r="3128" spans="1:5" ht="12.75" x14ac:dyDescent="0.2">
      <c r="A3128" s="36" t="s">
        <v>2220</v>
      </c>
      <c r="B3128" s="37"/>
      <c r="C3128" s="37"/>
      <c r="D3128" s="37"/>
      <c r="E3128" s="37"/>
    </row>
    <row r="3129" spans="1:5" ht="12.75" x14ac:dyDescent="0.2">
      <c r="A3129" s="36" t="s">
        <v>2221</v>
      </c>
      <c r="B3129" s="37"/>
      <c r="C3129" s="37"/>
      <c r="D3129" s="37"/>
      <c r="E3129" s="37"/>
    </row>
    <row r="3130" spans="1:5" ht="12.75" x14ac:dyDescent="0.2">
      <c r="A3130" s="36" t="s">
        <v>2222</v>
      </c>
      <c r="B3130" s="37"/>
      <c r="C3130" s="37"/>
      <c r="D3130" s="37"/>
      <c r="E3130" s="37"/>
    </row>
    <row r="3131" spans="1:5" ht="12.75" x14ac:dyDescent="0.2">
      <c r="A3131" s="36" t="s">
        <v>2223</v>
      </c>
      <c r="B3131" s="37"/>
      <c r="C3131" s="37"/>
      <c r="D3131" s="37"/>
      <c r="E3131" s="37"/>
    </row>
    <row r="3132" spans="1:5" ht="12.75" x14ac:dyDescent="0.2">
      <c r="A3132" s="36" t="s">
        <v>2224</v>
      </c>
      <c r="B3132" s="37"/>
      <c r="C3132" s="37"/>
      <c r="D3132" s="37"/>
      <c r="E3132" s="37"/>
    </row>
    <row r="3133" spans="1:5" ht="12.75" x14ac:dyDescent="0.2">
      <c r="A3133" s="36" t="s">
        <v>2225</v>
      </c>
      <c r="B3133" s="37"/>
      <c r="C3133" s="37"/>
      <c r="D3133" s="37"/>
      <c r="E3133" s="37"/>
    </row>
    <row r="3134" spans="1:5" ht="12.75" x14ac:dyDescent="0.2">
      <c r="A3134" s="36" t="s">
        <v>2226</v>
      </c>
      <c r="B3134" s="37"/>
      <c r="C3134" s="37"/>
      <c r="D3134" s="37"/>
      <c r="E3134" s="37"/>
    </row>
    <row r="3135" spans="1:5" ht="12.75" x14ac:dyDescent="0.2">
      <c r="A3135" s="36" t="s">
        <v>2227</v>
      </c>
      <c r="B3135" s="37"/>
      <c r="C3135" s="37"/>
      <c r="D3135" s="37"/>
      <c r="E3135" s="37"/>
    </row>
    <row r="3136" spans="1:5" ht="12.75" x14ac:dyDescent="0.2">
      <c r="A3136" s="36" t="s">
        <v>2228</v>
      </c>
      <c r="B3136" s="37"/>
      <c r="C3136" s="37"/>
      <c r="D3136" s="37"/>
      <c r="E3136" s="37"/>
    </row>
    <row r="3137" spans="1:5" ht="12.75" x14ac:dyDescent="0.2">
      <c r="A3137" s="36" t="s">
        <v>2229</v>
      </c>
      <c r="B3137" s="37"/>
      <c r="C3137" s="37"/>
      <c r="D3137" s="37"/>
      <c r="E3137" s="37"/>
    </row>
    <row r="3138" spans="1:5" ht="12.75" x14ac:dyDescent="0.2">
      <c r="A3138" s="36" t="s">
        <v>2230</v>
      </c>
      <c r="B3138" s="37"/>
      <c r="C3138" s="37"/>
      <c r="D3138" s="37"/>
      <c r="E3138" s="37"/>
    </row>
    <row r="3139" spans="1:5" ht="12.75" x14ac:dyDescent="0.2">
      <c r="A3139" s="37"/>
      <c r="B3139" s="36" t="s">
        <v>422</v>
      </c>
      <c r="C3139" s="36" t="s">
        <v>2171</v>
      </c>
      <c r="D3139" s="36" t="s">
        <v>2172</v>
      </c>
      <c r="E3139" s="37"/>
    </row>
    <row r="3140" spans="1:5" ht="12.75" x14ac:dyDescent="0.2">
      <c r="A3140" s="37"/>
      <c r="B3140" s="36" t="s">
        <v>422</v>
      </c>
      <c r="C3140" s="36" t="s">
        <v>2135</v>
      </c>
      <c r="D3140" s="36" t="s">
        <v>808</v>
      </c>
      <c r="E3140" s="37"/>
    </row>
    <row r="3141" spans="1:5" ht="12.75" x14ac:dyDescent="0.2">
      <c r="A3141" s="37"/>
      <c r="B3141" s="36" t="s">
        <v>422</v>
      </c>
      <c r="C3141" s="36" t="s">
        <v>2136</v>
      </c>
      <c r="D3141" s="36" t="s">
        <v>2137</v>
      </c>
      <c r="E3141" s="37"/>
    </row>
    <row r="3142" spans="1:5" ht="12.75" x14ac:dyDescent="0.2">
      <c r="A3142" s="37"/>
      <c r="B3142" s="37"/>
      <c r="C3142" s="37"/>
      <c r="D3142" s="37"/>
      <c r="E3142" s="37"/>
    </row>
    <row r="3143" spans="1:5" ht="12.75" x14ac:dyDescent="0.2">
      <c r="A3143" s="36" t="s">
        <v>2231</v>
      </c>
      <c r="B3143" s="37"/>
      <c r="C3143" s="37"/>
      <c r="D3143" s="37"/>
      <c r="E3143" s="37"/>
    </row>
    <row r="3144" spans="1:5" ht="12.75" x14ac:dyDescent="0.2">
      <c r="A3144" s="37"/>
      <c r="B3144" s="36" t="s">
        <v>398</v>
      </c>
      <c r="C3144" s="37"/>
      <c r="D3144" s="37"/>
      <c r="E3144" s="37"/>
    </row>
    <row r="3145" spans="1:5" ht="12.75" x14ac:dyDescent="0.2">
      <c r="A3145" s="37"/>
      <c r="B3145" s="36" t="s">
        <v>399</v>
      </c>
      <c r="C3145" s="36" t="s">
        <v>2198</v>
      </c>
      <c r="D3145" s="37"/>
      <c r="E3145" s="37"/>
    </row>
    <row r="3146" spans="1:5" ht="12.75" x14ac:dyDescent="0.2">
      <c r="A3146" s="37"/>
      <c r="B3146" s="36" t="s">
        <v>400</v>
      </c>
      <c r="C3146" s="36" t="s">
        <v>2231</v>
      </c>
      <c r="D3146" s="37"/>
      <c r="E3146" s="37"/>
    </row>
    <row r="3147" spans="1:5" ht="12.75" x14ac:dyDescent="0.2">
      <c r="A3147" s="37"/>
      <c r="B3147" s="36" t="s">
        <v>401</v>
      </c>
      <c r="C3147" s="37"/>
      <c r="D3147" s="37"/>
      <c r="E3147" s="37"/>
    </row>
    <row r="3148" spans="1:5" ht="12.75" x14ac:dyDescent="0.2">
      <c r="A3148" s="36" t="s">
        <v>2232</v>
      </c>
      <c r="B3148" s="37"/>
      <c r="C3148" s="37"/>
      <c r="D3148" s="37"/>
      <c r="E3148" s="37"/>
    </row>
    <row r="3149" spans="1:5" ht="12.75" x14ac:dyDescent="0.2">
      <c r="A3149" s="36" t="s">
        <v>2233</v>
      </c>
      <c r="B3149" s="37"/>
      <c r="C3149" s="37"/>
      <c r="D3149" s="37"/>
      <c r="E3149" s="37"/>
    </row>
    <row r="3150" spans="1:5" ht="12.75" x14ac:dyDescent="0.2">
      <c r="A3150" s="36" t="s">
        <v>2234</v>
      </c>
      <c r="B3150" s="37"/>
      <c r="C3150" s="37"/>
      <c r="D3150" s="37"/>
      <c r="E3150" s="37"/>
    </row>
    <row r="3151" spans="1:5" ht="12.75" x14ac:dyDescent="0.2">
      <c r="A3151" s="36" t="s">
        <v>2235</v>
      </c>
      <c r="B3151" s="37"/>
      <c r="C3151" s="37"/>
      <c r="D3151" s="37"/>
      <c r="E3151" s="37"/>
    </row>
    <row r="3152" spans="1:5" ht="12.75" x14ac:dyDescent="0.2">
      <c r="A3152" s="36" t="s">
        <v>2236</v>
      </c>
      <c r="B3152" s="37"/>
      <c r="C3152" s="37"/>
      <c r="D3152" s="37"/>
      <c r="E3152" s="37"/>
    </row>
    <row r="3153" spans="1:5" ht="12.75" x14ac:dyDescent="0.2">
      <c r="A3153" s="36" t="s">
        <v>2237</v>
      </c>
      <c r="B3153" s="37"/>
      <c r="C3153" s="37"/>
      <c r="D3153" s="37"/>
      <c r="E3153" s="37"/>
    </row>
    <row r="3154" spans="1:5" ht="12.75" x14ac:dyDescent="0.2">
      <c r="A3154" s="36" t="s">
        <v>2238</v>
      </c>
      <c r="B3154" s="37"/>
      <c r="C3154" s="37"/>
      <c r="D3154" s="37"/>
      <c r="E3154" s="37"/>
    </row>
    <row r="3155" spans="1:5" ht="12.75" x14ac:dyDescent="0.2">
      <c r="A3155" s="36" t="s">
        <v>2239</v>
      </c>
      <c r="B3155" s="37"/>
      <c r="C3155" s="37"/>
      <c r="D3155" s="37"/>
      <c r="E3155" s="37"/>
    </row>
    <row r="3156" spans="1:5" ht="12.75" x14ac:dyDescent="0.2">
      <c r="A3156" s="36" t="s">
        <v>2240</v>
      </c>
      <c r="B3156" s="37"/>
      <c r="C3156" s="37"/>
      <c r="D3156" s="37"/>
      <c r="E3156" s="37"/>
    </row>
    <row r="3157" spans="1:5" ht="12.75" x14ac:dyDescent="0.2">
      <c r="A3157" s="36" t="s">
        <v>2241</v>
      </c>
      <c r="B3157" s="37"/>
      <c r="C3157" s="37"/>
      <c r="D3157" s="37"/>
      <c r="E3157" s="37"/>
    </row>
    <row r="3158" spans="1:5" ht="12.75" x14ac:dyDescent="0.2">
      <c r="A3158" s="36" t="s">
        <v>2242</v>
      </c>
      <c r="B3158" s="37"/>
      <c r="C3158" s="37"/>
      <c r="D3158" s="37"/>
      <c r="E3158" s="37"/>
    </row>
    <row r="3159" spans="1:5" ht="12.75" x14ac:dyDescent="0.2">
      <c r="A3159" s="36" t="s">
        <v>2243</v>
      </c>
      <c r="B3159" s="37"/>
      <c r="C3159" s="37"/>
      <c r="D3159" s="37"/>
      <c r="E3159" s="37"/>
    </row>
    <row r="3160" spans="1:5" ht="12.75" x14ac:dyDescent="0.2">
      <c r="A3160" s="37"/>
      <c r="B3160" s="36" t="s">
        <v>422</v>
      </c>
      <c r="C3160" s="36" t="s">
        <v>2135</v>
      </c>
      <c r="D3160" s="36" t="s">
        <v>808</v>
      </c>
      <c r="E3160" s="37"/>
    </row>
    <row r="3161" spans="1:5" ht="12.75" x14ac:dyDescent="0.2">
      <c r="A3161" s="37"/>
      <c r="B3161" s="36" t="s">
        <v>422</v>
      </c>
      <c r="C3161" s="36" t="s">
        <v>836</v>
      </c>
      <c r="D3161" s="36" t="s">
        <v>837</v>
      </c>
      <c r="E3161" s="37"/>
    </row>
    <row r="3162" spans="1:5" ht="12.75" x14ac:dyDescent="0.2">
      <c r="A3162" s="37"/>
      <c r="B3162" s="36" t="s">
        <v>422</v>
      </c>
      <c r="C3162" s="36" t="s">
        <v>2136</v>
      </c>
      <c r="D3162" s="36" t="s">
        <v>2137</v>
      </c>
      <c r="E3162" s="37"/>
    </row>
    <row r="3163" spans="1:5" ht="12.75" x14ac:dyDescent="0.2">
      <c r="A3163" s="37"/>
      <c r="B3163" s="36" t="s">
        <v>422</v>
      </c>
      <c r="C3163" s="36" t="s">
        <v>2217</v>
      </c>
      <c r="D3163" s="36" t="s">
        <v>2218</v>
      </c>
      <c r="E3163" s="37"/>
    </row>
    <row r="3164" spans="1:5" ht="12.75" x14ac:dyDescent="0.2">
      <c r="A3164" s="37"/>
      <c r="B3164" s="37"/>
      <c r="C3164" s="37"/>
      <c r="D3164" s="37"/>
      <c r="E3164" s="37"/>
    </row>
    <row r="3165" spans="1:5" ht="12.75" x14ac:dyDescent="0.2">
      <c r="A3165" s="37"/>
      <c r="B3165" s="37"/>
      <c r="C3165" s="37"/>
      <c r="D3165" s="37"/>
      <c r="E3165" s="37"/>
    </row>
  </sheetData>
  <conditionalFormatting sqref="B1:B3165">
    <cfRule type="cellIs" dxfId="23" priority="1" operator="equal">
      <formula>"quick_reply"</formula>
    </cfRule>
  </conditionalFormatting>
  <conditionalFormatting sqref="B1:B3165">
    <cfRule type="cellIs" dxfId="22" priority="2" operator="equal">
      <formula>"parameter"</formula>
    </cfRule>
  </conditionalFormatting>
  <conditionalFormatting sqref="D1:D3165">
    <cfRule type="cellIs" dxfId="21" priority="3" operator="equal">
      <formula>"not yet"</formula>
    </cfRule>
  </conditionalFormatting>
  <conditionalFormatting sqref="A1:E3165">
    <cfRule type="expression" dxfId="20" priority="4">
      <formula>(FIND("-",$A1,1)&gt;0)</formula>
    </cfRule>
  </conditionalFormatting>
  <conditionalFormatting sqref="A1:E3165">
    <cfRule type="expression" dxfId="19" priority="5">
      <formula>(FIND("smalltalk",$A1,1)&gt;0)</formula>
    </cfRule>
  </conditionalFormatting>
  <conditionalFormatting sqref="A1:E3165">
    <cfRule type="expression" dxfId="18" priority="6">
      <formula>(FIND("weather",$A1,1)&gt;0)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E2358"/>
  <sheetViews>
    <sheetView showGridLines="0" workbookViewId="0"/>
  </sheetViews>
  <sheetFormatPr defaultColWidth="14.42578125" defaultRowHeight="15.75" customHeight="1" x14ac:dyDescent="0.2"/>
  <cols>
    <col min="1" max="1" width="50.28515625" customWidth="1"/>
    <col min="2" max="2" width="23.5703125" customWidth="1"/>
    <col min="3" max="3" width="79.7109375" customWidth="1"/>
    <col min="4" max="4" width="21.85546875" customWidth="1"/>
    <col min="5" max="5" width="51" customWidth="1"/>
  </cols>
  <sheetData>
    <row r="1" spans="1:5" ht="15.75" customHeight="1" x14ac:dyDescent="0.2">
      <c r="A1" s="38" t="s">
        <v>33</v>
      </c>
      <c r="B1" s="39"/>
      <c r="C1" s="39"/>
      <c r="D1" s="39"/>
      <c r="E1" s="39"/>
    </row>
    <row r="2" spans="1:5" ht="15.75" customHeight="1" x14ac:dyDescent="0.2">
      <c r="A2" s="40"/>
      <c r="B2" s="41" t="s">
        <v>402</v>
      </c>
      <c r="C2" s="41" t="s">
        <v>35</v>
      </c>
      <c r="D2" s="40"/>
      <c r="E2" s="40"/>
    </row>
    <row r="3" spans="1:5" ht="15.75" customHeight="1" x14ac:dyDescent="0.2">
      <c r="A3" s="40"/>
      <c r="B3" s="41" t="s">
        <v>402</v>
      </c>
      <c r="C3" s="41" t="s">
        <v>22</v>
      </c>
      <c r="D3" s="40"/>
      <c r="E3" s="40"/>
    </row>
    <row r="4" spans="1:5" ht="15.75" customHeight="1" x14ac:dyDescent="0.2">
      <c r="A4" s="40"/>
      <c r="B4" s="41" t="s">
        <v>403</v>
      </c>
      <c r="C4" s="41" t="s">
        <v>25</v>
      </c>
      <c r="D4" s="41" t="s">
        <v>27</v>
      </c>
      <c r="E4" s="40"/>
    </row>
    <row r="5" spans="1:5" ht="15.75" customHeight="1" x14ac:dyDescent="0.2">
      <c r="A5" s="40"/>
      <c r="B5" s="41" t="s">
        <v>403</v>
      </c>
      <c r="C5" s="41" t="s">
        <v>30</v>
      </c>
      <c r="D5" s="41" t="s">
        <v>31</v>
      </c>
      <c r="E5" s="40"/>
    </row>
    <row r="6" spans="1:5" ht="15.75" customHeight="1" x14ac:dyDescent="0.2">
      <c r="A6" s="40"/>
      <c r="B6" s="41" t="s">
        <v>403</v>
      </c>
      <c r="C6" s="41" t="s">
        <v>41</v>
      </c>
      <c r="D6" s="41" t="s">
        <v>10</v>
      </c>
      <c r="E6" s="40"/>
    </row>
    <row r="7" spans="1:5" ht="15.75" customHeight="1" x14ac:dyDescent="0.2">
      <c r="A7" s="40"/>
      <c r="B7" s="41"/>
      <c r="C7" s="41"/>
      <c r="D7" s="41"/>
      <c r="E7" s="40"/>
    </row>
    <row r="8" spans="1:5" ht="15.75" customHeight="1" x14ac:dyDescent="0.2">
      <c r="A8" s="38" t="s">
        <v>9</v>
      </c>
      <c r="B8" s="39"/>
      <c r="C8" s="39"/>
      <c r="D8" s="39"/>
      <c r="E8" s="39"/>
    </row>
    <row r="9" spans="1:5" ht="15.75" customHeight="1" x14ac:dyDescent="0.2">
      <c r="A9" s="40"/>
      <c r="B9" s="41" t="s">
        <v>402</v>
      </c>
      <c r="C9" s="41" t="s">
        <v>15</v>
      </c>
      <c r="D9" s="40"/>
      <c r="E9" s="40"/>
    </row>
    <row r="10" spans="1:5" ht="15.75" customHeight="1" x14ac:dyDescent="0.2">
      <c r="A10" s="41"/>
      <c r="B10" s="41" t="s">
        <v>402</v>
      </c>
      <c r="C10" s="41" t="s">
        <v>18</v>
      </c>
      <c r="D10" s="40"/>
      <c r="E10" s="40"/>
    </row>
    <row r="11" spans="1:5" ht="15.75" customHeight="1" x14ac:dyDescent="0.2">
      <c r="A11" s="40"/>
      <c r="B11" s="41" t="s">
        <v>402</v>
      </c>
      <c r="C11" s="41" t="s">
        <v>20</v>
      </c>
      <c r="D11" s="40"/>
      <c r="E11" s="40"/>
    </row>
    <row r="12" spans="1:5" ht="15.75" customHeight="1" x14ac:dyDescent="0.2">
      <c r="A12" s="40"/>
      <c r="B12" s="41" t="s">
        <v>402</v>
      </c>
      <c r="C12" s="41" t="s">
        <v>22</v>
      </c>
      <c r="D12" s="40"/>
      <c r="E12" s="40"/>
    </row>
    <row r="13" spans="1:5" ht="15.75" customHeight="1" x14ac:dyDescent="0.2">
      <c r="A13" s="40"/>
      <c r="B13" s="41" t="s">
        <v>403</v>
      </c>
      <c r="C13" s="41" t="s">
        <v>25</v>
      </c>
      <c r="D13" s="41" t="s">
        <v>27</v>
      </c>
      <c r="E13" s="40"/>
    </row>
    <row r="14" spans="1:5" ht="15.75" customHeight="1" x14ac:dyDescent="0.2">
      <c r="A14" s="40"/>
      <c r="B14" s="41" t="s">
        <v>403</v>
      </c>
      <c r="C14" s="41" t="s">
        <v>30</v>
      </c>
      <c r="D14" s="41" t="s">
        <v>31</v>
      </c>
      <c r="E14" s="40"/>
    </row>
    <row r="15" spans="1:5" ht="15.75" customHeight="1" x14ac:dyDescent="0.2">
      <c r="A15" s="40"/>
      <c r="B15" s="41" t="s">
        <v>403</v>
      </c>
      <c r="C15" s="41" t="s">
        <v>16</v>
      </c>
      <c r="D15" s="41" t="s">
        <v>10</v>
      </c>
      <c r="E15" s="40"/>
    </row>
    <row r="16" spans="1:5" ht="15.75" customHeight="1" x14ac:dyDescent="0.2">
      <c r="A16" s="40"/>
      <c r="B16" s="41"/>
      <c r="C16" s="41"/>
      <c r="D16" s="41"/>
      <c r="E16" s="40"/>
    </row>
    <row r="17" spans="1:5" ht="15.75" customHeight="1" x14ac:dyDescent="0.2">
      <c r="A17" s="38" t="s">
        <v>368</v>
      </c>
      <c r="B17" s="39"/>
      <c r="C17" s="39"/>
      <c r="D17" s="39"/>
      <c r="E17" s="39"/>
    </row>
    <row r="18" spans="1:5" ht="15.75" customHeight="1" x14ac:dyDescent="0.2">
      <c r="A18" s="41" t="s">
        <v>405</v>
      </c>
      <c r="B18" s="41" t="s">
        <v>402</v>
      </c>
      <c r="C18" s="41" t="s">
        <v>370</v>
      </c>
      <c r="D18" s="40"/>
      <c r="E18" s="40"/>
    </row>
    <row r="19" spans="1:5" ht="15.75" customHeight="1" x14ac:dyDescent="0.2">
      <c r="A19" s="41" t="s">
        <v>369</v>
      </c>
      <c r="B19" s="41" t="s">
        <v>402</v>
      </c>
      <c r="C19" s="41" t="s">
        <v>19</v>
      </c>
      <c r="D19" s="40"/>
      <c r="E19" s="40"/>
    </row>
    <row r="20" spans="1:5" ht="15.75" customHeight="1" x14ac:dyDescent="0.2">
      <c r="A20" s="41"/>
      <c r="B20" s="41" t="s">
        <v>403</v>
      </c>
      <c r="C20" s="41" t="s">
        <v>38</v>
      </c>
      <c r="D20" s="41" t="s">
        <v>26</v>
      </c>
      <c r="E20" s="40"/>
    </row>
    <row r="21" spans="1:5" ht="15.75" customHeight="1" x14ac:dyDescent="0.2">
      <c r="A21" s="41"/>
      <c r="B21" s="41" t="s">
        <v>403</v>
      </c>
      <c r="C21" s="41" t="s">
        <v>56</v>
      </c>
      <c r="D21" s="41" t="s">
        <v>29</v>
      </c>
      <c r="E21" s="40"/>
    </row>
    <row r="22" spans="1:5" ht="15.75" customHeight="1" x14ac:dyDescent="0.2">
      <c r="A22" s="40"/>
      <c r="B22" s="41" t="s">
        <v>403</v>
      </c>
      <c r="C22" s="41" t="s">
        <v>25</v>
      </c>
      <c r="D22" s="41" t="s">
        <v>27</v>
      </c>
      <c r="E22" s="40"/>
    </row>
    <row r="23" spans="1:5" ht="15.75" customHeight="1" x14ac:dyDescent="0.2">
      <c r="A23" s="40"/>
      <c r="B23" s="41" t="s">
        <v>403</v>
      </c>
      <c r="C23" s="41" t="s">
        <v>30</v>
      </c>
      <c r="D23" s="41" t="s">
        <v>31</v>
      </c>
      <c r="E23" s="40"/>
    </row>
    <row r="24" spans="1:5" ht="15.75" customHeight="1" x14ac:dyDescent="0.2">
      <c r="A24" s="40"/>
      <c r="B24" s="41"/>
      <c r="C24" s="41"/>
      <c r="D24" s="41"/>
      <c r="E24" s="40"/>
    </row>
    <row r="25" spans="1:5" ht="15.75" customHeight="1" x14ac:dyDescent="0.2">
      <c r="A25" s="38" t="s">
        <v>373</v>
      </c>
      <c r="B25" s="39"/>
      <c r="C25" s="39"/>
      <c r="D25" s="39"/>
      <c r="E25" s="39"/>
    </row>
    <row r="26" spans="1:5" ht="15.75" customHeight="1" x14ac:dyDescent="0.2">
      <c r="A26" s="41" t="s">
        <v>406</v>
      </c>
      <c r="B26" s="41" t="s">
        <v>402</v>
      </c>
      <c r="C26" s="41" t="s">
        <v>375</v>
      </c>
      <c r="D26" s="40"/>
      <c r="E26" s="40"/>
    </row>
    <row r="27" spans="1:5" ht="15.75" customHeight="1" x14ac:dyDescent="0.2">
      <c r="A27" s="41" t="s">
        <v>407</v>
      </c>
      <c r="B27" s="41" t="s">
        <v>402</v>
      </c>
      <c r="C27" s="41" t="s">
        <v>19</v>
      </c>
      <c r="D27" s="40"/>
      <c r="E27" s="40"/>
    </row>
    <row r="28" spans="1:5" ht="15.75" customHeight="1" x14ac:dyDescent="0.2">
      <c r="A28" s="41" t="s">
        <v>408</v>
      </c>
      <c r="B28" s="41"/>
      <c r="C28" s="40"/>
      <c r="D28" s="40"/>
      <c r="E28" s="40"/>
    </row>
    <row r="29" spans="1:5" ht="15.75" customHeight="1" x14ac:dyDescent="0.2">
      <c r="A29" s="41" t="s">
        <v>374</v>
      </c>
      <c r="B29" s="41"/>
      <c r="C29" s="40"/>
      <c r="D29" s="40"/>
      <c r="E29" s="40"/>
    </row>
    <row r="30" spans="1:5" ht="12.75" x14ac:dyDescent="0.2">
      <c r="A30" s="41"/>
      <c r="B30" s="41" t="s">
        <v>403</v>
      </c>
      <c r="C30" s="41" t="s">
        <v>38</v>
      </c>
      <c r="D30" s="41" t="s">
        <v>26</v>
      </c>
      <c r="E30" s="40"/>
    </row>
    <row r="31" spans="1:5" ht="12.75" x14ac:dyDescent="0.2">
      <c r="A31" s="41"/>
      <c r="B31" s="41" t="s">
        <v>403</v>
      </c>
      <c r="C31" s="41" t="s">
        <v>56</v>
      </c>
      <c r="D31" s="41" t="s">
        <v>29</v>
      </c>
      <c r="E31" s="40"/>
    </row>
    <row r="32" spans="1:5" ht="12.75" x14ac:dyDescent="0.2">
      <c r="A32" s="40"/>
      <c r="B32" s="41" t="s">
        <v>403</v>
      </c>
      <c r="C32" s="41" t="s">
        <v>25</v>
      </c>
      <c r="D32" s="41" t="s">
        <v>27</v>
      </c>
      <c r="E32" s="40"/>
    </row>
    <row r="33" spans="1:5" ht="12.75" x14ac:dyDescent="0.2">
      <c r="A33" s="40"/>
      <c r="B33" s="41" t="s">
        <v>403</v>
      </c>
      <c r="C33" s="41" t="s">
        <v>30</v>
      </c>
      <c r="D33" s="41" t="s">
        <v>31</v>
      </c>
      <c r="E33" s="40"/>
    </row>
    <row r="34" spans="1:5" ht="12.75" x14ac:dyDescent="0.2">
      <c r="A34" s="40"/>
      <c r="B34" s="41"/>
      <c r="C34" s="41"/>
      <c r="D34" s="41"/>
      <c r="E34" s="40"/>
    </row>
    <row r="35" spans="1:5" ht="12.75" x14ac:dyDescent="0.2">
      <c r="A35" s="38" t="s">
        <v>378</v>
      </c>
      <c r="B35" s="39"/>
      <c r="C35" s="39"/>
      <c r="D35" s="39"/>
      <c r="E35" s="39"/>
    </row>
    <row r="36" spans="1:5" ht="25.5" x14ac:dyDescent="0.2">
      <c r="A36" s="41" t="s">
        <v>409</v>
      </c>
      <c r="B36" s="41" t="s">
        <v>402</v>
      </c>
      <c r="C36" s="41" t="s">
        <v>410</v>
      </c>
      <c r="D36" s="40"/>
      <c r="E36" s="40"/>
    </row>
    <row r="37" spans="1:5" ht="12.75" x14ac:dyDescent="0.2">
      <c r="A37" s="41" t="s">
        <v>411</v>
      </c>
      <c r="B37" s="41" t="s">
        <v>402</v>
      </c>
      <c r="C37" s="41" t="s">
        <v>19</v>
      </c>
      <c r="D37" s="40"/>
      <c r="E37" s="40"/>
    </row>
    <row r="38" spans="1:5" ht="12.75" x14ac:dyDescent="0.2">
      <c r="A38" s="41" t="s">
        <v>412</v>
      </c>
      <c r="B38" s="41"/>
      <c r="C38" s="40"/>
      <c r="D38" s="40"/>
      <c r="E38" s="40"/>
    </row>
    <row r="39" spans="1:5" ht="12.75" x14ac:dyDescent="0.2">
      <c r="A39" s="41" t="s">
        <v>413</v>
      </c>
      <c r="B39" s="41"/>
      <c r="C39" s="40"/>
      <c r="D39" s="40"/>
      <c r="E39" s="40"/>
    </row>
    <row r="40" spans="1:5" ht="12.75" x14ac:dyDescent="0.2">
      <c r="A40" s="41" t="s">
        <v>379</v>
      </c>
      <c r="B40" s="40"/>
      <c r="C40" s="40"/>
      <c r="D40" s="40"/>
      <c r="E40" s="40"/>
    </row>
    <row r="41" spans="1:5" ht="12.75" x14ac:dyDescent="0.2">
      <c r="A41" s="41"/>
      <c r="B41" s="41" t="s">
        <v>403</v>
      </c>
      <c r="C41" s="41" t="s">
        <v>38</v>
      </c>
      <c r="D41" s="41" t="s">
        <v>26</v>
      </c>
      <c r="E41" s="40"/>
    </row>
    <row r="42" spans="1:5" ht="12.75" x14ac:dyDescent="0.2">
      <c r="A42" s="41"/>
      <c r="B42" s="41" t="s">
        <v>403</v>
      </c>
      <c r="C42" s="41" t="s">
        <v>56</v>
      </c>
      <c r="D42" s="41" t="s">
        <v>29</v>
      </c>
      <c r="E42" s="40"/>
    </row>
    <row r="43" spans="1:5" ht="12.75" x14ac:dyDescent="0.2">
      <c r="A43" s="40"/>
      <c r="B43" s="41" t="s">
        <v>403</v>
      </c>
      <c r="C43" s="41" t="s">
        <v>25</v>
      </c>
      <c r="D43" s="41" t="s">
        <v>27</v>
      </c>
      <c r="E43" s="40"/>
    </row>
    <row r="44" spans="1:5" ht="12.75" x14ac:dyDescent="0.2">
      <c r="A44" s="40"/>
      <c r="B44" s="41" t="s">
        <v>403</v>
      </c>
      <c r="C44" s="41" t="s">
        <v>30</v>
      </c>
      <c r="D44" s="41" t="s">
        <v>31</v>
      </c>
      <c r="E44" s="40"/>
    </row>
    <row r="45" spans="1:5" ht="12.75" x14ac:dyDescent="0.2">
      <c r="A45" s="40"/>
      <c r="B45" s="41"/>
      <c r="C45" s="41"/>
      <c r="D45" s="41"/>
      <c r="E45" s="40"/>
    </row>
    <row r="46" spans="1:5" ht="12.75" x14ac:dyDescent="0.2">
      <c r="A46" s="38" t="s">
        <v>10</v>
      </c>
      <c r="B46" s="39"/>
      <c r="C46" s="39"/>
      <c r="D46" s="39"/>
      <c r="E46" s="39"/>
    </row>
    <row r="47" spans="1:5" ht="12.75" x14ac:dyDescent="0.2">
      <c r="A47" s="41" t="s">
        <v>414</v>
      </c>
      <c r="B47" s="41" t="s">
        <v>402</v>
      </c>
      <c r="C47" s="41" t="s">
        <v>17</v>
      </c>
      <c r="D47" s="40"/>
      <c r="E47" s="40"/>
    </row>
    <row r="48" spans="1:5" ht="12.75" x14ac:dyDescent="0.2">
      <c r="A48" s="41" t="s">
        <v>415</v>
      </c>
      <c r="B48" s="40"/>
      <c r="C48" s="40"/>
      <c r="D48" s="40"/>
      <c r="E48" s="40"/>
    </row>
    <row r="49" spans="1:5" ht="12.75" x14ac:dyDescent="0.2">
      <c r="A49" s="41" t="s">
        <v>416</v>
      </c>
      <c r="B49" s="41"/>
      <c r="C49" s="40"/>
      <c r="D49" s="40"/>
      <c r="E49" s="40"/>
    </row>
    <row r="50" spans="1:5" ht="12.75" x14ac:dyDescent="0.2">
      <c r="A50" s="41" t="s">
        <v>417</v>
      </c>
      <c r="B50" s="40"/>
      <c r="C50" s="40"/>
      <c r="D50" s="40"/>
      <c r="E50" s="40"/>
    </row>
    <row r="51" spans="1:5" ht="12.75" x14ac:dyDescent="0.2">
      <c r="A51" s="41" t="s">
        <v>41</v>
      </c>
      <c r="B51" s="40"/>
      <c r="C51" s="40"/>
      <c r="D51" s="40"/>
      <c r="E51" s="40"/>
    </row>
    <row r="52" spans="1:5" ht="12.75" x14ac:dyDescent="0.2">
      <c r="A52" s="41" t="s">
        <v>16</v>
      </c>
      <c r="B52" s="40"/>
      <c r="C52" s="40"/>
      <c r="D52" s="40"/>
      <c r="E52" s="40"/>
    </row>
    <row r="53" spans="1:5" ht="12.75" x14ac:dyDescent="0.2">
      <c r="A53" s="41"/>
      <c r="B53" s="41" t="s">
        <v>403</v>
      </c>
      <c r="C53" s="41" t="s">
        <v>23</v>
      </c>
      <c r="D53" s="41" t="s">
        <v>26</v>
      </c>
      <c r="E53" s="40"/>
    </row>
    <row r="54" spans="1:5" ht="12.75" x14ac:dyDescent="0.2">
      <c r="A54" s="41"/>
      <c r="B54" s="41" t="s">
        <v>403</v>
      </c>
      <c r="C54" s="41" t="s">
        <v>28</v>
      </c>
      <c r="D54" s="41" t="s">
        <v>29</v>
      </c>
      <c r="E54" s="40"/>
    </row>
    <row r="55" spans="1:5" ht="12.75" x14ac:dyDescent="0.2">
      <c r="A55" s="40"/>
      <c r="B55" s="41"/>
      <c r="C55" s="41"/>
      <c r="D55" s="41"/>
      <c r="E55" s="40"/>
    </row>
    <row r="56" spans="1:5" ht="12.75" x14ac:dyDescent="0.2">
      <c r="A56" s="38" t="s">
        <v>26</v>
      </c>
      <c r="B56" s="39"/>
      <c r="C56" s="39"/>
      <c r="D56" s="39"/>
      <c r="E56" s="39"/>
    </row>
    <row r="57" spans="1:5" ht="25.5" x14ac:dyDescent="0.2">
      <c r="A57" s="41" t="s">
        <v>418</v>
      </c>
      <c r="B57" s="41" t="s">
        <v>402</v>
      </c>
      <c r="C57" s="41" t="s">
        <v>34</v>
      </c>
      <c r="D57" s="40"/>
      <c r="E57" s="40"/>
    </row>
    <row r="58" spans="1:5" ht="12.75" x14ac:dyDescent="0.2">
      <c r="A58" s="41" t="s">
        <v>420</v>
      </c>
      <c r="B58" s="40"/>
      <c r="C58" s="40"/>
      <c r="D58" s="40"/>
      <c r="E58" s="40"/>
    </row>
    <row r="59" spans="1:5" ht="12.75" x14ac:dyDescent="0.2">
      <c r="A59" s="41" t="s">
        <v>421</v>
      </c>
      <c r="B59" s="41"/>
      <c r="C59" s="40"/>
      <c r="D59" s="40"/>
      <c r="E59" s="40"/>
    </row>
    <row r="60" spans="1:5" ht="12.75" x14ac:dyDescent="0.2">
      <c r="A60" s="41" t="s">
        <v>24</v>
      </c>
      <c r="B60" s="40"/>
      <c r="C60" s="40"/>
      <c r="D60" s="40"/>
      <c r="E60" s="40"/>
    </row>
    <row r="61" spans="1:5" ht="12.75" x14ac:dyDescent="0.2">
      <c r="A61" s="41" t="s">
        <v>23</v>
      </c>
      <c r="B61" s="40"/>
      <c r="C61" s="40"/>
      <c r="D61" s="40"/>
      <c r="E61" s="40"/>
    </row>
    <row r="62" spans="1:5" ht="12.75" x14ac:dyDescent="0.2">
      <c r="A62" s="41"/>
      <c r="B62" s="41" t="s">
        <v>422</v>
      </c>
      <c r="C62" s="41" t="s">
        <v>423</v>
      </c>
      <c r="D62" s="41" t="s">
        <v>424</v>
      </c>
      <c r="E62" s="40"/>
    </row>
    <row r="63" spans="1:5" ht="12.75" x14ac:dyDescent="0.2">
      <c r="A63" s="41"/>
      <c r="B63" s="41" t="s">
        <v>422</v>
      </c>
      <c r="C63" s="41" t="s">
        <v>425</v>
      </c>
      <c r="D63" s="41" t="s">
        <v>426</v>
      </c>
      <c r="E63" s="40"/>
    </row>
    <row r="64" spans="1:5" ht="12.75" x14ac:dyDescent="0.2">
      <c r="A64" s="40"/>
      <c r="B64" s="41" t="s">
        <v>403</v>
      </c>
      <c r="C64" s="41" t="s">
        <v>40</v>
      </c>
      <c r="D64" s="41" t="s">
        <v>60</v>
      </c>
      <c r="E64" s="40"/>
    </row>
    <row r="65" spans="1:5" ht="12.75" x14ac:dyDescent="0.2">
      <c r="A65" s="40"/>
      <c r="B65" s="41" t="s">
        <v>403</v>
      </c>
      <c r="C65" s="41" t="s">
        <v>44</v>
      </c>
      <c r="D65" s="41" t="s">
        <v>75</v>
      </c>
      <c r="E65" s="40"/>
    </row>
    <row r="66" spans="1:5" ht="12.75" x14ac:dyDescent="0.2">
      <c r="A66" s="40"/>
      <c r="B66" s="41" t="s">
        <v>403</v>
      </c>
      <c r="C66" s="41" t="s">
        <v>48</v>
      </c>
      <c r="D66" s="41" t="s">
        <v>87</v>
      </c>
      <c r="E66" s="40"/>
    </row>
    <row r="67" spans="1:5" ht="12.75" x14ac:dyDescent="0.2">
      <c r="A67" s="40"/>
      <c r="B67" s="41" t="s">
        <v>403</v>
      </c>
      <c r="C67" s="41" t="s">
        <v>51</v>
      </c>
      <c r="D67" s="41" t="s">
        <v>115</v>
      </c>
      <c r="E67" s="40"/>
    </row>
    <row r="68" spans="1:5" ht="12.75" x14ac:dyDescent="0.2">
      <c r="A68" s="40"/>
      <c r="B68" s="41" t="s">
        <v>403</v>
      </c>
      <c r="C68" s="41" t="s">
        <v>53</v>
      </c>
      <c r="D68" s="41" t="s">
        <v>164</v>
      </c>
      <c r="E68" s="40"/>
    </row>
    <row r="69" spans="1:5" ht="12.75" x14ac:dyDescent="0.2">
      <c r="A69" s="40"/>
      <c r="B69" s="41" t="s">
        <v>403</v>
      </c>
      <c r="C69" s="41" t="s">
        <v>56</v>
      </c>
      <c r="D69" s="41" t="s">
        <v>29</v>
      </c>
      <c r="E69" s="40"/>
    </row>
    <row r="70" spans="1:5" ht="12.75" x14ac:dyDescent="0.2">
      <c r="A70" s="40"/>
      <c r="B70" s="40"/>
      <c r="C70" s="40"/>
      <c r="D70" s="40"/>
      <c r="E70" s="40"/>
    </row>
    <row r="71" spans="1:5" ht="12.75" x14ac:dyDescent="0.2">
      <c r="A71" s="38" t="s">
        <v>11</v>
      </c>
      <c r="B71" s="39"/>
      <c r="C71" s="39"/>
      <c r="D71" s="39"/>
      <c r="E71" s="39"/>
    </row>
    <row r="72" spans="1:5" ht="63.75" x14ac:dyDescent="0.2">
      <c r="A72" s="41" t="s">
        <v>427</v>
      </c>
      <c r="B72" s="41" t="s">
        <v>402</v>
      </c>
      <c r="C72" s="41" t="s">
        <v>428</v>
      </c>
      <c r="D72" s="40"/>
      <c r="E72" s="40"/>
    </row>
    <row r="73" spans="1:5" ht="12.75" x14ac:dyDescent="0.2">
      <c r="A73" s="41" t="s">
        <v>429</v>
      </c>
      <c r="B73" s="41" t="s">
        <v>402</v>
      </c>
      <c r="C73" s="41" t="s">
        <v>19</v>
      </c>
      <c r="D73" s="40"/>
      <c r="E73" s="40"/>
    </row>
    <row r="74" spans="1:5" ht="12.75" x14ac:dyDescent="0.2">
      <c r="A74" s="41" t="s">
        <v>430</v>
      </c>
      <c r="B74" s="40"/>
      <c r="C74" s="40"/>
      <c r="D74" s="40"/>
      <c r="E74" s="40"/>
    </row>
    <row r="75" spans="1:5" ht="12.75" x14ac:dyDescent="0.2">
      <c r="A75" s="41" t="s">
        <v>431</v>
      </c>
      <c r="B75" s="40"/>
      <c r="C75" s="40"/>
      <c r="D75" s="40"/>
      <c r="E75" s="40"/>
    </row>
    <row r="76" spans="1:5" ht="12.75" x14ac:dyDescent="0.2">
      <c r="A76" s="41" t="s">
        <v>432</v>
      </c>
      <c r="B76" s="40"/>
      <c r="C76" s="40"/>
      <c r="D76" s="40"/>
      <c r="E76" s="40"/>
    </row>
    <row r="77" spans="1:5" ht="12.75" x14ac:dyDescent="0.2">
      <c r="A77" s="41" t="s">
        <v>433</v>
      </c>
      <c r="B77" s="40"/>
      <c r="C77" s="40"/>
      <c r="D77" s="40"/>
      <c r="E77" s="40"/>
    </row>
    <row r="78" spans="1:5" ht="12.75" x14ac:dyDescent="0.2">
      <c r="A78" s="41" t="s">
        <v>13</v>
      </c>
      <c r="B78" s="40"/>
      <c r="C78" s="40"/>
      <c r="D78" s="40"/>
      <c r="E78" s="40"/>
    </row>
    <row r="79" spans="1:5" ht="12.75" x14ac:dyDescent="0.2">
      <c r="A79" s="40"/>
      <c r="B79" s="41" t="s">
        <v>403</v>
      </c>
      <c r="C79" s="41" t="s">
        <v>24</v>
      </c>
      <c r="D79" s="41" t="s">
        <v>26</v>
      </c>
      <c r="E79" s="40"/>
    </row>
    <row r="80" spans="1:5" ht="12.75" x14ac:dyDescent="0.2">
      <c r="A80" s="40"/>
      <c r="B80" s="41" t="s">
        <v>403</v>
      </c>
      <c r="C80" s="41" t="s">
        <v>32</v>
      </c>
      <c r="D80" s="41" t="s">
        <v>29</v>
      </c>
      <c r="E80" s="40"/>
    </row>
    <row r="81" spans="1:5" ht="12.75" x14ac:dyDescent="0.2">
      <c r="A81" s="40"/>
      <c r="B81" s="41" t="s">
        <v>403</v>
      </c>
      <c r="C81" s="41" t="s">
        <v>25</v>
      </c>
      <c r="D81" s="41" t="s">
        <v>27</v>
      </c>
      <c r="E81" s="40"/>
    </row>
    <row r="82" spans="1:5" ht="12.75" x14ac:dyDescent="0.2">
      <c r="A82" s="40"/>
      <c r="B82" s="41" t="s">
        <v>403</v>
      </c>
      <c r="C82" s="41" t="s">
        <v>30</v>
      </c>
      <c r="D82" s="41" t="s">
        <v>31</v>
      </c>
      <c r="E82" s="40"/>
    </row>
    <row r="83" spans="1:5" ht="12.75" x14ac:dyDescent="0.2">
      <c r="A83" s="40"/>
      <c r="B83" s="40"/>
      <c r="C83" s="40"/>
      <c r="D83" s="40"/>
      <c r="E83" s="40"/>
    </row>
    <row r="84" spans="1:5" ht="12.75" x14ac:dyDescent="0.2">
      <c r="A84" s="38" t="s">
        <v>36</v>
      </c>
      <c r="B84" s="39"/>
      <c r="C84" s="39"/>
      <c r="D84" s="39"/>
      <c r="E84" s="39"/>
    </row>
    <row r="85" spans="1:5" ht="51" x14ac:dyDescent="0.2">
      <c r="A85" s="41" t="s">
        <v>434</v>
      </c>
      <c r="B85" s="41" t="s">
        <v>402</v>
      </c>
      <c r="C85" s="41" t="s">
        <v>435</v>
      </c>
      <c r="D85" s="40"/>
      <c r="E85" s="40"/>
    </row>
    <row r="86" spans="1:5" ht="12.75" x14ac:dyDescent="0.2">
      <c r="A86" s="41" t="s">
        <v>436</v>
      </c>
      <c r="B86" s="41" t="s">
        <v>402</v>
      </c>
      <c r="C86" s="41" t="s">
        <v>19</v>
      </c>
      <c r="D86" s="40"/>
      <c r="E86" s="40"/>
    </row>
    <row r="87" spans="1:5" ht="12.75" x14ac:dyDescent="0.2">
      <c r="A87" s="41" t="s">
        <v>437</v>
      </c>
      <c r="B87" s="40"/>
      <c r="C87" s="40"/>
      <c r="D87" s="40"/>
      <c r="E87" s="40"/>
    </row>
    <row r="88" spans="1:5" ht="12.75" x14ac:dyDescent="0.2">
      <c r="A88" s="41" t="s">
        <v>37</v>
      </c>
      <c r="B88" s="40"/>
      <c r="C88" s="40"/>
      <c r="D88" s="40"/>
      <c r="E88" s="40"/>
    </row>
    <row r="89" spans="1:5" ht="12.75" x14ac:dyDescent="0.2">
      <c r="A89" s="40"/>
      <c r="B89" s="41" t="s">
        <v>403</v>
      </c>
      <c r="C89" s="41" t="s">
        <v>24</v>
      </c>
      <c r="D89" s="41" t="s">
        <v>26</v>
      </c>
      <c r="E89" s="40"/>
    </row>
    <row r="90" spans="1:5" ht="12.75" x14ac:dyDescent="0.2">
      <c r="A90" s="40"/>
      <c r="B90" s="41" t="s">
        <v>403</v>
      </c>
      <c r="C90" s="41" t="s">
        <v>32</v>
      </c>
      <c r="D90" s="41" t="s">
        <v>29</v>
      </c>
      <c r="E90" s="40"/>
    </row>
    <row r="91" spans="1:5" ht="12.75" x14ac:dyDescent="0.2">
      <c r="A91" s="40"/>
      <c r="B91" s="41" t="s">
        <v>403</v>
      </c>
      <c r="C91" s="41" t="s">
        <v>25</v>
      </c>
      <c r="D91" s="41" t="s">
        <v>27</v>
      </c>
      <c r="E91" s="40"/>
    </row>
    <row r="92" spans="1:5" ht="12.75" x14ac:dyDescent="0.2">
      <c r="A92" s="40"/>
      <c r="B92" s="41" t="s">
        <v>403</v>
      </c>
      <c r="C92" s="41" t="s">
        <v>30</v>
      </c>
      <c r="D92" s="41" t="s">
        <v>31</v>
      </c>
      <c r="E92" s="40"/>
    </row>
    <row r="93" spans="1:5" ht="12.75" x14ac:dyDescent="0.2">
      <c r="A93" s="40"/>
      <c r="B93" s="40"/>
      <c r="C93" s="40"/>
      <c r="D93" s="40"/>
      <c r="E93" s="40"/>
    </row>
    <row r="94" spans="1:5" ht="12.75" x14ac:dyDescent="0.2">
      <c r="A94" s="38" t="s">
        <v>55</v>
      </c>
      <c r="B94" s="39"/>
      <c r="C94" s="39"/>
      <c r="D94" s="39"/>
      <c r="E94" s="39"/>
    </row>
    <row r="95" spans="1:5" ht="63.75" x14ac:dyDescent="0.2">
      <c r="A95" s="41" t="s">
        <v>438</v>
      </c>
      <c r="B95" s="41" t="s">
        <v>402</v>
      </c>
      <c r="C95" s="41" t="s">
        <v>59</v>
      </c>
      <c r="D95" s="40"/>
      <c r="E95" s="40"/>
    </row>
    <row r="96" spans="1:5" ht="12.75" x14ac:dyDescent="0.2">
      <c r="A96" s="41" t="s">
        <v>439</v>
      </c>
      <c r="B96" s="41" t="s">
        <v>402</v>
      </c>
      <c r="C96" s="41" t="s">
        <v>19</v>
      </c>
      <c r="D96" s="40"/>
      <c r="E96" s="40"/>
    </row>
    <row r="97" spans="1:5" ht="12.75" x14ac:dyDescent="0.2">
      <c r="A97" s="41" t="s">
        <v>440</v>
      </c>
      <c r="B97" s="40"/>
      <c r="C97" s="40"/>
      <c r="D97" s="40"/>
      <c r="E97" s="40"/>
    </row>
    <row r="98" spans="1:5" ht="12.75" x14ac:dyDescent="0.2">
      <c r="A98" s="41" t="s">
        <v>441</v>
      </c>
      <c r="B98" s="40"/>
      <c r="C98" s="40"/>
      <c r="D98" s="40"/>
      <c r="E98" s="40"/>
    </row>
    <row r="99" spans="1:5" ht="12.75" x14ac:dyDescent="0.2">
      <c r="A99" s="41" t="s">
        <v>58</v>
      </c>
      <c r="B99" s="40"/>
      <c r="C99" s="40"/>
      <c r="D99" s="40"/>
      <c r="E99" s="40"/>
    </row>
    <row r="100" spans="1:5" ht="12.75" x14ac:dyDescent="0.2">
      <c r="A100" s="40"/>
      <c r="B100" s="41" t="s">
        <v>403</v>
      </c>
      <c r="C100" s="41" t="s">
        <v>24</v>
      </c>
      <c r="D100" s="41" t="s">
        <v>26</v>
      </c>
      <c r="E100" s="40"/>
    </row>
    <row r="101" spans="1:5" ht="12.75" x14ac:dyDescent="0.2">
      <c r="A101" s="40"/>
      <c r="B101" s="41" t="s">
        <v>403</v>
      </c>
      <c r="C101" s="41" t="s">
        <v>32</v>
      </c>
      <c r="D101" s="41" t="s">
        <v>29</v>
      </c>
      <c r="E101" s="40"/>
    </row>
    <row r="102" spans="1:5" ht="12.75" x14ac:dyDescent="0.2">
      <c r="A102" s="40"/>
      <c r="B102" s="41" t="s">
        <v>403</v>
      </c>
      <c r="C102" s="41" t="s">
        <v>25</v>
      </c>
      <c r="D102" s="41" t="s">
        <v>27</v>
      </c>
      <c r="E102" s="40"/>
    </row>
    <row r="103" spans="1:5" ht="12.75" x14ac:dyDescent="0.2">
      <c r="A103" s="40"/>
      <c r="B103" s="41" t="s">
        <v>403</v>
      </c>
      <c r="C103" s="41" t="s">
        <v>30</v>
      </c>
      <c r="D103" s="41" t="s">
        <v>31</v>
      </c>
      <c r="E103" s="40"/>
    </row>
    <row r="104" spans="1:5" ht="12.75" x14ac:dyDescent="0.2">
      <c r="A104" s="40"/>
      <c r="B104" s="40"/>
      <c r="C104" s="40"/>
      <c r="D104" s="40"/>
      <c r="E104" s="40"/>
    </row>
    <row r="105" spans="1:5" ht="12.75" x14ac:dyDescent="0.2">
      <c r="A105" s="38" t="s">
        <v>60</v>
      </c>
      <c r="B105" s="39"/>
      <c r="C105" s="39"/>
      <c r="D105" s="39"/>
      <c r="E105" s="39"/>
    </row>
    <row r="106" spans="1:5" ht="12.75" x14ac:dyDescent="0.2">
      <c r="A106" s="41" t="s">
        <v>442</v>
      </c>
      <c r="B106" s="41" t="s">
        <v>402</v>
      </c>
      <c r="C106" s="41" t="s">
        <v>62</v>
      </c>
      <c r="D106" s="40"/>
      <c r="E106" s="40"/>
    </row>
    <row r="107" spans="1:5" ht="12.75" x14ac:dyDescent="0.2">
      <c r="A107" s="41" t="s">
        <v>40</v>
      </c>
      <c r="B107" s="40"/>
      <c r="C107" s="40"/>
      <c r="D107" s="40"/>
      <c r="E107" s="40"/>
    </row>
    <row r="108" spans="1:5" ht="12.75" x14ac:dyDescent="0.2">
      <c r="A108" s="40"/>
      <c r="B108" s="41" t="s">
        <v>422</v>
      </c>
      <c r="C108" s="41" t="s">
        <v>425</v>
      </c>
      <c r="D108" s="41" t="s">
        <v>426</v>
      </c>
      <c r="E108" s="40"/>
    </row>
    <row r="109" spans="1:5" ht="12.75" x14ac:dyDescent="0.2">
      <c r="A109" s="40"/>
      <c r="B109" s="41" t="s">
        <v>403</v>
      </c>
      <c r="C109" s="41" t="s">
        <v>13</v>
      </c>
      <c r="D109" s="41" t="s">
        <v>11</v>
      </c>
      <c r="E109" s="40"/>
    </row>
    <row r="110" spans="1:5" ht="12.75" x14ac:dyDescent="0.2">
      <c r="A110" s="40"/>
      <c r="B110" s="41" t="s">
        <v>403</v>
      </c>
      <c r="C110" s="41" t="s">
        <v>37</v>
      </c>
      <c r="D110" s="41" t="s">
        <v>36</v>
      </c>
      <c r="E110" s="40"/>
    </row>
    <row r="111" spans="1:5" ht="12.75" x14ac:dyDescent="0.2">
      <c r="A111" s="40"/>
      <c r="B111" s="41" t="s">
        <v>403</v>
      </c>
      <c r="C111" s="41" t="s">
        <v>58</v>
      </c>
      <c r="D111" s="41" t="s">
        <v>55</v>
      </c>
      <c r="E111" s="40"/>
    </row>
    <row r="112" spans="1:5" ht="12.75" x14ac:dyDescent="0.2">
      <c r="A112" s="40"/>
      <c r="B112" s="41" t="s">
        <v>403</v>
      </c>
      <c r="C112" s="41" t="s">
        <v>24</v>
      </c>
      <c r="D112" s="41" t="s">
        <v>26</v>
      </c>
      <c r="E112" s="40"/>
    </row>
    <row r="113" spans="1:5" ht="12.75" x14ac:dyDescent="0.2">
      <c r="A113" s="41"/>
      <c r="B113" s="40"/>
      <c r="C113" s="40"/>
      <c r="D113" s="40"/>
      <c r="E113" s="40"/>
    </row>
    <row r="114" spans="1:5" ht="12.75" x14ac:dyDescent="0.2">
      <c r="A114" s="38" t="s">
        <v>71</v>
      </c>
      <c r="B114" s="39"/>
      <c r="C114" s="39"/>
      <c r="D114" s="39"/>
      <c r="E114" s="39"/>
    </row>
    <row r="115" spans="1:5" ht="12.75" x14ac:dyDescent="0.2">
      <c r="A115" s="41" t="s">
        <v>444</v>
      </c>
      <c r="B115" s="41" t="s">
        <v>402</v>
      </c>
      <c r="C115" s="41" t="s">
        <v>73</v>
      </c>
      <c r="D115" s="40"/>
      <c r="E115" s="40"/>
    </row>
    <row r="116" spans="1:5" ht="12.75" x14ac:dyDescent="0.2">
      <c r="A116" s="41" t="s">
        <v>445</v>
      </c>
      <c r="B116" s="41" t="s">
        <v>402</v>
      </c>
      <c r="C116" s="41" t="s">
        <v>19</v>
      </c>
      <c r="D116" s="40"/>
      <c r="E116" s="40"/>
    </row>
    <row r="117" spans="1:5" ht="12.75" x14ac:dyDescent="0.2">
      <c r="A117" s="41" t="s">
        <v>446</v>
      </c>
      <c r="B117" s="40"/>
      <c r="C117" s="40"/>
      <c r="D117" s="40"/>
      <c r="E117" s="40"/>
    </row>
    <row r="118" spans="1:5" ht="12.75" x14ac:dyDescent="0.2">
      <c r="A118" s="41" t="s">
        <v>447</v>
      </c>
      <c r="B118" s="40"/>
      <c r="C118" s="40"/>
      <c r="D118" s="40"/>
      <c r="E118" s="40"/>
    </row>
    <row r="119" spans="1:5" ht="12.75" x14ac:dyDescent="0.2">
      <c r="A119" s="41" t="s">
        <v>448</v>
      </c>
      <c r="B119" s="40"/>
      <c r="C119" s="40"/>
      <c r="D119" s="40"/>
      <c r="E119" s="40"/>
    </row>
    <row r="120" spans="1:5" ht="12.75" x14ac:dyDescent="0.2">
      <c r="A120" s="41" t="s">
        <v>72</v>
      </c>
      <c r="B120" s="41"/>
      <c r="C120" s="41"/>
      <c r="D120" s="41"/>
      <c r="E120" s="40"/>
    </row>
    <row r="121" spans="1:5" ht="12.75" x14ac:dyDescent="0.2">
      <c r="A121" s="40"/>
      <c r="B121" s="41" t="s">
        <v>403</v>
      </c>
      <c r="C121" s="41" t="s">
        <v>24</v>
      </c>
      <c r="D121" s="41" t="s">
        <v>26</v>
      </c>
      <c r="E121" s="40"/>
    </row>
    <row r="122" spans="1:5" ht="12.75" x14ac:dyDescent="0.2">
      <c r="A122" s="40"/>
      <c r="B122" s="41" t="s">
        <v>403</v>
      </c>
      <c r="C122" s="41" t="s">
        <v>32</v>
      </c>
      <c r="D122" s="41" t="s">
        <v>29</v>
      </c>
      <c r="E122" s="40"/>
    </row>
    <row r="123" spans="1:5" ht="12.75" x14ac:dyDescent="0.2">
      <c r="A123" s="40"/>
      <c r="B123" s="41" t="s">
        <v>403</v>
      </c>
      <c r="C123" s="41" t="s">
        <v>25</v>
      </c>
      <c r="D123" s="41" t="s">
        <v>27</v>
      </c>
      <c r="E123" s="40"/>
    </row>
    <row r="124" spans="1:5" ht="12.75" x14ac:dyDescent="0.2">
      <c r="A124" s="40"/>
      <c r="B124" s="41" t="s">
        <v>403</v>
      </c>
      <c r="C124" s="41" t="s">
        <v>30</v>
      </c>
      <c r="D124" s="41" t="s">
        <v>31</v>
      </c>
      <c r="E124" s="40"/>
    </row>
    <row r="125" spans="1:5" ht="12.75" x14ac:dyDescent="0.2">
      <c r="A125" s="41"/>
      <c r="B125" s="40"/>
      <c r="C125" s="40"/>
      <c r="D125" s="40"/>
      <c r="E125" s="40"/>
    </row>
    <row r="126" spans="1:5" ht="12.75" x14ac:dyDescent="0.2">
      <c r="A126" s="38" t="s">
        <v>84</v>
      </c>
      <c r="B126" s="39"/>
      <c r="C126" s="39"/>
      <c r="D126" s="39"/>
      <c r="E126" s="39"/>
    </row>
    <row r="127" spans="1:5" ht="25.5" x14ac:dyDescent="0.2">
      <c r="A127" s="41" t="s">
        <v>449</v>
      </c>
      <c r="B127" s="41" t="s">
        <v>402</v>
      </c>
      <c r="C127" s="41" t="s">
        <v>95</v>
      </c>
      <c r="D127" s="40"/>
      <c r="E127" s="40"/>
    </row>
    <row r="128" spans="1:5" ht="12.75" x14ac:dyDescent="0.2">
      <c r="A128" s="41" t="s">
        <v>450</v>
      </c>
      <c r="B128" s="41" t="s">
        <v>402</v>
      </c>
      <c r="C128" s="41" t="s">
        <v>19</v>
      </c>
      <c r="D128" s="40"/>
      <c r="E128" s="40"/>
    </row>
    <row r="129" spans="1:5" ht="12.75" x14ac:dyDescent="0.2">
      <c r="A129" s="41" t="s">
        <v>451</v>
      </c>
      <c r="B129" s="40"/>
      <c r="C129" s="40"/>
      <c r="D129" s="40"/>
      <c r="E129" s="40"/>
    </row>
    <row r="130" spans="1:5" ht="12.75" x14ac:dyDescent="0.2">
      <c r="A130" s="41" t="s">
        <v>452</v>
      </c>
      <c r="B130" s="40"/>
      <c r="C130" s="40"/>
      <c r="D130" s="40"/>
      <c r="E130" s="40"/>
    </row>
    <row r="131" spans="1:5" ht="12.75" x14ac:dyDescent="0.2">
      <c r="A131" s="41" t="s">
        <v>453</v>
      </c>
      <c r="B131" s="40"/>
      <c r="C131" s="40"/>
      <c r="D131" s="40"/>
      <c r="E131" s="40"/>
    </row>
    <row r="132" spans="1:5" ht="12.75" x14ac:dyDescent="0.2">
      <c r="A132" s="41" t="s">
        <v>454</v>
      </c>
      <c r="B132" s="40"/>
      <c r="C132" s="40"/>
      <c r="D132" s="40"/>
      <c r="E132" s="40"/>
    </row>
    <row r="133" spans="1:5" ht="12.75" x14ac:dyDescent="0.2">
      <c r="A133" s="41" t="s">
        <v>83</v>
      </c>
      <c r="B133" s="41"/>
      <c r="C133" s="41"/>
      <c r="D133" s="41"/>
      <c r="E133" s="40"/>
    </row>
    <row r="134" spans="1:5" ht="12.75" x14ac:dyDescent="0.2">
      <c r="A134" s="40"/>
      <c r="B134" s="41" t="s">
        <v>403</v>
      </c>
      <c r="C134" s="41" t="s">
        <v>24</v>
      </c>
      <c r="D134" s="41" t="s">
        <v>26</v>
      </c>
      <c r="E134" s="40"/>
    </row>
    <row r="135" spans="1:5" ht="12.75" x14ac:dyDescent="0.2">
      <c r="A135" s="40"/>
      <c r="B135" s="41" t="s">
        <v>403</v>
      </c>
      <c r="C135" s="41" t="s">
        <v>32</v>
      </c>
      <c r="D135" s="41" t="s">
        <v>29</v>
      </c>
      <c r="E135" s="40"/>
    </row>
    <row r="136" spans="1:5" ht="12.75" x14ac:dyDescent="0.2">
      <c r="A136" s="40"/>
      <c r="B136" s="41" t="s">
        <v>403</v>
      </c>
      <c r="C136" s="41" t="s">
        <v>25</v>
      </c>
      <c r="D136" s="41" t="s">
        <v>27</v>
      </c>
      <c r="E136" s="40"/>
    </row>
    <row r="137" spans="1:5" ht="12.75" x14ac:dyDescent="0.2">
      <c r="A137" s="40"/>
      <c r="B137" s="41" t="s">
        <v>403</v>
      </c>
      <c r="C137" s="41" t="s">
        <v>30</v>
      </c>
      <c r="D137" s="41" t="s">
        <v>31</v>
      </c>
      <c r="E137" s="40"/>
    </row>
    <row r="138" spans="1:5" ht="12.75" x14ac:dyDescent="0.2">
      <c r="A138" s="41"/>
      <c r="B138" s="40"/>
      <c r="C138" s="40"/>
      <c r="D138" s="40"/>
      <c r="E138" s="40"/>
    </row>
    <row r="139" spans="1:5" ht="12.75" x14ac:dyDescent="0.2">
      <c r="A139" s="38" t="s">
        <v>75</v>
      </c>
      <c r="B139" s="39"/>
      <c r="C139" s="39"/>
      <c r="D139" s="39"/>
      <c r="E139" s="39"/>
    </row>
    <row r="140" spans="1:5" ht="12.75" x14ac:dyDescent="0.2">
      <c r="A140" s="41" t="s">
        <v>455</v>
      </c>
      <c r="B140" s="41" t="s">
        <v>402</v>
      </c>
      <c r="C140" s="41" t="s">
        <v>76</v>
      </c>
      <c r="D140" s="40"/>
      <c r="E140" s="40"/>
    </row>
    <row r="141" spans="1:5" ht="12.75" x14ac:dyDescent="0.2">
      <c r="A141" s="41" t="s">
        <v>44</v>
      </c>
      <c r="B141" s="41"/>
      <c r="C141" s="41"/>
      <c r="D141" s="41"/>
      <c r="E141" s="40"/>
    </row>
    <row r="142" spans="1:5" ht="12.75" x14ac:dyDescent="0.2">
      <c r="A142" s="40"/>
      <c r="B142" s="41" t="s">
        <v>403</v>
      </c>
      <c r="C142" s="41" t="s">
        <v>72</v>
      </c>
      <c r="D142" s="41" t="s">
        <v>71</v>
      </c>
      <c r="E142" s="40"/>
    </row>
    <row r="143" spans="1:5" ht="12.75" x14ac:dyDescent="0.2">
      <c r="A143" s="40"/>
      <c r="B143" s="41" t="s">
        <v>403</v>
      </c>
      <c r="C143" s="41" t="s">
        <v>83</v>
      </c>
      <c r="D143" s="41" t="s">
        <v>84</v>
      </c>
      <c r="E143" s="40"/>
    </row>
    <row r="144" spans="1:5" ht="12.75" x14ac:dyDescent="0.2">
      <c r="A144" s="40"/>
      <c r="B144" s="41" t="s">
        <v>403</v>
      </c>
      <c r="C144" s="41" t="s">
        <v>24</v>
      </c>
      <c r="D144" s="41" t="s">
        <v>26</v>
      </c>
      <c r="E144" s="40"/>
    </row>
    <row r="145" spans="1:5" ht="12.75" x14ac:dyDescent="0.2">
      <c r="A145" s="41"/>
      <c r="B145" s="40"/>
      <c r="C145" s="40"/>
      <c r="D145" s="40"/>
      <c r="E145" s="40"/>
    </row>
    <row r="146" spans="1:5" ht="12.75" x14ac:dyDescent="0.2">
      <c r="A146" s="38" t="s">
        <v>91</v>
      </c>
      <c r="B146" s="39"/>
      <c r="C146" s="39"/>
      <c r="D146" s="39"/>
      <c r="E146" s="39"/>
    </row>
    <row r="147" spans="1:5" ht="25.5" x14ac:dyDescent="0.2">
      <c r="A147" s="41" t="s">
        <v>456</v>
      </c>
      <c r="B147" s="41" t="s">
        <v>402</v>
      </c>
      <c r="C147" s="41" t="s">
        <v>125</v>
      </c>
      <c r="D147" s="40"/>
      <c r="E147" s="40"/>
    </row>
    <row r="148" spans="1:5" ht="12.75" x14ac:dyDescent="0.2">
      <c r="A148" s="41" t="s">
        <v>457</v>
      </c>
      <c r="B148" s="41" t="s">
        <v>402</v>
      </c>
      <c r="C148" s="41" t="s">
        <v>19</v>
      </c>
      <c r="D148" s="40"/>
      <c r="E148" s="40"/>
    </row>
    <row r="149" spans="1:5" ht="12.75" x14ac:dyDescent="0.2">
      <c r="A149" s="41" t="s">
        <v>458</v>
      </c>
      <c r="B149" s="40"/>
      <c r="C149" s="40"/>
      <c r="D149" s="40"/>
      <c r="E149" s="40"/>
    </row>
    <row r="150" spans="1:5" ht="12.75" x14ac:dyDescent="0.2">
      <c r="A150" s="41" t="s">
        <v>459</v>
      </c>
      <c r="B150" s="40"/>
      <c r="C150" s="40"/>
      <c r="D150" s="40"/>
      <c r="E150" s="40"/>
    </row>
    <row r="151" spans="1:5" ht="12.75" x14ac:dyDescent="0.2">
      <c r="A151" s="41" t="s">
        <v>460</v>
      </c>
      <c r="B151" s="40"/>
      <c r="C151" s="40"/>
      <c r="D151" s="40"/>
      <c r="E151" s="40"/>
    </row>
    <row r="152" spans="1:5" ht="12.75" x14ac:dyDescent="0.2">
      <c r="A152" s="41" t="s">
        <v>461</v>
      </c>
      <c r="B152" s="40"/>
      <c r="C152" s="40"/>
      <c r="D152" s="40"/>
      <c r="E152" s="40"/>
    </row>
    <row r="153" spans="1:5" ht="12.75" x14ac:dyDescent="0.2">
      <c r="A153" s="41" t="s">
        <v>90</v>
      </c>
      <c r="B153" s="41"/>
      <c r="C153" s="41"/>
      <c r="D153" s="41"/>
      <c r="E153" s="40"/>
    </row>
    <row r="154" spans="1:5" ht="12.75" x14ac:dyDescent="0.2">
      <c r="A154" s="40"/>
      <c r="B154" s="41" t="s">
        <v>403</v>
      </c>
      <c r="C154" s="41" t="s">
        <v>24</v>
      </c>
      <c r="D154" s="41" t="s">
        <v>26</v>
      </c>
      <c r="E154" s="40"/>
    </row>
    <row r="155" spans="1:5" ht="12.75" x14ac:dyDescent="0.2">
      <c r="A155" s="40"/>
      <c r="B155" s="41" t="s">
        <v>403</v>
      </c>
      <c r="C155" s="41" t="s">
        <v>32</v>
      </c>
      <c r="D155" s="41" t="s">
        <v>29</v>
      </c>
      <c r="E155" s="40"/>
    </row>
    <row r="156" spans="1:5" ht="12.75" x14ac:dyDescent="0.2">
      <c r="A156" s="40"/>
      <c r="B156" s="41" t="s">
        <v>403</v>
      </c>
      <c r="C156" s="41" t="s">
        <v>25</v>
      </c>
      <c r="D156" s="41" t="s">
        <v>27</v>
      </c>
      <c r="E156" s="40"/>
    </row>
    <row r="157" spans="1:5" ht="12.75" x14ac:dyDescent="0.2">
      <c r="A157" s="40"/>
      <c r="B157" s="41" t="s">
        <v>403</v>
      </c>
      <c r="C157" s="41" t="s">
        <v>30</v>
      </c>
      <c r="D157" s="41" t="s">
        <v>31</v>
      </c>
      <c r="E157" s="40"/>
    </row>
    <row r="158" spans="1:5" ht="12.75" x14ac:dyDescent="0.2">
      <c r="A158" s="41"/>
      <c r="B158" s="40"/>
      <c r="C158" s="40"/>
      <c r="D158" s="40"/>
      <c r="E158" s="40"/>
    </row>
    <row r="159" spans="1:5" ht="12.75" x14ac:dyDescent="0.2">
      <c r="A159" s="38" t="s">
        <v>98</v>
      </c>
      <c r="B159" s="39"/>
      <c r="C159" s="39"/>
      <c r="D159" s="39"/>
      <c r="E159" s="39"/>
    </row>
    <row r="160" spans="1:5" ht="25.5" x14ac:dyDescent="0.2">
      <c r="A160" s="41" t="s">
        <v>462</v>
      </c>
      <c r="B160" s="41" t="s">
        <v>402</v>
      </c>
      <c r="C160" s="41" t="s">
        <v>149</v>
      </c>
      <c r="D160" s="40"/>
      <c r="E160" s="40"/>
    </row>
    <row r="161" spans="1:5" ht="12.75" x14ac:dyDescent="0.2">
      <c r="A161" s="41" t="s">
        <v>463</v>
      </c>
      <c r="B161" s="41" t="s">
        <v>402</v>
      </c>
      <c r="C161" s="41" t="s">
        <v>19</v>
      </c>
      <c r="D161" s="40"/>
      <c r="E161" s="40"/>
    </row>
    <row r="162" spans="1:5" ht="12.75" x14ac:dyDescent="0.2">
      <c r="A162" s="41" t="s">
        <v>464</v>
      </c>
      <c r="B162" s="40"/>
      <c r="C162" s="40"/>
      <c r="D162" s="40"/>
      <c r="E162" s="40"/>
    </row>
    <row r="163" spans="1:5" ht="12.75" x14ac:dyDescent="0.2">
      <c r="A163" s="41" t="s">
        <v>97</v>
      </c>
      <c r="B163" s="41"/>
      <c r="C163" s="41"/>
      <c r="D163" s="41"/>
      <c r="E163" s="40"/>
    </row>
    <row r="164" spans="1:5" ht="12.75" x14ac:dyDescent="0.2">
      <c r="A164" s="40"/>
      <c r="B164" s="41" t="s">
        <v>403</v>
      </c>
      <c r="C164" s="41" t="s">
        <v>24</v>
      </c>
      <c r="D164" s="41" t="s">
        <v>26</v>
      </c>
      <c r="E164" s="40"/>
    </row>
    <row r="165" spans="1:5" ht="12.75" x14ac:dyDescent="0.2">
      <c r="A165" s="40"/>
      <c r="B165" s="41" t="s">
        <v>403</v>
      </c>
      <c r="C165" s="41" t="s">
        <v>32</v>
      </c>
      <c r="D165" s="41" t="s">
        <v>29</v>
      </c>
      <c r="E165" s="40"/>
    </row>
    <row r="166" spans="1:5" ht="12.75" x14ac:dyDescent="0.2">
      <c r="A166" s="40"/>
      <c r="B166" s="41" t="s">
        <v>403</v>
      </c>
      <c r="C166" s="41" t="s">
        <v>25</v>
      </c>
      <c r="D166" s="41" t="s">
        <v>27</v>
      </c>
      <c r="E166" s="40"/>
    </row>
    <row r="167" spans="1:5" ht="12.75" x14ac:dyDescent="0.2">
      <c r="A167" s="40"/>
      <c r="B167" s="41" t="s">
        <v>403</v>
      </c>
      <c r="C167" s="41" t="s">
        <v>30</v>
      </c>
      <c r="D167" s="41" t="s">
        <v>31</v>
      </c>
      <c r="E167" s="40"/>
    </row>
    <row r="168" spans="1:5" ht="12.75" x14ac:dyDescent="0.2">
      <c r="A168" s="41"/>
      <c r="B168" s="40"/>
      <c r="C168" s="40"/>
      <c r="D168" s="40"/>
      <c r="E168" s="40"/>
    </row>
    <row r="169" spans="1:5" ht="12.75" x14ac:dyDescent="0.2">
      <c r="A169" s="38" t="s">
        <v>101</v>
      </c>
      <c r="B169" s="39"/>
      <c r="C169" s="39"/>
      <c r="D169" s="39"/>
      <c r="E169" s="39"/>
    </row>
    <row r="170" spans="1:5" ht="38.25" x14ac:dyDescent="0.2">
      <c r="A170" s="41" t="s">
        <v>465</v>
      </c>
      <c r="B170" s="41" t="s">
        <v>402</v>
      </c>
      <c r="C170" s="41" t="s">
        <v>170</v>
      </c>
      <c r="D170" s="40"/>
      <c r="E170" s="40"/>
    </row>
    <row r="171" spans="1:5" ht="12.75" x14ac:dyDescent="0.2">
      <c r="A171" s="41" t="s">
        <v>466</v>
      </c>
      <c r="B171" s="41" t="s">
        <v>402</v>
      </c>
      <c r="C171" s="41" t="s">
        <v>19</v>
      </c>
      <c r="D171" s="40"/>
      <c r="E171" s="40"/>
    </row>
    <row r="172" spans="1:5" ht="12.75" x14ac:dyDescent="0.2">
      <c r="A172" s="41" t="s">
        <v>467</v>
      </c>
      <c r="B172" s="40"/>
      <c r="C172" s="40"/>
      <c r="D172" s="40"/>
      <c r="E172" s="40"/>
    </row>
    <row r="173" spans="1:5" ht="12.75" x14ac:dyDescent="0.2">
      <c r="A173" s="41" t="s">
        <v>468</v>
      </c>
      <c r="B173" s="40"/>
      <c r="C173" s="40"/>
      <c r="D173" s="40"/>
      <c r="E173" s="40"/>
    </row>
    <row r="174" spans="1:5" ht="12.75" x14ac:dyDescent="0.2">
      <c r="A174" s="41" t="s">
        <v>469</v>
      </c>
      <c r="B174" s="40"/>
      <c r="C174" s="40"/>
      <c r="D174" s="40"/>
      <c r="E174" s="40"/>
    </row>
    <row r="175" spans="1:5" ht="12.75" x14ac:dyDescent="0.2">
      <c r="A175" s="41" t="s">
        <v>470</v>
      </c>
      <c r="B175" s="40"/>
      <c r="C175" s="40"/>
      <c r="D175" s="40"/>
      <c r="E175" s="40"/>
    </row>
    <row r="176" spans="1:5" ht="12.75" x14ac:dyDescent="0.2">
      <c r="A176" s="41" t="s">
        <v>471</v>
      </c>
      <c r="B176" s="40"/>
      <c r="C176" s="40"/>
      <c r="D176" s="40"/>
      <c r="E176" s="40"/>
    </row>
    <row r="177" spans="1:5" ht="12.75" x14ac:dyDescent="0.2">
      <c r="A177" s="41" t="s">
        <v>100</v>
      </c>
      <c r="B177" s="41"/>
      <c r="C177" s="41"/>
      <c r="D177" s="41"/>
      <c r="E177" s="40"/>
    </row>
    <row r="178" spans="1:5" ht="12.75" x14ac:dyDescent="0.2">
      <c r="A178" s="40"/>
      <c r="B178" s="41" t="s">
        <v>403</v>
      </c>
      <c r="C178" s="41" t="s">
        <v>24</v>
      </c>
      <c r="D178" s="41" t="s">
        <v>26</v>
      </c>
      <c r="E178" s="40"/>
    </row>
    <row r="179" spans="1:5" ht="12.75" x14ac:dyDescent="0.2">
      <c r="A179" s="40"/>
      <c r="B179" s="41" t="s">
        <v>403</v>
      </c>
      <c r="C179" s="41" t="s">
        <v>32</v>
      </c>
      <c r="D179" s="41" t="s">
        <v>29</v>
      </c>
      <c r="E179" s="40"/>
    </row>
    <row r="180" spans="1:5" ht="12.75" x14ac:dyDescent="0.2">
      <c r="A180" s="40"/>
      <c r="B180" s="41" t="s">
        <v>403</v>
      </c>
      <c r="C180" s="41" t="s">
        <v>25</v>
      </c>
      <c r="D180" s="41" t="s">
        <v>27</v>
      </c>
      <c r="E180" s="40"/>
    </row>
    <row r="181" spans="1:5" ht="12.75" x14ac:dyDescent="0.2">
      <c r="A181" s="40"/>
      <c r="B181" s="41" t="s">
        <v>403</v>
      </c>
      <c r="C181" s="41" t="s">
        <v>30</v>
      </c>
      <c r="D181" s="41" t="s">
        <v>31</v>
      </c>
      <c r="E181" s="40"/>
    </row>
    <row r="182" spans="1:5" ht="12.75" x14ac:dyDescent="0.2">
      <c r="A182" s="41"/>
      <c r="B182" s="40"/>
      <c r="C182" s="40"/>
      <c r="D182" s="40"/>
      <c r="E182" s="40"/>
    </row>
    <row r="183" spans="1:5" ht="12.75" x14ac:dyDescent="0.2">
      <c r="A183" s="38" t="s">
        <v>103</v>
      </c>
      <c r="B183" s="39"/>
      <c r="C183" s="39"/>
      <c r="D183" s="39"/>
      <c r="E183" s="39"/>
    </row>
    <row r="184" spans="1:5" ht="25.5" x14ac:dyDescent="0.2">
      <c r="A184" s="41" t="s">
        <v>472</v>
      </c>
      <c r="B184" s="41" t="s">
        <v>402</v>
      </c>
      <c r="C184" s="41" t="s">
        <v>189</v>
      </c>
      <c r="D184" s="40"/>
      <c r="E184" s="40"/>
    </row>
    <row r="185" spans="1:5" ht="12.75" x14ac:dyDescent="0.2">
      <c r="A185" s="41" t="s">
        <v>473</v>
      </c>
      <c r="B185" s="41" t="s">
        <v>402</v>
      </c>
      <c r="C185" s="41" t="s">
        <v>19</v>
      </c>
      <c r="D185" s="40"/>
      <c r="E185" s="40"/>
    </row>
    <row r="186" spans="1:5" ht="12.75" x14ac:dyDescent="0.2">
      <c r="A186" s="41" t="s">
        <v>474</v>
      </c>
      <c r="B186" s="40"/>
      <c r="C186" s="40"/>
      <c r="D186" s="40"/>
      <c r="E186" s="40"/>
    </row>
    <row r="187" spans="1:5" ht="12.75" x14ac:dyDescent="0.2">
      <c r="A187" s="41" t="s">
        <v>475</v>
      </c>
      <c r="B187" s="40"/>
      <c r="C187" s="40"/>
      <c r="D187" s="40"/>
      <c r="E187" s="40"/>
    </row>
    <row r="188" spans="1:5" ht="12.75" x14ac:dyDescent="0.2">
      <c r="A188" s="41" t="s">
        <v>476</v>
      </c>
      <c r="B188" s="40"/>
      <c r="C188" s="40"/>
      <c r="D188" s="40"/>
      <c r="E188" s="40"/>
    </row>
    <row r="189" spans="1:5" ht="12.75" x14ac:dyDescent="0.2">
      <c r="A189" s="41" t="s">
        <v>102</v>
      </c>
      <c r="B189" s="41"/>
      <c r="C189" s="41"/>
      <c r="D189" s="41"/>
      <c r="E189" s="40"/>
    </row>
    <row r="190" spans="1:5" ht="12.75" x14ac:dyDescent="0.2">
      <c r="A190" s="40"/>
      <c r="B190" s="41" t="s">
        <v>422</v>
      </c>
      <c r="C190" s="41" t="s">
        <v>477</v>
      </c>
      <c r="D190" s="41" t="s">
        <v>478</v>
      </c>
      <c r="E190" s="40"/>
    </row>
    <row r="191" spans="1:5" ht="12.75" x14ac:dyDescent="0.2">
      <c r="A191" s="40"/>
      <c r="B191" s="41" t="s">
        <v>403</v>
      </c>
      <c r="C191" s="41" t="s">
        <v>24</v>
      </c>
      <c r="D191" s="41" t="s">
        <v>26</v>
      </c>
      <c r="E191" s="40"/>
    </row>
    <row r="192" spans="1:5" ht="12.75" x14ac:dyDescent="0.2">
      <c r="A192" s="40"/>
      <c r="B192" s="41" t="s">
        <v>403</v>
      </c>
      <c r="C192" s="41" t="s">
        <v>32</v>
      </c>
      <c r="D192" s="41" t="s">
        <v>29</v>
      </c>
      <c r="E192" s="40"/>
    </row>
    <row r="193" spans="1:5" ht="12.75" x14ac:dyDescent="0.2">
      <c r="A193" s="40"/>
      <c r="B193" s="41" t="s">
        <v>403</v>
      </c>
      <c r="C193" s="41" t="s">
        <v>25</v>
      </c>
      <c r="D193" s="41" t="s">
        <v>27</v>
      </c>
      <c r="E193" s="40"/>
    </row>
    <row r="194" spans="1:5" ht="12.75" x14ac:dyDescent="0.2">
      <c r="A194" s="41"/>
      <c r="B194" s="41" t="s">
        <v>403</v>
      </c>
      <c r="C194" s="41" t="s">
        <v>30</v>
      </c>
      <c r="D194" s="41" t="s">
        <v>31</v>
      </c>
      <c r="E194" s="40"/>
    </row>
    <row r="195" spans="1:5" ht="12.75" x14ac:dyDescent="0.2">
      <c r="A195" s="41"/>
      <c r="B195" s="41"/>
      <c r="C195" s="40"/>
      <c r="D195" s="40"/>
      <c r="E195" s="40"/>
    </row>
    <row r="196" spans="1:5" ht="12.75" x14ac:dyDescent="0.2">
      <c r="A196" s="38" t="s">
        <v>106</v>
      </c>
      <c r="B196" s="39"/>
      <c r="C196" s="39"/>
      <c r="D196" s="39"/>
      <c r="E196" s="39"/>
    </row>
    <row r="197" spans="1:5" ht="25.5" x14ac:dyDescent="0.2">
      <c r="A197" s="41" t="s">
        <v>479</v>
      </c>
      <c r="B197" s="41" t="s">
        <v>402</v>
      </c>
      <c r="C197" s="41" t="s">
        <v>480</v>
      </c>
      <c r="D197" s="40"/>
      <c r="E197" s="40"/>
    </row>
    <row r="198" spans="1:5" ht="12.75" x14ac:dyDescent="0.2">
      <c r="A198" s="41" t="s">
        <v>481</v>
      </c>
      <c r="B198" s="41" t="s">
        <v>402</v>
      </c>
      <c r="C198" s="41" t="s">
        <v>19</v>
      </c>
      <c r="D198" s="40"/>
      <c r="E198" s="40"/>
    </row>
    <row r="199" spans="1:5" ht="12.75" x14ac:dyDescent="0.2">
      <c r="A199" s="41" t="s">
        <v>482</v>
      </c>
      <c r="B199" s="40"/>
      <c r="C199" s="40"/>
      <c r="D199" s="40"/>
      <c r="E199" s="40"/>
    </row>
    <row r="200" spans="1:5" ht="12.75" x14ac:dyDescent="0.2">
      <c r="A200" s="41" t="s">
        <v>483</v>
      </c>
      <c r="B200" s="40"/>
      <c r="C200" s="40"/>
      <c r="D200" s="40"/>
      <c r="E200" s="40"/>
    </row>
    <row r="201" spans="1:5" ht="12.75" x14ac:dyDescent="0.2">
      <c r="A201" s="41" t="s">
        <v>484</v>
      </c>
      <c r="B201" s="40"/>
      <c r="C201" s="40"/>
      <c r="D201" s="40"/>
      <c r="E201" s="40"/>
    </row>
    <row r="202" spans="1:5" ht="12.75" x14ac:dyDescent="0.2">
      <c r="A202" s="41" t="s">
        <v>485</v>
      </c>
      <c r="B202" s="41"/>
      <c r="C202" s="41"/>
      <c r="D202" s="41"/>
      <c r="E202" s="40"/>
    </row>
    <row r="203" spans="1:5" ht="12.75" x14ac:dyDescent="0.2">
      <c r="A203" s="41" t="s">
        <v>105</v>
      </c>
      <c r="B203" s="41"/>
      <c r="C203" s="41"/>
      <c r="D203" s="41"/>
      <c r="E203" s="40"/>
    </row>
    <row r="204" spans="1:5" ht="12.75" x14ac:dyDescent="0.2">
      <c r="A204" s="40"/>
      <c r="B204" s="41" t="s">
        <v>422</v>
      </c>
      <c r="C204" s="41" t="s">
        <v>486</v>
      </c>
      <c r="D204" s="41" t="s">
        <v>487</v>
      </c>
      <c r="E204" s="40"/>
    </row>
    <row r="205" spans="1:5" ht="12.75" x14ac:dyDescent="0.2">
      <c r="A205" s="40"/>
      <c r="B205" s="41" t="s">
        <v>422</v>
      </c>
      <c r="C205" s="41" t="s">
        <v>488</v>
      </c>
      <c r="D205" s="41" t="s">
        <v>489</v>
      </c>
      <c r="E205" s="40"/>
    </row>
    <row r="206" spans="1:5" ht="12.75" x14ac:dyDescent="0.2">
      <c r="A206" s="40"/>
      <c r="B206" s="41" t="s">
        <v>403</v>
      </c>
      <c r="C206" s="41" t="s">
        <v>24</v>
      </c>
      <c r="D206" s="41" t="s">
        <v>26</v>
      </c>
      <c r="E206" s="40"/>
    </row>
    <row r="207" spans="1:5" ht="12.75" x14ac:dyDescent="0.2">
      <c r="A207" s="41"/>
      <c r="B207" s="41" t="s">
        <v>403</v>
      </c>
      <c r="C207" s="41" t="s">
        <v>32</v>
      </c>
      <c r="D207" s="41" t="s">
        <v>29</v>
      </c>
      <c r="E207" s="40"/>
    </row>
    <row r="208" spans="1:5" ht="12.75" x14ac:dyDescent="0.2">
      <c r="A208" s="41"/>
      <c r="B208" s="41" t="s">
        <v>403</v>
      </c>
      <c r="C208" s="41" t="s">
        <v>25</v>
      </c>
      <c r="D208" s="41" t="s">
        <v>27</v>
      </c>
      <c r="E208" s="40"/>
    </row>
    <row r="209" spans="1:5" ht="12.75" x14ac:dyDescent="0.2">
      <c r="A209" s="41"/>
      <c r="B209" s="41" t="s">
        <v>403</v>
      </c>
      <c r="C209" s="41" t="s">
        <v>30</v>
      </c>
      <c r="D209" s="41" t="s">
        <v>31</v>
      </c>
      <c r="E209" s="40"/>
    </row>
    <row r="210" spans="1:5" ht="12.75" x14ac:dyDescent="0.2">
      <c r="A210" s="41"/>
      <c r="B210" s="40"/>
      <c r="C210" s="40"/>
      <c r="D210" s="40"/>
      <c r="E210" s="40"/>
    </row>
    <row r="211" spans="1:5" ht="12.75" x14ac:dyDescent="0.2">
      <c r="A211" s="38" t="s">
        <v>109</v>
      </c>
      <c r="B211" s="39"/>
      <c r="C211" s="39"/>
      <c r="D211" s="39"/>
      <c r="E211" s="39"/>
    </row>
    <row r="212" spans="1:5" ht="25.5" x14ac:dyDescent="0.2">
      <c r="A212" s="41" t="s">
        <v>491</v>
      </c>
      <c r="B212" s="41" t="s">
        <v>402</v>
      </c>
      <c r="C212" s="41" t="s">
        <v>218</v>
      </c>
      <c r="D212" s="40"/>
      <c r="E212" s="40"/>
    </row>
    <row r="213" spans="1:5" ht="12.75" x14ac:dyDescent="0.2">
      <c r="A213" s="41" t="s">
        <v>492</v>
      </c>
      <c r="B213" s="41" t="s">
        <v>402</v>
      </c>
      <c r="C213" s="41" t="s">
        <v>19</v>
      </c>
      <c r="D213" s="40"/>
      <c r="E213" s="40"/>
    </row>
    <row r="214" spans="1:5" ht="12.75" x14ac:dyDescent="0.2">
      <c r="A214" s="41" t="s">
        <v>493</v>
      </c>
      <c r="B214" s="40"/>
      <c r="C214" s="40"/>
      <c r="D214" s="40"/>
      <c r="E214" s="40"/>
    </row>
    <row r="215" spans="1:5" ht="12.75" x14ac:dyDescent="0.2">
      <c r="A215" s="41" t="s">
        <v>494</v>
      </c>
      <c r="B215" s="41"/>
      <c r="C215" s="41"/>
      <c r="D215" s="41"/>
      <c r="E215" s="40"/>
    </row>
    <row r="216" spans="1:5" ht="12.75" x14ac:dyDescent="0.2">
      <c r="A216" s="41" t="s">
        <v>495</v>
      </c>
      <c r="B216" s="41"/>
      <c r="C216" s="41"/>
      <c r="D216" s="41"/>
      <c r="E216" s="40"/>
    </row>
    <row r="217" spans="1:5" ht="12.75" x14ac:dyDescent="0.2">
      <c r="A217" s="41" t="s">
        <v>496</v>
      </c>
      <c r="B217" s="41"/>
      <c r="C217" s="41"/>
      <c r="D217" s="41"/>
      <c r="E217" s="40"/>
    </row>
    <row r="218" spans="1:5" ht="12.75" x14ac:dyDescent="0.2">
      <c r="A218" s="41" t="s">
        <v>108</v>
      </c>
      <c r="B218" s="41"/>
      <c r="C218" s="41"/>
      <c r="D218" s="41"/>
      <c r="E218" s="40"/>
    </row>
    <row r="219" spans="1:5" ht="12.75" x14ac:dyDescent="0.2">
      <c r="A219" s="40"/>
      <c r="B219" s="41" t="s">
        <v>403</v>
      </c>
      <c r="C219" s="41" t="s">
        <v>24</v>
      </c>
      <c r="D219" s="41" t="s">
        <v>26</v>
      </c>
      <c r="E219" s="40"/>
    </row>
    <row r="220" spans="1:5" ht="12.75" x14ac:dyDescent="0.2">
      <c r="A220" s="41"/>
      <c r="B220" s="41" t="s">
        <v>403</v>
      </c>
      <c r="C220" s="41" t="s">
        <v>32</v>
      </c>
      <c r="D220" s="41" t="s">
        <v>29</v>
      </c>
      <c r="E220" s="40"/>
    </row>
    <row r="221" spans="1:5" ht="12.75" x14ac:dyDescent="0.2">
      <c r="A221" s="41"/>
      <c r="B221" s="41" t="s">
        <v>403</v>
      </c>
      <c r="C221" s="41" t="s">
        <v>25</v>
      </c>
      <c r="D221" s="41" t="s">
        <v>27</v>
      </c>
      <c r="E221" s="40"/>
    </row>
    <row r="222" spans="1:5" ht="12.75" x14ac:dyDescent="0.2">
      <c r="A222" s="41"/>
      <c r="B222" s="41" t="s">
        <v>403</v>
      </c>
      <c r="C222" s="41" t="s">
        <v>30</v>
      </c>
      <c r="D222" s="41" t="s">
        <v>31</v>
      </c>
      <c r="E222" s="40"/>
    </row>
    <row r="223" spans="1:5" ht="12.75" x14ac:dyDescent="0.2">
      <c r="A223" s="41"/>
      <c r="B223" s="40"/>
      <c r="C223" s="40"/>
      <c r="D223" s="40"/>
      <c r="E223" s="40"/>
    </row>
    <row r="224" spans="1:5" ht="12.75" x14ac:dyDescent="0.2">
      <c r="A224" s="38" t="s">
        <v>111</v>
      </c>
      <c r="B224" s="39"/>
      <c r="C224" s="39"/>
      <c r="D224" s="39"/>
      <c r="E224" s="39"/>
    </row>
    <row r="225" spans="1:5" ht="25.5" x14ac:dyDescent="0.2">
      <c r="A225" s="41" t="s">
        <v>497</v>
      </c>
      <c r="B225" s="41" t="s">
        <v>402</v>
      </c>
      <c r="C225" s="41" t="s">
        <v>233</v>
      </c>
      <c r="D225" s="40"/>
      <c r="E225" s="40"/>
    </row>
    <row r="226" spans="1:5" ht="12.75" x14ac:dyDescent="0.2">
      <c r="A226" s="41" t="s">
        <v>498</v>
      </c>
      <c r="B226" s="41" t="s">
        <v>402</v>
      </c>
      <c r="C226" s="41" t="s">
        <v>19</v>
      </c>
      <c r="D226" s="40"/>
      <c r="E226" s="40"/>
    </row>
    <row r="227" spans="1:5" ht="12.75" x14ac:dyDescent="0.2">
      <c r="A227" s="41" t="s">
        <v>499</v>
      </c>
      <c r="B227" s="40"/>
      <c r="C227" s="40"/>
      <c r="D227" s="40"/>
      <c r="E227" s="40"/>
    </row>
    <row r="228" spans="1:5" ht="12.75" x14ac:dyDescent="0.2">
      <c r="A228" s="41" t="s">
        <v>500</v>
      </c>
      <c r="B228" s="40"/>
      <c r="C228" s="40"/>
      <c r="D228" s="40"/>
      <c r="E228" s="40"/>
    </row>
    <row r="229" spans="1:5" ht="12.75" x14ac:dyDescent="0.2">
      <c r="A229" s="41" t="s">
        <v>501</v>
      </c>
      <c r="B229" s="41"/>
      <c r="C229" s="41"/>
      <c r="D229" s="41"/>
      <c r="E229" s="40"/>
    </row>
    <row r="230" spans="1:5" ht="12.75" x14ac:dyDescent="0.2">
      <c r="A230" s="41" t="s">
        <v>502</v>
      </c>
      <c r="B230" s="41"/>
      <c r="C230" s="41"/>
      <c r="D230" s="41"/>
      <c r="E230" s="40"/>
    </row>
    <row r="231" spans="1:5" ht="12.75" x14ac:dyDescent="0.2">
      <c r="A231" s="41" t="s">
        <v>503</v>
      </c>
      <c r="B231" s="41"/>
      <c r="C231" s="41"/>
      <c r="D231" s="41"/>
      <c r="E231" s="40"/>
    </row>
    <row r="232" spans="1:5" ht="12.75" x14ac:dyDescent="0.2">
      <c r="A232" s="41" t="s">
        <v>110</v>
      </c>
      <c r="B232" s="41"/>
      <c r="C232" s="41"/>
      <c r="D232" s="41"/>
      <c r="E232" s="40"/>
    </row>
    <row r="233" spans="1:5" ht="12.75" x14ac:dyDescent="0.2">
      <c r="A233" s="40"/>
      <c r="B233" s="41" t="s">
        <v>403</v>
      </c>
      <c r="C233" s="41" t="s">
        <v>24</v>
      </c>
      <c r="D233" s="41" t="s">
        <v>26</v>
      </c>
      <c r="E233" s="40"/>
    </row>
    <row r="234" spans="1:5" ht="12.75" x14ac:dyDescent="0.2">
      <c r="A234" s="41"/>
      <c r="B234" s="41" t="s">
        <v>403</v>
      </c>
      <c r="C234" s="41" t="s">
        <v>32</v>
      </c>
      <c r="D234" s="41" t="s">
        <v>29</v>
      </c>
      <c r="E234" s="40"/>
    </row>
    <row r="235" spans="1:5" ht="12.75" x14ac:dyDescent="0.2">
      <c r="A235" s="41"/>
      <c r="B235" s="41" t="s">
        <v>403</v>
      </c>
      <c r="C235" s="41" t="s">
        <v>25</v>
      </c>
      <c r="D235" s="41" t="s">
        <v>27</v>
      </c>
      <c r="E235" s="40"/>
    </row>
    <row r="236" spans="1:5" ht="12.75" x14ac:dyDescent="0.2">
      <c r="A236" s="41"/>
      <c r="B236" s="41" t="s">
        <v>403</v>
      </c>
      <c r="C236" s="41" t="s">
        <v>30</v>
      </c>
      <c r="D236" s="41" t="s">
        <v>31</v>
      </c>
      <c r="E236" s="40"/>
    </row>
    <row r="237" spans="1:5" ht="12.75" x14ac:dyDescent="0.2">
      <c r="A237" s="41"/>
      <c r="B237" s="40"/>
      <c r="C237" s="40"/>
      <c r="D237" s="40"/>
      <c r="E237" s="40"/>
    </row>
    <row r="238" spans="1:5" ht="12.75" x14ac:dyDescent="0.2">
      <c r="A238" s="38" t="s">
        <v>114</v>
      </c>
      <c r="B238" s="39"/>
      <c r="C238" s="39"/>
      <c r="D238" s="39"/>
      <c r="E238" s="39"/>
    </row>
    <row r="239" spans="1:5" ht="25.5" x14ac:dyDescent="0.2">
      <c r="A239" s="41" t="s">
        <v>504</v>
      </c>
      <c r="B239" s="41" t="s">
        <v>402</v>
      </c>
      <c r="C239" s="41" t="s">
        <v>249</v>
      </c>
      <c r="D239" s="40"/>
      <c r="E239" s="40"/>
    </row>
    <row r="240" spans="1:5" ht="12.75" x14ac:dyDescent="0.2">
      <c r="A240" s="41" t="s">
        <v>505</v>
      </c>
      <c r="B240" s="41" t="s">
        <v>402</v>
      </c>
      <c r="C240" s="41" t="s">
        <v>19</v>
      </c>
      <c r="D240" s="41"/>
      <c r="E240" s="40"/>
    </row>
    <row r="241" spans="1:5" ht="12.75" x14ac:dyDescent="0.2">
      <c r="A241" s="41" t="s">
        <v>506</v>
      </c>
      <c r="B241" s="41"/>
      <c r="C241" s="41"/>
      <c r="D241" s="41"/>
      <c r="E241" s="40"/>
    </row>
    <row r="242" spans="1:5" ht="12.75" x14ac:dyDescent="0.2">
      <c r="A242" s="41" t="s">
        <v>507</v>
      </c>
      <c r="B242" s="41"/>
      <c r="C242" s="41"/>
      <c r="D242" s="41"/>
      <c r="E242" s="40"/>
    </row>
    <row r="243" spans="1:5" ht="12.75" x14ac:dyDescent="0.2">
      <c r="A243" s="41" t="s">
        <v>112</v>
      </c>
      <c r="B243" s="41"/>
      <c r="C243" s="41"/>
      <c r="D243" s="41"/>
      <c r="E243" s="40"/>
    </row>
    <row r="244" spans="1:5" ht="12.75" x14ac:dyDescent="0.2">
      <c r="A244" s="40"/>
      <c r="B244" s="41" t="s">
        <v>422</v>
      </c>
      <c r="C244" s="41" t="s">
        <v>508</v>
      </c>
      <c r="D244" s="41" t="s">
        <v>509</v>
      </c>
      <c r="E244" s="40"/>
    </row>
    <row r="245" spans="1:5" ht="12.75" x14ac:dyDescent="0.2">
      <c r="A245" s="41"/>
      <c r="B245" s="41" t="s">
        <v>403</v>
      </c>
      <c r="C245" s="41" t="s">
        <v>24</v>
      </c>
      <c r="D245" s="41" t="s">
        <v>26</v>
      </c>
      <c r="E245" s="40"/>
    </row>
    <row r="246" spans="1:5" ht="12.75" x14ac:dyDescent="0.2">
      <c r="A246" s="41"/>
      <c r="B246" s="41" t="s">
        <v>403</v>
      </c>
      <c r="C246" s="41" t="s">
        <v>32</v>
      </c>
      <c r="D246" s="41" t="s">
        <v>29</v>
      </c>
      <c r="E246" s="40"/>
    </row>
    <row r="247" spans="1:5" ht="12.75" x14ac:dyDescent="0.2">
      <c r="A247" s="41"/>
      <c r="B247" s="41" t="s">
        <v>403</v>
      </c>
      <c r="C247" s="41" t="s">
        <v>25</v>
      </c>
      <c r="D247" s="41" t="s">
        <v>27</v>
      </c>
      <c r="E247" s="40"/>
    </row>
    <row r="248" spans="1:5" ht="12.75" x14ac:dyDescent="0.2">
      <c r="A248" s="40"/>
      <c r="B248" s="41" t="s">
        <v>403</v>
      </c>
      <c r="C248" s="41" t="s">
        <v>30</v>
      </c>
      <c r="D248" s="41" t="s">
        <v>31</v>
      </c>
      <c r="E248" s="40"/>
    </row>
    <row r="249" spans="1:5" ht="12.75" x14ac:dyDescent="0.2">
      <c r="A249" s="40"/>
      <c r="B249" s="41"/>
      <c r="C249" s="41"/>
      <c r="D249" s="41"/>
      <c r="E249" s="40"/>
    </row>
    <row r="250" spans="1:5" ht="12.75" x14ac:dyDescent="0.2">
      <c r="A250" s="38" t="s">
        <v>87</v>
      </c>
      <c r="B250" s="39"/>
      <c r="C250" s="39"/>
      <c r="D250" s="39"/>
      <c r="E250" s="39"/>
    </row>
    <row r="251" spans="1:5" ht="12.75" x14ac:dyDescent="0.2">
      <c r="A251" s="41" t="s">
        <v>510</v>
      </c>
      <c r="B251" s="41" t="s">
        <v>402</v>
      </c>
      <c r="C251" s="41" t="s">
        <v>88</v>
      </c>
      <c r="D251" s="41"/>
      <c r="E251" s="40"/>
    </row>
    <row r="252" spans="1:5" ht="12.75" x14ac:dyDescent="0.2">
      <c r="A252" s="41" t="s">
        <v>48</v>
      </c>
      <c r="B252" s="41"/>
      <c r="C252" s="41"/>
      <c r="D252" s="41"/>
      <c r="E252" s="40"/>
    </row>
    <row r="253" spans="1:5" ht="12.75" x14ac:dyDescent="0.2">
      <c r="A253" s="40"/>
      <c r="B253" s="41" t="s">
        <v>422</v>
      </c>
      <c r="C253" s="41" t="s">
        <v>423</v>
      </c>
      <c r="D253" s="41" t="s">
        <v>424</v>
      </c>
      <c r="E253" s="40"/>
    </row>
    <row r="254" spans="1:5" ht="12.75" x14ac:dyDescent="0.2">
      <c r="A254" s="40"/>
      <c r="B254" s="41" t="s">
        <v>403</v>
      </c>
      <c r="C254" s="41" t="s">
        <v>90</v>
      </c>
      <c r="D254" s="41" t="s">
        <v>91</v>
      </c>
      <c r="E254" s="40"/>
    </row>
    <row r="255" spans="1:5" ht="12.75" x14ac:dyDescent="0.2">
      <c r="A255" s="40"/>
      <c r="B255" s="41" t="s">
        <v>403</v>
      </c>
      <c r="C255" s="41" t="s">
        <v>97</v>
      </c>
      <c r="D255" s="41" t="s">
        <v>98</v>
      </c>
      <c r="E255" s="40"/>
    </row>
    <row r="256" spans="1:5" ht="12.75" x14ac:dyDescent="0.2">
      <c r="A256" s="40"/>
      <c r="B256" s="41" t="s">
        <v>403</v>
      </c>
      <c r="C256" s="41" t="s">
        <v>100</v>
      </c>
      <c r="D256" s="41" t="s">
        <v>101</v>
      </c>
      <c r="E256" s="40"/>
    </row>
    <row r="257" spans="1:5" ht="12.75" x14ac:dyDescent="0.2">
      <c r="A257" s="40"/>
      <c r="B257" s="41" t="s">
        <v>403</v>
      </c>
      <c r="C257" s="41" t="s">
        <v>102</v>
      </c>
      <c r="D257" s="41" t="s">
        <v>103</v>
      </c>
      <c r="E257" s="40"/>
    </row>
    <row r="258" spans="1:5" ht="12.75" x14ac:dyDescent="0.2">
      <c r="A258" s="41"/>
      <c r="B258" s="41" t="s">
        <v>403</v>
      </c>
      <c r="C258" s="41" t="s">
        <v>105</v>
      </c>
      <c r="D258" s="41" t="s">
        <v>106</v>
      </c>
      <c r="E258" s="40"/>
    </row>
    <row r="259" spans="1:5" ht="12.75" x14ac:dyDescent="0.2">
      <c r="A259" s="41"/>
      <c r="B259" s="41" t="s">
        <v>403</v>
      </c>
      <c r="C259" s="41" t="s">
        <v>108</v>
      </c>
      <c r="D259" s="41" t="s">
        <v>109</v>
      </c>
      <c r="E259" s="40"/>
    </row>
    <row r="260" spans="1:5" ht="12.75" x14ac:dyDescent="0.2">
      <c r="A260" s="41"/>
      <c r="B260" s="41" t="s">
        <v>403</v>
      </c>
      <c r="C260" s="41" t="s">
        <v>110</v>
      </c>
      <c r="D260" s="41" t="s">
        <v>111</v>
      </c>
      <c r="E260" s="40"/>
    </row>
    <row r="261" spans="1:5" ht="12.75" x14ac:dyDescent="0.2">
      <c r="A261" s="41"/>
      <c r="B261" s="41" t="s">
        <v>403</v>
      </c>
      <c r="C261" s="41" t="s">
        <v>112</v>
      </c>
      <c r="D261" s="41" t="s">
        <v>114</v>
      </c>
      <c r="E261" s="40"/>
    </row>
    <row r="262" spans="1:5" ht="12.75" x14ac:dyDescent="0.2">
      <c r="A262" s="41"/>
      <c r="B262" s="41" t="s">
        <v>403</v>
      </c>
      <c r="C262" s="41" t="s">
        <v>24</v>
      </c>
      <c r="D262" s="41" t="s">
        <v>26</v>
      </c>
      <c r="E262" s="40"/>
    </row>
    <row r="263" spans="1:5" ht="12.75" x14ac:dyDescent="0.2">
      <c r="A263" s="41"/>
      <c r="B263" s="40"/>
      <c r="C263" s="40"/>
      <c r="D263" s="40"/>
      <c r="E263" s="40"/>
    </row>
    <row r="264" spans="1:5" ht="12.75" x14ac:dyDescent="0.2">
      <c r="A264" s="38" t="s">
        <v>120</v>
      </c>
      <c r="B264" s="39"/>
      <c r="C264" s="39"/>
      <c r="D264" s="39"/>
      <c r="E264" s="39"/>
    </row>
    <row r="265" spans="1:5" ht="25.5" x14ac:dyDescent="0.2">
      <c r="A265" s="41" t="s">
        <v>511</v>
      </c>
      <c r="B265" s="41" t="s">
        <v>402</v>
      </c>
      <c r="C265" s="41" t="s">
        <v>266</v>
      </c>
      <c r="D265" s="40"/>
      <c r="E265" s="40"/>
    </row>
    <row r="266" spans="1:5" ht="12.75" x14ac:dyDescent="0.2">
      <c r="A266" s="41" t="s">
        <v>512</v>
      </c>
      <c r="B266" s="41" t="s">
        <v>402</v>
      </c>
      <c r="C266" s="41" t="s">
        <v>19</v>
      </c>
      <c r="D266" s="41"/>
      <c r="E266" s="40"/>
    </row>
    <row r="267" spans="1:5" ht="12.75" x14ac:dyDescent="0.2">
      <c r="A267" s="41" t="s">
        <v>513</v>
      </c>
      <c r="B267" s="41"/>
      <c r="C267" s="41"/>
      <c r="D267" s="41"/>
      <c r="E267" s="40"/>
    </row>
    <row r="268" spans="1:5" ht="12.75" x14ac:dyDescent="0.2">
      <c r="A268" s="41" t="s">
        <v>514</v>
      </c>
      <c r="B268" s="41"/>
      <c r="C268" s="41"/>
      <c r="D268" s="41"/>
      <c r="E268" s="40"/>
    </row>
    <row r="269" spans="1:5" ht="12.75" x14ac:dyDescent="0.2">
      <c r="A269" s="41" t="s">
        <v>515</v>
      </c>
      <c r="B269" s="41"/>
      <c r="C269" s="41"/>
      <c r="D269" s="41"/>
      <c r="E269" s="40"/>
    </row>
    <row r="270" spans="1:5" ht="12.75" x14ac:dyDescent="0.2">
      <c r="A270" s="41" t="s">
        <v>516</v>
      </c>
      <c r="B270" s="40"/>
      <c r="C270" s="40"/>
      <c r="D270" s="40"/>
      <c r="E270" s="40"/>
    </row>
    <row r="271" spans="1:5" ht="12.75" x14ac:dyDescent="0.2">
      <c r="A271" s="41" t="s">
        <v>119</v>
      </c>
      <c r="B271" s="40"/>
      <c r="C271" s="40"/>
      <c r="D271" s="40"/>
      <c r="E271" s="40"/>
    </row>
    <row r="272" spans="1:5" ht="12.75" x14ac:dyDescent="0.2">
      <c r="A272" s="41"/>
      <c r="B272" s="41" t="s">
        <v>422</v>
      </c>
      <c r="C272" s="41" t="s">
        <v>423</v>
      </c>
      <c r="D272" s="41" t="s">
        <v>424</v>
      </c>
      <c r="E272" s="40"/>
    </row>
    <row r="273" spans="1:5" ht="12.75" x14ac:dyDescent="0.2">
      <c r="A273" s="41"/>
      <c r="B273" s="41" t="s">
        <v>403</v>
      </c>
      <c r="C273" s="41" t="s">
        <v>24</v>
      </c>
      <c r="D273" s="41" t="s">
        <v>26</v>
      </c>
      <c r="E273" s="40"/>
    </row>
    <row r="274" spans="1:5" ht="12.75" x14ac:dyDescent="0.2">
      <c r="A274" s="41"/>
      <c r="B274" s="41" t="s">
        <v>403</v>
      </c>
      <c r="C274" s="41" t="s">
        <v>32</v>
      </c>
      <c r="D274" s="41" t="s">
        <v>29</v>
      </c>
      <c r="E274" s="40"/>
    </row>
    <row r="275" spans="1:5" ht="12.75" x14ac:dyDescent="0.2">
      <c r="A275" s="41"/>
      <c r="B275" s="41" t="s">
        <v>403</v>
      </c>
      <c r="C275" s="41" t="s">
        <v>25</v>
      </c>
      <c r="D275" s="41" t="s">
        <v>27</v>
      </c>
      <c r="E275" s="40"/>
    </row>
    <row r="276" spans="1:5" ht="12.75" x14ac:dyDescent="0.2">
      <c r="A276" s="41"/>
      <c r="B276" s="41" t="s">
        <v>403</v>
      </c>
      <c r="C276" s="41" t="s">
        <v>30</v>
      </c>
      <c r="D276" s="41" t="s">
        <v>31</v>
      </c>
      <c r="E276" s="40"/>
    </row>
    <row r="277" spans="1:5" ht="12.75" x14ac:dyDescent="0.2">
      <c r="A277" s="41"/>
      <c r="B277" s="40"/>
      <c r="C277" s="40"/>
      <c r="D277" s="40"/>
      <c r="E277" s="40"/>
    </row>
    <row r="278" spans="1:5" ht="12.75" x14ac:dyDescent="0.2">
      <c r="A278" s="38" t="s">
        <v>127</v>
      </c>
      <c r="B278" s="39"/>
      <c r="C278" s="39"/>
      <c r="D278" s="39"/>
      <c r="E278" s="39"/>
    </row>
    <row r="279" spans="1:5" ht="38.25" x14ac:dyDescent="0.2">
      <c r="A279" s="41" t="s">
        <v>517</v>
      </c>
      <c r="B279" s="41" t="s">
        <v>402</v>
      </c>
      <c r="C279" s="41" t="s">
        <v>292</v>
      </c>
      <c r="D279" s="40"/>
      <c r="E279" s="40"/>
    </row>
    <row r="280" spans="1:5" ht="12.75" x14ac:dyDescent="0.2">
      <c r="A280" s="41" t="s">
        <v>518</v>
      </c>
      <c r="B280" s="41" t="s">
        <v>402</v>
      </c>
      <c r="C280" s="41" t="s">
        <v>19</v>
      </c>
      <c r="D280" s="40"/>
      <c r="E280" s="40"/>
    </row>
    <row r="281" spans="1:5" ht="12.75" x14ac:dyDescent="0.2">
      <c r="A281" s="41" t="s">
        <v>519</v>
      </c>
      <c r="B281" s="40"/>
      <c r="C281" s="40"/>
      <c r="D281" s="40"/>
      <c r="E281" s="40"/>
    </row>
    <row r="282" spans="1:5" ht="12.75" x14ac:dyDescent="0.2">
      <c r="A282" s="41" t="s">
        <v>520</v>
      </c>
      <c r="B282" s="40"/>
      <c r="C282" s="40"/>
      <c r="D282" s="40"/>
      <c r="E282" s="40"/>
    </row>
    <row r="283" spans="1:5" ht="12.75" x14ac:dyDescent="0.2">
      <c r="A283" s="41" t="s">
        <v>521</v>
      </c>
      <c r="B283" s="40"/>
      <c r="C283" s="40"/>
      <c r="D283" s="40"/>
      <c r="E283" s="40"/>
    </row>
    <row r="284" spans="1:5" ht="12.75" x14ac:dyDescent="0.2">
      <c r="A284" s="41" t="s">
        <v>522</v>
      </c>
      <c r="B284" s="41"/>
      <c r="C284" s="41"/>
      <c r="D284" s="41"/>
      <c r="E284" s="40"/>
    </row>
    <row r="285" spans="1:5" ht="12.75" x14ac:dyDescent="0.2">
      <c r="A285" s="41" t="s">
        <v>523</v>
      </c>
      <c r="B285" s="41"/>
      <c r="C285" s="41"/>
      <c r="D285" s="41"/>
      <c r="E285" s="40"/>
    </row>
    <row r="286" spans="1:5" ht="12.75" x14ac:dyDescent="0.2">
      <c r="A286" s="41" t="s">
        <v>524</v>
      </c>
      <c r="B286" s="41"/>
      <c r="C286" s="41"/>
      <c r="D286" s="41"/>
      <c r="E286" s="40"/>
    </row>
    <row r="287" spans="1:5" ht="12.75" x14ac:dyDescent="0.2">
      <c r="A287" s="41" t="s">
        <v>525</v>
      </c>
      <c r="B287" s="41"/>
      <c r="C287" s="41"/>
      <c r="D287" s="41"/>
      <c r="E287" s="40"/>
    </row>
    <row r="288" spans="1:5" ht="12.75" x14ac:dyDescent="0.2">
      <c r="A288" s="41" t="s">
        <v>526</v>
      </c>
      <c r="B288" s="40"/>
      <c r="C288" s="40"/>
      <c r="D288" s="40"/>
      <c r="E288" s="40"/>
    </row>
    <row r="289" spans="1:5" ht="12.75" x14ac:dyDescent="0.2">
      <c r="A289" s="41" t="s">
        <v>527</v>
      </c>
      <c r="B289" s="40"/>
      <c r="C289" s="40"/>
      <c r="D289" s="40"/>
      <c r="E289" s="40"/>
    </row>
    <row r="290" spans="1:5" ht="12.75" x14ac:dyDescent="0.2">
      <c r="A290" s="41" t="s">
        <v>126</v>
      </c>
      <c r="B290" s="41"/>
      <c r="C290" s="40"/>
      <c r="D290" s="40"/>
      <c r="E290" s="40"/>
    </row>
    <row r="291" spans="1:5" ht="12.75" x14ac:dyDescent="0.2">
      <c r="A291" s="41"/>
      <c r="B291" s="41" t="s">
        <v>403</v>
      </c>
      <c r="C291" s="41" t="s">
        <v>24</v>
      </c>
      <c r="D291" s="41" t="s">
        <v>26</v>
      </c>
      <c r="E291" s="40"/>
    </row>
    <row r="292" spans="1:5" ht="12.75" x14ac:dyDescent="0.2">
      <c r="A292" s="41"/>
      <c r="B292" s="41" t="s">
        <v>403</v>
      </c>
      <c r="C292" s="41" t="s">
        <v>32</v>
      </c>
      <c r="D292" s="41" t="s">
        <v>29</v>
      </c>
      <c r="E292" s="40"/>
    </row>
    <row r="293" spans="1:5" ht="12.75" x14ac:dyDescent="0.2">
      <c r="A293" s="41"/>
      <c r="B293" s="41" t="s">
        <v>403</v>
      </c>
      <c r="C293" s="41" t="s">
        <v>25</v>
      </c>
      <c r="D293" s="41" t="s">
        <v>27</v>
      </c>
      <c r="E293" s="40"/>
    </row>
    <row r="294" spans="1:5" ht="12.75" x14ac:dyDescent="0.2">
      <c r="A294" s="41"/>
      <c r="B294" s="41" t="s">
        <v>403</v>
      </c>
      <c r="C294" s="41" t="s">
        <v>30</v>
      </c>
      <c r="D294" s="41" t="s">
        <v>31</v>
      </c>
      <c r="E294" s="40"/>
    </row>
    <row r="295" spans="1:5" ht="12.75" x14ac:dyDescent="0.2">
      <c r="A295" s="41"/>
      <c r="B295" s="40"/>
      <c r="C295" s="40"/>
      <c r="D295" s="40"/>
      <c r="E295" s="40"/>
    </row>
    <row r="296" spans="1:5" ht="12.75" x14ac:dyDescent="0.2">
      <c r="A296" s="38" t="s">
        <v>131</v>
      </c>
      <c r="B296" s="39"/>
      <c r="C296" s="39"/>
      <c r="D296" s="39"/>
      <c r="E296" s="39"/>
    </row>
    <row r="297" spans="1:5" ht="25.5" x14ac:dyDescent="0.2">
      <c r="A297" s="41" t="s">
        <v>528</v>
      </c>
      <c r="B297" s="41" t="s">
        <v>402</v>
      </c>
      <c r="C297" s="41" t="s">
        <v>309</v>
      </c>
      <c r="D297" s="41"/>
      <c r="E297" s="40"/>
    </row>
    <row r="298" spans="1:5" ht="12.75" x14ac:dyDescent="0.2">
      <c r="A298" s="41" t="s">
        <v>529</v>
      </c>
      <c r="B298" s="41" t="s">
        <v>402</v>
      </c>
      <c r="C298" s="41" t="s">
        <v>19</v>
      </c>
      <c r="D298" s="41"/>
      <c r="E298" s="40"/>
    </row>
    <row r="299" spans="1:5" ht="12.75" x14ac:dyDescent="0.2">
      <c r="A299" s="41" t="s">
        <v>530</v>
      </c>
      <c r="B299" s="41"/>
      <c r="C299" s="41"/>
      <c r="D299" s="41"/>
      <c r="E299" s="40"/>
    </row>
    <row r="300" spans="1:5" ht="12.75" x14ac:dyDescent="0.2">
      <c r="A300" s="41" t="s">
        <v>531</v>
      </c>
      <c r="B300" s="41"/>
      <c r="C300" s="41"/>
      <c r="D300" s="41"/>
      <c r="E300" s="40"/>
    </row>
    <row r="301" spans="1:5" ht="12.75" x14ac:dyDescent="0.2">
      <c r="A301" s="41" t="s">
        <v>532</v>
      </c>
      <c r="B301" s="40"/>
      <c r="C301" s="40"/>
      <c r="D301" s="40"/>
      <c r="E301" s="40"/>
    </row>
    <row r="302" spans="1:5" ht="12.75" x14ac:dyDescent="0.2">
      <c r="A302" s="41" t="s">
        <v>533</v>
      </c>
      <c r="B302" s="40"/>
      <c r="C302" s="40"/>
      <c r="D302" s="40"/>
      <c r="E302" s="40"/>
    </row>
    <row r="303" spans="1:5" ht="12.75" x14ac:dyDescent="0.2">
      <c r="A303" s="41" t="s">
        <v>130</v>
      </c>
      <c r="B303" s="41"/>
      <c r="C303" s="40"/>
      <c r="D303" s="40"/>
      <c r="E303" s="40"/>
    </row>
    <row r="304" spans="1:5" ht="12.75" x14ac:dyDescent="0.2">
      <c r="A304" s="41"/>
      <c r="B304" s="41" t="s">
        <v>403</v>
      </c>
      <c r="C304" s="41" t="s">
        <v>24</v>
      </c>
      <c r="D304" s="41" t="s">
        <v>26</v>
      </c>
      <c r="E304" s="40"/>
    </row>
    <row r="305" spans="1:5" ht="12.75" x14ac:dyDescent="0.2">
      <c r="A305" s="41"/>
      <c r="B305" s="41" t="s">
        <v>403</v>
      </c>
      <c r="C305" s="41" t="s">
        <v>32</v>
      </c>
      <c r="D305" s="41" t="s">
        <v>29</v>
      </c>
      <c r="E305" s="40"/>
    </row>
    <row r="306" spans="1:5" ht="12.75" x14ac:dyDescent="0.2">
      <c r="A306" s="41"/>
      <c r="B306" s="41" t="s">
        <v>403</v>
      </c>
      <c r="C306" s="41" t="s">
        <v>25</v>
      </c>
      <c r="D306" s="41" t="s">
        <v>27</v>
      </c>
      <c r="E306" s="40"/>
    </row>
    <row r="307" spans="1:5" ht="12.75" x14ac:dyDescent="0.2">
      <c r="A307" s="41"/>
      <c r="B307" s="41" t="s">
        <v>403</v>
      </c>
      <c r="C307" s="41" t="s">
        <v>30</v>
      </c>
      <c r="D307" s="41" t="s">
        <v>31</v>
      </c>
      <c r="E307" s="40"/>
    </row>
    <row r="308" spans="1:5" ht="12.75" x14ac:dyDescent="0.2">
      <c r="A308" s="41"/>
      <c r="B308" s="40"/>
      <c r="C308" s="40"/>
      <c r="D308" s="40"/>
      <c r="E308" s="40"/>
    </row>
    <row r="309" spans="1:5" ht="12.75" x14ac:dyDescent="0.2">
      <c r="A309" s="38" t="s">
        <v>134</v>
      </c>
      <c r="B309" s="39"/>
      <c r="C309" s="39"/>
      <c r="D309" s="39"/>
      <c r="E309" s="39"/>
    </row>
    <row r="310" spans="1:5" ht="25.5" x14ac:dyDescent="0.2">
      <c r="A310" s="41" t="s">
        <v>534</v>
      </c>
      <c r="B310" s="41" t="s">
        <v>402</v>
      </c>
      <c r="C310" s="41" t="s">
        <v>332</v>
      </c>
      <c r="D310" s="40"/>
      <c r="E310" s="40"/>
    </row>
    <row r="311" spans="1:5" ht="12.75" x14ac:dyDescent="0.2">
      <c r="A311" s="41" t="s">
        <v>535</v>
      </c>
      <c r="B311" s="41" t="s">
        <v>402</v>
      </c>
      <c r="C311" s="41" t="s">
        <v>19</v>
      </c>
      <c r="D311" s="40"/>
      <c r="E311" s="40"/>
    </row>
    <row r="312" spans="1:5" ht="12.75" x14ac:dyDescent="0.2">
      <c r="A312" s="41" t="s">
        <v>536</v>
      </c>
      <c r="B312" s="40"/>
      <c r="C312" s="40"/>
      <c r="D312" s="40"/>
      <c r="E312" s="40"/>
    </row>
    <row r="313" spans="1:5" ht="12.75" x14ac:dyDescent="0.2">
      <c r="A313" s="41" t="s">
        <v>537</v>
      </c>
      <c r="B313" s="41"/>
      <c r="C313" s="41"/>
      <c r="D313" s="41"/>
      <c r="E313" s="40"/>
    </row>
    <row r="314" spans="1:5" ht="12.75" x14ac:dyDescent="0.2">
      <c r="A314" s="41" t="s">
        <v>538</v>
      </c>
      <c r="B314" s="41"/>
      <c r="C314" s="41"/>
      <c r="D314" s="41"/>
      <c r="E314" s="40"/>
    </row>
    <row r="315" spans="1:5" ht="12.75" x14ac:dyDescent="0.2">
      <c r="A315" s="41" t="s">
        <v>539</v>
      </c>
      <c r="B315" s="41"/>
      <c r="C315" s="41"/>
      <c r="D315" s="41"/>
      <c r="E315" s="40"/>
    </row>
    <row r="316" spans="1:5" ht="12.75" x14ac:dyDescent="0.2">
      <c r="A316" s="41" t="s">
        <v>540</v>
      </c>
      <c r="B316" s="41"/>
      <c r="C316" s="41"/>
      <c r="D316" s="41"/>
      <c r="E316" s="40"/>
    </row>
    <row r="317" spans="1:5" ht="12.75" x14ac:dyDescent="0.2">
      <c r="A317" s="41" t="s">
        <v>541</v>
      </c>
      <c r="B317" s="40"/>
      <c r="C317" s="40"/>
      <c r="D317" s="40"/>
      <c r="E317" s="40"/>
    </row>
    <row r="318" spans="1:5" ht="12.75" x14ac:dyDescent="0.2">
      <c r="A318" s="41" t="s">
        <v>542</v>
      </c>
      <c r="B318" s="40"/>
      <c r="C318" s="40"/>
      <c r="D318" s="40"/>
      <c r="E318" s="40"/>
    </row>
    <row r="319" spans="1:5" ht="12.75" x14ac:dyDescent="0.2">
      <c r="A319" s="41" t="s">
        <v>132</v>
      </c>
      <c r="B319" s="41"/>
      <c r="C319" s="40"/>
      <c r="D319" s="40"/>
      <c r="E319" s="40"/>
    </row>
    <row r="320" spans="1:5" ht="12.75" x14ac:dyDescent="0.2">
      <c r="A320" s="41"/>
      <c r="B320" s="41" t="s">
        <v>422</v>
      </c>
      <c r="C320" s="41" t="s">
        <v>423</v>
      </c>
      <c r="D320" s="41" t="s">
        <v>424</v>
      </c>
      <c r="E320" s="40"/>
    </row>
    <row r="321" spans="1:5" ht="12.75" x14ac:dyDescent="0.2">
      <c r="A321" s="41"/>
      <c r="B321" s="41" t="s">
        <v>403</v>
      </c>
      <c r="C321" s="41" t="s">
        <v>24</v>
      </c>
      <c r="D321" s="41" t="s">
        <v>26</v>
      </c>
      <c r="E321" s="40"/>
    </row>
    <row r="322" spans="1:5" ht="12.75" x14ac:dyDescent="0.2">
      <c r="A322" s="41"/>
      <c r="B322" s="41" t="s">
        <v>403</v>
      </c>
      <c r="C322" s="41" t="s">
        <v>32</v>
      </c>
      <c r="D322" s="41" t="s">
        <v>29</v>
      </c>
      <c r="E322" s="40"/>
    </row>
    <row r="323" spans="1:5" ht="12.75" x14ac:dyDescent="0.2">
      <c r="A323" s="41"/>
      <c r="B323" s="41" t="s">
        <v>403</v>
      </c>
      <c r="C323" s="41" t="s">
        <v>25</v>
      </c>
      <c r="D323" s="41" t="s">
        <v>27</v>
      </c>
      <c r="E323" s="40"/>
    </row>
    <row r="324" spans="1:5" ht="12.75" x14ac:dyDescent="0.2">
      <c r="A324" s="41"/>
      <c r="B324" s="41" t="s">
        <v>403</v>
      </c>
      <c r="C324" s="41" t="s">
        <v>30</v>
      </c>
      <c r="D324" s="41" t="s">
        <v>31</v>
      </c>
      <c r="E324" s="40"/>
    </row>
    <row r="325" spans="1:5" ht="12.75" x14ac:dyDescent="0.2">
      <c r="A325" s="41"/>
      <c r="B325" s="40"/>
      <c r="C325" s="40"/>
      <c r="D325" s="40"/>
      <c r="E325" s="40"/>
    </row>
    <row r="326" spans="1:5" ht="12.75" x14ac:dyDescent="0.2">
      <c r="A326" s="38" t="s">
        <v>137</v>
      </c>
      <c r="B326" s="39"/>
      <c r="C326" s="39"/>
      <c r="D326" s="39"/>
      <c r="E326" s="39"/>
    </row>
    <row r="327" spans="1:5" ht="25.5" x14ac:dyDescent="0.2">
      <c r="A327" s="41" t="s">
        <v>543</v>
      </c>
      <c r="B327" s="41" t="s">
        <v>402</v>
      </c>
      <c r="C327" s="41" t="s">
        <v>353</v>
      </c>
      <c r="D327" s="40"/>
      <c r="E327" s="40"/>
    </row>
    <row r="328" spans="1:5" ht="12.75" x14ac:dyDescent="0.2">
      <c r="A328" s="41" t="s">
        <v>545</v>
      </c>
      <c r="B328" s="41" t="s">
        <v>402</v>
      </c>
      <c r="C328" s="41" t="s">
        <v>19</v>
      </c>
      <c r="D328" s="40"/>
      <c r="E328" s="40"/>
    </row>
    <row r="329" spans="1:5" ht="12.75" x14ac:dyDescent="0.2">
      <c r="A329" s="41" t="s">
        <v>546</v>
      </c>
      <c r="B329" s="40"/>
      <c r="C329" s="40"/>
      <c r="D329" s="40"/>
      <c r="E329" s="40"/>
    </row>
    <row r="330" spans="1:5" ht="12.75" x14ac:dyDescent="0.2">
      <c r="A330" s="41" t="s">
        <v>547</v>
      </c>
      <c r="B330" s="41"/>
      <c r="C330" s="41"/>
      <c r="D330" s="41"/>
      <c r="E330" s="40"/>
    </row>
    <row r="331" spans="1:5" ht="12.75" x14ac:dyDescent="0.2">
      <c r="A331" s="41" t="s">
        <v>548</v>
      </c>
      <c r="B331" s="41"/>
      <c r="C331" s="41"/>
      <c r="D331" s="41"/>
      <c r="E331" s="40"/>
    </row>
    <row r="332" spans="1:5" ht="12.75" x14ac:dyDescent="0.2">
      <c r="A332" s="41" t="s">
        <v>549</v>
      </c>
      <c r="B332" s="41"/>
      <c r="C332" s="41"/>
      <c r="D332" s="41"/>
      <c r="E332" s="40"/>
    </row>
    <row r="333" spans="1:5" ht="12.75" x14ac:dyDescent="0.2">
      <c r="A333" s="41" t="s">
        <v>550</v>
      </c>
      <c r="B333" s="41"/>
      <c r="C333" s="41"/>
      <c r="D333" s="41"/>
      <c r="E333" s="40"/>
    </row>
    <row r="334" spans="1:5" ht="12.75" x14ac:dyDescent="0.2">
      <c r="A334" s="41" t="s">
        <v>551</v>
      </c>
      <c r="B334" s="40"/>
      <c r="C334" s="40"/>
      <c r="D334" s="40"/>
      <c r="E334" s="40"/>
    </row>
    <row r="335" spans="1:5" ht="12.75" x14ac:dyDescent="0.2">
      <c r="A335" s="41" t="s">
        <v>552</v>
      </c>
      <c r="B335" s="40"/>
      <c r="C335" s="40"/>
      <c r="D335" s="40"/>
      <c r="E335" s="40"/>
    </row>
    <row r="336" spans="1:5" ht="12.75" x14ac:dyDescent="0.2">
      <c r="A336" s="41" t="s">
        <v>553</v>
      </c>
      <c r="B336" s="41"/>
      <c r="C336" s="40"/>
      <c r="D336" s="40"/>
      <c r="E336" s="40"/>
    </row>
    <row r="337" spans="1:5" ht="12.75" x14ac:dyDescent="0.2">
      <c r="A337" s="41" t="s">
        <v>136</v>
      </c>
      <c r="B337" s="41"/>
      <c r="C337" s="40"/>
      <c r="D337" s="40"/>
      <c r="E337" s="40"/>
    </row>
    <row r="338" spans="1:5" ht="12.75" x14ac:dyDescent="0.2">
      <c r="A338" s="41"/>
      <c r="B338" s="41" t="s">
        <v>422</v>
      </c>
      <c r="C338" s="41" t="s">
        <v>554</v>
      </c>
      <c r="D338" s="41" t="s">
        <v>555</v>
      </c>
      <c r="E338" s="40"/>
    </row>
    <row r="339" spans="1:5" ht="12.75" x14ac:dyDescent="0.2">
      <c r="A339" s="41"/>
      <c r="B339" s="41" t="s">
        <v>403</v>
      </c>
      <c r="C339" s="41" t="s">
        <v>24</v>
      </c>
      <c r="D339" s="41" t="s">
        <v>26</v>
      </c>
      <c r="E339" s="40"/>
    </row>
    <row r="340" spans="1:5" ht="12.75" x14ac:dyDescent="0.2">
      <c r="A340" s="41"/>
      <c r="B340" s="41" t="s">
        <v>403</v>
      </c>
      <c r="C340" s="41" t="s">
        <v>32</v>
      </c>
      <c r="D340" s="41" t="s">
        <v>29</v>
      </c>
      <c r="E340" s="40"/>
    </row>
    <row r="341" spans="1:5" ht="12.75" x14ac:dyDescent="0.2">
      <c r="A341" s="41"/>
      <c r="B341" s="41" t="s">
        <v>403</v>
      </c>
      <c r="C341" s="41" t="s">
        <v>25</v>
      </c>
      <c r="D341" s="41" t="s">
        <v>27</v>
      </c>
      <c r="E341" s="40"/>
    </row>
    <row r="342" spans="1:5" ht="12.75" x14ac:dyDescent="0.2">
      <c r="A342" s="41"/>
      <c r="B342" s="41" t="s">
        <v>403</v>
      </c>
      <c r="C342" s="41" t="s">
        <v>30</v>
      </c>
      <c r="D342" s="41" t="s">
        <v>31</v>
      </c>
      <c r="E342" s="40"/>
    </row>
    <row r="343" spans="1:5" ht="12.75" x14ac:dyDescent="0.2">
      <c r="A343" s="41"/>
      <c r="B343" s="40"/>
      <c r="C343" s="40"/>
      <c r="D343" s="40"/>
      <c r="E343" s="40"/>
    </row>
    <row r="344" spans="1:5" ht="12.75" x14ac:dyDescent="0.2">
      <c r="A344" s="38" t="s">
        <v>140</v>
      </c>
      <c r="B344" s="39"/>
      <c r="C344" s="39"/>
      <c r="D344" s="39"/>
      <c r="E344" s="39"/>
    </row>
    <row r="345" spans="1:5" ht="38.25" x14ac:dyDescent="0.2">
      <c r="A345" s="41" t="s">
        <v>556</v>
      </c>
      <c r="B345" s="41" t="s">
        <v>402</v>
      </c>
      <c r="C345" s="41" t="s">
        <v>364</v>
      </c>
      <c r="D345" s="40"/>
      <c r="E345" s="40"/>
    </row>
    <row r="346" spans="1:5" ht="12.75" x14ac:dyDescent="0.2">
      <c r="A346" s="41" t="s">
        <v>557</v>
      </c>
      <c r="B346" s="41" t="s">
        <v>402</v>
      </c>
      <c r="C346" s="41" t="s">
        <v>19</v>
      </c>
      <c r="D346" s="40"/>
      <c r="E346" s="40"/>
    </row>
    <row r="347" spans="1:5" ht="12.75" x14ac:dyDescent="0.2">
      <c r="A347" s="41" t="s">
        <v>558</v>
      </c>
      <c r="B347" s="40"/>
      <c r="C347" s="40"/>
      <c r="D347" s="40"/>
      <c r="E347" s="40"/>
    </row>
    <row r="348" spans="1:5" ht="12.75" x14ac:dyDescent="0.2">
      <c r="A348" s="41" t="s">
        <v>559</v>
      </c>
      <c r="B348" s="41"/>
      <c r="C348" s="41"/>
      <c r="D348" s="41"/>
      <c r="E348" s="40"/>
    </row>
    <row r="349" spans="1:5" ht="12.75" x14ac:dyDescent="0.2">
      <c r="A349" s="41" t="s">
        <v>560</v>
      </c>
      <c r="B349" s="41"/>
      <c r="C349" s="41"/>
      <c r="D349" s="41"/>
      <c r="E349" s="40"/>
    </row>
    <row r="350" spans="1:5" ht="12.75" x14ac:dyDescent="0.2">
      <c r="A350" s="41" t="s">
        <v>561</v>
      </c>
      <c r="B350" s="41"/>
      <c r="C350" s="41"/>
      <c r="D350" s="41"/>
      <c r="E350" s="40"/>
    </row>
    <row r="351" spans="1:5" ht="12.75" x14ac:dyDescent="0.2">
      <c r="A351" s="41" t="s">
        <v>562</v>
      </c>
      <c r="B351" s="41"/>
      <c r="C351" s="41"/>
      <c r="D351" s="41"/>
      <c r="E351" s="40"/>
    </row>
    <row r="352" spans="1:5" ht="12.75" x14ac:dyDescent="0.2">
      <c r="A352" s="41" t="s">
        <v>563</v>
      </c>
      <c r="B352" s="40"/>
      <c r="C352" s="40"/>
      <c r="D352" s="40"/>
      <c r="E352" s="40"/>
    </row>
    <row r="353" spans="1:5" ht="12.75" x14ac:dyDescent="0.2">
      <c r="A353" s="41" t="s">
        <v>564</v>
      </c>
      <c r="B353" s="40"/>
      <c r="C353" s="40"/>
      <c r="D353" s="40"/>
      <c r="E353" s="40"/>
    </row>
    <row r="354" spans="1:5" ht="12.75" x14ac:dyDescent="0.2">
      <c r="A354" s="41" t="s">
        <v>565</v>
      </c>
      <c r="B354" s="41"/>
      <c r="C354" s="40"/>
      <c r="D354" s="40"/>
      <c r="E354" s="40"/>
    </row>
    <row r="355" spans="1:5" ht="12.75" x14ac:dyDescent="0.2">
      <c r="A355" s="41" t="s">
        <v>566</v>
      </c>
      <c r="B355" s="40"/>
      <c r="C355" s="40"/>
      <c r="D355" s="40"/>
      <c r="E355" s="40"/>
    </row>
    <row r="356" spans="1:5" ht="12.75" x14ac:dyDescent="0.2">
      <c r="A356" s="41" t="s">
        <v>138</v>
      </c>
      <c r="B356" s="40"/>
      <c r="C356" s="40"/>
      <c r="D356" s="40"/>
      <c r="E356" s="40"/>
    </row>
    <row r="357" spans="1:5" ht="12.75" x14ac:dyDescent="0.2">
      <c r="A357" s="41"/>
      <c r="B357" s="41" t="s">
        <v>422</v>
      </c>
      <c r="C357" s="41" t="s">
        <v>423</v>
      </c>
      <c r="D357" s="41" t="s">
        <v>424</v>
      </c>
      <c r="E357" s="40"/>
    </row>
    <row r="358" spans="1:5" ht="12.75" x14ac:dyDescent="0.2">
      <c r="A358" s="41"/>
      <c r="B358" s="41" t="s">
        <v>422</v>
      </c>
      <c r="C358" s="41" t="s">
        <v>567</v>
      </c>
      <c r="D358" s="41" t="s">
        <v>568</v>
      </c>
      <c r="E358" s="40"/>
    </row>
    <row r="359" spans="1:5" ht="12.75" x14ac:dyDescent="0.2">
      <c r="A359" s="40"/>
      <c r="B359" s="41" t="s">
        <v>403</v>
      </c>
      <c r="C359" s="41" t="s">
        <v>24</v>
      </c>
      <c r="D359" s="41" t="s">
        <v>26</v>
      </c>
      <c r="E359" s="40"/>
    </row>
    <row r="360" spans="1:5" ht="12.75" x14ac:dyDescent="0.2">
      <c r="A360" s="40"/>
      <c r="B360" s="41" t="s">
        <v>403</v>
      </c>
      <c r="C360" s="41" t="s">
        <v>32</v>
      </c>
      <c r="D360" s="41" t="s">
        <v>29</v>
      </c>
      <c r="E360" s="40"/>
    </row>
    <row r="361" spans="1:5" ht="12.75" x14ac:dyDescent="0.2">
      <c r="A361" s="40"/>
      <c r="B361" s="41" t="s">
        <v>403</v>
      </c>
      <c r="C361" s="41" t="s">
        <v>25</v>
      </c>
      <c r="D361" s="41" t="s">
        <v>27</v>
      </c>
      <c r="E361" s="40"/>
    </row>
    <row r="362" spans="1:5" ht="12.75" x14ac:dyDescent="0.2">
      <c r="A362" s="40"/>
      <c r="B362" s="41" t="s">
        <v>403</v>
      </c>
      <c r="C362" s="41" t="s">
        <v>30</v>
      </c>
      <c r="D362" s="41" t="s">
        <v>31</v>
      </c>
      <c r="E362" s="40"/>
    </row>
    <row r="363" spans="1:5" ht="12.75" x14ac:dyDescent="0.2">
      <c r="A363" s="40"/>
      <c r="B363" s="41"/>
      <c r="C363" s="41"/>
      <c r="D363" s="41"/>
      <c r="E363" s="40"/>
    </row>
    <row r="364" spans="1:5" ht="12.75" x14ac:dyDescent="0.2">
      <c r="A364" s="38" t="s">
        <v>115</v>
      </c>
      <c r="B364" s="39"/>
      <c r="C364" s="39"/>
      <c r="D364" s="39"/>
      <c r="E364" s="39"/>
    </row>
    <row r="365" spans="1:5" ht="12.75" x14ac:dyDescent="0.2">
      <c r="A365" s="41" t="s">
        <v>569</v>
      </c>
      <c r="B365" s="41" t="s">
        <v>402</v>
      </c>
      <c r="C365" s="41" t="s">
        <v>117</v>
      </c>
      <c r="D365" s="41"/>
      <c r="E365" s="40"/>
    </row>
    <row r="366" spans="1:5" ht="12.75" x14ac:dyDescent="0.2">
      <c r="A366" s="41" t="s">
        <v>570</v>
      </c>
      <c r="B366" s="40"/>
      <c r="C366" s="40"/>
      <c r="D366" s="40"/>
      <c r="E366" s="40"/>
    </row>
    <row r="367" spans="1:5" ht="12.75" x14ac:dyDescent="0.2">
      <c r="A367" s="41" t="s">
        <v>571</v>
      </c>
      <c r="B367" s="40"/>
      <c r="C367" s="40"/>
      <c r="D367" s="40"/>
      <c r="E367" s="40"/>
    </row>
    <row r="368" spans="1:5" ht="12.75" x14ac:dyDescent="0.2">
      <c r="A368" s="41" t="s">
        <v>572</v>
      </c>
      <c r="B368" s="41"/>
      <c r="C368" s="40"/>
      <c r="D368" s="40"/>
      <c r="E368" s="40"/>
    </row>
    <row r="369" spans="1:5" ht="12.75" x14ac:dyDescent="0.2">
      <c r="A369" s="41" t="s">
        <v>51</v>
      </c>
      <c r="B369" s="41"/>
      <c r="C369" s="40"/>
      <c r="D369" s="40"/>
      <c r="E369" s="40"/>
    </row>
    <row r="370" spans="1:5" ht="12.75" x14ac:dyDescent="0.2">
      <c r="A370" s="41"/>
      <c r="B370" s="41" t="s">
        <v>403</v>
      </c>
      <c r="C370" s="41" t="s">
        <v>119</v>
      </c>
      <c r="D370" s="41" t="s">
        <v>120</v>
      </c>
      <c r="E370" s="40"/>
    </row>
    <row r="371" spans="1:5" ht="12.75" x14ac:dyDescent="0.2">
      <c r="A371" s="41"/>
      <c r="B371" s="41" t="s">
        <v>403</v>
      </c>
      <c r="C371" s="41" t="s">
        <v>126</v>
      </c>
      <c r="D371" s="41" t="s">
        <v>127</v>
      </c>
      <c r="E371" s="40"/>
    </row>
    <row r="372" spans="1:5" ht="12.75" x14ac:dyDescent="0.2">
      <c r="A372" s="41"/>
      <c r="B372" s="41" t="s">
        <v>403</v>
      </c>
      <c r="C372" s="41" t="s">
        <v>130</v>
      </c>
      <c r="D372" s="41" t="s">
        <v>131</v>
      </c>
      <c r="E372" s="40"/>
    </row>
    <row r="373" spans="1:5" ht="12.75" x14ac:dyDescent="0.2">
      <c r="A373" s="41"/>
      <c r="B373" s="41" t="s">
        <v>403</v>
      </c>
      <c r="C373" s="41" t="s">
        <v>132</v>
      </c>
      <c r="D373" s="41" t="s">
        <v>134</v>
      </c>
      <c r="E373" s="40"/>
    </row>
    <row r="374" spans="1:5" ht="12.75" x14ac:dyDescent="0.2">
      <c r="A374" s="41"/>
      <c r="B374" s="41" t="s">
        <v>403</v>
      </c>
      <c r="C374" s="41" t="s">
        <v>136</v>
      </c>
      <c r="D374" s="41" t="s">
        <v>137</v>
      </c>
      <c r="E374" s="40"/>
    </row>
    <row r="375" spans="1:5" ht="12.75" x14ac:dyDescent="0.2">
      <c r="A375" s="41"/>
      <c r="B375" s="41" t="s">
        <v>403</v>
      </c>
      <c r="C375" s="41" t="s">
        <v>138</v>
      </c>
      <c r="D375" s="41" t="s">
        <v>140</v>
      </c>
      <c r="E375" s="40"/>
    </row>
    <row r="376" spans="1:5" ht="12.75" x14ac:dyDescent="0.2">
      <c r="A376" s="40"/>
      <c r="B376" s="41" t="s">
        <v>403</v>
      </c>
      <c r="C376" s="41" t="s">
        <v>24</v>
      </c>
      <c r="D376" s="41" t="s">
        <v>26</v>
      </c>
      <c r="E376" s="40"/>
    </row>
    <row r="377" spans="1:5" ht="12.75" x14ac:dyDescent="0.2">
      <c r="A377" s="40"/>
      <c r="B377" s="41"/>
      <c r="C377" s="41"/>
      <c r="D377" s="41"/>
      <c r="E377" s="40"/>
    </row>
    <row r="378" spans="1:5" ht="12.75" x14ac:dyDescent="0.2">
      <c r="A378" s="38" t="s">
        <v>146</v>
      </c>
      <c r="B378" s="39"/>
      <c r="C378" s="39"/>
      <c r="D378" s="39"/>
      <c r="E378" s="39"/>
    </row>
    <row r="379" spans="1:5" ht="12.75" x14ac:dyDescent="0.2">
      <c r="A379" s="41" t="s">
        <v>573</v>
      </c>
      <c r="B379" s="41" t="s">
        <v>402</v>
      </c>
      <c r="C379" s="41" t="s">
        <v>365</v>
      </c>
      <c r="D379" s="41"/>
      <c r="E379" s="40"/>
    </row>
    <row r="380" spans="1:5" ht="12.75" x14ac:dyDescent="0.2">
      <c r="A380" s="41" t="s">
        <v>574</v>
      </c>
      <c r="B380" s="41" t="s">
        <v>402</v>
      </c>
      <c r="C380" s="41" t="s">
        <v>19</v>
      </c>
      <c r="D380" s="40"/>
      <c r="E380" s="40"/>
    </row>
    <row r="381" spans="1:5" ht="12.75" x14ac:dyDescent="0.2">
      <c r="A381" s="41" t="s">
        <v>575</v>
      </c>
      <c r="B381" s="40"/>
      <c r="C381" s="40"/>
      <c r="D381" s="40"/>
      <c r="E381" s="40"/>
    </row>
    <row r="382" spans="1:5" ht="12.75" x14ac:dyDescent="0.2">
      <c r="A382" s="41" t="s">
        <v>576</v>
      </c>
      <c r="B382" s="41"/>
      <c r="C382" s="40"/>
      <c r="D382" s="40"/>
      <c r="E382" s="40"/>
    </row>
    <row r="383" spans="1:5" ht="12.75" x14ac:dyDescent="0.2">
      <c r="A383" s="41" t="s">
        <v>577</v>
      </c>
      <c r="B383" s="41"/>
      <c r="C383" s="40"/>
      <c r="D383" s="40"/>
      <c r="E383" s="40"/>
    </row>
    <row r="384" spans="1:5" ht="12.75" x14ac:dyDescent="0.2">
      <c r="A384" s="41" t="s">
        <v>578</v>
      </c>
      <c r="B384" s="41"/>
      <c r="C384" s="41"/>
      <c r="D384" s="41"/>
      <c r="E384" s="40"/>
    </row>
    <row r="385" spans="1:5" ht="12.75" x14ac:dyDescent="0.2">
      <c r="A385" s="41" t="s">
        <v>579</v>
      </c>
      <c r="B385" s="41"/>
      <c r="C385" s="41"/>
      <c r="D385" s="41"/>
      <c r="E385" s="40"/>
    </row>
    <row r="386" spans="1:5" ht="12.75" x14ac:dyDescent="0.2">
      <c r="A386" s="41" t="s">
        <v>145</v>
      </c>
      <c r="B386" s="41"/>
      <c r="C386" s="41"/>
      <c r="D386" s="41"/>
      <c r="E386" s="40"/>
    </row>
    <row r="387" spans="1:5" ht="12.75" x14ac:dyDescent="0.2">
      <c r="A387" s="40"/>
      <c r="B387" s="41" t="s">
        <v>403</v>
      </c>
      <c r="C387" s="41" t="s">
        <v>24</v>
      </c>
      <c r="D387" s="41" t="s">
        <v>26</v>
      </c>
      <c r="E387" s="40"/>
    </row>
    <row r="388" spans="1:5" ht="12.75" x14ac:dyDescent="0.2">
      <c r="A388" s="40"/>
      <c r="B388" s="41" t="s">
        <v>403</v>
      </c>
      <c r="C388" s="41" t="s">
        <v>32</v>
      </c>
      <c r="D388" s="41" t="s">
        <v>29</v>
      </c>
      <c r="E388" s="40"/>
    </row>
    <row r="389" spans="1:5" ht="12.75" x14ac:dyDescent="0.2">
      <c r="A389" s="41"/>
      <c r="B389" s="41" t="s">
        <v>403</v>
      </c>
      <c r="C389" s="41" t="s">
        <v>25</v>
      </c>
      <c r="D389" s="41" t="s">
        <v>27</v>
      </c>
      <c r="E389" s="40"/>
    </row>
    <row r="390" spans="1:5" ht="12.75" x14ac:dyDescent="0.2">
      <c r="A390" s="41"/>
      <c r="B390" s="41" t="s">
        <v>403</v>
      </c>
      <c r="C390" s="41" t="s">
        <v>30</v>
      </c>
      <c r="D390" s="41" t="s">
        <v>31</v>
      </c>
      <c r="E390" s="40"/>
    </row>
    <row r="391" spans="1:5" ht="12.75" x14ac:dyDescent="0.2">
      <c r="A391" s="40"/>
      <c r="B391" s="41"/>
      <c r="C391" s="40"/>
      <c r="D391" s="40"/>
      <c r="E391" s="40"/>
    </row>
    <row r="392" spans="1:5" ht="12.75" x14ac:dyDescent="0.2">
      <c r="A392" s="38" t="s">
        <v>153</v>
      </c>
      <c r="B392" s="39"/>
      <c r="C392" s="39"/>
      <c r="D392" s="39"/>
      <c r="E392" s="39"/>
    </row>
    <row r="393" spans="1:5" ht="25.5" x14ac:dyDescent="0.2">
      <c r="A393" s="41" t="s">
        <v>152</v>
      </c>
      <c r="B393" s="41" t="s">
        <v>402</v>
      </c>
      <c r="C393" s="41" t="s">
        <v>366</v>
      </c>
      <c r="D393" s="41"/>
      <c r="E393" s="40"/>
    </row>
    <row r="394" spans="1:5" ht="12.75" x14ac:dyDescent="0.2">
      <c r="A394" s="40"/>
      <c r="B394" s="41" t="s">
        <v>402</v>
      </c>
      <c r="C394" s="41" t="s">
        <v>19</v>
      </c>
      <c r="D394" s="41"/>
      <c r="E394" s="40"/>
    </row>
    <row r="395" spans="1:5" ht="12.75" x14ac:dyDescent="0.2">
      <c r="A395" s="40"/>
      <c r="B395" s="41" t="s">
        <v>403</v>
      </c>
      <c r="C395" s="41" t="s">
        <v>24</v>
      </c>
      <c r="D395" s="41" t="s">
        <v>26</v>
      </c>
      <c r="E395" s="40"/>
    </row>
    <row r="396" spans="1:5" ht="12.75" x14ac:dyDescent="0.2">
      <c r="A396" s="40"/>
      <c r="B396" s="41" t="s">
        <v>403</v>
      </c>
      <c r="C396" s="41" t="s">
        <v>32</v>
      </c>
      <c r="D396" s="41" t="s">
        <v>29</v>
      </c>
      <c r="E396" s="40"/>
    </row>
    <row r="397" spans="1:5" ht="12.75" x14ac:dyDescent="0.2">
      <c r="A397" s="41"/>
      <c r="B397" s="41" t="s">
        <v>403</v>
      </c>
      <c r="C397" s="41" t="s">
        <v>25</v>
      </c>
      <c r="D397" s="41" t="s">
        <v>27</v>
      </c>
      <c r="E397" s="40"/>
    </row>
    <row r="398" spans="1:5" ht="12.75" x14ac:dyDescent="0.2">
      <c r="A398" s="41"/>
      <c r="B398" s="41" t="s">
        <v>403</v>
      </c>
      <c r="C398" s="41" t="s">
        <v>30</v>
      </c>
      <c r="D398" s="41" t="s">
        <v>31</v>
      </c>
      <c r="E398" s="40"/>
    </row>
    <row r="399" spans="1:5" ht="12.75" x14ac:dyDescent="0.2">
      <c r="A399" s="41"/>
      <c r="B399" s="41"/>
      <c r="C399" s="40"/>
      <c r="D399" s="40"/>
      <c r="E399" s="40"/>
    </row>
    <row r="400" spans="1:5" ht="12.75" x14ac:dyDescent="0.2">
      <c r="A400" s="38" t="s">
        <v>156</v>
      </c>
      <c r="B400" s="39"/>
      <c r="C400" s="39"/>
      <c r="D400" s="39"/>
      <c r="E400" s="39"/>
    </row>
    <row r="401" spans="1:5" ht="12.75" x14ac:dyDescent="0.2">
      <c r="A401" s="41" t="s">
        <v>155</v>
      </c>
      <c r="B401" s="41" t="s">
        <v>402</v>
      </c>
      <c r="C401" s="41" t="s">
        <v>371</v>
      </c>
      <c r="D401" s="40"/>
      <c r="E401" s="40"/>
    </row>
    <row r="402" spans="1:5" ht="12.75" x14ac:dyDescent="0.2">
      <c r="A402" s="41"/>
      <c r="B402" s="41" t="s">
        <v>402</v>
      </c>
      <c r="C402" s="41" t="s">
        <v>19</v>
      </c>
      <c r="D402" s="40"/>
      <c r="E402" s="40"/>
    </row>
    <row r="403" spans="1:5" ht="12.75" x14ac:dyDescent="0.2">
      <c r="A403" s="41"/>
      <c r="B403" s="41" t="s">
        <v>403</v>
      </c>
      <c r="C403" s="41" t="s">
        <v>24</v>
      </c>
      <c r="D403" s="41" t="s">
        <v>26</v>
      </c>
      <c r="E403" s="40"/>
    </row>
    <row r="404" spans="1:5" ht="12.75" x14ac:dyDescent="0.2">
      <c r="A404" s="41"/>
      <c r="B404" s="41" t="s">
        <v>403</v>
      </c>
      <c r="C404" s="41" t="s">
        <v>32</v>
      </c>
      <c r="D404" s="41" t="s">
        <v>29</v>
      </c>
      <c r="E404" s="40"/>
    </row>
    <row r="405" spans="1:5" ht="12.75" x14ac:dyDescent="0.2">
      <c r="A405" s="40"/>
      <c r="B405" s="41" t="s">
        <v>403</v>
      </c>
      <c r="C405" s="41" t="s">
        <v>25</v>
      </c>
      <c r="D405" s="41" t="s">
        <v>27</v>
      </c>
      <c r="E405" s="40"/>
    </row>
    <row r="406" spans="1:5" ht="12.75" x14ac:dyDescent="0.2">
      <c r="A406" s="40"/>
      <c r="B406" s="41" t="s">
        <v>403</v>
      </c>
      <c r="C406" s="41" t="s">
        <v>30</v>
      </c>
      <c r="D406" s="41" t="s">
        <v>31</v>
      </c>
      <c r="E406" s="40"/>
    </row>
    <row r="407" spans="1:5" ht="12.75" x14ac:dyDescent="0.2">
      <c r="A407" s="40"/>
      <c r="B407" s="41"/>
      <c r="C407" s="41"/>
      <c r="D407" s="41"/>
      <c r="E407" s="40"/>
    </row>
    <row r="408" spans="1:5" ht="12.75" x14ac:dyDescent="0.2">
      <c r="A408" s="38" t="s">
        <v>159</v>
      </c>
      <c r="B408" s="39"/>
      <c r="C408" s="39"/>
      <c r="D408" s="39"/>
      <c r="E408" s="39"/>
    </row>
    <row r="409" spans="1:5" ht="25.5" x14ac:dyDescent="0.2">
      <c r="A409" s="41" t="s">
        <v>580</v>
      </c>
      <c r="B409" s="41" t="s">
        <v>402</v>
      </c>
      <c r="C409" s="41" t="s">
        <v>377</v>
      </c>
      <c r="D409" s="40"/>
      <c r="E409" s="40"/>
    </row>
    <row r="410" spans="1:5" ht="12.75" x14ac:dyDescent="0.2">
      <c r="A410" s="41" t="s">
        <v>581</v>
      </c>
      <c r="B410" s="41" t="s">
        <v>402</v>
      </c>
      <c r="C410" s="41" t="s">
        <v>19</v>
      </c>
      <c r="D410" s="40"/>
      <c r="E410" s="40"/>
    </row>
    <row r="411" spans="1:5" ht="12.75" x14ac:dyDescent="0.2">
      <c r="A411" s="41" t="s">
        <v>582</v>
      </c>
      <c r="B411" s="41"/>
      <c r="C411" s="40"/>
      <c r="D411" s="40"/>
      <c r="E411" s="40"/>
    </row>
    <row r="412" spans="1:5" ht="12.75" x14ac:dyDescent="0.2">
      <c r="A412" s="41" t="s">
        <v>583</v>
      </c>
      <c r="B412" s="40"/>
      <c r="C412" s="40"/>
      <c r="D412" s="40"/>
      <c r="E412" s="40"/>
    </row>
    <row r="413" spans="1:5" ht="12.75" x14ac:dyDescent="0.2">
      <c r="A413" s="41" t="s">
        <v>584</v>
      </c>
      <c r="B413" s="40"/>
      <c r="C413" s="40"/>
      <c r="D413" s="40"/>
      <c r="E413" s="40"/>
    </row>
    <row r="414" spans="1:5" ht="12.75" x14ac:dyDescent="0.2">
      <c r="A414" s="41" t="s">
        <v>585</v>
      </c>
      <c r="B414" s="40"/>
      <c r="C414" s="40"/>
      <c r="D414" s="40"/>
      <c r="E414" s="40"/>
    </row>
    <row r="415" spans="1:5" ht="12.75" x14ac:dyDescent="0.2">
      <c r="A415" s="41" t="s">
        <v>158</v>
      </c>
      <c r="B415" s="41"/>
      <c r="C415" s="41"/>
      <c r="D415" s="41"/>
      <c r="E415" s="40"/>
    </row>
    <row r="416" spans="1:5" ht="12.75" x14ac:dyDescent="0.2">
      <c r="A416" s="40"/>
      <c r="B416" s="41" t="s">
        <v>403</v>
      </c>
      <c r="C416" s="41" t="s">
        <v>24</v>
      </c>
      <c r="D416" s="41" t="s">
        <v>26</v>
      </c>
      <c r="E416" s="40"/>
    </row>
    <row r="417" spans="1:5" ht="12.75" x14ac:dyDescent="0.2">
      <c r="A417" s="40"/>
      <c r="B417" s="41" t="s">
        <v>403</v>
      </c>
      <c r="C417" s="41" t="s">
        <v>32</v>
      </c>
      <c r="D417" s="41" t="s">
        <v>29</v>
      </c>
      <c r="E417" s="40"/>
    </row>
    <row r="418" spans="1:5" ht="12.75" x14ac:dyDescent="0.2">
      <c r="A418" s="40"/>
      <c r="B418" s="41" t="s">
        <v>403</v>
      </c>
      <c r="C418" s="41" t="s">
        <v>25</v>
      </c>
      <c r="D418" s="41" t="s">
        <v>27</v>
      </c>
      <c r="E418" s="40"/>
    </row>
    <row r="419" spans="1:5" ht="12.75" x14ac:dyDescent="0.2">
      <c r="A419" s="40"/>
      <c r="B419" s="41" t="s">
        <v>403</v>
      </c>
      <c r="C419" s="41" t="s">
        <v>30</v>
      </c>
      <c r="D419" s="41" t="s">
        <v>31</v>
      </c>
      <c r="E419" s="40"/>
    </row>
    <row r="420" spans="1:5" ht="12.75" x14ac:dyDescent="0.2">
      <c r="A420" s="40"/>
      <c r="B420" s="40"/>
      <c r="C420" s="40"/>
      <c r="D420" s="40"/>
      <c r="E420" s="40"/>
    </row>
    <row r="421" spans="1:5" ht="12.75" x14ac:dyDescent="0.2">
      <c r="A421" s="38" t="s">
        <v>142</v>
      </c>
      <c r="B421" s="39"/>
      <c r="C421" s="39"/>
      <c r="D421" s="39"/>
      <c r="E421" s="39"/>
    </row>
    <row r="422" spans="1:5" ht="12.75" x14ac:dyDescent="0.2">
      <c r="A422" s="41" t="s">
        <v>587</v>
      </c>
      <c r="B422" s="41" t="s">
        <v>402</v>
      </c>
      <c r="C422" s="41" t="s">
        <v>144</v>
      </c>
      <c r="D422" s="40"/>
      <c r="E422" s="40"/>
    </row>
    <row r="423" spans="1:5" ht="12.75" x14ac:dyDescent="0.2">
      <c r="A423" s="41" t="s">
        <v>588</v>
      </c>
      <c r="B423" s="41"/>
      <c r="C423" s="40"/>
      <c r="D423" s="40"/>
      <c r="E423" s="40"/>
    </row>
    <row r="424" spans="1:5" ht="12.75" x14ac:dyDescent="0.2">
      <c r="A424" s="41" t="s">
        <v>589</v>
      </c>
      <c r="B424" s="40"/>
      <c r="C424" s="40"/>
      <c r="D424" s="40"/>
      <c r="E424" s="40"/>
    </row>
    <row r="425" spans="1:5" ht="12.75" x14ac:dyDescent="0.2">
      <c r="A425" s="41" t="s">
        <v>143</v>
      </c>
      <c r="B425" s="40"/>
      <c r="C425" s="40"/>
      <c r="D425" s="40"/>
      <c r="E425" s="40"/>
    </row>
    <row r="426" spans="1:5" ht="12.75" x14ac:dyDescent="0.2">
      <c r="A426" s="41"/>
      <c r="B426" s="41" t="s">
        <v>403</v>
      </c>
      <c r="C426" s="41" t="s">
        <v>145</v>
      </c>
      <c r="D426" s="41" t="s">
        <v>146</v>
      </c>
      <c r="E426" s="40"/>
    </row>
    <row r="427" spans="1:5" ht="12.75" x14ac:dyDescent="0.2">
      <c r="A427" s="41"/>
      <c r="B427" s="41" t="s">
        <v>403</v>
      </c>
      <c r="C427" s="41" t="s">
        <v>152</v>
      </c>
      <c r="D427" s="41" t="s">
        <v>153</v>
      </c>
      <c r="E427" s="40"/>
    </row>
    <row r="428" spans="1:5" ht="12.75" x14ac:dyDescent="0.2">
      <c r="A428" s="41"/>
      <c r="B428" s="41" t="s">
        <v>403</v>
      </c>
      <c r="C428" s="41" t="s">
        <v>155</v>
      </c>
      <c r="D428" s="41" t="s">
        <v>156</v>
      </c>
      <c r="E428" s="40"/>
    </row>
    <row r="429" spans="1:5" ht="12.75" x14ac:dyDescent="0.2">
      <c r="A429" s="41"/>
      <c r="B429" s="41" t="s">
        <v>403</v>
      </c>
      <c r="C429" s="41" t="s">
        <v>158</v>
      </c>
      <c r="D429" s="41" t="s">
        <v>159</v>
      </c>
      <c r="E429" s="40"/>
    </row>
    <row r="430" spans="1:5" ht="12.75" x14ac:dyDescent="0.2">
      <c r="A430" s="40"/>
      <c r="B430" s="41" t="s">
        <v>403</v>
      </c>
      <c r="C430" s="41" t="s">
        <v>24</v>
      </c>
      <c r="D430" s="41" t="s">
        <v>26</v>
      </c>
      <c r="E430" s="40"/>
    </row>
    <row r="431" spans="1:5" ht="12.75" x14ac:dyDescent="0.2">
      <c r="A431" s="40"/>
      <c r="B431" s="41"/>
      <c r="C431" s="41"/>
      <c r="D431" s="41"/>
      <c r="E431" s="40"/>
    </row>
    <row r="432" spans="1:5" ht="12.75" x14ac:dyDescent="0.2">
      <c r="A432" s="38" t="s">
        <v>167</v>
      </c>
      <c r="B432" s="39"/>
      <c r="C432" s="39"/>
      <c r="D432" s="39"/>
      <c r="E432" s="39"/>
    </row>
    <row r="433" spans="1:5" ht="38.25" x14ac:dyDescent="0.2">
      <c r="A433" s="41" t="s">
        <v>590</v>
      </c>
      <c r="B433" s="41" t="s">
        <v>402</v>
      </c>
      <c r="C433" s="41" t="s">
        <v>381</v>
      </c>
      <c r="D433" s="41"/>
      <c r="E433" s="40"/>
    </row>
    <row r="434" spans="1:5" ht="12.75" x14ac:dyDescent="0.2">
      <c r="A434" s="41" t="s">
        <v>591</v>
      </c>
      <c r="B434" s="41" t="s">
        <v>402</v>
      </c>
      <c r="C434" s="41" t="s">
        <v>19</v>
      </c>
      <c r="D434" s="40"/>
      <c r="E434" s="40"/>
    </row>
    <row r="435" spans="1:5" ht="12.75" x14ac:dyDescent="0.2">
      <c r="A435" s="41" t="s">
        <v>592</v>
      </c>
      <c r="B435" s="40"/>
      <c r="C435" s="40"/>
      <c r="D435" s="40"/>
      <c r="E435" s="40"/>
    </row>
    <row r="436" spans="1:5" ht="12.75" x14ac:dyDescent="0.2">
      <c r="A436" s="41" t="s">
        <v>593</v>
      </c>
      <c r="B436" s="41"/>
      <c r="C436" s="40"/>
      <c r="D436" s="40"/>
      <c r="E436" s="40"/>
    </row>
    <row r="437" spans="1:5" ht="12.75" x14ac:dyDescent="0.2">
      <c r="A437" s="41" t="s">
        <v>594</v>
      </c>
      <c r="B437" s="41"/>
      <c r="C437" s="40"/>
      <c r="D437" s="40"/>
      <c r="E437" s="40"/>
    </row>
    <row r="438" spans="1:5" ht="12.75" x14ac:dyDescent="0.2">
      <c r="A438" s="41" t="s">
        <v>595</v>
      </c>
      <c r="B438" s="40"/>
      <c r="C438" s="40"/>
      <c r="D438" s="40"/>
      <c r="E438" s="40"/>
    </row>
    <row r="439" spans="1:5" ht="12.75" x14ac:dyDescent="0.2">
      <c r="A439" s="41" t="s">
        <v>596</v>
      </c>
      <c r="B439" s="40"/>
      <c r="C439" s="40"/>
      <c r="D439" s="40"/>
      <c r="E439" s="40"/>
    </row>
    <row r="440" spans="1:5" ht="12.75" x14ac:dyDescent="0.2">
      <c r="A440" s="41" t="s">
        <v>166</v>
      </c>
      <c r="B440" s="40"/>
      <c r="C440" s="40"/>
      <c r="D440" s="40"/>
      <c r="E440" s="40"/>
    </row>
    <row r="441" spans="1:5" ht="12.75" x14ac:dyDescent="0.2">
      <c r="A441" s="40"/>
      <c r="B441" s="41" t="s">
        <v>403</v>
      </c>
      <c r="C441" s="41" t="s">
        <v>24</v>
      </c>
      <c r="D441" s="41" t="s">
        <v>26</v>
      </c>
      <c r="E441" s="40"/>
    </row>
    <row r="442" spans="1:5" ht="12.75" x14ac:dyDescent="0.2">
      <c r="A442" s="40"/>
      <c r="B442" s="41" t="s">
        <v>403</v>
      </c>
      <c r="C442" s="41" t="s">
        <v>32</v>
      </c>
      <c r="D442" s="41" t="s">
        <v>29</v>
      </c>
      <c r="E442" s="40"/>
    </row>
    <row r="443" spans="1:5" ht="12.75" x14ac:dyDescent="0.2">
      <c r="A443" s="40"/>
      <c r="B443" s="41" t="s">
        <v>403</v>
      </c>
      <c r="C443" s="41" t="s">
        <v>25</v>
      </c>
      <c r="D443" s="41" t="s">
        <v>27</v>
      </c>
      <c r="E443" s="40"/>
    </row>
    <row r="444" spans="1:5" ht="12.75" x14ac:dyDescent="0.2">
      <c r="A444" s="40"/>
      <c r="B444" s="41" t="s">
        <v>403</v>
      </c>
      <c r="C444" s="41" t="s">
        <v>30</v>
      </c>
      <c r="D444" s="41" t="s">
        <v>31</v>
      </c>
      <c r="E444" s="40"/>
    </row>
    <row r="445" spans="1:5" ht="12.75" x14ac:dyDescent="0.2">
      <c r="A445" s="40"/>
      <c r="B445" s="40"/>
      <c r="C445" s="40"/>
      <c r="D445" s="40"/>
      <c r="E445" s="40"/>
    </row>
    <row r="446" spans="1:5" ht="12.75" x14ac:dyDescent="0.2">
      <c r="A446" s="38" t="s">
        <v>174</v>
      </c>
      <c r="B446" s="39"/>
      <c r="C446" s="39"/>
      <c r="D446" s="39"/>
      <c r="E446" s="39"/>
    </row>
    <row r="447" spans="1:5" ht="25.5" x14ac:dyDescent="0.2">
      <c r="A447" s="41" t="s">
        <v>597</v>
      </c>
      <c r="B447" s="41" t="s">
        <v>402</v>
      </c>
      <c r="C447" s="41" t="s">
        <v>383</v>
      </c>
      <c r="D447" s="40"/>
      <c r="E447" s="40"/>
    </row>
    <row r="448" spans="1:5" ht="12.75" x14ac:dyDescent="0.2">
      <c r="A448" s="41" t="s">
        <v>598</v>
      </c>
      <c r="B448" s="41" t="s">
        <v>402</v>
      </c>
      <c r="C448" s="41" t="s">
        <v>19</v>
      </c>
      <c r="D448" s="40"/>
      <c r="E448" s="40"/>
    </row>
    <row r="449" spans="1:5" ht="12.75" x14ac:dyDescent="0.2">
      <c r="A449" s="41" t="s">
        <v>599</v>
      </c>
      <c r="B449" s="40"/>
      <c r="C449" s="40"/>
      <c r="D449" s="40"/>
      <c r="E449" s="40"/>
    </row>
    <row r="450" spans="1:5" ht="12.75" x14ac:dyDescent="0.2">
      <c r="A450" s="41" t="s">
        <v>600</v>
      </c>
      <c r="B450" s="40"/>
      <c r="C450" s="40"/>
      <c r="D450" s="40"/>
      <c r="E450" s="40"/>
    </row>
    <row r="451" spans="1:5" ht="12.75" x14ac:dyDescent="0.2">
      <c r="A451" s="41" t="s">
        <v>173</v>
      </c>
      <c r="B451" s="40"/>
      <c r="C451" s="40"/>
      <c r="D451" s="40"/>
      <c r="E451" s="40"/>
    </row>
    <row r="452" spans="1:5" ht="12.75" x14ac:dyDescent="0.2">
      <c r="A452" s="41"/>
      <c r="B452" s="41" t="s">
        <v>403</v>
      </c>
      <c r="C452" s="41" t="s">
        <v>24</v>
      </c>
      <c r="D452" s="41" t="s">
        <v>26</v>
      </c>
      <c r="E452" s="40"/>
    </row>
    <row r="453" spans="1:5" ht="12.75" x14ac:dyDescent="0.2">
      <c r="A453" s="41"/>
      <c r="B453" s="41" t="s">
        <v>403</v>
      </c>
      <c r="C453" s="41" t="s">
        <v>32</v>
      </c>
      <c r="D453" s="41" t="s">
        <v>29</v>
      </c>
      <c r="E453" s="40"/>
    </row>
    <row r="454" spans="1:5" ht="12.75" x14ac:dyDescent="0.2">
      <c r="A454" s="40"/>
      <c r="B454" s="41" t="s">
        <v>403</v>
      </c>
      <c r="C454" s="41" t="s">
        <v>25</v>
      </c>
      <c r="D454" s="41" t="s">
        <v>27</v>
      </c>
      <c r="E454" s="40"/>
    </row>
    <row r="455" spans="1:5" ht="12.75" x14ac:dyDescent="0.2">
      <c r="A455" s="40"/>
      <c r="B455" s="41" t="s">
        <v>403</v>
      </c>
      <c r="C455" s="41" t="s">
        <v>30</v>
      </c>
      <c r="D455" s="41" t="s">
        <v>31</v>
      </c>
      <c r="E455" s="40"/>
    </row>
    <row r="456" spans="1:5" ht="12.75" x14ac:dyDescent="0.2">
      <c r="A456" s="40"/>
      <c r="B456" s="41"/>
      <c r="C456" s="41"/>
      <c r="D456" s="41"/>
      <c r="E456" s="40"/>
    </row>
    <row r="457" spans="1:5" ht="12.75" x14ac:dyDescent="0.2">
      <c r="A457" s="38" t="s">
        <v>178</v>
      </c>
      <c r="B457" s="39"/>
      <c r="C457" s="39"/>
      <c r="D457" s="39"/>
      <c r="E457" s="39"/>
    </row>
    <row r="458" spans="1:5" ht="25.5" x14ac:dyDescent="0.2">
      <c r="A458" s="41" t="s">
        <v>601</v>
      </c>
      <c r="B458" s="41" t="s">
        <v>402</v>
      </c>
      <c r="C458" s="41" t="s">
        <v>602</v>
      </c>
      <c r="D458" s="40"/>
      <c r="E458" s="40"/>
    </row>
    <row r="459" spans="1:5" ht="12.75" x14ac:dyDescent="0.2">
      <c r="A459" s="41" t="s">
        <v>603</v>
      </c>
      <c r="B459" s="41" t="s">
        <v>402</v>
      </c>
      <c r="C459" s="41" t="s">
        <v>19</v>
      </c>
      <c r="D459" s="40"/>
      <c r="E459" s="40"/>
    </row>
    <row r="460" spans="1:5" ht="12.75" x14ac:dyDescent="0.2">
      <c r="A460" s="41" t="s">
        <v>604</v>
      </c>
      <c r="B460" s="41"/>
      <c r="C460" s="40"/>
      <c r="D460" s="40"/>
      <c r="E460" s="40"/>
    </row>
    <row r="461" spans="1:5" ht="12.75" x14ac:dyDescent="0.2">
      <c r="A461" s="41" t="s">
        <v>591</v>
      </c>
      <c r="B461" s="40"/>
      <c r="C461" s="40"/>
      <c r="D461" s="40"/>
      <c r="E461" s="40"/>
    </row>
    <row r="462" spans="1:5" ht="12.75" x14ac:dyDescent="0.2">
      <c r="A462" s="41" t="s">
        <v>605</v>
      </c>
      <c r="B462" s="40"/>
      <c r="C462" s="40"/>
      <c r="D462" s="40"/>
      <c r="E462" s="40"/>
    </row>
    <row r="463" spans="1:5" ht="12.75" x14ac:dyDescent="0.2">
      <c r="A463" s="41" t="s">
        <v>606</v>
      </c>
      <c r="B463" s="41"/>
      <c r="C463" s="41"/>
      <c r="D463" s="41"/>
      <c r="E463" s="40"/>
    </row>
    <row r="464" spans="1:5" ht="12.75" x14ac:dyDescent="0.2">
      <c r="A464" s="41" t="s">
        <v>177</v>
      </c>
      <c r="B464" s="41"/>
      <c r="C464" s="41"/>
      <c r="D464" s="41"/>
      <c r="E464" s="40"/>
    </row>
    <row r="465" spans="1:5" ht="12.75" x14ac:dyDescent="0.2">
      <c r="A465" s="40"/>
      <c r="B465" s="41" t="s">
        <v>403</v>
      </c>
      <c r="C465" s="41" t="s">
        <v>24</v>
      </c>
      <c r="D465" s="41" t="s">
        <v>26</v>
      </c>
      <c r="E465" s="40"/>
    </row>
    <row r="466" spans="1:5" ht="12.75" x14ac:dyDescent="0.2">
      <c r="A466" s="40"/>
      <c r="B466" s="41" t="s">
        <v>403</v>
      </c>
      <c r="C466" s="41" t="s">
        <v>32</v>
      </c>
      <c r="D466" s="41" t="s">
        <v>29</v>
      </c>
      <c r="E466" s="40"/>
    </row>
    <row r="467" spans="1:5" ht="12.75" x14ac:dyDescent="0.2">
      <c r="A467" s="40"/>
      <c r="B467" s="41" t="s">
        <v>403</v>
      </c>
      <c r="C467" s="41" t="s">
        <v>25</v>
      </c>
      <c r="D467" s="41" t="s">
        <v>27</v>
      </c>
      <c r="E467" s="40"/>
    </row>
    <row r="468" spans="1:5" ht="12.75" x14ac:dyDescent="0.2">
      <c r="A468" s="40"/>
      <c r="B468" s="41" t="s">
        <v>403</v>
      </c>
      <c r="C468" s="41" t="s">
        <v>30</v>
      </c>
      <c r="D468" s="41" t="s">
        <v>31</v>
      </c>
      <c r="E468" s="40"/>
    </row>
    <row r="469" spans="1:5" ht="12.75" x14ac:dyDescent="0.2">
      <c r="A469" s="41"/>
      <c r="B469" s="40"/>
      <c r="C469" s="40"/>
      <c r="D469" s="40"/>
      <c r="E469" s="40"/>
    </row>
    <row r="470" spans="1:5" ht="12.75" x14ac:dyDescent="0.2">
      <c r="A470" s="38" t="s">
        <v>164</v>
      </c>
      <c r="B470" s="39"/>
      <c r="C470" s="39"/>
      <c r="D470" s="39"/>
      <c r="E470" s="39"/>
    </row>
    <row r="471" spans="1:5" ht="12.75" x14ac:dyDescent="0.2">
      <c r="A471" s="41" t="s">
        <v>607</v>
      </c>
      <c r="B471" s="41" t="s">
        <v>402</v>
      </c>
      <c r="C471" s="41" t="s">
        <v>165</v>
      </c>
      <c r="D471" s="40"/>
      <c r="E471" s="40"/>
    </row>
    <row r="472" spans="1:5" ht="12.75" x14ac:dyDescent="0.2">
      <c r="A472" s="41" t="s">
        <v>608</v>
      </c>
      <c r="B472" s="40"/>
      <c r="C472" s="40"/>
      <c r="D472" s="40"/>
      <c r="E472" s="40"/>
    </row>
    <row r="473" spans="1:5" ht="12.75" x14ac:dyDescent="0.2">
      <c r="A473" s="41" t="s">
        <v>53</v>
      </c>
      <c r="B473" s="40"/>
      <c r="C473" s="40"/>
      <c r="D473" s="40"/>
      <c r="E473" s="40"/>
    </row>
    <row r="474" spans="1:5" ht="12.75" x14ac:dyDescent="0.2">
      <c r="A474" s="41"/>
      <c r="B474" s="41" t="s">
        <v>403</v>
      </c>
      <c r="C474" s="41" t="s">
        <v>166</v>
      </c>
      <c r="D474" s="41" t="s">
        <v>167</v>
      </c>
      <c r="E474" s="40"/>
    </row>
    <row r="475" spans="1:5" ht="12.75" x14ac:dyDescent="0.2">
      <c r="A475" s="41"/>
      <c r="B475" s="41" t="s">
        <v>403</v>
      </c>
      <c r="C475" s="41" t="s">
        <v>173</v>
      </c>
      <c r="D475" s="41" t="s">
        <v>174</v>
      </c>
      <c r="E475" s="40"/>
    </row>
    <row r="476" spans="1:5" ht="12.75" x14ac:dyDescent="0.2">
      <c r="A476" s="41"/>
      <c r="B476" s="41" t="s">
        <v>403</v>
      </c>
      <c r="C476" s="41" t="s">
        <v>177</v>
      </c>
      <c r="D476" s="41" t="s">
        <v>178</v>
      </c>
      <c r="E476" s="40"/>
    </row>
    <row r="477" spans="1:5" ht="12.75" x14ac:dyDescent="0.2">
      <c r="A477" s="41"/>
      <c r="B477" s="41" t="s">
        <v>403</v>
      </c>
      <c r="C477" s="41" t="s">
        <v>24</v>
      </c>
      <c r="D477" s="41" t="s">
        <v>26</v>
      </c>
      <c r="E477" s="40"/>
    </row>
    <row r="478" spans="1:5" ht="12.75" x14ac:dyDescent="0.2">
      <c r="A478" s="41"/>
      <c r="B478" s="41" t="s">
        <v>403</v>
      </c>
      <c r="C478" s="41" t="s">
        <v>32</v>
      </c>
      <c r="D478" s="41" t="s">
        <v>29</v>
      </c>
      <c r="E478" s="40"/>
    </row>
    <row r="479" spans="1:5" ht="12.75" x14ac:dyDescent="0.2">
      <c r="A479" s="41"/>
      <c r="B479" s="40"/>
      <c r="C479" s="40"/>
      <c r="D479" s="40"/>
      <c r="E479" s="40"/>
    </row>
    <row r="480" spans="1:5" ht="12.75" x14ac:dyDescent="0.2">
      <c r="A480" s="38" t="s">
        <v>29</v>
      </c>
      <c r="B480" s="39"/>
      <c r="C480" s="39"/>
      <c r="D480" s="39"/>
      <c r="E480" s="39"/>
    </row>
    <row r="481" spans="1:5" ht="25.5" x14ac:dyDescent="0.2">
      <c r="A481" s="41" t="s">
        <v>609</v>
      </c>
      <c r="B481" s="41" t="s">
        <v>402</v>
      </c>
      <c r="C481" s="41" t="s">
        <v>210</v>
      </c>
      <c r="D481" s="41"/>
      <c r="E481" s="40"/>
    </row>
    <row r="482" spans="1:5" ht="12.75" x14ac:dyDescent="0.2">
      <c r="A482" s="41" t="s">
        <v>610</v>
      </c>
      <c r="B482" s="41"/>
      <c r="C482" s="41"/>
      <c r="D482" s="41"/>
      <c r="E482" s="40"/>
    </row>
    <row r="483" spans="1:5" ht="12.75" x14ac:dyDescent="0.2">
      <c r="A483" s="41" t="s">
        <v>611</v>
      </c>
      <c r="B483" s="41"/>
      <c r="C483" s="41"/>
      <c r="D483" s="41"/>
      <c r="E483" s="40"/>
    </row>
    <row r="484" spans="1:5" ht="12.75" x14ac:dyDescent="0.2">
      <c r="A484" s="41" t="s">
        <v>612</v>
      </c>
      <c r="B484" s="41"/>
      <c r="C484" s="41"/>
      <c r="D484" s="41"/>
      <c r="E484" s="40"/>
    </row>
    <row r="485" spans="1:5" ht="12.75" x14ac:dyDescent="0.2">
      <c r="A485" s="41" t="s">
        <v>613</v>
      </c>
      <c r="B485" s="41"/>
      <c r="C485" s="41"/>
      <c r="D485" s="41"/>
      <c r="E485" s="40"/>
    </row>
    <row r="486" spans="1:5" ht="12.75" x14ac:dyDescent="0.2">
      <c r="A486" s="41" t="s">
        <v>614</v>
      </c>
      <c r="B486" s="41"/>
      <c r="C486" s="41"/>
      <c r="D486" s="41"/>
      <c r="E486" s="40"/>
    </row>
    <row r="487" spans="1:5" ht="12.75" x14ac:dyDescent="0.2">
      <c r="A487" s="41" t="s">
        <v>615</v>
      </c>
      <c r="B487" s="40"/>
      <c r="C487" s="40"/>
      <c r="D487" s="40"/>
      <c r="E487" s="40"/>
    </row>
    <row r="488" spans="1:5" ht="12.75" x14ac:dyDescent="0.2">
      <c r="A488" s="41" t="s">
        <v>616</v>
      </c>
      <c r="B488" s="40"/>
      <c r="C488" s="40"/>
      <c r="D488" s="40"/>
      <c r="E488" s="40"/>
    </row>
    <row r="489" spans="1:5" ht="12.75" x14ac:dyDescent="0.2">
      <c r="A489" s="41" t="s">
        <v>56</v>
      </c>
      <c r="B489" s="41"/>
      <c r="C489" s="40"/>
      <c r="D489" s="40"/>
      <c r="E489" s="40"/>
    </row>
    <row r="490" spans="1:5" ht="12.75" x14ac:dyDescent="0.2">
      <c r="A490" s="41" t="s">
        <v>32</v>
      </c>
      <c r="B490" s="41"/>
      <c r="C490" s="40"/>
      <c r="D490" s="40"/>
      <c r="E490" s="40"/>
    </row>
    <row r="491" spans="1:5" ht="12.75" x14ac:dyDescent="0.2">
      <c r="A491" s="41" t="s">
        <v>28</v>
      </c>
      <c r="B491" s="40"/>
      <c r="C491" s="40"/>
      <c r="D491" s="40"/>
      <c r="E491" s="40"/>
    </row>
    <row r="492" spans="1:5" ht="12.75" x14ac:dyDescent="0.2">
      <c r="A492" s="41"/>
      <c r="B492" s="41" t="s">
        <v>422</v>
      </c>
      <c r="C492" s="41" t="s">
        <v>508</v>
      </c>
      <c r="D492" s="41" t="s">
        <v>509</v>
      </c>
      <c r="E492" s="40"/>
    </row>
    <row r="493" spans="1:5" ht="12.75" x14ac:dyDescent="0.2">
      <c r="A493" s="41"/>
      <c r="B493" s="41" t="s">
        <v>422</v>
      </c>
      <c r="C493" s="41" t="s">
        <v>423</v>
      </c>
      <c r="D493" s="41" t="s">
        <v>424</v>
      </c>
      <c r="E493" s="40"/>
    </row>
    <row r="494" spans="1:5" ht="12.75" x14ac:dyDescent="0.2">
      <c r="A494" s="41"/>
      <c r="B494" s="41" t="s">
        <v>403</v>
      </c>
      <c r="C494" s="41" t="s">
        <v>617</v>
      </c>
      <c r="D494" s="41" t="s">
        <v>239</v>
      </c>
      <c r="E494" s="40"/>
    </row>
    <row r="495" spans="1:5" ht="12.75" x14ac:dyDescent="0.2">
      <c r="A495" s="41"/>
      <c r="B495" s="41" t="s">
        <v>403</v>
      </c>
      <c r="C495" s="41" t="s">
        <v>618</v>
      </c>
      <c r="D495" s="41" t="s">
        <v>256</v>
      </c>
      <c r="E495" s="40"/>
    </row>
    <row r="496" spans="1:5" ht="12.75" x14ac:dyDescent="0.2">
      <c r="A496" s="41"/>
      <c r="B496" s="41" t="s">
        <v>403</v>
      </c>
      <c r="C496" s="41" t="s">
        <v>229</v>
      </c>
      <c r="D496" s="41" t="s">
        <v>300</v>
      </c>
      <c r="E496" s="40"/>
    </row>
    <row r="497" spans="1:5" ht="12.75" x14ac:dyDescent="0.2">
      <c r="A497" s="40"/>
      <c r="B497" s="41" t="s">
        <v>403</v>
      </c>
      <c r="C497" s="41" t="s">
        <v>232</v>
      </c>
      <c r="D497" s="41" t="s">
        <v>325</v>
      </c>
      <c r="E497" s="40"/>
    </row>
    <row r="498" spans="1:5" ht="12.75" x14ac:dyDescent="0.2">
      <c r="A498" s="40"/>
      <c r="B498" s="41" t="s">
        <v>403</v>
      </c>
      <c r="C498" s="41" t="s">
        <v>53</v>
      </c>
      <c r="D498" s="41" t="s">
        <v>164</v>
      </c>
      <c r="E498" s="40"/>
    </row>
    <row r="499" spans="1:5" ht="12.75" x14ac:dyDescent="0.2">
      <c r="A499" s="40"/>
      <c r="B499" s="41" t="s">
        <v>403</v>
      </c>
      <c r="C499" s="41" t="s">
        <v>38</v>
      </c>
      <c r="D499" s="41" t="s">
        <v>26</v>
      </c>
      <c r="E499" s="40"/>
    </row>
    <row r="500" spans="1:5" ht="12.75" x14ac:dyDescent="0.2">
      <c r="A500" s="40"/>
      <c r="B500" s="41"/>
      <c r="C500" s="41"/>
      <c r="D500" s="41"/>
      <c r="E500" s="40"/>
    </row>
    <row r="501" spans="1:5" ht="12.75" x14ac:dyDescent="0.2">
      <c r="A501" s="38" t="s">
        <v>244</v>
      </c>
      <c r="B501" s="39"/>
      <c r="C501" s="39"/>
      <c r="D501" s="39"/>
      <c r="E501" s="39"/>
    </row>
    <row r="502" spans="1:5" ht="25.5" x14ac:dyDescent="0.2">
      <c r="A502" s="41" t="s">
        <v>619</v>
      </c>
      <c r="B502" s="41" t="s">
        <v>402</v>
      </c>
      <c r="C502" s="41" t="s">
        <v>620</v>
      </c>
      <c r="D502" s="40"/>
      <c r="E502" s="40"/>
    </row>
    <row r="503" spans="1:5" ht="12.75" x14ac:dyDescent="0.2">
      <c r="A503" s="41" t="s">
        <v>621</v>
      </c>
      <c r="B503" s="41" t="s">
        <v>402</v>
      </c>
      <c r="C503" s="41" t="s">
        <v>19</v>
      </c>
      <c r="D503" s="40"/>
      <c r="E503" s="40"/>
    </row>
    <row r="504" spans="1:5" ht="12.75" x14ac:dyDescent="0.2">
      <c r="A504" s="41" t="s">
        <v>622</v>
      </c>
      <c r="B504" s="40"/>
      <c r="C504" s="40"/>
      <c r="D504" s="40"/>
      <c r="E504" s="40"/>
    </row>
    <row r="505" spans="1:5" ht="12.75" x14ac:dyDescent="0.2">
      <c r="A505" s="41" t="s">
        <v>623</v>
      </c>
      <c r="B505" s="41"/>
      <c r="C505" s="41"/>
      <c r="D505" s="41"/>
      <c r="E505" s="40"/>
    </row>
    <row r="506" spans="1:5" ht="12.75" x14ac:dyDescent="0.2">
      <c r="A506" s="41" t="s">
        <v>624</v>
      </c>
      <c r="B506" s="41"/>
      <c r="C506" s="41"/>
      <c r="D506" s="41"/>
      <c r="E506" s="40"/>
    </row>
    <row r="507" spans="1:5" ht="12.75" x14ac:dyDescent="0.2">
      <c r="A507" s="41" t="s">
        <v>625</v>
      </c>
      <c r="B507" s="41"/>
      <c r="C507" s="41"/>
      <c r="D507" s="41"/>
      <c r="E507" s="40"/>
    </row>
    <row r="508" spans="1:5" ht="12.75" x14ac:dyDescent="0.2">
      <c r="A508" s="41" t="s">
        <v>626</v>
      </c>
      <c r="B508" s="41"/>
      <c r="C508" s="41"/>
      <c r="D508" s="41"/>
      <c r="E508" s="40"/>
    </row>
    <row r="509" spans="1:5" ht="12.75" x14ac:dyDescent="0.2">
      <c r="A509" s="41" t="s">
        <v>243</v>
      </c>
      <c r="B509" s="41"/>
      <c r="C509" s="41"/>
      <c r="D509" s="41"/>
      <c r="E509" s="40"/>
    </row>
    <row r="510" spans="1:5" ht="12.75" x14ac:dyDescent="0.2">
      <c r="A510" s="40"/>
      <c r="B510" s="41" t="s">
        <v>403</v>
      </c>
      <c r="C510" s="41" t="s">
        <v>24</v>
      </c>
      <c r="D510" s="41" t="s">
        <v>26</v>
      </c>
      <c r="E510" s="40"/>
    </row>
    <row r="511" spans="1:5" ht="12.75" x14ac:dyDescent="0.2">
      <c r="A511" s="41"/>
      <c r="B511" s="41" t="s">
        <v>403</v>
      </c>
      <c r="C511" s="41" t="s">
        <v>32</v>
      </c>
      <c r="D511" s="41" t="s">
        <v>29</v>
      </c>
      <c r="E511" s="40"/>
    </row>
    <row r="512" spans="1:5" ht="12.75" x14ac:dyDescent="0.2">
      <c r="A512" s="41"/>
      <c r="B512" s="41" t="s">
        <v>403</v>
      </c>
      <c r="C512" s="41" t="s">
        <v>25</v>
      </c>
      <c r="D512" s="41" t="s">
        <v>27</v>
      </c>
      <c r="E512" s="40"/>
    </row>
    <row r="513" spans="1:5" ht="12.75" x14ac:dyDescent="0.2">
      <c r="A513" s="41"/>
      <c r="B513" s="41" t="s">
        <v>403</v>
      </c>
      <c r="C513" s="41" t="s">
        <v>30</v>
      </c>
      <c r="D513" s="41" t="s">
        <v>31</v>
      </c>
      <c r="E513" s="40"/>
    </row>
    <row r="514" spans="1:5" ht="12.75" x14ac:dyDescent="0.2">
      <c r="A514" s="41"/>
      <c r="B514" s="40"/>
      <c r="C514" s="40"/>
      <c r="D514" s="40"/>
      <c r="E514" s="40"/>
    </row>
    <row r="515" spans="1:5" ht="12.75" x14ac:dyDescent="0.2">
      <c r="A515" s="38" t="s">
        <v>239</v>
      </c>
      <c r="B515" s="39"/>
      <c r="C515" s="39"/>
      <c r="D515" s="39"/>
      <c r="E515" s="39"/>
    </row>
    <row r="516" spans="1:5" ht="12.75" x14ac:dyDescent="0.2">
      <c r="A516" s="41" t="s">
        <v>627</v>
      </c>
      <c r="B516" s="41" t="s">
        <v>402</v>
      </c>
      <c r="C516" s="41" t="s">
        <v>241</v>
      </c>
      <c r="D516" s="40"/>
      <c r="E516" s="40"/>
    </row>
    <row r="517" spans="1:5" ht="12.75" x14ac:dyDescent="0.2">
      <c r="A517" s="41" t="s">
        <v>215</v>
      </c>
      <c r="B517" s="40"/>
      <c r="C517" s="40"/>
      <c r="D517" s="40"/>
      <c r="E517" s="40"/>
    </row>
    <row r="518" spans="1:5" ht="12.75" x14ac:dyDescent="0.2">
      <c r="A518" s="41"/>
      <c r="B518" s="41" t="s">
        <v>422</v>
      </c>
      <c r="C518" s="41" t="s">
        <v>508</v>
      </c>
      <c r="D518" s="41" t="s">
        <v>509</v>
      </c>
      <c r="E518" s="40"/>
    </row>
    <row r="519" spans="1:5" ht="12.75" x14ac:dyDescent="0.2">
      <c r="A519" s="41"/>
      <c r="B519" s="41" t="s">
        <v>403</v>
      </c>
      <c r="C519" s="41" t="s">
        <v>243</v>
      </c>
      <c r="D519" s="41" t="s">
        <v>244</v>
      </c>
      <c r="E519" s="40"/>
    </row>
    <row r="520" spans="1:5" ht="12.75" x14ac:dyDescent="0.2">
      <c r="A520" s="41"/>
      <c r="B520" s="41" t="s">
        <v>403</v>
      </c>
      <c r="C520" s="41" t="s">
        <v>37</v>
      </c>
      <c r="D520" s="41" t="s">
        <v>36</v>
      </c>
      <c r="E520" s="40"/>
    </row>
    <row r="521" spans="1:5" ht="12.75" x14ac:dyDescent="0.2">
      <c r="A521" s="40"/>
      <c r="B521" s="41" t="s">
        <v>403</v>
      </c>
      <c r="C521" s="41" t="s">
        <v>58</v>
      </c>
      <c r="D521" s="41" t="s">
        <v>55</v>
      </c>
      <c r="E521" s="40"/>
    </row>
    <row r="522" spans="1:5" ht="12.75" x14ac:dyDescent="0.2">
      <c r="A522" s="40"/>
      <c r="B522" s="41" t="s">
        <v>403</v>
      </c>
      <c r="C522" s="41" t="s">
        <v>83</v>
      </c>
      <c r="D522" s="41" t="s">
        <v>84</v>
      </c>
      <c r="E522" s="40"/>
    </row>
    <row r="523" spans="1:5" ht="12.75" x14ac:dyDescent="0.2">
      <c r="A523" s="40"/>
      <c r="B523" s="41" t="s">
        <v>403</v>
      </c>
      <c r="C523" s="41" t="s">
        <v>32</v>
      </c>
      <c r="D523" s="41" t="s">
        <v>29</v>
      </c>
      <c r="E523" s="40"/>
    </row>
    <row r="524" spans="1:5" ht="12.75" x14ac:dyDescent="0.2">
      <c r="A524" s="40"/>
      <c r="B524" s="41"/>
      <c r="C524" s="41"/>
      <c r="D524" s="41"/>
      <c r="E524" s="40"/>
    </row>
    <row r="525" spans="1:5" ht="12.75" x14ac:dyDescent="0.2">
      <c r="A525" s="38" t="s">
        <v>261</v>
      </c>
      <c r="B525" s="39"/>
      <c r="C525" s="39"/>
      <c r="D525" s="39"/>
      <c r="E525" s="39"/>
    </row>
    <row r="526" spans="1:5" ht="12.75" x14ac:dyDescent="0.2">
      <c r="A526" s="41" t="s">
        <v>628</v>
      </c>
      <c r="B526" s="41" t="s">
        <v>402</v>
      </c>
      <c r="C526" s="41" t="s">
        <v>372</v>
      </c>
      <c r="D526" s="40"/>
      <c r="E526" s="40"/>
    </row>
    <row r="527" spans="1:5" ht="12.75" x14ac:dyDescent="0.2">
      <c r="A527" s="41" t="s">
        <v>629</v>
      </c>
      <c r="B527" s="41" t="s">
        <v>402</v>
      </c>
      <c r="C527" s="41" t="s">
        <v>19</v>
      </c>
      <c r="D527" s="40"/>
      <c r="E527" s="40"/>
    </row>
    <row r="528" spans="1:5" ht="12.75" x14ac:dyDescent="0.2">
      <c r="A528" s="41" t="s">
        <v>630</v>
      </c>
      <c r="B528" s="41"/>
      <c r="C528" s="40"/>
      <c r="D528" s="40"/>
      <c r="E528" s="40"/>
    </row>
    <row r="529" spans="1:5" ht="12.75" x14ac:dyDescent="0.2">
      <c r="A529" s="41" t="s">
        <v>631</v>
      </c>
      <c r="B529" s="40"/>
      <c r="C529" s="40"/>
      <c r="D529" s="40"/>
      <c r="E529" s="40"/>
    </row>
    <row r="530" spans="1:5" ht="12.75" x14ac:dyDescent="0.2">
      <c r="A530" s="41" t="s">
        <v>632</v>
      </c>
      <c r="B530" s="40"/>
      <c r="C530" s="40"/>
      <c r="D530" s="40"/>
      <c r="E530" s="40"/>
    </row>
    <row r="531" spans="1:5" ht="12.75" x14ac:dyDescent="0.2">
      <c r="A531" s="41" t="s">
        <v>633</v>
      </c>
      <c r="B531" s="40"/>
      <c r="C531" s="40"/>
      <c r="D531" s="40"/>
      <c r="E531" s="40"/>
    </row>
    <row r="532" spans="1:5" ht="12.75" x14ac:dyDescent="0.2">
      <c r="A532" s="41" t="s">
        <v>634</v>
      </c>
      <c r="B532" s="40"/>
      <c r="C532" s="40"/>
      <c r="D532" s="40"/>
      <c r="E532" s="40"/>
    </row>
    <row r="533" spans="1:5" ht="12.75" x14ac:dyDescent="0.2">
      <c r="A533" s="41" t="s">
        <v>635</v>
      </c>
      <c r="B533" s="40"/>
      <c r="C533" s="40"/>
      <c r="D533" s="40"/>
      <c r="E533" s="40"/>
    </row>
    <row r="534" spans="1:5" ht="12.75" x14ac:dyDescent="0.2">
      <c r="A534" s="41" t="s">
        <v>260</v>
      </c>
      <c r="B534" s="40"/>
      <c r="C534" s="40"/>
      <c r="D534" s="40"/>
      <c r="E534" s="40"/>
    </row>
    <row r="535" spans="1:5" ht="12.75" x14ac:dyDescent="0.2">
      <c r="A535" s="41"/>
      <c r="B535" s="41" t="s">
        <v>422</v>
      </c>
      <c r="C535" s="41" t="s">
        <v>423</v>
      </c>
      <c r="D535" s="41" t="s">
        <v>424</v>
      </c>
      <c r="E535" s="40"/>
    </row>
    <row r="536" spans="1:5" ht="12.75" x14ac:dyDescent="0.2">
      <c r="A536" s="41"/>
      <c r="B536" s="41" t="s">
        <v>403</v>
      </c>
      <c r="C536" s="41" t="s">
        <v>24</v>
      </c>
      <c r="D536" s="41" t="s">
        <v>26</v>
      </c>
      <c r="E536" s="40"/>
    </row>
    <row r="537" spans="1:5" ht="12.75" x14ac:dyDescent="0.2">
      <c r="A537" s="40"/>
      <c r="B537" s="41" t="s">
        <v>403</v>
      </c>
      <c r="C537" s="41" t="s">
        <v>32</v>
      </c>
      <c r="D537" s="41" t="s">
        <v>29</v>
      </c>
      <c r="E537" s="40"/>
    </row>
    <row r="538" spans="1:5" ht="12.75" x14ac:dyDescent="0.2">
      <c r="A538" s="40"/>
      <c r="B538" s="41" t="s">
        <v>403</v>
      </c>
      <c r="C538" s="41" t="s">
        <v>25</v>
      </c>
      <c r="D538" s="41" t="s">
        <v>27</v>
      </c>
      <c r="E538" s="40"/>
    </row>
    <row r="539" spans="1:5" ht="12.75" x14ac:dyDescent="0.2">
      <c r="A539" s="40"/>
      <c r="B539" s="41" t="s">
        <v>403</v>
      </c>
      <c r="C539" s="41" t="s">
        <v>30</v>
      </c>
      <c r="D539" s="41" t="s">
        <v>31</v>
      </c>
      <c r="E539" s="40"/>
    </row>
    <row r="540" spans="1:5" ht="12.75" x14ac:dyDescent="0.2">
      <c r="A540" s="40"/>
      <c r="B540" s="41"/>
      <c r="C540" s="41"/>
      <c r="D540" s="41"/>
      <c r="E540" s="40"/>
    </row>
    <row r="541" spans="1:5" ht="12.75" x14ac:dyDescent="0.2">
      <c r="A541" s="38" t="s">
        <v>272</v>
      </c>
      <c r="B541" s="39"/>
      <c r="C541" s="39"/>
      <c r="D541" s="39"/>
      <c r="E541" s="39"/>
    </row>
    <row r="542" spans="1:5" ht="25.5" x14ac:dyDescent="0.2">
      <c r="A542" s="41" t="s">
        <v>637</v>
      </c>
      <c r="B542" s="41" t="s">
        <v>402</v>
      </c>
      <c r="C542" s="41" t="s">
        <v>376</v>
      </c>
      <c r="D542" s="40"/>
      <c r="E542" s="40"/>
    </row>
    <row r="543" spans="1:5" ht="12.75" x14ac:dyDescent="0.2">
      <c r="A543" s="41" t="s">
        <v>638</v>
      </c>
      <c r="B543" s="41" t="s">
        <v>402</v>
      </c>
      <c r="C543" s="41" t="s">
        <v>19</v>
      </c>
      <c r="D543" s="40"/>
      <c r="E543" s="40"/>
    </row>
    <row r="544" spans="1:5" ht="12.75" x14ac:dyDescent="0.2">
      <c r="A544" s="41" t="s">
        <v>639</v>
      </c>
      <c r="B544" s="41"/>
      <c r="C544" s="40"/>
      <c r="D544" s="40"/>
      <c r="E544" s="40"/>
    </row>
    <row r="545" spans="1:5" ht="12.75" x14ac:dyDescent="0.2">
      <c r="A545" s="41" t="s">
        <v>640</v>
      </c>
      <c r="B545" s="40"/>
      <c r="C545" s="40"/>
      <c r="D545" s="40"/>
      <c r="E545" s="40"/>
    </row>
    <row r="546" spans="1:5" ht="12.75" x14ac:dyDescent="0.2">
      <c r="A546" s="41" t="s">
        <v>641</v>
      </c>
      <c r="B546" s="40"/>
      <c r="C546" s="40"/>
      <c r="D546" s="40"/>
      <c r="E546" s="40"/>
    </row>
    <row r="547" spans="1:5" ht="12.75" x14ac:dyDescent="0.2">
      <c r="A547" s="41" t="s">
        <v>642</v>
      </c>
      <c r="B547" s="40"/>
      <c r="C547" s="40"/>
      <c r="D547" s="40"/>
      <c r="E547" s="40"/>
    </row>
    <row r="548" spans="1:5" ht="12.75" x14ac:dyDescent="0.2">
      <c r="A548" s="41" t="s">
        <v>643</v>
      </c>
      <c r="B548" s="40"/>
      <c r="C548" s="40"/>
      <c r="D548" s="40"/>
      <c r="E548" s="40"/>
    </row>
    <row r="549" spans="1:5" ht="12.75" x14ac:dyDescent="0.2">
      <c r="A549" s="41" t="s">
        <v>644</v>
      </c>
      <c r="B549" s="40"/>
      <c r="C549" s="40"/>
      <c r="D549" s="40"/>
      <c r="E549" s="40"/>
    </row>
    <row r="550" spans="1:5" ht="12.75" x14ac:dyDescent="0.2">
      <c r="A550" s="41" t="s">
        <v>645</v>
      </c>
      <c r="B550" s="40"/>
      <c r="C550" s="40"/>
      <c r="D550" s="40"/>
      <c r="E550" s="40"/>
    </row>
    <row r="551" spans="1:5" ht="12.75" x14ac:dyDescent="0.2">
      <c r="A551" s="41" t="s">
        <v>271</v>
      </c>
      <c r="B551" s="40"/>
      <c r="C551" s="40"/>
      <c r="D551" s="40"/>
      <c r="E551" s="40"/>
    </row>
    <row r="552" spans="1:5" ht="12.75" x14ac:dyDescent="0.2">
      <c r="A552" s="41"/>
      <c r="B552" s="41" t="s">
        <v>422</v>
      </c>
      <c r="C552" s="41" t="s">
        <v>423</v>
      </c>
      <c r="D552" s="41" t="s">
        <v>424</v>
      </c>
      <c r="E552" s="40"/>
    </row>
    <row r="553" spans="1:5" ht="12.75" x14ac:dyDescent="0.2">
      <c r="A553" s="41"/>
      <c r="B553" s="41" t="s">
        <v>422</v>
      </c>
      <c r="C553" s="41" t="s">
        <v>646</v>
      </c>
      <c r="D553" s="41" t="s">
        <v>424</v>
      </c>
      <c r="E553" s="40"/>
    </row>
    <row r="554" spans="1:5" ht="12.75" x14ac:dyDescent="0.2">
      <c r="A554" s="41"/>
      <c r="B554" s="41" t="s">
        <v>422</v>
      </c>
      <c r="C554" s="41" t="s">
        <v>488</v>
      </c>
      <c r="D554" s="41" t="s">
        <v>489</v>
      </c>
      <c r="E554" s="40"/>
    </row>
    <row r="555" spans="1:5" ht="12.75" x14ac:dyDescent="0.2">
      <c r="A555" s="40"/>
      <c r="B555" s="41" t="s">
        <v>403</v>
      </c>
      <c r="C555" s="41" t="s">
        <v>24</v>
      </c>
      <c r="D555" s="41" t="s">
        <v>26</v>
      </c>
      <c r="E555" s="40"/>
    </row>
    <row r="556" spans="1:5" ht="12.75" x14ac:dyDescent="0.2">
      <c r="A556" s="40"/>
      <c r="B556" s="41" t="s">
        <v>403</v>
      </c>
      <c r="C556" s="41" t="s">
        <v>32</v>
      </c>
      <c r="D556" s="41" t="s">
        <v>29</v>
      </c>
      <c r="E556" s="40"/>
    </row>
    <row r="557" spans="1:5" ht="12.75" x14ac:dyDescent="0.2">
      <c r="A557" s="40"/>
      <c r="B557" s="41" t="s">
        <v>403</v>
      </c>
      <c r="C557" s="41" t="s">
        <v>25</v>
      </c>
      <c r="D557" s="41" t="s">
        <v>27</v>
      </c>
      <c r="E557" s="40"/>
    </row>
    <row r="558" spans="1:5" ht="12.75" x14ac:dyDescent="0.2">
      <c r="A558" s="40"/>
      <c r="B558" s="41" t="s">
        <v>403</v>
      </c>
      <c r="C558" s="41" t="s">
        <v>30</v>
      </c>
      <c r="D558" s="41" t="s">
        <v>31</v>
      </c>
      <c r="E558" s="40"/>
    </row>
    <row r="559" spans="1:5" ht="12.75" x14ac:dyDescent="0.2">
      <c r="A559" s="40"/>
      <c r="B559" s="40"/>
      <c r="C559" s="40"/>
      <c r="D559" s="40"/>
      <c r="E559" s="40"/>
    </row>
    <row r="560" spans="1:5" ht="12.75" x14ac:dyDescent="0.2">
      <c r="A560" s="38" t="s">
        <v>276</v>
      </c>
      <c r="B560" s="39"/>
      <c r="C560" s="39"/>
      <c r="D560" s="39"/>
      <c r="E560" s="39"/>
    </row>
    <row r="561" spans="1:5" ht="38.25" x14ac:dyDescent="0.2">
      <c r="A561" s="41" t="s">
        <v>648</v>
      </c>
      <c r="B561" s="41" t="s">
        <v>402</v>
      </c>
      <c r="C561" s="41" t="s">
        <v>382</v>
      </c>
      <c r="D561" s="40"/>
      <c r="E561" s="40"/>
    </row>
    <row r="562" spans="1:5" ht="12.75" x14ac:dyDescent="0.2">
      <c r="A562" s="41" t="s">
        <v>649</v>
      </c>
      <c r="B562" s="41" t="s">
        <v>402</v>
      </c>
      <c r="C562" s="41" t="s">
        <v>19</v>
      </c>
      <c r="D562" s="40"/>
      <c r="E562" s="40"/>
    </row>
    <row r="563" spans="1:5" ht="12.75" x14ac:dyDescent="0.2">
      <c r="A563" s="41" t="s">
        <v>650</v>
      </c>
      <c r="B563" s="40"/>
      <c r="C563" s="40"/>
      <c r="D563" s="40"/>
      <c r="E563" s="40"/>
    </row>
    <row r="564" spans="1:5" ht="12.75" x14ac:dyDescent="0.2">
      <c r="A564" s="41" t="s">
        <v>651</v>
      </c>
      <c r="B564" s="40"/>
      <c r="C564" s="40"/>
      <c r="D564" s="40"/>
      <c r="E564" s="40"/>
    </row>
    <row r="565" spans="1:5" ht="12.75" x14ac:dyDescent="0.2">
      <c r="A565" s="41" t="s">
        <v>652</v>
      </c>
      <c r="B565" s="40"/>
      <c r="C565" s="40"/>
      <c r="D565" s="40"/>
      <c r="E565" s="40"/>
    </row>
    <row r="566" spans="1:5" ht="12.75" x14ac:dyDescent="0.2">
      <c r="A566" s="41" t="s">
        <v>653</v>
      </c>
      <c r="B566" s="40"/>
      <c r="C566" s="40"/>
      <c r="D566" s="40"/>
      <c r="E566" s="40"/>
    </row>
    <row r="567" spans="1:5" ht="12.75" x14ac:dyDescent="0.2">
      <c r="A567" s="41" t="s">
        <v>654</v>
      </c>
      <c r="B567" s="40"/>
      <c r="C567" s="40"/>
      <c r="D567" s="40"/>
      <c r="E567" s="40"/>
    </row>
    <row r="568" spans="1:5" ht="12.75" x14ac:dyDescent="0.2">
      <c r="A568" s="41" t="s">
        <v>655</v>
      </c>
      <c r="B568" s="41"/>
      <c r="C568" s="41"/>
      <c r="D568" s="41"/>
      <c r="E568" s="40"/>
    </row>
    <row r="569" spans="1:5" ht="12.75" x14ac:dyDescent="0.2">
      <c r="A569" s="41" t="s">
        <v>656</v>
      </c>
      <c r="B569" s="41"/>
      <c r="C569" s="41"/>
      <c r="D569" s="41"/>
      <c r="E569" s="40"/>
    </row>
    <row r="570" spans="1:5" ht="12.75" x14ac:dyDescent="0.2">
      <c r="A570" s="41" t="s">
        <v>657</v>
      </c>
      <c r="B570" s="41"/>
      <c r="C570" s="41"/>
      <c r="D570" s="41"/>
      <c r="E570" s="40"/>
    </row>
    <row r="571" spans="1:5" ht="12.75" x14ac:dyDescent="0.2">
      <c r="A571" s="41" t="s">
        <v>658</v>
      </c>
      <c r="B571" s="41"/>
      <c r="C571" s="41"/>
      <c r="D571" s="41"/>
      <c r="E571" s="40"/>
    </row>
    <row r="572" spans="1:5" ht="12.75" x14ac:dyDescent="0.2">
      <c r="A572" s="41" t="s">
        <v>275</v>
      </c>
      <c r="B572" s="40"/>
      <c r="C572" s="40"/>
      <c r="D572" s="40"/>
      <c r="E572" s="40"/>
    </row>
    <row r="573" spans="1:5" ht="12.75" x14ac:dyDescent="0.2">
      <c r="A573" s="41"/>
      <c r="B573" s="41" t="s">
        <v>422</v>
      </c>
      <c r="C573" s="41" t="s">
        <v>423</v>
      </c>
      <c r="D573" s="41" t="s">
        <v>424</v>
      </c>
      <c r="E573" s="40"/>
    </row>
    <row r="574" spans="1:5" ht="12.75" x14ac:dyDescent="0.2">
      <c r="A574" s="41"/>
      <c r="B574" s="41" t="s">
        <v>403</v>
      </c>
      <c r="C574" s="41" t="s">
        <v>24</v>
      </c>
      <c r="D574" s="41" t="s">
        <v>26</v>
      </c>
      <c r="E574" s="40"/>
    </row>
    <row r="575" spans="1:5" ht="12.75" x14ac:dyDescent="0.2">
      <c r="A575" s="41"/>
      <c r="B575" s="41" t="s">
        <v>403</v>
      </c>
      <c r="C575" s="41" t="s">
        <v>32</v>
      </c>
      <c r="D575" s="41" t="s">
        <v>29</v>
      </c>
      <c r="E575" s="40"/>
    </row>
    <row r="576" spans="1:5" ht="12.75" x14ac:dyDescent="0.2">
      <c r="A576" s="41"/>
      <c r="B576" s="41" t="s">
        <v>403</v>
      </c>
      <c r="C576" s="41" t="s">
        <v>25</v>
      </c>
      <c r="D576" s="41" t="s">
        <v>27</v>
      </c>
      <c r="E576" s="40"/>
    </row>
    <row r="577" spans="1:5" ht="12.75" x14ac:dyDescent="0.2">
      <c r="A577" s="41"/>
      <c r="B577" s="41" t="s">
        <v>403</v>
      </c>
      <c r="C577" s="41" t="s">
        <v>30</v>
      </c>
      <c r="D577" s="41" t="s">
        <v>31</v>
      </c>
      <c r="E577" s="40"/>
    </row>
    <row r="578" spans="1:5" ht="12.75" x14ac:dyDescent="0.2">
      <c r="A578" s="41"/>
      <c r="B578" s="40"/>
      <c r="C578" s="40"/>
      <c r="D578" s="40"/>
      <c r="E578" s="40"/>
    </row>
    <row r="579" spans="1:5" ht="12.75" x14ac:dyDescent="0.2">
      <c r="A579" s="38" t="s">
        <v>279</v>
      </c>
      <c r="B579" s="39"/>
      <c r="C579" s="39"/>
      <c r="D579" s="39"/>
      <c r="E579" s="39"/>
    </row>
    <row r="580" spans="1:5" ht="25.5" x14ac:dyDescent="0.2">
      <c r="A580" s="41" t="s">
        <v>659</v>
      </c>
      <c r="B580" s="41" t="s">
        <v>402</v>
      </c>
      <c r="C580" s="41" t="s">
        <v>384</v>
      </c>
      <c r="D580" s="41"/>
      <c r="E580" s="40"/>
    </row>
    <row r="581" spans="1:5" ht="12.75" x14ac:dyDescent="0.2">
      <c r="A581" s="41" t="s">
        <v>660</v>
      </c>
      <c r="B581" s="41" t="s">
        <v>402</v>
      </c>
      <c r="C581" s="41" t="s">
        <v>19</v>
      </c>
      <c r="D581" s="41"/>
      <c r="E581" s="40"/>
    </row>
    <row r="582" spans="1:5" ht="12.75" x14ac:dyDescent="0.2">
      <c r="A582" s="41" t="s">
        <v>661</v>
      </c>
      <c r="B582" s="41"/>
      <c r="C582" s="41"/>
      <c r="D582" s="41"/>
      <c r="E582" s="40"/>
    </row>
    <row r="583" spans="1:5" ht="12.75" x14ac:dyDescent="0.2">
      <c r="A583" s="41" t="s">
        <v>662</v>
      </c>
      <c r="B583" s="41"/>
      <c r="C583" s="41"/>
      <c r="D583" s="41"/>
      <c r="E583" s="40"/>
    </row>
    <row r="584" spans="1:5" ht="12.75" x14ac:dyDescent="0.2">
      <c r="A584" s="41" t="s">
        <v>663</v>
      </c>
      <c r="B584" s="40"/>
      <c r="C584" s="40"/>
      <c r="D584" s="40"/>
      <c r="E584" s="40"/>
    </row>
    <row r="585" spans="1:5" ht="12.75" x14ac:dyDescent="0.2">
      <c r="A585" s="41" t="s">
        <v>664</v>
      </c>
      <c r="B585" s="40"/>
      <c r="C585" s="40"/>
      <c r="D585" s="40"/>
      <c r="E585" s="40"/>
    </row>
    <row r="586" spans="1:5" ht="12.75" x14ac:dyDescent="0.2">
      <c r="A586" s="41" t="s">
        <v>278</v>
      </c>
      <c r="B586" s="41"/>
      <c r="C586" s="40"/>
      <c r="D586" s="40"/>
      <c r="E586" s="40"/>
    </row>
    <row r="587" spans="1:5" ht="12.75" x14ac:dyDescent="0.2">
      <c r="A587" s="41"/>
      <c r="B587" s="41" t="s">
        <v>422</v>
      </c>
      <c r="C587" s="41" t="s">
        <v>423</v>
      </c>
      <c r="D587" s="41" t="s">
        <v>424</v>
      </c>
      <c r="E587" s="40"/>
    </row>
    <row r="588" spans="1:5" ht="12.75" x14ac:dyDescent="0.2">
      <c r="A588" s="41"/>
      <c r="B588" s="41" t="s">
        <v>403</v>
      </c>
      <c r="C588" s="41" t="s">
        <v>24</v>
      </c>
      <c r="D588" s="41" t="s">
        <v>26</v>
      </c>
      <c r="E588" s="40"/>
    </row>
    <row r="589" spans="1:5" ht="12.75" x14ac:dyDescent="0.2">
      <c r="A589" s="41"/>
      <c r="B589" s="41" t="s">
        <v>403</v>
      </c>
      <c r="C589" s="41" t="s">
        <v>32</v>
      </c>
      <c r="D589" s="41" t="s">
        <v>29</v>
      </c>
      <c r="E589" s="40"/>
    </row>
    <row r="590" spans="1:5" ht="12.75" x14ac:dyDescent="0.2">
      <c r="A590" s="41"/>
      <c r="B590" s="41" t="s">
        <v>403</v>
      </c>
      <c r="C590" s="41" t="s">
        <v>25</v>
      </c>
      <c r="D590" s="41" t="s">
        <v>27</v>
      </c>
      <c r="E590" s="40"/>
    </row>
    <row r="591" spans="1:5" ht="12.75" x14ac:dyDescent="0.2">
      <c r="A591" s="41"/>
      <c r="B591" s="41" t="s">
        <v>403</v>
      </c>
      <c r="C591" s="41" t="s">
        <v>30</v>
      </c>
      <c r="D591" s="41" t="s">
        <v>31</v>
      </c>
      <c r="E591" s="40"/>
    </row>
    <row r="592" spans="1:5" ht="12.75" x14ac:dyDescent="0.2">
      <c r="A592" s="41"/>
      <c r="B592" s="40"/>
      <c r="C592" s="40"/>
      <c r="D592" s="40"/>
      <c r="E592" s="40"/>
    </row>
    <row r="593" spans="1:5" ht="12.75" x14ac:dyDescent="0.2">
      <c r="A593" s="38" t="s">
        <v>282</v>
      </c>
      <c r="B593" s="39"/>
      <c r="C593" s="39"/>
      <c r="D593" s="39"/>
      <c r="E593" s="39"/>
    </row>
    <row r="594" spans="1:5" ht="25.5" x14ac:dyDescent="0.2">
      <c r="A594" s="41" t="s">
        <v>665</v>
      </c>
      <c r="B594" s="41" t="s">
        <v>402</v>
      </c>
      <c r="C594" s="41" t="s">
        <v>388</v>
      </c>
      <c r="D594" s="41"/>
      <c r="E594" s="40"/>
    </row>
    <row r="595" spans="1:5" ht="12.75" x14ac:dyDescent="0.2">
      <c r="A595" s="41" t="s">
        <v>666</v>
      </c>
      <c r="B595" s="41" t="s">
        <v>402</v>
      </c>
      <c r="C595" s="41" t="s">
        <v>19</v>
      </c>
      <c r="D595" s="41"/>
      <c r="E595" s="40"/>
    </row>
    <row r="596" spans="1:5" ht="12.75" x14ac:dyDescent="0.2">
      <c r="A596" s="41" t="s">
        <v>667</v>
      </c>
      <c r="B596" s="41"/>
      <c r="C596" s="41"/>
      <c r="D596" s="41"/>
      <c r="E596" s="40"/>
    </row>
    <row r="597" spans="1:5" ht="12.75" x14ac:dyDescent="0.2">
      <c r="A597" s="41" t="s">
        <v>668</v>
      </c>
      <c r="B597" s="40"/>
      <c r="C597" s="40"/>
      <c r="D597" s="40"/>
      <c r="E597" s="40"/>
    </row>
    <row r="598" spans="1:5" ht="12.75" x14ac:dyDescent="0.2">
      <c r="A598" s="41" t="s">
        <v>669</v>
      </c>
      <c r="B598" s="40"/>
      <c r="C598" s="40"/>
      <c r="D598" s="40"/>
      <c r="E598" s="40"/>
    </row>
    <row r="599" spans="1:5" ht="12.75" x14ac:dyDescent="0.2">
      <c r="A599" s="41" t="s">
        <v>281</v>
      </c>
      <c r="B599" s="41"/>
      <c r="C599" s="40"/>
      <c r="D599" s="40"/>
      <c r="E599" s="40"/>
    </row>
    <row r="600" spans="1:5" ht="12.75" x14ac:dyDescent="0.2">
      <c r="A600" s="41"/>
      <c r="B600" s="41" t="s">
        <v>422</v>
      </c>
      <c r="C600" s="41" t="s">
        <v>423</v>
      </c>
      <c r="D600" s="41" t="s">
        <v>424</v>
      </c>
      <c r="E600" s="40"/>
    </row>
    <row r="601" spans="1:5" ht="12.75" x14ac:dyDescent="0.2">
      <c r="A601" s="41"/>
      <c r="B601" s="41" t="s">
        <v>403</v>
      </c>
      <c r="C601" s="41" t="s">
        <v>24</v>
      </c>
      <c r="D601" s="41" t="s">
        <v>26</v>
      </c>
      <c r="E601" s="40"/>
    </row>
    <row r="602" spans="1:5" ht="12.75" x14ac:dyDescent="0.2">
      <c r="A602" s="41"/>
      <c r="B602" s="41" t="s">
        <v>403</v>
      </c>
      <c r="C602" s="41" t="s">
        <v>32</v>
      </c>
      <c r="D602" s="41" t="s">
        <v>29</v>
      </c>
      <c r="E602" s="40"/>
    </row>
    <row r="603" spans="1:5" ht="12.75" x14ac:dyDescent="0.2">
      <c r="A603" s="41"/>
      <c r="B603" s="41" t="s">
        <v>403</v>
      </c>
      <c r="C603" s="41" t="s">
        <v>25</v>
      </c>
      <c r="D603" s="41" t="s">
        <v>27</v>
      </c>
      <c r="E603" s="40"/>
    </row>
    <row r="604" spans="1:5" ht="12.75" x14ac:dyDescent="0.2">
      <c r="A604" s="40"/>
      <c r="B604" s="41" t="s">
        <v>403</v>
      </c>
      <c r="C604" s="41" t="s">
        <v>30</v>
      </c>
      <c r="D604" s="41" t="s">
        <v>31</v>
      </c>
      <c r="E604" s="40"/>
    </row>
    <row r="605" spans="1:5" ht="12.75" x14ac:dyDescent="0.2">
      <c r="A605" s="40"/>
      <c r="B605" s="41"/>
      <c r="C605" s="41"/>
      <c r="D605" s="41"/>
      <c r="E605" s="40"/>
    </row>
    <row r="606" spans="1:5" ht="12.75" x14ac:dyDescent="0.2">
      <c r="A606" s="38" t="s">
        <v>286</v>
      </c>
      <c r="B606" s="39"/>
      <c r="C606" s="39"/>
      <c r="D606" s="39"/>
      <c r="E606" s="39"/>
    </row>
    <row r="607" spans="1:5" ht="12.75" x14ac:dyDescent="0.2">
      <c r="A607" s="41" t="s">
        <v>670</v>
      </c>
      <c r="B607" s="41" t="s">
        <v>402</v>
      </c>
      <c r="C607" s="41" t="s">
        <v>389</v>
      </c>
      <c r="D607" s="41"/>
      <c r="E607" s="40"/>
    </row>
    <row r="608" spans="1:5" ht="12.75" x14ac:dyDescent="0.2">
      <c r="A608" s="41" t="s">
        <v>671</v>
      </c>
      <c r="B608" s="41" t="s">
        <v>402</v>
      </c>
      <c r="C608" s="41" t="s">
        <v>19</v>
      </c>
      <c r="D608" s="40"/>
      <c r="E608" s="40"/>
    </row>
    <row r="609" spans="1:5" ht="12.75" x14ac:dyDescent="0.2">
      <c r="A609" s="41" t="s">
        <v>672</v>
      </c>
      <c r="B609" s="40"/>
      <c r="C609" s="40"/>
      <c r="D609" s="40"/>
      <c r="E609" s="40"/>
    </row>
    <row r="610" spans="1:5" ht="12.75" x14ac:dyDescent="0.2">
      <c r="A610" s="41" t="s">
        <v>673</v>
      </c>
      <c r="B610" s="41"/>
      <c r="C610" s="40"/>
      <c r="D610" s="40"/>
      <c r="E610" s="40"/>
    </row>
    <row r="611" spans="1:5" ht="12.75" x14ac:dyDescent="0.2">
      <c r="A611" s="41" t="s">
        <v>674</v>
      </c>
      <c r="B611" s="41"/>
      <c r="C611" s="40"/>
      <c r="D611" s="40"/>
      <c r="E611" s="40"/>
    </row>
    <row r="612" spans="1:5" ht="12.75" x14ac:dyDescent="0.2">
      <c r="A612" s="41" t="s">
        <v>675</v>
      </c>
      <c r="B612" s="40"/>
      <c r="C612" s="40"/>
      <c r="D612" s="40"/>
      <c r="E612" s="40"/>
    </row>
    <row r="613" spans="1:5" ht="12.75" x14ac:dyDescent="0.2">
      <c r="A613" s="41" t="s">
        <v>285</v>
      </c>
      <c r="B613" s="40"/>
      <c r="C613" s="40"/>
      <c r="D613" s="40"/>
      <c r="E613" s="40"/>
    </row>
    <row r="614" spans="1:5" ht="12.75" x14ac:dyDescent="0.2">
      <c r="A614" s="41"/>
      <c r="B614" s="41" t="s">
        <v>403</v>
      </c>
      <c r="C614" s="41" t="s">
        <v>24</v>
      </c>
      <c r="D614" s="41" t="s">
        <v>26</v>
      </c>
      <c r="E614" s="40"/>
    </row>
    <row r="615" spans="1:5" ht="12.75" x14ac:dyDescent="0.2">
      <c r="A615" s="41"/>
      <c r="B615" s="41" t="s">
        <v>403</v>
      </c>
      <c r="C615" s="41" t="s">
        <v>32</v>
      </c>
      <c r="D615" s="41" t="s">
        <v>29</v>
      </c>
      <c r="E615" s="40"/>
    </row>
    <row r="616" spans="1:5" ht="12.75" x14ac:dyDescent="0.2">
      <c r="A616" s="41"/>
      <c r="B616" s="41" t="s">
        <v>403</v>
      </c>
      <c r="C616" s="41" t="s">
        <v>25</v>
      </c>
      <c r="D616" s="41" t="s">
        <v>27</v>
      </c>
      <c r="E616" s="40"/>
    </row>
    <row r="617" spans="1:5" ht="12.75" x14ac:dyDescent="0.2">
      <c r="A617" s="41"/>
      <c r="B617" s="41" t="s">
        <v>403</v>
      </c>
      <c r="C617" s="41" t="s">
        <v>30</v>
      </c>
      <c r="D617" s="41" t="s">
        <v>31</v>
      </c>
      <c r="E617" s="40"/>
    </row>
    <row r="618" spans="1:5" ht="12.75" x14ac:dyDescent="0.2">
      <c r="A618" s="41"/>
      <c r="B618" s="40"/>
      <c r="C618" s="40"/>
      <c r="D618" s="40"/>
      <c r="E618" s="40"/>
    </row>
    <row r="619" spans="1:5" ht="12.75" x14ac:dyDescent="0.2">
      <c r="A619" s="38" t="s">
        <v>289</v>
      </c>
      <c r="B619" s="39"/>
      <c r="C619" s="39"/>
      <c r="D619" s="39"/>
      <c r="E619" s="39"/>
    </row>
    <row r="620" spans="1:5" ht="12.75" x14ac:dyDescent="0.2">
      <c r="A620" s="41" t="s">
        <v>676</v>
      </c>
      <c r="B620" s="41" t="s">
        <v>402</v>
      </c>
      <c r="C620" s="41" t="s">
        <v>393</v>
      </c>
      <c r="D620" s="41"/>
      <c r="E620" s="40"/>
    </row>
    <row r="621" spans="1:5" ht="12.75" x14ac:dyDescent="0.2">
      <c r="A621" s="41" t="s">
        <v>677</v>
      </c>
      <c r="B621" s="41" t="s">
        <v>402</v>
      </c>
      <c r="C621" s="41" t="s">
        <v>19</v>
      </c>
      <c r="D621" s="41"/>
      <c r="E621" s="40"/>
    </row>
    <row r="622" spans="1:5" ht="12.75" x14ac:dyDescent="0.2">
      <c r="A622" s="41" t="s">
        <v>678</v>
      </c>
      <c r="B622" s="41"/>
      <c r="C622" s="41"/>
      <c r="D622" s="41"/>
      <c r="E622" s="40"/>
    </row>
    <row r="623" spans="1:5" ht="12.75" x14ac:dyDescent="0.2">
      <c r="A623" s="41" t="s">
        <v>679</v>
      </c>
      <c r="B623" s="40"/>
      <c r="C623" s="40"/>
      <c r="D623" s="40"/>
      <c r="E623" s="40"/>
    </row>
    <row r="624" spans="1:5" ht="12.75" x14ac:dyDescent="0.2">
      <c r="A624" s="41" t="s">
        <v>288</v>
      </c>
      <c r="B624" s="40"/>
      <c r="C624" s="40"/>
      <c r="D624" s="40"/>
      <c r="E624" s="40"/>
    </row>
    <row r="625" spans="1:5" ht="12.75" x14ac:dyDescent="0.2">
      <c r="A625" s="41"/>
      <c r="B625" s="41" t="s">
        <v>422</v>
      </c>
      <c r="C625" s="41" t="s">
        <v>423</v>
      </c>
      <c r="D625" s="41" t="s">
        <v>424</v>
      </c>
      <c r="E625" s="40"/>
    </row>
    <row r="626" spans="1:5" ht="12.75" x14ac:dyDescent="0.2">
      <c r="A626" s="41"/>
      <c r="B626" s="41" t="s">
        <v>403</v>
      </c>
      <c r="C626" s="41" t="s">
        <v>24</v>
      </c>
      <c r="D626" s="41" t="s">
        <v>26</v>
      </c>
      <c r="E626" s="40"/>
    </row>
    <row r="627" spans="1:5" ht="12.75" x14ac:dyDescent="0.2">
      <c r="A627" s="41"/>
      <c r="B627" s="41" t="s">
        <v>403</v>
      </c>
      <c r="C627" s="41" t="s">
        <v>32</v>
      </c>
      <c r="D627" s="41" t="s">
        <v>29</v>
      </c>
      <c r="E627" s="40"/>
    </row>
    <row r="628" spans="1:5" ht="12.75" x14ac:dyDescent="0.2">
      <c r="A628" s="41"/>
      <c r="B628" s="41" t="s">
        <v>403</v>
      </c>
      <c r="C628" s="41" t="s">
        <v>25</v>
      </c>
      <c r="D628" s="41" t="s">
        <v>27</v>
      </c>
      <c r="E628" s="40"/>
    </row>
    <row r="629" spans="1:5" ht="12.75" x14ac:dyDescent="0.2">
      <c r="A629" s="41"/>
      <c r="B629" s="41" t="s">
        <v>403</v>
      </c>
      <c r="C629" s="41" t="s">
        <v>30</v>
      </c>
      <c r="D629" s="41" t="s">
        <v>31</v>
      </c>
      <c r="E629" s="40"/>
    </row>
    <row r="630" spans="1:5" ht="12.75" x14ac:dyDescent="0.2">
      <c r="A630" s="40"/>
      <c r="B630" s="41"/>
      <c r="C630" s="41"/>
      <c r="D630" s="41"/>
      <c r="E630" s="40"/>
    </row>
    <row r="631" spans="1:5" ht="12.75" x14ac:dyDescent="0.2">
      <c r="A631" s="38" t="s">
        <v>294</v>
      </c>
      <c r="B631" s="39"/>
      <c r="C631" s="39"/>
      <c r="D631" s="39"/>
      <c r="E631" s="39"/>
    </row>
    <row r="632" spans="1:5" ht="25.5" x14ac:dyDescent="0.2">
      <c r="A632" s="41" t="s">
        <v>680</v>
      </c>
      <c r="B632" s="41" t="s">
        <v>402</v>
      </c>
      <c r="C632" s="41" t="s">
        <v>404</v>
      </c>
      <c r="D632" s="41"/>
      <c r="E632" s="40"/>
    </row>
    <row r="633" spans="1:5" ht="12.75" x14ac:dyDescent="0.2">
      <c r="A633" s="41" t="s">
        <v>681</v>
      </c>
      <c r="B633" s="41" t="s">
        <v>402</v>
      </c>
      <c r="C633" s="41" t="s">
        <v>19</v>
      </c>
      <c r="D633" s="41"/>
      <c r="E633" s="40"/>
    </row>
    <row r="634" spans="1:5" ht="12.75" x14ac:dyDescent="0.2">
      <c r="A634" s="41" t="s">
        <v>682</v>
      </c>
      <c r="B634" s="40"/>
      <c r="C634" s="40"/>
      <c r="D634" s="40"/>
      <c r="E634" s="40"/>
    </row>
    <row r="635" spans="1:5" ht="12.75" x14ac:dyDescent="0.2">
      <c r="A635" s="41" t="s">
        <v>683</v>
      </c>
      <c r="B635" s="40"/>
      <c r="C635" s="40"/>
      <c r="D635" s="40"/>
      <c r="E635" s="40"/>
    </row>
    <row r="636" spans="1:5" ht="12.75" x14ac:dyDescent="0.2">
      <c r="A636" s="41" t="s">
        <v>684</v>
      </c>
      <c r="B636" s="41"/>
      <c r="C636" s="40"/>
      <c r="D636" s="40"/>
      <c r="E636" s="40"/>
    </row>
    <row r="637" spans="1:5" ht="12.75" x14ac:dyDescent="0.2">
      <c r="A637" s="41" t="s">
        <v>685</v>
      </c>
      <c r="B637" s="40"/>
      <c r="C637" s="40"/>
      <c r="D637" s="40"/>
      <c r="E637" s="40"/>
    </row>
    <row r="638" spans="1:5" ht="12.75" x14ac:dyDescent="0.2">
      <c r="A638" s="41" t="s">
        <v>686</v>
      </c>
      <c r="B638" s="40"/>
      <c r="C638" s="40"/>
      <c r="D638" s="40"/>
      <c r="E638" s="40"/>
    </row>
    <row r="639" spans="1:5" ht="12.75" x14ac:dyDescent="0.2">
      <c r="A639" s="41" t="s">
        <v>687</v>
      </c>
      <c r="B639" s="40"/>
      <c r="C639" s="40"/>
      <c r="D639" s="40"/>
      <c r="E639" s="40"/>
    </row>
    <row r="640" spans="1:5" ht="12.75" x14ac:dyDescent="0.2">
      <c r="A640" s="41" t="s">
        <v>293</v>
      </c>
      <c r="B640" s="41"/>
      <c r="C640" s="41"/>
      <c r="D640" s="41"/>
      <c r="E640" s="40"/>
    </row>
    <row r="641" spans="1:5" ht="12.75" x14ac:dyDescent="0.2">
      <c r="A641" s="40"/>
      <c r="B641" s="41" t="s">
        <v>422</v>
      </c>
      <c r="C641" s="41" t="s">
        <v>423</v>
      </c>
      <c r="D641" s="41" t="s">
        <v>424</v>
      </c>
      <c r="E641" s="40"/>
    </row>
    <row r="642" spans="1:5" ht="12.75" x14ac:dyDescent="0.2">
      <c r="A642" s="40"/>
      <c r="B642" s="41" t="s">
        <v>422</v>
      </c>
      <c r="C642" s="41" t="s">
        <v>688</v>
      </c>
      <c r="D642" s="41" t="s">
        <v>689</v>
      </c>
      <c r="E642" s="40"/>
    </row>
    <row r="643" spans="1:5" ht="12.75" x14ac:dyDescent="0.2">
      <c r="A643" s="40"/>
      <c r="B643" s="41" t="s">
        <v>403</v>
      </c>
      <c r="C643" s="41" t="s">
        <v>24</v>
      </c>
      <c r="D643" s="41" t="s">
        <v>26</v>
      </c>
      <c r="E643" s="40"/>
    </row>
    <row r="644" spans="1:5" ht="12.75" x14ac:dyDescent="0.2">
      <c r="A644" s="40"/>
      <c r="B644" s="41" t="s">
        <v>403</v>
      </c>
      <c r="C644" s="41" t="s">
        <v>32</v>
      </c>
      <c r="D644" s="41" t="s">
        <v>29</v>
      </c>
      <c r="E644" s="40"/>
    </row>
    <row r="645" spans="1:5" ht="12.75" x14ac:dyDescent="0.2">
      <c r="A645" s="40"/>
      <c r="B645" s="41" t="s">
        <v>403</v>
      </c>
      <c r="C645" s="41" t="s">
        <v>25</v>
      </c>
      <c r="D645" s="41" t="s">
        <v>27</v>
      </c>
      <c r="E645" s="40"/>
    </row>
    <row r="646" spans="1:5" ht="12.75" x14ac:dyDescent="0.2">
      <c r="A646" s="40"/>
      <c r="B646" s="41" t="s">
        <v>403</v>
      </c>
      <c r="C646" s="41" t="s">
        <v>30</v>
      </c>
      <c r="D646" s="41" t="s">
        <v>31</v>
      </c>
      <c r="E646" s="40"/>
    </row>
    <row r="647" spans="1:5" ht="12.75" x14ac:dyDescent="0.2">
      <c r="A647" s="40"/>
      <c r="B647" s="41"/>
      <c r="C647" s="41"/>
      <c r="D647" s="41"/>
      <c r="E647" s="40"/>
    </row>
    <row r="648" spans="1:5" ht="12.75" x14ac:dyDescent="0.2">
      <c r="A648" s="38" t="s">
        <v>297</v>
      </c>
      <c r="B648" s="39"/>
      <c r="C648" s="39"/>
      <c r="D648" s="39"/>
      <c r="E648" s="39"/>
    </row>
    <row r="649" spans="1:5" ht="25.5" x14ac:dyDescent="0.2">
      <c r="A649" s="41" t="s">
        <v>690</v>
      </c>
      <c r="B649" s="41" t="s">
        <v>402</v>
      </c>
      <c r="C649" s="41" t="s">
        <v>443</v>
      </c>
      <c r="D649" s="41"/>
      <c r="E649" s="40"/>
    </row>
    <row r="650" spans="1:5" ht="12.75" x14ac:dyDescent="0.2">
      <c r="A650" s="41" t="s">
        <v>691</v>
      </c>
      <c r="B650" s="41" t="s">
        <v>402</v>
      </c>
      <c r="C650" s="41" t="s">
        <v>19</v>
      </c>
      <c r="D650" s="40"/>
      <c r="E650" s="40"/>
    </row>
    <row r="651" spans="1:5" ht="12.75" x14ac:dyDescent="0.2">
      <c r="A651" s="41" t="s">
        <v>692</v>
      </c>
      <c r="B651" s="40"/>
      <c r="C651" s="40"/>
      <c r="D651" s="40"/>
      <c r="E651" s="40"/>
    </row>
    <row r="652" spans="1:5" ht="12.75" x14ac:dyDescent="0.2">
      <c r="A652" s="41" t="s">
        <v>693</v>
      </c>
      <c r="B652" s="41"/>
      <c r="C652" s="40"/>
      <c r="D652" s="40"/>
      <c r="E652" s="40"/>
    </row>
    <row r="653" spans="1:5" ht="12.75" x14ac:dyDescent="0.2">
      <c r="A653" s="41" t="s">
        <v>296</v>
      </c>
      <c r="B653" s="41"/>
      <c r="C653" s="40"/>
      <c r="D653" s="40"/>
      <c r="E653" s="40"/>
    </row>
    <row r="654" spans="1:5" ht="12.75" x14ac:dyDescent="0.2">
      <c r="A654" s="41"/>
      <c r="B654" s="41" t="s">
        <v>403</v>
      </c>
      <c r="C654" s="41" t="s">
        <v>24</v>
      </c>
      <c r="D654" s="41" t="s">
        <v>26</v>
      </c>
      <c r="E654" s="40"/>
    </row>
    <row r="655" spans="1:5" ht="12.75" x14ac:dyDescent="0.2">
      <c r="A655" s="41"/>
      <c r="B655" s="41" t="s">
        <v>403</v>
      </c>
      <c r="C655" s="41" t="s">
        <v>32</v>
      </c>
      <c r="D655" s="41" t="s">
        <v>29</v>
      </c>
      <c r="E655" s="40"/>
    </row>
    <row r="656" spans="1:5" ht="12.75" x14ac:dyDescent="0.2">
      <c r="A656" s="40"/>
      <c r="B656" s="41" t="s">
        <v>403</v>
      </c>
      <c r="C656" s="41" t="s">
        <v>25</v>
      </c>
      <c r="D656" s="41" t="s">
        <v>27</v>
      </c>
      <c r="E656" s="40"/>
    </row>
    <row r="657" spans="1:5" ht="12.75" x14ac:dyDescent="0.2">
      <c r="A657" s="40"/>
      <c r="B657" s="41" t="s">
        <v>403</v>
      </c>
      <c r="C657" s="41" t="s">
        <v>30</v>
      </c>
      <c r="D657" s="41" t="s">
        <v>31</v>
      </c>
      <c r="E657" s="40"/>
    </row>
    <row r="658" spans="1:5" ht="12.75" x14ac:dyDescent="0.2">
      <c r="A658" s="40"/>
      <c r="B658" s="41"/>
      <c r="C658" s="41"/>
      <c r="D658" s="41"/>
      <c r="E658" s="40"/>
    </row>
    <row r="659" spans="1:5" ht="12.75" x14ac:dyDescent="0.2">
      <c r="A659" s="38" t="s">
        <v>256</v>
      </c>
      <c r="B659" s="39"/>
      <c r="C659" s="39"/>
      <c r="D659" s="39"/>
      <c r="E659" s="39"/>
    </row>
    <row r="660" spans="1:5" ht="12.75" x14ac:dyDescent="0.2">
      <c r="A660" s="41" t="s">
        <v>695</v>
      </c>
      <c r="B660" s="41" t="s">
        <v>402</v>
      </c>
      <c r="C660" s="41" t="s">
        <v>258</v>
      </c>
      <c r="D660" s="40"/>
      <c r="E660" s="40"/>
    </row>
    <row r="661" spans="1:5" ht="12.75" x14ac:dyDescent="0.2">
      <c r="A661" s="41" t="s">
        <v>696</v>
      </c>
      <c r="B661" s="40"/>
      <c r="C661" s="40"/>
      <c r="D661" s="40"/>
      <c r="E661" s="40"/>
    </row>
    <row r="662" spans="1:5" ht="12.75" x14ac:dyDescent="0.2">
      <c r="A662" s="41" t="s">
        <v>697</v>
      </c>
      <c r="B662" s="41"/>
      <c r="C662" s="40"/>
      <c r="D662" s="40"/>
      <c r="E662" s="40"/>
    </row>
    <row r="663" spans="1:5" ht="12.75" x14ac:dyDescent="0.2">
      <c r="A663" s="41" t="s">
        <v>227</v>
      </c>
      <c r="B663" s="41"/>
      <c r="C663" s="40"/>
      <c r="D663" s="40"/>
      <c r="E663" s="40"/>
    </row>
    <row r="664" spans="1:5" ht="12.75" x14ac:dyDescent="0.2">
      <c r="A664" s="41"/>
      <c r="B664" s="41" t="s">
        <v>422</v>
      </c>
      <c r="C664" s="41" t="s">
        <v>423</v>
      </c>
      <c r="D664" s="41" t="s">
        <v>424</v>
      </c>
      <c r="E664" s="40"/>
    </row>
    <row r="665" spans="1:5" ht="12.75" x14ac:dyDescent="0.2">
      <c r="A665" s="41"/>
      <c r="B665" s="41" t="s">
        <v>403</v>
      </c>
      <c r="C665" s="41" t="s">
        <v>260</v>
      </c>
      <c r="D665" s="41" t="s">
        <v>261</v>
      </c>
      <c r="E665" s="40"/>
    </row>
    <row r="666" spans="1:5" ht="12.75" x14ac:dyDescent="0.2">
      <c r="A666" s="40"/>
      <c r="B666" s="41" t="s">
        <v>403</v>
      </c>
      <c r="C666" s="41" t="s">
        <v>271</v>
      </c>
      <c r="D666" s="41" t="s">
        <v>272</v>
      </c>
      <c r="E666" s="40"/>
    </row>
    <row r="667" spans="1:5" ht="12.75" x14ac:dyDescent="0.2">
      <c r="A667" s="40"/>
      <c r="B667" s="41" t="s">
        <v>403</v>
      </c>
      <c r="C667" s="41" t="s">
        <v>275</v>
      </c>
      <c r="D667" s="41" t="s">
        <v>276</v>
      </c>
      <c r="E667" s="40"/>
    </row>
    <row r="668" spans="1:5" ht="12.75" x14ac:dyDescent="0.2">
      <c r="A668" s="40"/>
      <c r="B668" s="41" t="s">
        <v>403</v>
      </c>
      <c r="C668" s="41" t="s">
        <v>278</v>
      </c>
      <c r="D668" s="41" t="s">
        <v>279</v>
      </c>
      <c r="E668" s="40"/>
    </row>
    <row r="669" spans="1:5" ht="12.75" x14ac:dyDescent="0.2">
      <c r="A669" s="40"/>
      <c r="B669" s="41" t="s">
        <v>403</v>
      </c>
      <c r="C669" s="41" t="s">
        <v>281</v>
      </c>
      <c r="D669" s="41" t="s">
        <v>282</v>
      </c>
      <c r="E669" s="40"/>
    </row>
    <row r="670" spans="1:5" ht="12.75" x14ac:dyDescent="0.2">
      <c r="A670" s="40"/>
      <c r="B670" s="41" t="s">
        <v>403</v>
      </c>
      <c r="C670" s="41" t="s">
        <v>285</v>
      </c>
      <c r="D670" s="41" t="s">
        <v>286</v>
      </c>
      <c r="E670" s="40"/>
    </row>
    <row r="671" spans="1:5" ht="12.75" x14ac:dyDescent="0.2">
      <c r="A671" s="41"/>
      <c r="B671" s="41" t="s">
        <v>403</v>
      </c>
      <c r="C671" s="41" t="s">
        <v>288</v>
      </c>
      <c r="D671" s="41" t="s">
        <v>289</v>
      </c>
      <c r="E671" s="40"/>
    </row>
    <row r="672" spans="1:5" ht="12.75" x14ac:dyDescent="0.2">
      <c r="A672" s="41"/>
      <c r="B672" s="41" t="s">
        <v>403</v>
      </c>
      <c r="C672" s="41" t="s">
        <v>293</v>
      </c>
      <c r="D672" s="41" t="s">
        <v>294</v>
      </c>
      <c r="E672" s="40"/>
    </row>
    <row r="673" spans="1:5" ht="12.75" x14ac:dyDescent="0.2">
      <c r="A673" s="41"/>
      <c r="B673" s="41" t="s">
        <v>403</v>
      </c>
      <c r="C673" s="41" t="s">
        <v>296</v>
      </c>
      <c r="D673" s="41" t="s">
        <v>297</v>
      </c>
      <c r="E673" s="40"/>
    </row>
    <row r="674" spans="1:5" ht="12.75" x14ac:dyDescent="0.2">
      <c r="A674" s="41"/>
      <c r="B674" s="41" t="s">
        <v>403</v>
      </c>
      <c r="C674" s="41" t="s">
        <v>32</v>
      </c>
      <c r="D674" s="41" t="s">
        <v>29</v>
      </c>
      <c r="E674" s="40"/>
    </row>
    <row r="675" spans="1:5" ht="12.75" x14ac:dyDescent="0.2">
      <c r="A675" s="41"/>
      <c r="B675" s="40"/>
      <c r="C675" s="40"/>
      <c r="D675" s="40"/>
      <c r="E675" s="40"/>
    </row>
    <row r="676" spans="1:5" ht="12.75" x14ac:dyDescent="0.2">
      <c r="A676" s="38" t="s">
        <v>305</v>
      </c>
      <c r="B676" s="39"/>
      <c r="C676" s="39"/>
      <c r="D676" s="39"/>
      <c r="E676" s="39"/>
    </row>
    <row r="677" spans="1:5" ht="25.5" x14ac:dyDescent="0.2">
      <c r="A677" s="41" t="s">
        <v>698</v>
      </c>
      <c r="B677" s="41" t="s">
        <v>402</v>
      </c>
      <c r="C677" s="41" t="s">
        <v>490</v>
      </c>
      <c r="D677" s="40"/>
      <c r="E677" s="40"/>
    </row>
    <row r="678" spans="1:5" ht="12.75" x14ac:dyDescent="0.2">
      <c r="A678" s="41" t="s">
        <v>699</v>
      </c>
      <c r="B678" s="41"/>
      <c r="C678" s="41"/>
      <c r="D678" s="41"/>
      <c r="E678" s="40"/>
    </row>
    <row r="679" spans="1:5" ht="12.75" x14ac:dyDescent="0.2">
      <c r="A679" s="41" t="s">
        <v>700</v>
      </c>
      <c r="B679" s="41"/>
      <c r="C679" s="41"/>
      <c r="D679" s="41"/>
      <c r="E679" s="40"/>
    </row>
    <row r="680" spans="1:5" ht="12.75" x14ac:dyDescent="0.2">
      <c r="A680" s="41" t="s">
        <v>304</v>
      </c>
      <c r="B680" s="41"/>
      <c r="C680" s="41"/>
      <c r="D680" s="41"/>
      <c r="E680" s="40"/>
    </row>
    <row r="681" spans="1:5" ht="12.75" x14ac:dyDescent="0.2">
      <c r="A681" s="40"/>
      <c r="B681" s="41" t="s">
        <v>422</v>
      </c>
      <c r="C681" s="41" t="s">
        <v>488</v>
      </c>
      <c r="D681" s="41" t="s">
        <v>489</v>
      </c>
      <c r="E681" s="40"/>
    </row>
    <row r="682" spans="1:5" ht="12.75" x14ac:dyDescent="0.2">
      <c r="A682" s="40"/>
      <c r="B682" s="41" t="s">
        <v>403</v>
      </c>
      <c r="C682" s="41" t="s">
        <v>24</v>
      </c>
      <c r="D682" s="41" t="s">
        <v>26</v>
      </c>
      <c r="E682" s="40"/>
    </row>
    <row r="683" spans="1:5" ht="12.75" x14ac:dyDescent="0.2">
      <c r="A683" s="41"/>
      <c r="B683" s="41" t="s">
        <v>403</v>
      </c>
      <c r="C683" s="41" t="s">
        <v>32</v>
      </c>
      <c r="D683" s="41" t="s">
        <v>29</v>
      </c>
      <c r="E683" s="40"/>
    </row>
    <row r="684" spans="1:5" ht="12.75" x14ac:dyDescent="0.2">
      <c r="A684" s="41"/>
      <c r="B684" s="41" t="s">
        <v>403</v>
      </c>
      <c r="C684" s="41" t="s">
        <v>25</v>
      </c>
      <c r="D684" s="41" t="s">
        <v>27</v>
      </c>
      <c r="E684" s="40"/>
    </row>
    <row r="685" spans="1:5" ht="12.75" x14ac:dyDescent="0.2">
      <c r="A685" s="41"/>
      <c r="B685" s="41" t="s">
        <v>403</v>
      </c>
      <c r="C685" s="41" t="s">
        <v>30</v>
      </c>
      <c r="D685" s="41" t="s">
        <v>31</v>
      </c>
      <c r="E685" s="40"/>
    </row>
    <row r="686" spans="1:5" ht="12.75" x14ac:dyDescent="0.2">
      <c r="A686" s="41"/>
      <c r="B686" s="40"/>
      <c r="C686" s="40"/>
      <c r="D686" s="40"/>
      <c r="E686" s="40"/>
    </row>
    <row r="687" spans="1:5" ht="12.75" x14ac:dyDescent="0.2">
      <c r="A687" s="38" t="s">
        <v>313</v>
      </c>
      <c r="B687" s="39"/>
      <c r="C687" s="39"/>
      <c r="D687" s="39"/>
      <c r="E687" s="39"/>
    </row>
    <row r="688" spans="1:5" ht="25.5" x14ac:dyDescent="0.2">
      <c r="A688" s="41" t="s">
        <v>701</v>
      </c>
      <c r="B688" s="41" t="s">
        <v>402</v>
      </c>
      <c r="C688" s="41" t="s">
        <v>544</v>
      </c>
      <c r="D688" s="41"/>
      <c r="E688" s="40"/>
    </row>
    <row r="689" spans="1:5" ht="12.75" x14ac:dyDescent="0.2">
      <c r="A689" s="41" t="s">
        <v>702</v>
      </c>
      <c r="B689" s="41" t="s">
        <v>402</v>
      </c>
      <c r="C689" s="41" t="s">
        <v>19</v>
      </c>
      <c r="D689" s="41"/>
      <c r="E689" s="40"/>
    </row>
    <row r="690" spans="1:5" ht="12.75" x14ac:dyDescent="0.2">
      <c r="A690" s="41" t="s">
        <v>703</v>
      </c>
      <c r="B690" s="41"/>
      <c r="C690" s="41"/>
      <c r="D690" s="41"/>
      <c r="E690" s="40"/>
    </row>
    <row r="691" spans="1:5" ht="12.75" x14ac:dyDescent="0.2">
      <c r="A691" s="41" t="s">
        <v>312</v>
      </c>
      <c r="B691" s="41"/>
      <c r="C691" s="41"/>
      <c r="D691" s="41"/>
      <c r="E691" s="40"/>
    </row>
    <row r="692" spans="1:5" ht="12.75" x14ac:dyDescent="0.2">
      <c r="A692" s="40"/>
      <c r="B692" s="41" t="s">
        <v>403</v>
      </c>
      <c r="C692" s="41" t="s">
        <v>24</v>
      </c>
      <c r="D692" s="41" t="s">
        <v>26</v>
      </c>
      <c r="E692" s="40"/>
    </row>
    <row r="693" spans="1:5" ht="12.75" x14ac:dyDescent="0.2">
      <c r="A693" s="41"/>
      <c r="B693" s="41" t="s">
        <v>403</v>
      </c>
      <c r="C693" s="41" t="s">
        <v>32</v>
      </c>
      <c r="D693" s="41" t="s">
        <v>29</v>
      </c>
      <c r="E693" s="40"/>
    </row>
    <row r="694" spans="1:5" ht="12.75" x14ac:dyDescent="0.2">
      <c r="A694" s="41"/>
      <c r="B694" s="41" t="s">
        <v>403</v>
      </c>
      <c r="C694" s="41" t="s">
        <v>25</v>
      </c>
      <c r="D694" s="41" t="s">
        <v>27</v>
      </c>
      <c r="E694" s="40"/>
    </row>
    <row r="695" spans="1:5" ht="12.75" x14ac:dyDescent="0.2">
      <c r="A695" s="41"/>
      <c r="B695" s="41" t="s">
        <v>403</v>
      </c>
      <c r="C695" s="41" t="s">
        <v>30</v>
      </c>
      <c r="D695" s="41" t="s">
        <v>31</v>
      </c>
      <c r="E695" s="40"/>
    </row>
    <row r="696" spans="1:5" ht="12.75" x14ac:dyDescent="0.2">
      <c r="A696" s="41"/>
      <c r="B696" s="40"/>
      <c r="C696" s="40"/>
      <c r="D696" s="40"/>
      <c r="E696" s="40"/>
    </row>
    <row r="697" spans="1:5" ht="12.75" x14ac:dyDescent="0.2">
      <c r="A697" s="38" t="s">
        <v>318</v>
      </c>
      <c r="B697" s="39"/>
      <c r="C697" s="39"/>
      <c r="D697" s="39"/>
      <c r="E697" s="39"/>
    </row>
    <row r="698" spans="1:5" ht="25.5" x14ac:dyDescent="0.2">
      <c r="A698" s="41" t="s">
        <v>704</v>
      </c>
      <c r="B698" s="41" t="s">
        <v>402</v>
      </c>
      <c r="C698" s="41" t="s">
        <v>586</v>
      </c>
      <c r="D698" s="40"/>
      <c r="E698" s="40"/>
    </row>
    <row r="699" spans="1:5" ht="12.75" x14ac:dyDescent="0.2">
      <c r="A699" s="41" t="s">
        <v>705</v>
      </c>
      <c r="B699" s="41" t="s">
        <v>402</v>
      </c>
      <c r="C699" s="41" t="s">
        <v>19</v>
      </c>
      <c r="D699" s="41"/>
      <c r="E699" s="40"/>
    </row>
    <row r="700" spans="1:5" ht="12.75" x14ac:dyDescent="0.2">
      <c r="A700" s="41" t="s">
        <v>706</v>
      </c>
      <c r="B700" s="41"/>
      <c r="C700" s="41"/>
      <c r="D700" s="41"/>
      <c r="E700" s="40"/>
    </row>
    <row r="701" spans="1:5" ht="12.75" x14ac:dyDescent="0.2">
      <c r="A701" s="41" t="s">
        <v>707</v>
      </c>
      <c r="B701" s="41"/>
      <c r="C701" s="41"/>
      <c r="D701" s="41"/>
      <c r="E701" s="40"/>
    </row>
    <row r="702" spans="1:5" ht="12.75" x14ac:dyDescent="0.2">
      <c r="A702" s="41" t="s">
        <v>708</v>
      </c>
      <c r="B702" s="41"/>
      <c r="C702" s="41"/>
      <c r="D702" s="41"/>
      <c r="E702" s="40"/>
    </row>
    <row r="703" spans="1:5" ht="12.75" x14ac:dyDescent="0.2">
      <c r="A703" s="41" t="s">
        <v>317</v>
      </c>
      <c r="B703" s="41"/>
      <c r="C703" s="41"/>
      <c r="D703" s="41"/>
      <c r="E703" s="40"/>
    </row>
    <row r="704" spans="1:5" ht="12.75" x14ac:dyDescent="0.2">
      <c r="A704" s="40"/>
      <c r="B704" s="41" t="s">
        <v>403</v>
      </c>
      <c r="C704" s="41" t="s">
        <v>24</v>
      </c>
      <c r="D704" s="41" t="s">
        <v>26</v>
      </c>
      <c r="E704" s="40"/>
    </row>
    <row r="705" spans="1:5" ht="12.75" x14ac:dyDescent="0.2">
      <c r="A705" s="41"/>
      <c r="B705" s="41" t="s">
        <v>403</v>
      </c>
      <c r="C705" s="41" t="s">
        <v>32</v>
      </c>
      <c r="D705" s="41" t="s">
        <v>29</v>
      </c>
      <c r="E705" s="40"/>
    </row>
    <row r="706" spans="1:5" ht="12.75" x14ac:dyDescent="0.2">
      <c r="A706" s="41"/>
      <c r="B706" s="41" t="s">
        <v>403</v>
      </c>
      <c r="C706" s="41" t="s">
        <v>25</v>
      </c>
      <c r="D706" s="41" t="s">
        <v>27</v>
      </c>
      <c r="E706" s="40"/>
    </row>
    <row r="707" spans="1:5" ht="12.75" x14ac:dyDescent="0.2">
      <c r="A707" s="41"/>
      <c r="B707" s="41" t="s">
        <v>403</v>
      </c>
      <c r="C707" s="41" t="s">
        <v>30</v>
      </c>
      <c r="D707" s="41" t="s">
        <v>31</v>
      </c>
      <c r="E707" s="40"/>
    </row>
    <row r="708" spans="1:5" ht="12.75" x14ac:dyDescent="0.2">
      <c r="A708" s="41"/>
      <c r="B708" s="40"/>
      <c r="C708" s="40"/>
      <c r="D708" s="40"/>
      <c r="E708" s="40"/>
    </row>
    <row r="709" spans="1:5" ht="12.75" x14ac:dyDescent="0.2">
      <c r="A709" s="38" t="s">
        <v>321</v>
      </c>
      <c r="B709" s="39"/>
      <c r="C709" s="39"/>
      <c r="D709" s="39"/>
      <c r="E709" s="39"/>
    </row>
    <row r="710" spans="1:5" ht="38.25" x14ac:dyDescent="0.2">
      <c r="A710" s="41" t="s">
        <v>709</v>
      </c>
      <c r="B710" s="41" t="s">
        <v>402</v>
      </c>
      <c r="C710" s="41" t="s">
        <v>710</v>
      </c>
      <c r="D710" s="40"/>
      <c r="E710" s="40"/>
    </row>
    <row r="711" spans="1:5" ht="12.75" x14ac:dyDescent="0.2">
      <c r="A711" s="41" t="s">
        <v>711</v>
      </c>
      <c r="B711" s="41" t="s">
        <v>402</v>
      </c>
      <c r="C711" s="41" t="s">
        <v>19</v>
      </c>
      <c r="D711" s="40"/>
      <c r="E711" s="40"/>
    </row>
    <row r="712" spans="1:5" ht="12.75" x14ac:dyDescent="0.2">
      <c r="A712" s="41" t="s">
        <v>712</v>
      </c>
      <c r="B712" s="41"/>
      <c r="C712" s="41"/>
      <c r="D712" s="41"/>
      <c r="E712" s="40"/>
    </row>
    <row r="713" spans="1:5" ht="12.75" x14ac:dyDescent="0.2">
      <c r="A713" s="41" t="s">
        <v>320</v>
      </c>
      <c r="B713" s="41"/>
      <c r="C713" s="41"/>
      <c r="D713" s="41"/>
      <c r="E713" s="40"/>
    </row>
    <row r="714" spans="1:5" ht="12.75" x14ac:dyDescent="0.2">
      <c r="A714" s="40"/>
      <c r="B714" s="41" t="s">
        <v>403</v>
      </c>
      <c r="C714" s="41" t="s">
        <v>24</v>
      </c>
      <c r="D714" s="41" t="s">
        <v>26</v>
      </c>
      <c r="E714" s="40"/>
    </row>
    <row r="715" spans="1:5" ht="12.75" x14ac:dyDescent="0.2">
      <c r="A715" s="40"/>
      <c r="B715" s="41" t="s">
        <v>403</v>
      </c>
      <c r="C715" s="41" t="s">
        <v>32</v>
      </c>
      <c r="D715" s="41" t="s">
        <v>29</v>
      </c>
      <c r="E715" s="40"/>
    </row>
    <row r="716" spans="1:5" ht="12.75" x14ac:dyDescent="0.2">
      <c r="A716" s="40"/>
      <c r="B716" s="41" t="s">
        <v>403</v>
      </c>
      <c r="C716" s="41" t="s">
        <v>25</v>
      </c>
      <c r="D716" s="41" t="s">
        <v>27</v>
      </c>
      <c r="E716" s="40"/>
    </row>
    <row r="717" spans="1:5" ht="12.75" x14ac:dyDescent="0.2">
      <c r="A717" s="41"/>
      <c r="B717" s="41" t="s">
        <v>403</v>
      </c>
      <c r="C717" s="41" t="s">
        <v>30</v>
      </c>
      <c r="D717" s="41" t="s">
        <v>31</v>
      </c>
      <c r="E717" s="40"/>
    </row>
    <row r="718" spans="1:5" ht="12.75" x14ac:dyDescent="0.2">
      <c r="A718" s="41"/>
      <c r="B718" s="41"/>
      <c r="C718" s="40"/>
      <c r="D718" s="40"/>
      <c r="E718" s="40"/>
    </row>
    <row r="719" spans="1:5" ht="12.75" x14ac:dyDescent="0.2">
      <c r="A719" s="38" t="s">
        <v>300</v>
      </c>
      <c r="B719" s="39"/>
      <c r="C719" s="39"/>
      <c r="D719" s="39"/>
      <c r="E719" s="39"/>
    </row>
    <row r="720" spans="1:5" ht="12.75" x14ac:dyDescent="0.2">
      <c r="A720" s="41" t="s">
        <v>713</v>
      </c>
      <c r="B720" s="41" t="s">
        <v>402</v>
      </c>
      <c r="C720" s="41" t="s">
        <v>302</v>
      </c>
      <c r="D720" s="40"/>
      <c r="E720" s="40"/>
    </row>
    <row r="721" spans="1:5" ht="12.75" x14ac:dyDescent="0.2">
      <c r="A721" s="41" t="s">
        <v>714</v>
      </c>
      <c r="B721" s="40"/>
      <c r="C721" s="40"/>
      <c r="D721" s="40"/>
      <c r="E721" s="40"/>
    </row>
    <row r="722" spans="1:5" ht="12.75" x14ac:dyDescent="0.2">
      <c r="A722" s="41" t="s">
        <v>715</v>
      </c>
      <c r="B722" s="40"/>
      <c r="C722" s="40"/>
      <c r="D722" s="40"/>
      <c r="E722" s="40"/>
    </row>
    <row r="723" spans="1:5" ht="12.75" x14ac:dyDescent="0.2">
      <c r="A723" s="41" t="s">
        <v>716</v>
      </c>
      <c r="B723" s="40"/>
      <c r="C723" s="40"/>
      <c r="D723" s="40"/>
      <c r="E723" s="40"/>
    </row>
    <row r="724" spans="1:5" ht="12.75" x14ac:dyDescent="0.2">
      <c r="A724" s="41" t="s">
        <v>229</v>
      </c>
      <c r="B724" s="40"/>
      <c r="C724" s="40"/>
      <c r="D724" s="40"/>
      <c r="E724" s="40"/>
    </row>
    <row r="725" spans="1:5" ht="12.75" x14ac:dyDescent="0.2">
      <c r="A725" s="41"/>
      <c r="B725" s="41" t="s">
        <v>403</v>
      </c>
      <c r="C725" s="41" t="s">
        <v>304</v>
      </c>
      <c r="D725" s="41" t="s">
        <v>305</v>
      </c>
      <c r="E725" s="40"/>
    </row>
    <row r="726" spans="1:5" ht="12.75" x14ac:dyDescent="0.2">
      <c r="A726" s="40"/>
      <c r="B726" s="41" t="s">
        <v>403</v>
      </c>
      <c r="C726" s="41" t="s">
        <v>312</v>
      </c>
      <c r="D726" s="41" t="s">
        <v>313</v>
      </c>
      <c r="E726" s="40"/>
    </row>
    <row r="727" spans="1:5" ht="12.75" x14ac:dyDescent="0.2">
      <c r="A727" s="40"/>
      <c r="B727" s="41" t="s">
        <v>403</v>
      </c>
      <c r="C727" s="41" t="s">
        <v>317</v>
      </c>
      <c r="D727" s="41" t="s">
        <v>318</v>
      </c>
      <c r="E727" s="40"/>
    </row>
    <row r="728" spans="1:5" ht="12.75" x14ac:dyDescent="0.2">
      <c r="A728" s="40"/>
      <c r="B728" s="41" t="s">
        <v>403</v>
      </c>
      <c r="C728" s="41" t="s">
        <v>320</v>
      </c>
      <c r="D728" s="41" t="s">
        <v>321</v>
      </c>
      <c r="E728" s="40"/>
    </row>
    <row r="729" spans="1:5" ht="12.75" x14ac:dyDescent="0.2">
      <c r="A729" s="40"/>
      <c r="B729" s="41" t="s">
        <v>403</v>
      </c>
      <c r="C729" s="41" t="s">
        <v>32</v>
      </c>
      <c r="D729" s="41" t="s">
        <v>29</v>
      </c>
      <c r="E729" s="40"/>
    </row>
    <row r="730" spans="1:5" ht="12.75" x14ac:dyDescent="0.2">
      <c r="A730" s="40"/>
      <c r="B730" s="40"/>
      <c r="C730" s="40"/>
      <c r="D730" s="40"/>
      <c r="E730" s="40"/>
    </row>
    <row r="731" spans="1:5" ht="12.75" x14ac:dyDescent="0.2">
      <c r="A731" s="38" t="s">
        <v>330</v>
      </c>
      <c r="B731" s="39"/>
      <c r="C731" s="39"/>
      <c r="D731" s="39"/>
      <c r="E731" s="39"/>
    </row>
    <row r="732" spans="1:5" ht="25.5" x14ac:dyDescent="0.2">
      <c r="A732" s="41" t="s">
        <v>718</v>
      </c>
      <c r="B732" s="41" t="s">
        <v>402</v>
      </c>
      <c r="C732" s="41" t="s">
        <v>694</v>
      </c>
      <c r="D732" s="40"/>
      <c r="E732" s="40"/>
    </row>
    <row r="733" spans="1:5" ht="12.75" x14ac:dyDescent="0.2">
      <c r="A733" s="41" t="s">
        <v>719</v>
      </c>
      <c r="B733" s="41" t="s">
        <v>402</v>
      </c>
      <c r="C733" s="41" t="s">
        <v>19</v>
      </c>
      <c r="D733" s="40"/>
      <c r="E733" s="40"/>
    </row>
    <row r="734" spans="1:5" ht="12.75" x14ac:dyDescent="0.2">
      <c r="A734" s="41" t="s">
        <v>720</v>
      </c>
      <c r="B734" s="40"/>
      <c r="C734" s="40"/>
      <c r="D734" s="40"/>
      <c r="E734" s="40"/>
    </row>
    <row r="735" spans="1:5" ht="12.75" x14ac:dyDescent="0.2">
      <c r="A735" s="41" t="s">
        <v>721</v>
      </c>
      <c r="B735" s="40"/>
      <c r="C735" s="40"/>
      <c r="D735" s="40"/>
      <c r="E735" s="40"/>
    </row>
    <row r="736" spans="1:5" ht="12.75" x14ac:dyDescent="0.2">
      <c r="A736" s="41" t="s">
        <v>722</v>
      </c>
      <c r="B736" s="40"/>
      <c r="C736" s="40"/>
      <c r="D736" s="40"/>
      <c r="E736" s="40"/>
    </row>
    <row r="737" spans="1:5" ht="12.75" x14ac:dyDescent="0.2">
      <c r="A737" s="41" t="s">
        <v>329</v>
      </c>
      <c r="B737" s="40"/>
      <c r="C737" s="40"/>
      <c r="D737" s="40"/>
      <c r="E737" s="40"/>
    </row>
    <row r="738" spans="1:5" ht="12.75" x14ac:dyDescent="0.2">
      <c r="A738" s="41"/>
      <c r="B738" s="41" t="s">
        <v>403</v>
      </c>
      <c r="C738" s="41" t="s">
        <v>24</v>
      </c>
      <c r="D738" s="41" t="s">
        <v>26</v>
      </c>
      <c r="E738" s="40"/>
    </row>
    <row r="739" spans="1:5" ht="12.75" x14ac:dyDescent="0.2">
      <c r="A739" s="41"/>
      <c r="B739" s="41" t="s">
        <v>403</v>
      </c>
      <c r="C739" s="41" t="s">
        <v>32</v>
      </c>
      <c r="D739" s="41" t="s">
        <v>29</v>
      </c>
      <c r="E739" s="40"/>
    </row>
    <row r="740" spans="1:5" ht="12.75" x14ac:dyDescent="0.2">
      <c r="A740" s="41"/>
      <c r="B740" s="41" t="s">
        <v>403</v>
      </c>
      <c r="C740" s="41" t="s">
        <v>25</v>
      </c>
      <c r="D740" s="41" t="s">
        <v>27</v>
      </c>
      <c r="E740" s="40"/>
    </row>
    <row r="741" spans="1:5" ht="12.75" x14ac:dyDescent="0.2">
      <c r="A741" s="41"/>
      <c r="B741" s="41" t="s">
        <v>403</v>
      </c>
      <c r="C741" s="41" t="s">
        <v>30</v>
      </c>
      <c r="D741" s="41" t="s">
        <v>31</v>
      </c>
      <c r="E741" s="40"/>
    </row>
    <row r="742" spans="1:5" ht="12.75" x14ac:dyDescent="0.2">
      <c r="A742" s="40"/>
      <c r="B742" s="41"/>
      <c r="C742" s="41"/>
      <c r="D742" s="41"/>
      <c r="E742" s="40"/>
    </row>
    <row r="743" spans="1:5" ht="12.75" x14ac:dyDescent="0.2">
      <c r="A743" s="38" t="s">
        <v>342</v>
      </c>
      <c r="B743" s="39"/>
      <c r="C743" s="39"/>
      <c r="D743" s="39"/>
      <c r="E743" s="39"/>
    </row>
    <row r="744" spans="1:5" ht="12.75" x14ac:dyDescent="0.2">
      <c r="A744" s="41" t="s">
        <v>723</v>
      </c>
      <c r="B744" s="41" t="s">
        <v>402</v>
      </c>
      <c r="C744" s="41" t="s">
        <v>724</v>
      </c>
      <c r="D744" s="41"/>
      <c r="E744" s="40"/>
    </row>
    <row r="745" spans="1:5" ht="12.75" x14ac:dyDescent="0.2">
      <c r="A745" s="41" t="s">
        <v>725</v>
      </c>
      <c r="B745" s="41" t="s">
        <v>402</v>
      </c>
      <c r="C745" s="41" t="s">
        <v>19</v>
      </c>
      <c r="D745" s="41"/>
      <c r="E745" s="40"/>
    </row>
    <row r="746" spans="1:5" ht="12.75" x14ac:dyDescent="0.2">
      <c r="A746" s="41" t="s">
        <v>726</v>
      </c>
      <c r="B746" s="40"/>
      <c r="C746" s="40"/>
      <c r="D746" s="40"/>
      <c r="E746" s="40"/>
    </row>
    <row r="747" spans="1:5" ht="12.75" x14ac:dyDescent="0.2">
      <c r="A747" s="41" t="s">
        <v>727</v>
      </c>
      <c r="B747" s="40"/>
      <c r="C747" s="40"/>
      <c r="D747" s="40"/>
      <c r="E747" s="40"/>
    </row>
    <row r="748" spans="1:5" ht="12.75" x14ac:dyDescent="0.2">
      <c r="A748" s="41" t="s">
        <v>728</v>
      </c>
      <c r="B748" s="41"/>
      <c r="C748" s="40"/>
      <c r="D748" s="40"/>
      <c r="E748" s="40"/>
    </row>
    <row r="749" spans="1:5" ht="12.75" x14ac:dyDescent="0.2">
      <c r="A749" s="41" t="s">
        <v>729</v>
      </c>
      <c r="B749" s="41"/>
      <c r="C749" s="40"/>
      <c r="D749" s="40"/>
      <c r="E749" s="40"/>
    </row>
    <row r="750" spans="1:5" ht="12.75" x14ac:dyDescent="0.2">
      <c r="A750" s="41" t="s">
        <v>730</v>
      </c>
      <c r="B750" s="40"/>
      <c r="C750" s="40"/>
      <c r="D750" s="40"/>
      <c r="E750" s="40"/>
    </row>
    <row r="751" spans="1:5" ht="12.75" x14ac:dyDescent="0.2">
      <c r="A751" s="41" t="s">
        <v>341</v>
      </c>
      <c r="B751" s="40"/>
      <c r="C751" s="40"/>
      <c r="D751" s="40"/>
      <c r="E751" s="40"/>
    </row>
    <row r="752" spans="1:5" ht="12.75" x14ac:dyDescent="0.2">
      <c r="A752" s="41"/>
      <c r="B752" s="41" t="s">
        <v>403</v>
      </c>
      <c r="C752" s="41" t="s">
        <v>24</v>
      </c>
      <c r="D752" s="41" t="s">
        <v>26</v>
      </c>
      <c r="E752" s="40"/>
    </row>
    <row r="753" spans="1:5" ht="12.75" x14ac:dyDescent="0.2">
      <c r="A753" s="41"/>
      <c r="B753" s="41" t="s">
        <v>403</v>
      </c>
      <c r="C753" s="41" t="s">
        <v>32</v>
      </c>
      <c r="D753" s="41" t="s">
        <v>29</v>
      </c>
      <c r="E753" s="40"/>
    </row>
    <row r="754" spans="1:5" ht="12.75" x14ac:dyDescent="0.2">
      <c r="A754" s="41"/>
      <c r="B754" s="41" t="s">
        <v>403</v>
      </c>
      <c r="C754" s="41" t="s">
        <v>25</v>
      </c>
      <c r="D754" s="41" t="s">
        <v>27</v>
      </c>
      <c r="E754" s="40"/>
    </row>
    <row r="755" spans="1:5" ht="12.75" x14ac:dyDescent="0.2">
      <c r="A755" s="41"/>
      <c r="B755" s="41" t="s">
        <v>403</v>
      </c>
      <c r="C755" s="41" t="s">
        <v>30</v>
      </c>
      <c r="D755" s="41" t="s">
        <v>31</v>
      </c>
      <c r="E755" s="40"/>
    </row>
    <row r="756" spans="1:5" ht="12.75" x14ac:dyDescent="0.2">
      <c r="A756" s="40"/>
      <c r="B756" s="41"/>
      <c r="C756" s="41"/>
      <c r="D756" s="41"/>
      <c r="E756" s="40"/>
    </row>
    <row r="757" spans="1:5" ht="12.75" x14ac:dyDescent="0.2">
      <c r="A757" s="38" t="s">
        <v>345</v>
      </c>
      <c r="B757" s="39"/>
      <c r="C757" s="39"/>
      <c r="D757" s="39"/>
      <c r="E757" s="39"/>
    </row>
    <row r="758" spans="1:5" ht="12.75" x14ac:dyDescent="0.2">
      <c r="A758" s="41" t="s">
        <v>731</v>
      </c>
      <c r="B758" s="41" t="s">
        <v>402</v>
      </c>
      <c r="C758" s="41" t="s">
        <v>732</v>
      </c>
      <c r="D758" s="41"/>
      <c r="E758" s="40"/>
    </row>
    <row r="759" spans="1:5" ht="12.75" x14ac:dyDescent="0.2">
      <c r="A759" s="41" t="s">
        <v>733</v>
      </c>
      <c r="B759" s="41" t="s">
        <v>402</v>
      </c>
      <c r="C759" s="41" t="s">
        <v>19</v>
      </c>
      <c r="D759" s="41"/>
      <c r="E759" s="40"/>
    </row>
    <row r="760" spans="1:5" ht="12.75" x14ac:dyDescent="0.2">
      <c r="A760" s="41" t="s">
        <v>734</v>
      </c>
      <c r="B760" s="40"/>
      <c r="C760" s="40"/>
      <c r="D760" s="40"/>
      <c r="E760" s="40"/>
    </row>
    <row r="761" spans="1:5" ht="12.75" x14ac:dyDescent="0.2">
      <c r="A761" s="41" t="s">
        <v>735</v>
      </c>
      <c r="B761" s="40"/>
      <c r="C761" s="40"/>
      <c r="D761" s="40"/>
      <c r="E761" s="40"/>
    </row>
    <row r="762" spans="1:5" ht="12.75" x14ac:dyDescent="0.2">
      <c r="A762" s="41" t="s">
        <v>736</v>
      </c>
      <c r="B762" s="41"/>
      <c r="C762" s="40"/>
      <c r="D762" s="40"/>
      <c r="E762" s="40"/>
    </row>
    <row r="763" spans="1:5" ht="12.75" x14ac:dyDescent="0.2">
      <c r="A763" s="41" t="s">
        <v>737</v>
      </c>
      <c r="B763" s="41"/>
      <c r="C763" s="40"/>
      <c r="D763" s="40"/>
      <c r="E763" s="40"/>
    </row>
    <row r="764" spans="1:5" ht="12.75" x14ac:dyDescent="0.2">
      <c r="A764" s="41" t="s">
        <v>738</v>
      </c>
      <c r="B764" s="40"/>
      <c r="C764" s="40"/>
      <c r="D764" s="40"/>
      <c r="E764" s="40"/>
    </row>
    <row r="765" spans="1:5" ht="12.75" x14ac:dyDescent="0.2">
      <c r="A765" s="41" t="s">
        <v>739</v>
      </c>
      <c r="B765" s="40"/>
      <c r="C765" s="40"/>
      <c r="D765" s="40"/>
      <c r="E765" s="40"/>
    </row>
    <row r="766" spans="1:5" ht="12.75" x14ac:dyDescent="0.2">
      <c r="A766" s="41" t="s">
        <v>740</v>
      </c>
      <c r="B766" s="40"/>
      <c r="C766" s="40"/>
      <c r="D766" s="40"/>
      <c r="E766" s="40"/>
    </row>
    <row r="767" spans="1:5" ht="12.75" x14ac:dyDescent="0.2">
      <c r="A767" s="41" t="s">
        <v>344</v>
      </c>
      <c r="B767" s="40"/>
      <c r="C767" s="40"/>
      <c r="D767" s="40"/>
      <c r="E767" s="40"/>
    </row>
    <row r="768" spans="1:5" ht="12.75" x14ac:dyDescent="0.2">
      <c r="A768" s="41"/>
      <c r="B768" s="41" t="s">
        <v>403</v>
      </c>
      <c r="C768" s="41" t="s">
        <v>24</v>
      </c>
      <c r="D768" s="41" t="s">
        <v>26</v>
      </c>
      <c r="E768" s="40"/>
    </row>
    <row r="769" spans="1:5" ht="12.75" x14ac:dyDescent="0.2">
      <c r="A769" s="41"/>
      <c r="B769" s="41" t="s">
        <v>403</v>
      </c>
      <c r="C769" s="41" t="s">
        <v>32</v>
      </c>
      <c r="D769" s="41" t="s">
        <v>29</v>
      </c>
      <c r="E769" s="40"/>
    </row>
    <row r="770" spans="1:5" ht="12.75" x14ac:dyDescent="0.2">
      <c r="A770" s="41"/>
      <c r="B770" s="41" t="s">
        <v>403</v>
      </c>
      <c r="C770" s="41" t="s">
        <v>25</v>
      </c>
      <c r="D770" s="41" t="s">
        <v>27</v>
      </c>
      <c r="E770" s="40"/>
    </row>
    <row r="771" spans="1:5" ht="12.75" x14ac:dyDescent="0.2">
      <c r="A771" s="41"/>
      <c r="B771" s="41" t="s">
        <v>403</v>
      </c>
      <c r="C771" s="41" t="s">
        <v>30</v>
      </c>
      <c r="D771" s="41" t="s">
        <v>31</v>
      </c>
      <c r="E771" s="40"/>
    </row>
    <row r="772" spans="1:5" ht="12.75" x14ac:dyDescent="0.2">
      <c r="A772" s="41"/>
      <c r="B772" s="40"/>
      <c r="C772" s="40"/>
      <c r="D772" s="40"/>
      <c r="E772" s="40"/>
    </row>
    <row r="773" spans="1:5" ht="12.75" x14ac:dyDescent="0.2">
      <c r="A773" s="38" t="s">
        <v>349</v>
      </c>
      <c r="B773" s="39"/>
      <c r="C773" s="39"/>
      <c r="D773" s="39"/>
      <c r="E773" s="39"/>
    </row>
    <row r="774" spans="1:5" ht="25.5" x14ac:dyDescent="0.2">
      <c r="A774" s="41" t="s">
        <v>741</v>
      </c>
      <c r="B774" s="41" t="s">
        <v>402</v>
      </c>
      <c r="C774" s="41" t="s">
        <v>742</v>
      </c>
      <c r="D774" s="40"/>
      <c r="E774" s="40"/>
    </row>
    <row r="775" spans="1:5" ht="12.75" x14ac:dyDescent="0.2">
      <c r="A775" s="41" t="s">
        <v>743</v>
      </c>
      <c r="B775" s="41" t="s">
        <v>402</v>
      </c>
      <c r="C775" s="41" t="s">
        <v>19</v>
      </c>
      <c r="D775" s="40"/>
      <c r="E775" s="40"/>
    </row>
    <row r="776" spans="1:5" ht="12.75" x14ac:dyDescent="0.2">
      <c r="A776" s="41" t="s">
        <v>744</v>
      </c>
      <c r="B776" s="40"/>
      <c r="C776" s="40"/>
      <c r="D776" s="40"/>
      <c r="E776" s="40"/>
    </row>
    <row r="777" spans="1:5" ht="12.75" x14ac:dyDescent="0.2">
      <c r="A777" s="41" t="s">
        <v>745</v>
      </c>
      <c r="B777" s="40"/>
      <c r="C777" s="40"/>
      <c r="D777" s="40"/>
      <c r="E777" s="40"/>
    </row>
    <row r="778" spans="1:5" ht="12.75" x14ac:dyDescent="0.2">
      <c r="A778" s="41" t="s">
        <v>746</v>
      </c>
      <c r="B778" s="40"/>
      <c r="C778" s="40"/>
      <c r="D778" s="40"/>
      <c r="E778" s="40"/>
    </row>
    <row r="779" spans="1:5" ht="12.75" x14ac:dyDescent="0.2">
      <c r="A779" s="41" t="s">
        <v>747</v>
      </c>
      <c r="B779" s="40"/>
      <c r="C779" s="40"/>
      <c r="D779" s="40"/>
      <c r="E779" s="40"/>
    </row>
    <row r="780" spans="1:5" ht="12.75" x14ac:dyDescent="0.2">
      <c r="A780" s="41" t="s">
        <v>748</v>
      </c>
      <c r="B780" s="41"/>
      <c r="C780" s="41"/>
      <c r="D780" s="41"/>
      <c r="E780" s="40"/>
    </row>
    <row r="781" spans="1:5" ht="12.75" x14ac:dyDescent="0.2">
      <c r="A781" s="41" t="s">
        <v>348</v>
      </c>
      <c r="B781" s="41"/>
      <c r="C781" s="41"/>
      <c r="D781" s="41"/>
      <c r="E781" s="40"/>
    </row>
    <row r="782" spans="1:5" ht="12.75" x14ac:dyDescent="0.2">
      <c r="A782" s="40"/>
      <c r="B782" s="41" t="s">
        <v>403</v>
      </c>
      <c r="C782" s="41" t="s">
        <v>24</v>
      </c>
      <c r="D782" s="41" t="s">
        <v>26</v>
      </c>
      <c r="E782" s="40"/>
    </row>
    <row r="783" spans="1:5" ht="12.75" x14ac:dyDescent="0.2">
      <c r="A783" s="40"/>
      <c r="B783" s="41" t="s">
        <v>403</v>
      </c>
      <c r="C783" s="41" t="s">
        <v>32</v>
      </c>
      <c r="D783" s="41" t="s">
        <v>29</v>
      </c>
      <c r="E783" s="40"/>
    </row>
    <row r="784" spans="1:5" ht="12.75" x14ac:dyDescent="0.2">
      <c r="A784" s="40"/>
      <c r="B784" s="41" t="s">
        <v>403</v>
      </c>
      <c r="C784" s="41" t="s">
        <v>25</v>
      </c>
      <c r="D784" s="41" t="s">
        <v>27</v>
      </c>
      <c r="E784" s="40"/>
    </row>
    <row r="785" spans="1:5" ht="12.75" x14ac:dyDescent="0.2">
      <c r="A785" s="41"/>
      <c r="B785" s="41" t="s">
        <v>403</v>
      </c>
      <c r="C785" s="41" t="s">
        <v>30</v>
      </c>
      <c r="D785" s="41" t="s">
        <v>31</v>
      </c>
      <c r="E785" s="40"/>
    </row>
    <row r="786" spans="1:5" ht="12.75" x14ac:dyDescent="0.2">
      <c r="A786" s="41"/>
      <c r="B786" s="41"/>
      <c r="C786" s="40"/>
      <c r="D786" s="40"/>
      <c r="E786" s="40"/>
    </row>
    <row r="787" spans="1:5" ht="12.75" x14ac:dyDescent="0.2">
      <c r="A787" s="38" t="s">
        <v>352</v>
      </c>
      <c r="B787" s="39"/>
      <c r="C787" s="39"/>
      <c r="D787" s="39"/>
      <c r="E787" s="39"/>
    </row>
    <row r="788" spans="1:5" ht="38.25" x14ac:dyDescent="0.2">
      <c r="A788" s="41" t="s">
        <v>750</v>
      </c>
      <c r="B788" s="41" t="s">
        <v>402</v>
      </c>
      <c r="C788" s="41" t="s">
        <v>751</v>
      </c>
      <c r="D788" s="40"/>
      <c r="E788" s="40"/>
    </row>
    <row r="789" spans="1:5" ht="12.75" x14ac:dyDescent="0.2">
      <c r="A789" s="41" t="s">
        <v>752</v>
      </c>
      <c r="B789" s="41" t="s">
        <v>402</v>
      </c>
      <c r="C789" s="41" t="s">
        <v>19</v>
      </c>
      <c r="D789" s="40"/>
      <c r="E789" s="40"/>
    </row>
    <row r="790" spans="1:5" ht="12.75" x14ac:dyDescent="0.2">
      <c r="A790" s="41" t="s">
        <v>753</v>
      </c>
      <c r="B790" s="40"/>
      <c r="C790" s="40"/>
      <c r="D790" s="40"/>
      <c r="E790" s="40"/>
    </row>
    <row r="791" spans="1:5" ht="12.75" x14ac:dyDescent="0.2">
      <c r="A791" s="41" t="s">
        <v>754</v>
      </c>
      <c r="B791" s="40"/>
      <c r="C791" s="40"/>
      <c r="D791" s="40"/>
      <c r="E791" s="40"/>
    </row>
    <row r="792" spans="1:5" ht="12.75" x14ac:dyDescent="0.2">
      <c r="A792" s="41" t="s">
        <v>755</v>
      </c>
      <c r="B792" s="40"/>
      <c r="C792" s="40"/>
      <c r="D792" s="40"/>
      <c r="E792" s="40"/>
    </row>
    <row r="793" spans="1:5" ht="12.75" x14ac:dyDescent="0.2">
      <c r="A793" s="41" t="s">
        <v>756</v>
      </c>
      <c r="B793" s="40"/>
      <c r="C793" s="40"/>
      <c r="D793" s="40"/>
      <c r="E793" s="40"/>
    </row>
    <row r="794" spans="1:5" ht="12.75" x14ac:dyDescent="0.2">
      <c r="A794" s="41" t="s">
        <v>757</v>
      </c>
      <c r="B794" s="40"/>
      <c r="C794" s="40"/>
      <c r="D794" s="40"/>
      <c r="E794" s="40"/>
    </row>
    <row r="795" spans="1:5" ht="12.75" x14ac:dyDescent="0.2">
      <c r="A795" s="41" t="s">
        <v>758</v>
      </c>
      <c r="B795" s="40"/>
      <c r="C795" s="40"/>
      <c r="D795" s="40"/>
      <c r="E795" s="40"/>
    </row>
    <row r="796" spans="1:5" ht="12.75" x14ac:dyDescent="0.2">
      <c r="A796" s="41" t="s">
        <v>759</v>
      </c>
      <c r="B796" s="40"/>
      <c r="C796" s="40"/>
      <c r="D796" s="40"/>
      <c r="E796" s="40"/>
    </row>
    <row r="797" spans="1:5" ht="12.75" x14ac:dyDescent="0.2">
      <c r="A797" s="41" t="s">
        <v>760</v>
      </c>
      <c r="B797" s="40"/>
      <c r="C797" s="40"/>
      <c r="D797" s="40"/>
      <c r="E797" s="40"/>
    </row>
    <row r="798" spans="1:5" ht="12.75" x14ac:dyDescent="0.2">
      <c r="A798" s="41" t="s">
        <v>761</v>
      </c>
      <c r="B798" s="40"/>
      <c r="C798" s="40"/>
      <c r="D798" s="40"/>
      <c r="E798" s="40"/>
    </row>
    <row r="799" spans="1:5" ht="12.75" x14ac:dyDescent="0.2">
      <c r="A799" s="41" t="s">
        <v>762</v>
      </c>
      <c r="B799" s="40"/>
      <c r="C799" s="40"/>
      <c r="D799" s="40"/>
      <c r="E799" s="40"/>
    </row>
    <row r="800" spans="1:5" ht="12.75" x14ac:dyDescent="0.2">
      <c r="A800" s="41" t="s">
        <v>763</v>
      </c>
      <c r="B800" s="41"/>
      <c r="C800" s="41"/>
      <c r="D800" s="41"/>
      <c r="E800" s="40"/>
    </row>
    <row r="801" spans="1:5" ht="12.75" x14ac:dyDescent="0.2">
      <c r="A801" s="41" t="s">
        <v>764</v>
      </c>
      <c r="B801" s="41"/>
      <c r="C801" s="41"/>
      <c r="D801" s="41"/>
      <c r="E801" s="40"/>
    </row>
    <row r="802" spans="1:5" ht="12.75" x14ac:dyDescent="0.2">
      <c r="A802" s="41" t="s">
        <v>765</v>
      </c>
      <c r="B802" s="41"/>
      <c r="C802" s="41"/>
      <c r="D802" s="41"/>
      <c r="E802" s="40"/>
    </row>
    <row r="803" spans="1:5" ht="12.75" x14ac:dyDescent="0.2">
      <c r="A803" s="41" t="s">
        <v>766</v>
      </c>
      <c r="B803" s="41"/>
      <c r="C803" s="41"/>
      <c r="D803" s="41"/>
      <c r="E803" s="40"/>
    </row>
    <row r="804" spans="1:5" ht="12.75" x14ac:dyDescent="0.2">
      <c r="A804" s="41" t="s">
        <v>767</v>
      </c>
      <c r="B804" s="40"/>
      <c r="C804" s="40"/>
      <c r="D804" s="40"/>
      <c r="E804" s="40"/>
    </row>
    <row r="805" spans="1:5" ht="12.75" x14ac:dyDescent="0.2">
      <c r="A805" s="41" t="s">
        <v>351</v>
      </c>
      <c r="B805" s="40"/>
      <c r="C805" s="40"/>
      <c r="D805" s="40"/>
      <c r="E805" s="40"/>
    </row>
    <row r="806" spans="1:5" ht="12.75" x14ac:dyDescent="0.2">
      <c r="A806" s="41"/>
      <c r="B806" s="41" t="s">
        <v>422</v>
      </c>
      <c r="C806" s="41" t="s">
        <v>425</v>
      </c>
      <c r="D806" s="41" t="s">
        <v>426</v>
      </c>
      <c r="E806" s="40"/>
    </row>
    <row r="807" spans="1:5" ht="12.75" x14ac:dyDescent="0.2">
      <c r="A807" s="41"/>
      <c r="B807" s="41" t="s">
        <v>403</v>
      </c>
      <c r="C807" s="41" t="s">
        <v>24</v>
      </c>
      <c r="D807" s="41" t="s">
        <v>26</v>
      </c>
      <c r="E807" s="40"/>
    </row>
    <row r="808" spans="1:5" ht="12.75" x14ac:dyDescent="0.2">
      <c r="A808" s="41"/>
      <c r="B808" s="41" t="s">
        <v>403</v>
      </c>
      <c r="C808" s="41" t="s">
        <v>32</v>
      </c>
      <c r="D808" s="41" t="s">
        <v>29</v>
      </c>
      <c r="E808" s="40"/>
    </row>
    <row r="809" spans="1:5" ht="12.75" x14ac:dyDescent="0.2">
      <c r="A809" s="41"/>
      <c r="B809" s="41" t="s">
        <v>403</v>
      </c>
      <c r="C809" s="41" t="s">
        <v>25</v>
      </c>
      <c r="D809" s="41" t="s">
        <v>27</v>
      </c>
      <c r="E809" s="40"/>
    </row>
    <row r="810" spans="1:5" ht="12.75" x14ac:dyDescent="0.2">
      <c r="A810" s="41"/>
      <c r="B810" s="41" t="s">
        <v>403</v>
      </c>
      <c r="C810" s="41" t="s">
        <v>30</v>
      </c>
      <c r="D810" s="41" t="s">
        <v>31</v>
      </c>
      <c r="E810" s="40"/>
    </row>
    <row r="811" spans="1:5" ht="12.75" x14ac:dyDescent="0.2">
      <c r="A811" s="41"/>
      <c r="B811" s="40"/>
      <c r="C811" s="40"/>
      <c r="D811" s="40"/>
      <c r="E811" s="40"/>
    </row>
    <row r="812" spans="1:5" ht="12.75" x14ac:dyDescent="0.2">
      <c r="A812" s="38" t="s">
        <v>357</v>
      </c>
      <c r="B812" s="39"/>
      <c r="C812" s="39"/>
      <c r="D812" s="39"/>
      <c r="E812" s="39"/>
    </row>
    <row r="813" spans="1:5" ht="25.5" x14ac:dyDescent="0.2">
      <c r="A813" s="41" t="s">
        <v>768</v>
      </c>
      <c r="B813" s="41" t="s">
        <v>402</v>
      </c>
      <c r="C813" s="41" t="s">
        <v>769</v>
      </c>
      <c r="D813" s="40"/>
      <c r="E813" s="40"/>
    </row>
    <row r="814" spans="1:5" ht="12.75" x14ac:dyDescent="0.2">
      <c r="A814" s="41" t="s">
        <v>770</v>
      </c>
      <c r="B814" s="41" t="s">
        <v>402</v>
      </c>
      <c r="C814" s="41" t="s">
        <v>19</v>
      </c>
      <c r="D814" s="40"/>
      <c r="E814" s="40"/>
    </row>
    <row r="815" spans="1:5" ht="12.75" x14ac:dyDescent="0.2">
      <c r="A815" s="41" t="s">
        <v>771</v>
      </c>
      <c r="B815" s="40"/>
      <c r="C815" s="40"/>
      <c r="D815" s="40"/>
      <c r="E815" s="40"/>
    </row>
    <row r="816" spans="1:5" ht="12.75" x14ac:dyDescent="0.2">
      <c r="A816" s="41" t="s">
        <v>772</v>
      </c>
      <c r="B816" s="40"/>
      <c r="C816" s="40"/>
      <c r="D816" s="40"/>
      <c r="E816" s="40"/>
    </row>
    <row r="817" spans="1:5" ht="12.75" x14ac:dyDescent="0.2">
      <c r="A817" s="41" t="s">
        <v>773</v>
      </c>
      <c r="B817" s="41"/>
      <c r="C817" s="41"/>
      <c r="D817" s="41"/>
      <c r="E817" s="40"/>
    </row>
    <row r="818" spans="1:5" ht="12.75" x14ac:dyDescent="0.2">
      <c r="A818" s="41" t="s">
        <v>774</v>
      </c>
      <c r="B818" s="41"/>
      <c r="C818" s="41"/>
      <c r="D818" s="41"/>
      <c r="E818" s="40"/>
    </row>
    <row r="819" spans="1:5" ht="12.75" x14ac:dyDescent="0.2">
      <c r="A819" s="41" t="s">
        <v>775</v>
      </c>
      <c r="B819" s="41"/>
      <c r="C819" s="41"/>
      <c r="D819" s="41"/>
      <c r="E819" s="40"/>
    </row>
    <row r="820" spans="1:5" ht="12.75" x14ac:dyDescent="0.2">
      <c r="A820" s="41" t="s">
        <v>776</v>
      </c>
      <c r="B820" s="41"/>
      <c r="C820" s="41"/>
      <c r="D820" s="41"/>
      <c r="E820" s="40"/>
    </row>
    <row r="821" spans="1:5" ht="12.75" x14ac:dyDescent="0.2">
      <c r="A821" s="41" t="s">
        <v>777</v>
      </c>
      <c r="B821" s="40"/>
      <c r="C821" s="40"/>
      <c r="D821" s="40"/>
      <c r="E821" s="40"/>
    </row>
    <row r="822" spans="1:5" ht="12.75" x14ac:dyDescent="0.2">
      <c r="A822" s="41" t="s">
        <v>778</v>
      </c>
      <c r="B822" s="40"/>
      <c r="C822" s="40"/>
      <c r="D822" s="40"/>
      <c r="E822" s="40"/>
    </row>
    <row r="823" spans="1:5" ht="12.75" x14ac:dyDescent="0.2">
      <c r="A823" s="41" t="s">
        <v>779</v>
      </c>
      <c r="B823" s="41"/>
      <c r="C823" s="40"/>
      <c r="D823" s="40"/>
      <c r="E823" s="40"/>
    </row>
    <row r="824" spans="1:5" ht="12.75" x14ac:dyDescent="0.2">
      <c r="A824" s="41" t="s">
        <v>780</v>
      </c>
      <c r="B824" s="41"/>
      <c r="C824" s="41"/>
      <c r="D824" s="41"/>
      <c r="E824" s="40"/>
    </row>
    <row r="825" spans="1:5" ht="12.75" x14ac:dyDescent="0.2">
      <c r="A825" s="41" t="s">
        <v>781</v>
      </c>
      <c r="B825" s="41"/>
      <c r="C825" s="41"/>
      <c r="D825" s="41"/>
      <c r="E825" s="40"/>
    </row>
    <row r="826" spans="1:5" ht="12.75" x14ac:dyDescent="0.2">
      <c r="A826" s="41" t="s">
        <v>356</v>
      </c>
      <c r="B826" s="41"/>
      <c r="C826" s="41"/>
      <c r="D826" s="41"/>
      <c r="E826" s="40"/>
    </row>
    <row r="827" spans="1:5" ht="12.75" x14ac:dyDescent="0.2">
      <c r="A827" s="40"/>
      <c r="B827" s="41" t="s">
        <v>422</v>
      </c>
      <c r="C827" s="41" t="s">
        <v>425</v>
      </c>
      <c r="D827" s="41" t="s">
        <v>426</v>
      </c>
      <c r="E827" s="40"/>
    </row>
    <row r="828" spans="1:5" ht="12.75" x14ac:dyDescent="0.2">
      <c r="A828" s="40"/>
      <c r="B828" s="41" t="s">
        <v>403</v>
      </c>
      <c r="C828" s="41" t="s">
        <v>24</v>
      </c>
      <c r="D828" s="41" t="s">
        <v>26</v>
      </c>
      <c r="E828" s="40"/>
    </row>
    <row r="829" spans="1:5" ht="12.75" x14ac:dyDescent="0.2">
      <c r="A829" s="40"/>
      <c r="B829" s="41" t="s">
        <v>403</v>
      </c>
      <c r="C829" s="41" t="s">
        <v>32</v>
      </c>
      <c r="D829" s="41" t="s">
        <v>29</v>
      </c>
      <c r="E829" s="40"/>
    </row>
    <row r="830" spans="1:5" ht="12.75" x14ac:dyDescent="0.2">
      <c r="A830" s="40"/>
      <c r="B830" s="41" t="s">
        <v>403</v>
      </c>
      <c r="C830" s="41" t="s">
        <v>25</v>
      </c>
      <c r="D830" s="41" t="s">
        <v>27</v>
      </c>
      <c r="E830" s="40"/>
    </row>
    <row r="831" spans="1:5" ht="12.75" x14ac:dyDescent="0.2">
      <c r="A831" s="40"/>
      <c r="B831" s="41" t="s">
        <v>403</v>
      </c>
      <c r="C831" s="41" t="s">
        <v>30</v>
      </c>
      <c r="D831" s="41" t="s">
        <v>31</v>
      </c>
      <c r="E831" s="40"/>
    </row>
    <row r="832" spans="1:5" ht="12.75" x14ac:dyDescent="0.2">
      <c r="A832" s="40"/>
      <c r="B832" s="40"/>
      <c r="C832" s="40"/>
      <c r="D832" s="40"/>
      <c r="E832" s="40"/>
    </row>
    <row r="833" spans="1:5" ht="12.75" x14ac:dyDescent="0.2">
      <c r="A833" s="38" t="s">
        <v>359</v>
      </c>
      <c r="B833" s="39"/>
      <c r="C833" s="39"/>
      <c r="D833" s="39"/>
      <c r="E833" s="39"/>
    </row>
    <row r="834" spans="1:5" ht="25.5" x14ac:dyDescent="0.2">
      <c r="A834" s="41" t="s">
        <v>782</v>
      </c>
      <c r="B834" s="41" t="s">
        <v>402</v>
      </c>
      <c r="C834" s="41" t="s">
        <v>783</v>
      </c>
      <c r="D834" s="40"/>
      <c r="E834" s="40"/>
    </row>
    <row r="835" spans="1:5" ht="12.75" x14ac:dyDescent="0.2">
      <c r="A835" s="41" t="s">
        <v>784</v>
      </c>
      <c r="B835" s="41" t="s">
        <v>402</v>
      </c>
      <c r="C835" s="41" t="s">
        <v>19</v>
      </c>
      <c r="D835" s="40"/>
      <c r="E835" s="40"/>
    </row>
    <row r="836" spans="1:5" ht="12.75" x14ac:dyDescent="0.2">
      <c r="A836" s="41" t="s">
        <v>785</v>
      </c>
      <c r="B836" s="40"/>
      <c r="C836" s="40"/>
      <c r="D836" s="40"/>
      <c r="E836" s="40"/>
    </row>
    <row r="837" spans="1:5" ht="12.75" x14ac:dyDescent="0.2">
      <c r="A837" s="41" t="s">
        <v>786</v>
      </c>
      <c r="B837" s="41"/>
      <c r="C837" s="40"/>
      <c r="D837" s="40"/>
      <c r="E837" s="40"/>
    </row>
    <row r="838" spans="1:5" ht="12.75" x14ac:dyDescent="0.2">
      <c r="A838" s="41" t="s">
        <v>787</v>
      </c>
      <c r="B838" s="41"/>
      <c r="C838" s="40"/>
      <c r="D838" s="40"/>
      <c r="E838" s="40"/>
    </row>
    <row r="839" spans="1:5" ht="12.75" x14ac:dyDescent="0.2">
      <c r="A839" s="41" t="s">
        <v>788</v>
      </c>
      <c r="B839" s="41"/>
      <c r="C839" s="40"/>
      <c r="D839" s="40"/>
      <c r="E839" s="40"/>
    </row>
    <row r="840" spans="1:5" ht="12.75" x14ac:dyDescent="0.2">
      <c r="A840" s="41" t="s">
        <v>789</v>
      </c>
      <c r="B840" s="40"/>
      <c r="C840" s="40"/>
      <c r="D840" s="40"/>
      <c r="E840" s="40"/>
    </row>
    <row r="841" spans="1:5" ht="12.75" x14ac:dyDescent="0.2">
      <c r="A841" s="41" t="s">
        <v>790</v>
      </c>
      <c r="B841" s="41"/>
      <c r="C841" s="41"/>
      <c r="D841" s="41"/>
      <c r="E841" s="40"/>
    </row>
    <row r="842" spans="1:5" ht="12.75" x14ac:dyDescent="0.2">
      <c r="A842" s="41" t="s">
        <v>791</v>
      </c>
      <c r="B842" s="41"/>
      <c r="C842" s="41"/>
      <c r="D842" s="41"/>
      <c r="E842" s="40"/>
    </row>
    <row r="843" spans="1:5" ht="12.75" x14ac:dyDescent="0.2">
      <c r="A843" s="41" t="s">
        <v>792</v>
      </c>
      <c r="B843" s="41"/>
      <c r="C843" s="41"/>
      <c r="D843" s="41"/>
      <c r="E843" s="40"/>
    </row>
    <row r="844" spans="1:5" ht="12.75" x14ac:dyDescent="0.2">
      <c r="A844" s="41" t="s">
        <v>358</v>
      </c>
      <c r="B844" s="41"/>
      <c r="C844" s="41"/>
      <c r="D844" s="41"/>
      <c r="E844" s="40"/>
    </row>
    <row r="845" spans="1:5" ht="12.75" x14ac:dyDescent="0.2">
      <c r="A845" s="40"/>
      <c r="B845" s="41" t="s">
        <v>422</v>
      </c>
      <c r="C845" s="41" t="s">
        <v>425</v>
      </c>
      <c r="D845" s="41" t="s">
        <v>426</v>
      </c>
      <c r="E845" s="40"/>
    </row>
    <row r="846" spans="1:5" ht="12.75" x14ac:dyDescent="0.2">
      <c r="A846" s="41"/>
      <c r="B846" s="41" t="s">
        <v>403</v>
      </c>
      <c r="C846" s="41" t="s">
        <v>38</v>
      </c>
      <c r="D846" s="41" t="s">
        <v>26</v>
      </c>
      <c r="E846" s="40"/>
    </row>
    <row r="847" spans="1:5" ht="12.75" x14ac:dyDescent="0.2">
      <c r="A847" s="41"/>
      <c r="B847" s="41" t="s">
        <v>403</v>
      </c>
      <c r="C847" s="41" t="s">
        <v>56</v>
      </c>
      <c r="D847" s="41" t="s">
        <v>29</v>
      </c>
      <c r="E847" s="40"/>
    </row>
    <row r="848" spans="1:5" ht="12.75" x14ac:dyDescent="0.2">
      <c r="A848" s="41"/>
      <c r="B848" s="41" t="s">
        <v>403</v>
      </c>
      <c r="C848" s="41" t="s">
        <v>25</v>
      </c>
      <c r="D848" s="41" t="s">
        <v>793</v>
      </c>
      <c r="E848" s="40"/>
    </row>
    <row r="849" spans="1:5" ht="12.75" x14ac:dyDescent="0.2">
      <c r="A849" s="41"/>
      <c r="B849" s="41" t="s">
        <v>403</v>
      </c>
      <c r="C849" s="41" t="s">
        <v>794</v>
      </c>
      <c r="D849" s="41" t="s">
        <v>793</v>
      </c>
      <c r="E849" s="40"/>
    </row>
    <row r="850" spans="1:5" ht="12.75" x14ac:dyDescent="0.2">
      <c r="A850" s="41"/>
      <c r="B850" s="40"/>
      <c r="C850" s="40"/>
      <c r="D850" s="40"/>
      <c r="E850" s="40"/>
    </row>
    <row r="851" spans="1:5" ht="12.75" x14ac:dyDescent="0.2">
      <c r="A851" s="38" t="s">
        <v>325</v>
      </c>
      <c r="B851" s="39"/>
      <c r="C851" s="39"/>
      <c r="D851" s="39"/>
      <c r="E851" s="39"/>
    </row>
    <row r="852" spans="1:5" ht="12.75" x14ac:dyDescent="0.2">
      <c r="A852" s="41" t="s">
        <v>232</v>
      </c>
      <c r="B852" s="41" t="s">
        <v>402</v>
      </c>
      <c r="C852" s="41" t="s">
        <v>326</v>
      </c>
      <c r="D852" s="40"/>
      <c r="E852" s="40"/>
    </row>
    <row r="853" spans="1:5" ht="12.75" x14ac:dyDescent="0.2">
      <c r="A853" s="41"/>
      <c r="B853" s="41" t="s">
        <v>403</v>
      </c>
      <c r="C853" s="41" t="s">
        <v>329</v>
      </c>
      <c r="D853" s="41" t="s">
        <v>330</v>
      </c>
      <c r="E853" s="40"/>
    </row>
    <row r="854" spans="1:5" ht="12.75" x14ac:dyDescent="0.2">
      <c r="A854" s="41"/>
      <c r="B854" s="41" t="s">
        <v>403</v>
      </c>
      <c r="C854" s="41" t="s">
        <v>341</v>
      </c>
      <c r="D854" s="41" t="s">
        <v>342</v>
      </c>
      <c r="E854" s="40"/>
    </row>
    <row r="855" spans="1:5" ht="12.75" x14ac:dyDescent="0.2">
      <c r="A855" s="40"/>
      <c r="B855" s="41" t="s">
        <v>403</v>
      </c>
      <c r="C855" s="41" t="s">
        <v>344</v>
      </c>
      <c r="D855" s="41" t="s">
        <v>345</v>
      </c>
      <c r="E855" s="40"/>
    </row>
    <row r="856" spans="1:5" ht="12.75" x14ac:dyDescent="0.2">
      <c r="A856" s="40"/>
      <c r="B856" s="41" t="s">
        <v>403</v>
      </c>
      <c r="C856" s="41" t="s">
        <v>348</v>
      </c>
      <c r="D856" s="41" t="s">
        <v>349</v>
      </c>
      <c r="E856" s="40"/>
    </row>
    <row r="857" spans="1:5" ht="12.75" x14ac:dyDescent="0.2">
      <c r="A857" s="40"/>
      <c r="B857" s="41" t="s">
        <v>403</v>
      </c>
      <c r="C857" s="41" t="s">
        <v>351</v>
      </c>
      <c r="D857" s="41" t="s">
        <v>352</v>
      </c>
      <c r="E857" s="40"/>
    </row>
    <row r="858" spans="1:5" ht="12.75" x14ac:dyDescent="0.2">
      <c r="A858" s="41"/>
      <c r="B858" s="41" t="s">
        <v>403</v>
      </c>
      <c r="C858" s="41" t="s">
        <v>356</v>
      </c>
      <c r="D858" s="41" t="s">
        <v>357</v>
      </c>
      <c r="E858" s="40"/>
    </row>
    <row r="859" spans="1:5" ht="12.75" x14ac:dyDescent="0.2">
      <c r="A859" s="41"/>
      <c r="B859" s="41" t="s">
        <v>403</v>
      </c>
      <c r="C859" s="41" t="s">
        <v>358</v>
      </c>
      <c r="D859" s="41" t="s">
        <v>359</v>
      </c>
      <c r="E859" s="40"/>
    </row>
    <row r="860" spans="1:5" ht="12.75" x14ac:dyDescent="0.2">
      <c r="A860" s="41"/>
      <c r="B860" s="41" t="s">
        <v>403</v>
      </c>
      <c r="C860" s="41" t="s">
        <v>32</v>
      </c>
      <c r="D860" s="41" t="s">
        <v>29</v>
      </c>
      <c r="E860" s="40"/>
    </row>
    <row r="861" spans="1:5" ht="12.75" x14ac:dyDescent="0.2">
      <c r="A861" s="41"/>
      <c r="B861" s="40"/>
      <c r="C861" s="40"/>
      <c r="D861" s="40"/>
      <c r="E861" s="40"/>
    </row>
    <row r="862" spans="1:5" ht="12.75" x14ac:dyDescent="0.2">
      <c r="A862" s="41" t="s">
        <v>42</v>
      </c>
      <c r="B862" s="40"/>
      <c r="C862" s="40"/>
      <c r="D862" s="40"/>
      <c r="E862" s="40"/>
    </row>
    <row r="863" spans="1:5" ht="12.75" x14ac:dyDescent="0.2">
      <c r="A863" s="41"/>
      <c r="B863" s="41" t="s">
        <v>402</v>
      </c>
      <c r="C863" s="41" t="s">
        <v>43</v>
      </c>
      <c r="D863" s="40"/>
      <c r="E863" s="40"/>
    </row>
    <row r="864" spans="1:5" ht="12.75" x14ac:dyDescent="0.2">
      <c r="A864" s="41"/>
      <c r="B864" s="40"/>
      <c r="C864" s="40"/>
      <c r="D864" s="40"/>
      <c r="E864" s="40"/>
    </row>
    <row r="865" spans="1:5" ht="12.75" x14ac:dyDescent="0.2">
      <c r="A865" s="38" t="s">
        <v>31</v>
      </c>
      <c r="B865" s="39"/>
      <c r="C865" s="39"/>
      <c r="D865" s="39"/>
      <c r="E865" s="39"/>
    </row>
    <row r="866" spans="1:5" ht="25.5" x14ac:dyDescent="0.2">
      <c r="A866" s="41" t="s">
        <v>795</v>
      </c>
      <c r="B866" s="41" t="s">
        <v>402</v>
      </c>
      <c r="C866" s="41" t="s">
        <v>796</v>
      </c>
      <c r="D866" s="40"/>
      <c r="E866" s="40"/>
    </row>
    <row r="867" spans="1:5" ht="12.75" x14ac:dyDescent="0.2">
      <c r="A867" s="41" t="s">
        <v>797</v>
      </c>
      <c r="B867" s="41" t="s">
        <v>402</v>
      </c>
      <c r="C867" s="41" t="s">
        <v>386</v>
      </c>
      <c r="D867" s="40"/>
      <c r="E867" s="40"/>
    </row>
    <row r="868" spans="1:5" ht="12.75" x14ac:dyDescent="0.2">
      <c r="A868" s="41" t="s">
        <v>798</v>
      </c>
      <c r="B868" s="40"/>
      <c r="C868" s="40"/>
      <c r="D868" s="40"/>
      <c r="E868" s="40"/>
    </row>
    <row r="869" spans="1:5" ht="12.75" x14ac:dyDescent="0.2">
      <c r="A869" s="41" t="s">
        <v>30</v>
      </c>
      <c r="B869" s="40"/>
      <c r="C869" s="40"/>
      <c r="D869" s="40"/>
      <c r="E869" s="40"/>
    </row>
    <row r="870" spans="1:5" ht="12.75" x14ac:dyDescent="0.2">
      <c r="A870" s="41"/>
      <c r="B870" s="41" t="s">
        <v>422</v>
      </c>
      <c r="C870" s="41" t="s">
        <v>423</v>
      </c>
      <c r="D870" s="41" t="s">
        <v>424</v>
      </c>
      <c r="E870" s="40"/>
    </row>
    <row r="871" spans="1:5" ht="12.75" x14ac:dyDescent="0.2">
      <c r="A871" s="41"/>
      <c r="B871" s="41" t="s">
        <v>403</v>
      </c>
      <c r="C871" s="41" t="s">
        <v>227</v>
      </c>
      <c r="D871" s="41" t="s">
        <v>256</v>
      </c>
      <c r="E871" s="40"/>
    </row>
    <row r="872" spans="1:5" ht="12.75" x14ac:dyDescent="0.2">
      <c r="A872" s="41"/>
      <c r="B872" s="41" t="s">
        <v>403</v>
      </c>
      <c r="C872" s="41" t="s">
        <v>32</v>
      </c>
      <c r="D872" s="41" t="s">
        <v>29</v>
      </c>
      <c r="E872" s="40"/>
    </row>
    <row r="873" spans="1:5" ht="12.75" x14ac:dyDescent="0.2">
      <c r="A873" s="41"/>
      <c r="B873" s="41" t="s">
        <v>403</v>
      </c>
      <c r="C873" s="41" t="s">
        <v>24</v>
      </c>
      <c r="D873" s="41" t="s">
        <v>26</v>
      </c>
      <c r="E873" s="40"/>
    </row>
    <row r="874" spans="1:5" ht="12.75" x14ac:dyDescent="0.2">
      <c r="A874" s="41"/>
      <c r="B874" s="41" t="s">
        <v>403</v>
      </c>
      <c r="C874" s="41" t="s">
        <v>25</v>
      </c>
      <c r="D874" s="41" t="s">
        <v>27</v>
      </c>
      <c r="E874" s="40"/>
    </row>
    <row r="875" spans="1:5" ht="12.75" x14ac:dyDescent="0.2">
      <c r="A875" s="41"/>
      <c r="B875" s="40"/>
      <c r="C875" s="40"/>
      <c r="D875" s="40"/>
      <c r="E875" s="40"/>
    </row>
    <row r="876" spans="1:5" ht="12.75" x14ac:dyDescent="0.2">
      <c r="A876" s="38" t="s">
        <v>27</v>
      </c>
      <c r="B876" s="39"/>
      <c r="C876" s="39"/>
      <c r="D876" s="39"/>
      <c r="E876" s="39"/>
    </row>
    <row r="877" spans="1:5" ht="25.5" x14ac:dyDescent="0.2">
      <c r="A877" s="41" t="s">
        <v>799</v>
      </c>
      <c r="B877" s="41" t="s">
        <v>402</v>
      </c>
      <c r="C877" s="41" t="s">
        <v>396</v>
      </c>
      <c r="D877" s="40"/>
      <c r="E877" s="40"/>
    </row>
    <row r="878" spans="1:5" ht="12.75" x14ac:dyDescent="0.2">
      <c r="A878" s="41" t="s">
        <v>800</v>
      </c>
      <c r="B878" s="40"/>
      <c r="C878" s="40"/>
      <c r="D878" s="40"/>
      <c r="E878" s="40"/>
    </row>
    <row r="879" spans="1:5" ht="12.75" x14ac:dyDescent="0.2">
      <c r="A879" s="41" t="s">
        <v>801</v>
      </c>
      <c r="B879" s="40"/>
      <c r="C879" s="40"/>
      <c r="D879" s="40"/>
      <c r="E879" s="40"/>
    </row>
    <row r="880" spans="1:5" ht="12.75" x14ac:dyDescent="0.2">
      <c r="A880" s="41" t="s">
        <v>802</v>
      </c>
      <c r="B880" s="40"/>
      <c r="C880" s="40"/>
      <c r="D880" s="40"/>
      <c r="E880" s="40"/>
    </row>
    <row r="881" spans="1:5" ht="12.75" x14ac:dyDescent="0.2">
      <c r="A881" s="41" t="s">
        <v>803</v>
      </c>
      <c r="B881" s="40"/>
      <c r="C881" s="40"/>
      <c r="D881" s="40"/>
      <c r="E881" s="40"/>
    </row>
    <row r="882" spans="1:5" ht="12.75" x14ac:dyDescent="0.2">
      <c r="A882" s="41" t="s">
        <v>804</v>
      </c>
      <c r="B882" s="40"/>
      <c r="C882" s="40"/>
      <c r="D882" s="40"/>
      <c r="E882" s="40"/>
    </row>
    <row r="883" spans="1:5" ht="12.75" x14ac:dyDescent="0.2">
      <c r="A883" s="41" t="s">
        <v>25</v>
      </c>
      <c r="B883" s="40"/>
      <c r="C883" s="40"/>
      <c r="D883" s="40"/>
      <c r="E883" s="40"/>
    </row>
    <row r="884" spans="1:5" ht="25.5" x14ac:dyDescent="0.2">
      <c r="A884" s="41"/>
      <c r="B884" s="41" t="s">
        <v>422</v>
      </c>
      <c r="C884" s="41" t="s">
        <v>391</v>
      </c>
      <c r="D884" s="41" t="s">
        <v>805</v>
      </c>
      <c r="E884" s="41" t="s">
        <v>390</v>
      </c>
    </row>
    <row r="885" spans="1:5" ht="12.75" x14ac:dyDescent="0.2">
      <c r="A885" s="41"/>
      <c r="B885" s="41" t="s">
        <v>422</v>
      </c>
      <c r="C885" s="41" t="s">
        <v>392</v>
      </c>
      <c r="D885" s="41" t="s">
        <v>806</v>
      </c>
      <c r="E885" s="41" t="s">
        <v>394</v>
      </c>
    </row>
    <row r="886" spans="1:5" ht="12.75" x14ac:dyDescent="0.2">
      <c r="A886" s="41"/>
      <c r="B886" s="41" t="s">
        <v>422</v>
      </c>
      <c r="C886" s="41" t="s">
        <v>423</v>
      </c>
      <c r="D886" s="41" t="s">
        <v>424</v>
      </c>
      <c r="E886" s="40"/>
    </row>
    <row r="887" spans="1:5" ht="12.75" x14ac:dyDescent="0.2">
      <c r="A887" s="41"/>
      <c r="B887" s="41" t="s">
        <v>422</v>
      </c>
      <c r="C887" s="41" t="s">
        <v>807</v>
      </c>
      <c r="D887" s="41" t="s">
        <v>808</v>
      </c>
      <c r="E887" s="40"/>
    </row>
    <row r="888" spans="1:5" ht="12.75" x14ac:dyDescent="0.2">
      <c r="A888" s="41"/>
      <c r="B888" s="41" t="s">
        <v>403</v>
      </c>
      <c r="C888" s="41" t="s">
        <v>397</v>
      </c>
      <c r="D888" s="41" t="s">
        <v>27</v>
      </c>
      <c r="E888" s="40"/>
    </row>
    <row r="889" spans="1:5" ht="12.75" x14ac:dyDescent="0.2">
      <c r="A889" s="41"/>
      <c r="B889" s="41" t="s">
        <v>403</v>
      </c>
      <c r="C889" s="41" t="s">
        <v>30</v>
      </c>
      <c r="D889" s="41" t="s">
        <v>31</v>
      </c>
      <c r="E889" s="40"/>
    </row>
    <row r="890" spans="1:5" ht="12.75" x14ac:dyDescent="0.2">
      <c r="A890" s="41"/>
      <c r="B890" s="41" t="s">
        <v>403</v>
      </c>
      <c r="C890" s="41" t="s">
        <v>16</v>
      </c>
      <c r="D890" s="41" t="s">
        <v>10</v>
      </c>
      <c r="E890" s="40"/>
    </row>
    <row r="891" spans="1:5" ht="12.75" x14ac:dyDescent="0.2">
      <c r="A891" s="41"/>
      <c r="B891" s="40"/>
      <c r="C891" s="40"/>
      <c r="D891" s="40"/>
      <c r="E891" s="40"/>
    </row>
    <row r="892" spans="1:5" ht="12.75" x14ac:dyDescent="0.2">
      <c r="A892" s="38" t="s">
        <v>45</v>
      </c>
      <c r="B892" s="39"/>
      <c r="C892" s="39"/>
      <c r="D892" s="39"/>
      <c r="E892" s="39"/>
    </row>
    <row r="893" spans="1:5" ht="25.5" x14ac:dyDescent="0.2">
      <c r="A893" s="41" t="s">
        <v>66</v>
      </c>
      <c r="B893" s="41" t="s">
        <v>402</v>
      </c>
      <c r="C893" s="41" t="s">
        <v>809</v>
      </c>
      <c r="D893" s="40"/>
      <c r="E893" s="40"/>
    </row>
    <row r="894" spans="1:5" ht="12.75" x14ac:dyDescent="0.2">
      <c r="A894" s="41" t="s">
        <v>65</v>
      </c>
      <c r="B894" s="40"/>
      <c r="C894" s="40"/>
      <c r="D894" s="40"/>
      <c r="E894" s="40"/>
    </row>
    <row r="895" spans="1:5" ht="12.75" x14ac:dyDescent="0.2">
      <c r="A895" s="41" t="s">
        <v>64</v>
      </c>
      <c r="B895" s="40"/>
      <c r="C895" s="40"/>
      <c r="D895" s="40"/>
      <c r="E895" s="40"/>
    </row>
    <row r="896" spans="1:5" ht="12.75" x14ac:dyDescent="0.2">
      <c r="A896" s="41" t="s">
        <v>63</v>
      </c>
      <c r="B896" s="40"/>
      <c r="C896" s="40"/>
      <c r="D896" s="40"/>
      <c r="E896" s="40"/>
    </row>
    <row r="897" spans="1:5" ht="12.75" x14ac:dyDescent="0.2">
      <c r="A897" s="41" t="s">
        <v>61</v>
      </c>
      <c r="B897" s="40"/>
      <c r="C897" s="40"/>
      <c r="D897" s="40"/>
      <c r="E897" s="40"/>
    </row>
    <row r="898" spans="1:5" ht="12.75" x14ac:dyDescent="0.2">
      <c r="A898" s="41" t="s">
        <v>57</v>
      </c>
      <c r="B898" s="40"/>
      <c r="C898" s="40"/>
      <c r="D898" s="40"/>
      <c r="E898" s="40"/>
    </row>
    <row r="899" spans="1:5" ht="12.75" x14ac:dyDescent="0.2">
      <c r="A899" s="41" t="s">
        <v>54</v>
      </c>
      <c r="B899" s="40"/>
      <c r="C899" s="40"/>
      <c r="D899" s="40"/>
      <c r="E899" s="40"/>
    </row>
    <row r="900" spans="1:5" ht="12.75" x14ac:dyDescent="0.2">
      <c r="A900" s="41" t="s">
        <v>52</v>
      </c>
      <c r="B900" s="40"/>
      <c r="C900" s="40"/>
      <c r="D900" s="40"/>
      <c r="E900" s="40"/>
    </row>
    <row r="901" spans="1:5" ht="12.75" x14ac:dyDescent="0.2">
      <c r="A901" s="41" t="s">
        <v>50</v>
      </c>
      <c r="B901" s="41"/>
      <c r="C901" s="40"/>
      <c r="D901" s="40"/>
      <c r="E901" s="40"/>
    </row>
    <row r="902" spans="1:5" ht="12.75" x14ac:dyDescent="0.2">
      <c r="A902" s="41" t="s">
        <v>49</v>
      </c>
      <c r="B902" s="40"/>
      <c r="C902" s="40"/>
      <c r="D902" s="40"/>
      <c r="E902" s="40"/>
    </row>
    <row r="903" spans="1:5" ht="12.75" x14ac:dyDescent="0.2">
      <c r="A903" s="41" t="s">
        <v>46</v>
      </c>
      <c r="B903" s="40"/>
      <c r="C903" s="40"/>
      <c r="D903" s="40"/>
      <c r="E903" s="40"/>
    </row>
    <row r="904" spans="1:5" ht="12.75" x14ac:dyDescent="0.2">
      <c r="A904" s="41"/>
      <c r="B904" s="40"/>
      <c r="C904" s="40"/>
      <c r="D904" s="40"/>
      <c r="E904" s="40"/>
    </row>
    <row r="905" spans="1:5" ht="12.75" x14ac:dyDescent="0.2">
      <c r="A905" s="38" t="s">
        <v>67</v>
      </c>
      <c r="B905" s="39"/>
      <c r="C905" s="39"/>
      <c r="D905" s="39"/>
      <c r="E905" s="39"/>
    </row>
    <row r="906" spans="1:5" ht="12.75" x14ac:dyDescent="0.2">
      <c r="A906" s="41" t="s">
        <v>89</v>
      </c>
      <c r="B906" s="41" t="s">
        <v>402</v>
      </c>
      <c r="C906" s="41" t="s">
        <v>69</v>
      </c>
      <c r="D906" s="40"/>
      <c r="E906" s="40"/>
    </row>
    <row r="907" spans="1:5" ht="12.75" x14ac:dyDescent="0.2">
      <c r="A907" s="41" t="s">
        <v>810</v>
      </c>
      <c r="B907" s="40"/>
      <c r="C907" s="40"/>
      <c r="D907" s="40"/>
      <c r="E907" s="40"/>
    </row>
    <row r="908" spans="1:5" ht="12.75" x14ac:dyDescent="0.2">
      <c r="A908" s="41" t="s">
        <v>85</v>
      </c>
      <c r="B908" s="40"/>
      <c r="C908" s="40"/>
      <c r="D908" s="40"/>
      <c r="E908" s="40"/>
    </row>
    <row r="909" spans="1:5" ht="12.75" x14ac:dyDescent="0.2">
      <c r="A909" s="41" t="s">
        <v>82</v>
      </c>
      <c r="B909" s="40"/>
      <c r="C909" s="40"/>
      <c r="D909" s="40"/>
      <c r="E909" s="40"/>
    </row>
    <row r="910" spans="1:5" ht="12.75" x14ac:dyDescent="0.2">
      <c r="A910" s="41" t="s">
        <v>811</v>
      </c>
      <c r="B910" s="40"/>
      <c r="C910" s="40"/>
      <c r="D910" s="40"/>
      <c r="E910" s="40"/>
    </row>
    <row r="911" spans="1:5" ht="12.75" x14ac:dyDescent="0.2">
      <c r="A911" s="41" t="s">
        <v>80</v>
      </c>
      <c r="B911" s="40"/>
      <c r="C911" s="40"/>
      <c r="D911" s="40"/>
      <c r="E911" s="40"/>
    </row>
    <row r="912" spans="1:5" ht="12.75" x14ac:dyDescent="0.2">
      <c r="A912" s="41" t="s">
        <v>812</v>
      </c>
      <c r="B912" s="41"/>
      <c r="C912" s="40"/>
      <c r="D912" s="40"/>
      <c r="E912" s="40"/>
    </row>
    <row r="913" spans="1:5" ht="12.75" x14ac:dyDescent="0.2">
      <c r="A913" s="41" t="s">
        <v>813</v>
      </c>
      <c r="B913" s="40"/>
      <c r="C913" s="40"/>
      <c r="D913" s="40"/>
      <c r="E913" s="40"/>
    </row>
    <row r="914" spans="1:5" ht="12.75" x14ac:dyDescent="0.2">
      <c r="A914" s="41" t="s">
        <v>77</v>
      </c>
      <c r="B914" s="40"/>
      <c r="C914" s="40"/>
      <c r="D914" s="40"/>
      <c r="E914" s="40"/>
    </row>
    <row r="915" spans="1:5" ht="12.75" x14ac:dyDescent="0.2">
      <c r="A915" s="41" t="s">
        <v>74</v>
      </c>
      <c r="B915" s="40"/>
      <c r="C915" s="40"/>
      <c r="D915" s="40"/>
      <c r="E915" s="40"/>
    </row>
    <row r="916" spans="1:5" ht="12.75" x14ac:dyDescent="0.2">
      <c r="A916" s="41" t="s">
        <v>70</v>
      </c>
      <c r="B916" s="40"/>
      <c r="C916" s="40"/>
      <c r="D916" s="40"/>
      <c r="E916" s="40"/>
    </row>
    <row r="917" spans="1:5" ht="12.75" x14ac:dyDescent="0.2">
      <c r="A917" s="41" t="s">
        <v>68</v>
      </c>
      <c r="B917" s="41"/>
      <c r="C917" s="40"/>
      <c r="D917" s="40"/>
      <c r="E917" s="40"/>
    </row>
    <row r="918" spans="1:5" ht="12.75" x14ac:dyDescent="0.2">
      <c r="A918" s="41"/>
      <c r="B918" s="40"/>
      <c r="C918" s="40"/>
      <c r="D918" s="40"/>
      <c r="E918" s="40"/>
    </row>
    <row r="919" spans="1:5" ht="12.75" x14ac:dyDescent="0.2">
      <c r="A919" s="38" t="s">
        <v>92</v>
      </c>
      <c r="B919" s="39"/>
      <c r="C919" s="39"/>
      <c r="D919" s="39"/>
      <c r="E919" s="39"/>
    </row>
    <row r="920" spans="1:5" ht="12.75" x14ac:dyDescent="0.2">
      <c r="A920" s="41" t="s">
        <v>128</v>
      </c>
      <c r="B920" s="41" t="s">
        <v>402</v>
      </c>
      <c r="C920" s="41" t="s">
        <v>94</v>
      </c>
      <c r="D920" s="40"/>
      <c r="E920" s="40"/>
    </row>
    <row r="921" spans="1:5" ht="12.75" x14ac:dyDescent="0.2">
      <c r="A921" s="41" t="s">
        <v>814</v>
      </c>
      <c r="B921" s="40"/>
      <c r="C921" s="40"/>
      <c r="D921" s="40"/>
      <c r="E921" s="40"/>
    </row>
    <row r="922" spans="1:5" ht="12.75" x14ac:dyDescent="0.2">
      <c r="A922" s="41" t="s">
        <v>815</v>
      </c>
      <c r="B922" s="40"/>
      <c r="C922" s="40"/>
      <c r="D922" s="40"/>
      <c r="E922" s="40"/>
    </row>
    <row r="923" spans="1:5" ht="12.75" x14ac:dyDescent="0.2">
      <c r="A923" s="41" t="s">
        <v>122</v>
      </c>
      <c r="B923" s="40"/>
      <c r="C923" s="40"/>
      <c r="D923" s="40"/>
      <c r="E923" s="40"/>
    </row>
    <row r="924" spans="1:5" ht="12.75" x14ac:dyDescent="0.2">
      <c r="A924" s="41" t="s">
        <v>816</v>
      </c>
      <c r="B924" s="40"/>
      <c r="C924" s="40"/>
      <c r="D924" s="40"/>
      <c r="E924" s="40"/>
    </row>
    <row r="925" spans="1:5" ht="12.75" x14ac:dyDescent="0.2">
      <c r="A925" s="41" t="s">
        <v>817</v>
      </c>
      <c r="B925" s="40"/>
      <c r="C925" s="40"/>
      <c r="D925" s="40"/>
      <c r="E925" s="40"/>
    </row>
    <row r="926" spans="1:5" ht="12.75" x14ac:dyDescent="0.2">
      <c r="A926" s="41" t="s">
        <v>116</v>
      </c>
      <c r="B926" s="41"/>
      <c r="C926" s="40"/>
      <c r="D926" s="40"/>
      <c r="E926" s="40"/>
    </row>
    <row r="927" spans="1:5" ht="12.75" x14ac:dyDescent="0.2">
      <c r="A927" s="41" t="s">
        <v>818</v>
      </c>
      <c r="B927" s="40"/>
      <c r="C927" s="40"/>
      <c r="D927" s="40"/>
      <c r="E927" s="40"/>
    </row>
    <row r="928" spans="1:5" ht="12.75" x14ac:dyDescent="0.2">
      <c r="A928" s="41" t="s">
        <v>819</v>
      </c>
      <c r="B928" s="40"/>
      <c r="C928" s="40"/>
      <c r="D928" s="40"/>
      <c r="E928" s="40"/>
    </row>
    <row r="929" spans="1:5" ht="12.75" x14ac:dyDescent="0.2">
      <c r="A929" s="41" t="s">
        <v>104</v>
      </c>
      <c r="B929" s="40"/>
      <c r="C929" s="40"/>
      <c r="D929" s="40"/>
      <c r="E929" s="40"/>
    </row>
    <row r="930" spans="1:5" ht="12.75" x14ac:dyDescent="0.2">
      <c r="A930" s="41" t="s">
        <v>820</v>
      </c>
      <c r="B930" s="40"/>
      <c r="C930" s="40"/>
      <c r="D930" s="40"/>
      <c r="E930" s="40"/>
    </row>
    <row r="931" spans="1:5" ht="12.75" x14ac:dyDescent="0.2">
      <c r="A931" s="41" t="s">
        <v>821</v>
      </c>
      <c r="B931" s="40"/>
      <c r="C931" s="40"/>
      <c r="D931" s="40"/>
      <c r="E931" s="40"/>
    </row>
    <row r="932" spans="1:5" ht="12.75" x14ac:dyDescent="0.2">
      <c r="A932" s="41" t="s">
        <v>93</v>
      </c>
      <c r="B932" s="41"/>
      <c r="C932" s="40"/>
      <c r="D932" s="40"/>
      <c r="E932" s="40"/>
    </row>
    <row r="933" spans="1:5" ht="12.75" x14ac:dyDescent="0.2">
      <c r="A933" s="41"/>
      <c r="B933" s="40"/>
      <c r="C933" s="40"/>
      <c r="D933" s="40"/>
      <c r="E933" s="40"/>
    </row>
    <row r="934" spans="1:5" ht="12.75" x14ac:dyDescent="0.2">
      <c r="A934" s="38" t="s">
        <v>129</v>
      </c>
      <c r="B934" s="39"/>
      <c r="C934" s="39"/>
      <c r="D934" s="39"/>
      <c r="E934" s="39"/>
    </row>
    <row r="935" spans="1:5" ht="12.75" x14ac:dyDescent="0.2">
      <c r="A935" s="41" t="s">
        <v>157</v>
      </c>
      <c r="B935" s="41" t="s">
        <v>402</v>
      </c>
      <c r="C935" s="41" t="s">
        <v>135</v>
      </c>
      <c r="D935" s="40"/>
      <c r="E935" s="40"/>
    </row>
    <row r="936" spans="1:5" ht="12.75" x14ac:dyDescent="0.2">
      <c r="A936" s="41" t="s">
        <v>822</v>
      </c>
      <c r="B936" s="40"/>
      <c r="C936" s="40"/>
      <c r="D936" s="40"/>
      <c r="E936" s="40"/>
    </row>
    <row r="937" spans="1:5" ht="12.75" x14ac:dyDescent="0.2">
      <c r="A937" s="41" t="s">
        <v>823</v>
      </c>
      <c r="B937" s="40"/>
      <c r="C937" s="40"/>
      <c r="D937" s="40"/>
      <c r="E937" s="40"/>
    </row>
    <row r="938" spans="1:5" ht="12.75" x14ac:dyDescent="0.2">
      <c r="A938" s="41" t="s">
        <v>824</v>
      </c>
      <c r="B938" s="40"/>
      <c r="C938" s="40"/>
      <c r="D938" s="40"/>
      <c r="E938" s="40"/>
    </row>
    <row r="939" spans="1:5" ht="12.75" x14ac:dyDescent="0.2">
      <c r="A939" s="41" t="s">
        <v>148</v>
      </c>
      <c r="B939" s="40"/>
      <c r="C939" s="40"/>
      <c r="D939" s="40"/>
      <c r="E939" s="40"/>
    </row>
    <row r="940" spans="1:5" ht="12.75" x14ac:dyDescent="0.2">
      <c r="A940" s="41" t="s">
        <v>825</v>
      </c>
      <c r="B940" s="40"/>
      <c r="C940" s="40"/>
      <c r="D940" s="40"/>
      <c r="E940" s="40"/>
    </row>
    <row r="941" spans="1:5" ht="12.75" x14ac:dyDescent="0.2">
      <c r="A941" s="41" t="s">
        <v>826</v>
      </c>
      <c r="B941" s="41"/>
      <c r="C941" s="40"/>
      <c r="D941" s="40"/>
      <c r="E941" s="40"/>
    </row>
    <row r="942" spans="1:5" ht="12.75" x14ac:dyDescent="0.2">
      <c r="A942" s="41" t="s">
        <v>827</v>
      </c>
      <c r="B942" s="40"/>
      <c r="C942" s="40"/>
      <c r="D942" s="40"/>
      <c r="E942" s="40"/>
    </row>
    <row r="943" spans="1:5" ht="12.75" x14ac:dyDescent="0.2">
      <c r="A943" s="41" t="s">
        <v>133</v>
      </c>
      <c r="B943" s="40"/>
      <c r="C943" s="40"/>
      <c r="D943" s="40"/>
      <c r="E943" s="40"/>
    </row>
    <row r="944" spans="1:5" ht="12.75" x14ac:dyDescent="0.2">
      <c r="A944" s="41"/>
      <c r="B944" s="40"/>
      <c r="C944" s="40"/>
      <c r="D944" s="40"/>
      <c r="E944" s="40"/>
    </row>
    <row r="945" spans="1:5" ht="12.75" x14ac:dyDescent="0.2">
      <c r="A945" s="38" t="s">
        <v>160</v>
      </c>
      <c r="B945" s="39"/>
      <c r="C945" s="39"/>
      <c r="D945" s="39"/>
      <c r="E945" s="39"/>
    </row>
    <row r="946" spans="1:5" ht="12.75" x14ac:dyDescent="0.2">
      <c r="A946" s="41" t="s">
        <v>182</v>
      </c>
      <c r="B946" s="41" t="s">
        <v>402</v>
      </c>
      <c r="C946" s="41" t="s">
        <v>162</v>
      </c>
      <c r="D946" s="40"/>
      <c r="E946" s="40"/>
    </row>
    <row r="947" spans="1:5" ht="12.75" x14ac:dyDescent="0.2">
      <c r="A947" s="41" t="s">
        <v>181</v>
      </c>
      <c r="B947" s="40"/>
      <c r="C947" s="40"/>
      <c r="D947" s="40"/>
      <c r="E947" s="40"/>
    </row>
    <row r="948" spans="1:5" ht="12.75" x14ac:dyDescent="0.2">
      <c r="A948" s="41" t="s">
        <v>180</v>
      </c>
      <c r="B948" s="41"/>
      <c r="C948" s="40"/>
      <c r="D948" s="40"/>
      <c r="E948" s="40"/>
    </row>
    <row r="949" spans="1:5" ht="12.75" x14ac:dyDescent="0.2">
      <c r="A949" s="41" t="s">
        <v>179</v>
      </c>
      <c r="B949" s="40"/>
      <c r="C949" s="40"/>
      <c r="D949" s="40"/>
      <c r="E949" s="40"/>
    </row>
    <row r="950" spans="1:5" ht="12.75" x14ac:dyDescent="0.2">
      <c r="A950" s="41" t="s">
        <v>176</v>
      </c>
      <c r="B950" s="40"/>
      <c r="C950" s="40"/>
      <c r="D950" s="40"/>
      <c r="E950" s="40"/>
    </row>
    <row r="951" spans="1:5" ht="12.75" x14ac:dyDescent="0.2">
      <c r="A951" s="41" t="s">
        <v>175</v>
      </c>
      <c r="B951" s="40"/>
      <c r="C951" s="40"/>
      <c r="D951" s="40"/>
      <c r="E951" s="40"/>
    </row>
    <row r="952" spans="1:5" ht="12.75" x14ac:dyDescent="0.2">
      <c r="A952" s="41" t="s">
        <v>172</v>
      </c>
      <c r="B952" s="41"/>
      <c r="C952" s="40"/>
      <c r="D952" s="40"/>
      <c r="E952" s="40"/>
    </row>
    <row r="953" spans="1:5" ht="12.75" x14ac:dyDescent="0.2">
      <c r="A953" s="41" t="s">
        <v>171</v>
      </c>
      <c r="B953" s="40"/>
      <c r="C953" s="40"/>
      <c r="D953" s="40"/>
      <c r="E953" s="40"/>
    </row>
    <row r="954" spans="1:5" ht="12.75" x14ac:dyDescent="0.2">
      <c r="A954" s="41" t="s">
        <v>169</v>
      </c>
      <c r="B954" s="40"/>
      <c r="C954" s="40"/>
      <c r="D954" s="40"/>
      <c r="E954" s="40"/>
    </row>
    <row r="955" spans="1:5" ht="12.75" x14ac:dyDescent="0.2">
      <c r="A955" s="41" t="s">
        <v>168</v>
      </c>
      <c r="B955" s="40"/>
      <c r="C955" s="40"/>
      <c r="D955" s="40"/>
      <c r="E955" s="40"/>
    </row>
    <row r="956" spans="1:5" ht="12.75" x14ac:dyDescent="0.2">
      <c r="A956" s="41" t="s">
        <v>828</v>
      </c>
      <c r="B956" s="40"/>
      <c r="C956" s="40"/>
      <c r="D956" s="40"/>
      <c r="E956" s="40"/>
    </row>
    <row r="957" spans="1:5" ht="12.75" x14ac:dyDescent="0.2">
      <c r="A957" s="41" t="s">
        <v>161</v>
      </c>
      <c r="B957" s="40"/>
      <c r="C957" s="40"/>
      <c r="D957" s="40"/>
      <c r="E957" s="40"/>
    </row>
    <row r="958" spans="1:5" ht="12.75" x14ac:dyDescent="0.2">
      <c r="A958" s="41"/>
      <c r="B958" s="40"/>
      <c r="C958" s="40"/>
      <c r="D958" s="40"/>
      <c r="E958" s="40"/>
    </row>
    <row r="959" spans="1:5" ht="12.75" x14ac:dyDescent="0.2">
      <c r="A959" s="38" t="s">
        <v>183</v>
      </c>
      <c r="B959" s="39"/>
      <c r="C959" s="39"/>
      <c r="D959" s="39"/>
      <c r="E959" s="39"/>
    </row>
    <row r="960" spans="1:5" ht="12.75" x14ac:dyDescent="0.2">
      <c r="A960" s="41" t="s">
        <v>198</v>
      </c>
      <c r="B960" s="41" t="s">
        <v>402</v>
      </c>
      <c r="C960" s="41" t="s">
        <v>185</v>
      </c>
      <c r="D960" s="40"/>
      <c r="E960" s="40"/>
    </row>
    <row r="961" spans="1:5" ht="12.75" x14ac:dyDescent="0.2">
      <c r="A961" s="41" t="s">
        <v>197</v>
      </c>
      <c r="B961" s="40"/>
      <c r="C961" s="40"/>
      <c r="D961" s="40"/>
      <c r="E961" s="40"/>
    </row>
    <row r="962" spans="1:5" ht="12.75" x14ac:dyDescent="0.2">
      <c r="A962" s="41" t="s">
        <v>196</v>
      </c>
      <c r="B962" s="40"/>
      <c r="C962" s="40"/>
      <c r="D962" s="40"/>
      <c r="E962" s="40"/>
    </row>
    <row r="963" spans="1:5" ht="12.75" x14ac:dyDescent="0.2">
      <c r="A963" s="41" t="s">
        <v>195</v>
      </c>
      <c r="B963" s="40"/>
      <c r="C963" s="40"/>
      <c r="D963" s="40"/>
      <c r="E963" s="40"/>
    </row>
    <row r="964" spans="1:5" ht="12.75" x14ac:dyDescent="0.2">
      <c r="A964" s="41" t="s">
        <v>194</v>
      </c>
      <c r="B964" s="40"/>
      <c r="C964" s="40"/>
      <c r="D964" s="40"/>
      <c r="E964" s="40"/>
    </row>
    <row r="965" spans="1:5" ht="12.75" x14ac:dyDescent="0.2">
      <c r="A965" s="41" t="s">
        <v>193</v>
      </c>
      <c r="B965" s="40"/>
      <c r="C965" s="40"/>
      <c r="D965" s="40"/>
      <c r="E965" s="40"/>
    </row>
    <row r="966" spans="1:5" ht="12.75" x14ac:dyDescent="0.2">
      <c r="A966" s="41" t="s">
        <v>192</v>
      </c>
      <c r="B966" s="40"/>
      <c r="C966" s="40"/>
      <c r="D966" s="40"/>
      <c r="E966" s="40"/>
    </row>
    <row r="967" spans="1:5" ht="12.75" x14ac:dyDescent="0.2">
      <c r="A967" s="41" t="s">
        <v>191</v>
      </c>
      <c r="B967" s="40"/>
      <c r="C967" s="40"/>
      <c r="D967" s="40"/>
      <c r="E967" s="40"/>
    </row>
    <row r="968" spans="1:5" ht="12.75" x14ac:dyDescent="0.2">
      <c r="A968" s="41" t="s">
        <v>190</v>
      </c>
      <c r="B968" s="40"/>
      <c r="C968" s="40"/>
      <c r="D968" s="40"/>
      <c r="E968" s="40"/>
    </row>
    <row r="969" spans="1:5" ht="12.75" x14ac:dyDescent="0.2">
      <c r="A969" s="41" t="s">
        <v>188</v>
      </c>
      <c r="B969" s="40"/>
      <c r="C969" s="40"/>
      <c r="D969" s="40"/>
      <c r="E969" s="40"/>
    </row>
    <row r="970" spans="1:5" ht="12.75" x14ac:dyDescent="0.2">
      <c r="A970" s="41" t="s">
        <v>187</v>
      </c>
      <c r="B970" s="41"/>
      <c r="C970" s="40"/>
      <c r="D970" s="40"/>
      <c r="E970" s="40"/>
    </row>
    <row r="971" spans="1:5" ht="12.75" x14ac:dyDescent="0.2">
      <c r="A971" s="41" t="s">
        <v>186</v>
      </c>
      <c r="B971" s="40"/>
      <c r="C971" s="40"/>
      <c r="D971" s="40"/>
      <c r="E971" s="40"/>
    </row>
    <row r="972" spans="1:5" ht="12.75" x14ac:dyDescent="0.2">
      <c r="A972" s="41" t="s">
        <v>184</v>
      </c>
      <c r="B972" s="40"/>
      <c r="C972" s="40"/>
      <c r="D972" s="40"/>
      <c r="E972" s="40"/>
    </row>
    <row r="973" spans="1:5" ht="12.75" x14ac:dyDescent="0.2">
      <c r="A973" s="41"/>
      <c r="B973" s="40"/>
      <c r="C973" s="40"/>
      <c r="D973" s="40"/>
      <c r="E973" s="40"/>
    </row>
    <row r="974" spans="1:5" ht="12.75" x14ac:dyDescent="0.2">
      <c r="A974" s="38" t="s">
        <v>199</v>
      </c>
      <c r="B974" s="39"/>
      <c r="C974" s="39"/>
      <c r="D974" s="39"/>
      <c r="E974" s="39"/>
    </row>
    <row r="975" spans="1:5" ht="12.75" x14ac:dyDescent="0.2">
      <c r="A975" s="41" t="s">
        <v>211</v>
      </c>
      <c r="B975" s="41" t="s">
        <v>402</v>
      </c>
      <c r="C975" s="41" t="s">
        <v>201</v>
      </c>
      <c r="D975" s="40"/>
      <c r="E975" s="40"/>
    </row>
    <row r="976" spans="1:5" ht="12.75" x14ac:dyDescent="0.2">
      <c r="A976" s="41" t="s">
        <v>209</v>
      </c>
      <c r="B976" s="40"/>
      <c r="C976" s="40"/>
      <c r="D976" s="40"/>
      <c r="E976" s="40"/>
    </row>
    <row r="977" spans="1:5" ht="12.75" x14ac:dyDescent="0.2">
      <c r="A977" s="41" t="s">
        <v>208</v>
      </c>
      <c r="B977" s="40"/>
      <c r="C977" s="40"/>
      <c r="D977" s="40"/>
      <c r="E977" s="40"/>
    </row>
    <row r="978" spans="1:5" ht="12.75" x14ac:dyDescent="0.2">
      <c r="A978" s="41" t="s">
        <v>207</v>
      </c>
      <c r="B978" s="40"/>
      <c r="C978" s="40"/>
      <c r="D978" s="40"/>
      <c r="E978" s="40"/>
    </row>
    <row r="979" spans="1:5" ht="12.75" x14ac:dyDescent="0.2">
      <c r="A979" s="41" t="s">
        <v>206</v>
      </c>
      <c r="B979" s="41"/>
      <c r="C979" s="40"/>
      <c r="D979" s="40"/>
      <c r="E979" s="40"/>
    </row>
    <row r="980" spans="1:5" ht="12.75" x14ac:dyDescent="0.2">
      <c r="A980" s="41" t="s">
        <v>205</v>
      </c>
      <c r="B980" s="40"/>
      <c r="C980" s="40"/>
      <c r="D980" s="40"/>
      <c r="E980" s="40"/>
    </row>
    <row r="981" spans="1:5" ht="12.75" x14ac:dyDescent="0.2">
      <c r="A981" s="41" t="s">
        <v>204</v>
      </c>
      <c r="B981" s="40"/>
      <c r="C981" s="40"/>
      <c r="D981" s="40"/>
      <c r="E981" s="40"/>
    </row>
    <row r="982" spans="1:5" ht="12.75" x14ac:dyDescent="0.2">
      <c r="A982" s="41" t="s">
        <v>203</v>
      </c>
      <c r="B982" s="40"/>
      <c r="C982" s="40"/>
      <c r="D982" s="40"/>
      <c r="E982" s="40"/>
    </row>
    <row r="983" spans="1:5" ht="12.75" x14ac:dyDescent="0.2">
      <c r="A983" s="41" t="s">
        <v>200</v>
      </c>
      <c r="B983" s="40"/>
      <c r="C983" s="40"/>
      <c r="D983" s="40"/>
      <c r="E983" s="40"/>
    </row>
    <row r="984" spans="1:5" ht="12.75" x14ac:dyDescent="0.2">
      <c r="A984" s="41"/>
      <c r="B984" s="40"/>
      <c r="C984" s="40"/>
      <c r="D984" s="40"/>
      <c r="E984" s="40"/>
    </row>
    <row r="985" spans="1:5" ht="12.75" x14ac:dyDescent="0.2">
      <c r="A985" s="38" t="s">
        <v>212</v>
      </c>
      <c r="B985" s="39"/>
      <c r="C985" s="39"/>
      <c r="D985" s="39"/>
      <c r="E985" s="39"/>
    </row>
    <row r="986" spans="1:5" ht="12.75" x14ac:dyDescent="0.2">
      <c r="A986" s="41" t="s">
        <v>235</v>
      </c>
      <c r="B986" s="41" t="s">
        <v>402</v>
      </c>
      <c r="C986" s="41" t="s">
        <v>214</v>
      </c>
      <c r="D986" s="40"/>
      <c r="E986" s="40"/>
    </row>
    <row r="987" spans="1:5" ht="12.75" x14ac:dyDescent="0.2">
      <c r="A987" s="41" t="s">
        <v>234</v>
      </c>
      <c r="B987" s="40"/>
      <c r="C987" s="40"/>
      <c r="D987" s="40"/>
      <c r="E987" s="40"/>
    </row>
    <row r="988" spans="1:5" ht="12.75" x14ac:dyDescent="0.2">
      <c r="A988" s="41" t="s">
        <v>231</v>
      </c>
      <c r="B988" s="40"/>
      <c r="C988" s="40"/>
      <c r="D988" s="40"/>
      <c r="E988" s="40"/>
    </row>
    <row r="989" spans="1:5" ht="12.75" x14ac:dyDescent="0.2">
      <c r="A989" s="41" t="s">
        <v>230</v>
      </c>
      <c r="B989" s="40"/>
      <c r="C989" s="40"/>
      <c r="D989" s="40"/>
      <c r="E989" s="40"/>
    </row>
    <row r="990" spans="1:5" ht="12.75" x14ac:dyDescent="0.2">
      <c r="A990" s="41" t="s">
        <v>226</v>
      </c>
      <c r="B990" s="40"/>
      <c r="C990" s="40"/>
      <c r="D990" s="40"/>
      <c r="E990" s="40"/>
    </row>
    <row r="991" spans="1:5" ht="12.75" x14ac:dyDescent="0.2">
      <c r="A991" s="41" t="s">
        <v>228</v>
      </c>
      <c r="B991" s="41"/>
      <c r="C991" s="40"/>
      <c r="D991" s="40"/>
      <c r="E991" s="40"/>
    </row>
    <row r="992" spans="1:5" ht="12.75" x14ac:dyDescent="0.2">
      <c r="A992" s="41" t="s">
        <v>225</v>
      </c>
      <c r="B992" s="40"/>
      <c r="C992" s="40"/>
      <c r="D992" s="40"/>
      <c r="E992" s="40"/>
    </row>
    <row r="993" spans="1:5" ht="12.75" x14ac:dyDescent="0.2">
      <c r="A993" s="41" t="s">
        <v>224</v>
      </c>
      <c r="B993" s="40"/>
      <c r="C993" s="40"/>
      <c r="D993" s="40"/>
      <c r="E993" s="40"/>
    </row>
    <row r="994" spans="1:5" ht="12.75" x14ac:dyDescent="0.2">
      <c r="A994" s="41" t="s">
        <v>223</v>
      </c>
      <c r="B994" s="40"/>
      <c r="C994" s="40"/>
      <c r="D994" s="40"/>
      <c r="E994" s="40"/>
    </row>
    <row r="995" spans="1:5" ht="12.75" x14ac:dyDescent="0.2">
      <c r="A995" s="41" t="s">
        <v>222</v>
      </c>
      <c r="B995" s="40"/>
      <c r="C995" s="40"/>
      <c r="D995" s="40"/>
      <c r="E995" s="40"/>
    </row>
    <row r="996" spans="1:5" ht="12.75" x14ac:dyDescent="0.2">
      <c r="A996" s="41" t="s">
        <v>221</v>
      </c>
      <c r="B996" s="40"/>
      <c r="C996" s="40"/>
      <c r="D996" s="40"/>
      <c r="E996" s="40"/>
    </row>
    <row r="997" spans="1:5" ht="12.75" x14ac:dyDescent="0.2">
      <c r="A997" s="41" t="s">
        <v>220</v>
      </c>
      <c r="B997" s="40"/>
      <c r="C997" s="40"/>
      <c r="D997" s="40"/>
      <c r="E997" s="40"/>
    </row>
    <row r="998" spans="1:5" ht="12.75" x14ac:dyDescent="0.2">
      <c r="A998" s="41" t="s">
        <v>219</v>
      </c>
      <c r="B998" s="40"/>
      <c r="C998" s="40"/>
      <c r="D998" s="40"/>
      <c r="E998" s="40"/>
    </row>
    <row r="999" spans="1:5" ht="12.75" x14ac:dyDescent="0.2">
      <c r="A999" s="41" t="s">
        <v>217</v>
      </c>
      <c r="B999" s="40"/>
      <c r="C999" s="40"/>
      <c r="D999" s="40"/>
      <c r="E999" s="40"/>
    </row>
    <row r="1000" spans="1:5" ht="12.75" x14ac:dyDescent="0.2">
      <c r="A1000" s="41" t="s">
        <v>216</v>
      </c>
      <c r="B1000" s="40"/>
      <c r="C1000" s="40"/>
      <c r="D1000" s="40"/>
      <c r="E1000" s="40"/>
    </row>
    <row r="1001" spans="1:5" ht="12.75" x14ac:dyDescent="0.2">
      <c r="A1001" s="41" t="s">
        <v>213</v>
      </c>
      <c r="B1001" s="41"/>
      <c r="C1001" s="40"/>
      <c r="D1001" s="40"/>
      <c r="E1001" s="40"/>
    </row>
    <row r="1002" spans="1:5" ht="12.75" x14ac:dyDescent="0.2">
      <c r="A1002" s="41"/>
      <c r="B1002" s="40"/>
      <c r="C1002" s="40"/>
      <c r="D1002" s="40"/>
      <c r="E1002" s="40"/>
    </row>
    <row r="1003" spans="1:5" ht="12.75" x14ac:dyDescent="0.2">
      <c r="A1003" s="38" t="s">
        <v>236</v>
      </c>
      <c r="B1003" s="39"/>
      <c r="C1003" s="39"/>
      <c r="D1003" s="39"/>
      <c r="E1003" s="39"/>
    </row>
    <row r="1004" spans="1:5" ht="25.5" x14ac:dyDescent="0.2">
      <c r="A1004" s="41" t="s">
        <v>829</v>
      </c>
      <c r="B1004" s="41" t="s">
        <v>402</v>
      </c>
      <c r="C1004" s="41" t="s">
        <v>830</v>
      </c>
      <c r="D1004" s="40"/>
      <c r="E1004" s="40"/>
    </row>
    <row r="1005" spans="1:5" ht="12.75" x14ac:dyDescent="0.2">
      <c r="A1005" s="41" t="s">
        <v>264</v>
      </c>
      <c r="B1005" s="41"/>
      <c r="C1005" s="40"/>
      <c r="D1005" s="40"/>
      <c r="E1005" s="40"/>
    </row>
    <row r="1006" spans="1:5" ht="12.75" x14ac:dyDescent="0.2">
      <c r="A1006" s="41" t="s">
        <v>263</v>
      </c>
      <c r="B1006" s="40"/>
      <c r="C1006" s="40"/>
      <c r="D1006" s="40"/>
      <c r="E1006" s="40"/>
    </row>
    <row r="1007" spans="1:5" ht="12.75" x14ac:dyDescent="0.2">
      <c r="A1007" s="41" t="s">
        <v>262</v>
      </c>
      <c r="B1007" s="40"/>
      <c r="C1007" s="40"/>
      <c r="D1007" s="40"/>
      <c r="E1007" s="40"/>
    </row>
    <row r="1008" spans="1:5" ht="12.75" x14ac:dyDescent="0.2">
      <c r="A1008" s="41" t="s">
        <v>259</v>
      </c>
      <c r="B1008" s="40"/>
      <c r="C1008" s="40"/>
      <c r="D1008" s="40"/>
      <c r="E1008" s="40"/>
    </row>
    <row r="1009" spans="1:5" ht="12.75" x14ac:dyDescent="0.2">
      <c r="A1009" s="41" t="s">
        <v>257</v>
      </c>
      <c r="B1009" s="40"/>
      <c r="C1009" s="40"/>
      <c r="D1009" s="40"/>
      <c r="E1009" s="40"/>
    </row>
    <row r="1010" spans="1:5" ht="12.75" x14ac:dyDescent="0.2">
      <c r="A1010" s="41" t="s">
        <v>255</v>
      </c>
      <c r="B1010" s="40"/>
      <c r="C1010" s="40"/>
      <c r="D1010" s="40"/>
      <c r="E1010" s="40"/>
    </row>
    <row r="1011" spans="1:5" ht="12.75" x14ac:dyDescent="0.2">
      <c r="A1011" s="41" t="s">
        <v>254</v>
      </c>
      <c r="B1011" s="40"/>
      <c r="C1011" s="40"/>
      <c r="D1011" s="40"/>
      <c r="E1011" s="40"/>
    </row>
    <row r="1012" spans="1:5" ht="12.75" x14ac:dyDescent="0.2">
      <c r="A1012" s="41" t="s">
        <v>253</v>
      </c>
      <c r="B1012" s="40"/>
      <c r="C1012" s="40"/>
      <c r="D1012" s="40"/>
      <c r="E1012" s="40"/>
    </row>
    <row r="1013" spans="1:5" ht="12.75" x14ac:dyDescent="0.2">
      <c r="A1013" s="41" t="s">
        <v>252</v>
      </c>
      <c r="B1013" s="40"/>
      <c r="C1013" s="40"/>
      <c r="D1013" s="40"/>
      <c r="E1013" s="40"/>
    </row>
    <row r="1014" spans="1:5" ht="12.75" x14ac:dyDescent="0.2">
      <c r="A1014" s="41" t="s">
        <v>251</v>
      </c>
      <c r="B1014" s="40"/>
      <c r="C1014" s="40"/>
      <c r="D1014" s="40"/>
      <c r="E1014" s="40"/>
    </row>
    <row r="1015" spans="1:5" ht="12.75" x14ac:dyDescent="0.2">
      <c r="A1015" s="41" t="s">
        <v>250</v>
      </c>
      <c r="B1015" s="40"/>
      <c r="C1015" s="40"/>
      <c r="D1015" s="40"/>
      <c r="E1015" s="40"/>
    </row>
    <row r="1016" spans="1:5" ht="12.75" x14ac:dyDescent="0.2">
      <c r="A1016" s="41" t="s">
        <v>248</v>
      </c>
      <c r="B1016" s="41"/>
      <c r="C1016" s="40"/>
      <c r="D1016" s="40"/>
      <c r="E1016" s="40"/>
    </row>
    <row r="1017" spans="1:5" ht="12.75" x14ac:dyDescent="0.2">
      <c r="A1017" s="41" t="s">
        <v>247</v>
      </c>
      <c r="B1017" s="40"/>
      <c r="C1017" s="40"/>
      <c r="D1017" s="40"/>
      <c r="E1017" s="40"/>
    </row>
    <row r="1018" spans="1:5" ht="12.75" x14ac:dyDescent="0.2">
      <c r="A1018" s="41" t="s">
        <v>246</v>
      </c>
      <c r="B1018" s="40"/>
      <c r="C1018" s="40"/>
      <c r="D1018" s="40"/>
      <c r="E1018" s="40"/>
    </row>
    <row r="1019" spans="1:5" ht="12.75" x14ac:dyDescent="0.2">
      <c r="A1019" s="41" t="s">
        <v>245</v>
      </c>
      <c r="B1019" s="40"/>
      <c r="C1019" s="40"/>
      <c r="D1019" s="40"/>
      <c r="E1019" s="40"/>
    </row>
    <row r="1020" spans="1:5" ht="12.75" x14ac:dyDescent="0.2">
      <c r="A1020" s="41" t="s">
        <v>242</v>
      </c>
      <c r="B1020" s="40"/>
      <c r="C1020" s="40"/>
      <c r="D1020" s="40"/>
      <c r="E1020" s="40"/>
    </row>
    <row r="1021" spans="1:5" ht="12.75" x14ac:dyDescent="0.2">
      <c r="A1021" s="41" t="s">
        <v>240</v>
      </c>
      <c r="B1021" s="40"/>
      <c r="C1021" s="40"/>
      <c r="D1021" s="40"/>
      <c r="E1021" s="40"/>
    </row>
    <row r="1022" spans="1:5" ht="12.75" x14ac:dyDescent="0.2">
      <c r="A1022" s="41" t="s">
        <v>237</v>
      </c>
      <c r="B1022" s="40"/>
      <c r="C1022" s="40"/>
      <c r="D1022" s="40"/>
      <c r="E1022" s="40"/>
    </row>
    <row r="1023" spans="1:5" ht="12.75" x14ac:dyDescent="0.2">
      <c r="A1023" s="41"/>
      <c r="B1023" s="40"/>
      <c r="C1023" s="40"/>
      <c r="D1023" s="40"/>
      <c r="E1023" s="40"/>
    </row>
    <row r="1024" spans="1:5" ht="12.75" x14ac:dyDescent="0.2">
      <c r="A1024" s="38" t="s">
        <v>334</v>
      </c>
      <c r="B1024" s="39"/>
      <c r="C1024" s="39"/>
      <c r="D1024" s="39"/>
      <c r="E1024" s="39"/>
    </row>
    <row r="1025" spans="1:5" ht="51" x14ac:dyDescent="0.2">
      <c r="A1025" s="41" t="s">
        <v>362</v>
      </c>
      <c r="B1025" s="41" t="s">
        <v>402</v>
      </c>
      <c r="C1025" s="41" t="s">
        <v>831</v>
      </c>
      <c r="D1025" s="40"/>
      <c r="E1025" s="40"/>
    </row>
    <row r="1026" spans="1:5" ht="12.75" x14ac:dyDescent="0.2">
      <c r="A1026" s="41" t="s">
        <v>361</v>
      </c>
      <c r="B1026" s="40"/>
      <c r="C1026" s="40"/>
      <c r="D1026" s="40"/>
      <c r="E1026" s="40"/>
    </row>
    <row r="1027" spans="1:5" ht="12.75" x14ac:dyDescent="0.2">
      <c r="A1027" s="41" t="s">
        <v>354</v>
      </c>
      <c r="B1027" s="41"/>
      <c r="C1027" s="40"/>
      <c r="D1027" s="40"/>
      <c r="E1027" s="40"/>
    </row>
    <row r="1028" spans="1:5" ht="12.75" x14ac:dyDescent="0.2">
      <c r="A1028" s="41" t="s">
        <v>339</v>
      </c>
      <c r="B1028" s="41"/>
      <c r="C1028" s="40"/>
      <c r="D1028" s="40"/>
      <c r="E1028" s="40"/>
    </row>
    <row r="1029" spans="1:5" ht="12.75" x14ac:dyDescent="0.2">
      <c r="A1029" s="41" t="s">
        <v>346</v>
      </c>
      <c r="B1029" s="40"/>
      <c r="C1029" s="40"/>
      <c r="D1029" s="40"/>
      <c r="E1029" s="40"/>
    </row>
    <row r="1030" spans="1:5" ht="12.75" x14ac:dyDescent="0.2">
      <c r="A1030" s="41" t="s">
        <v>360</v>
      </c>
      <c r="B1030" s="40"/>
      <c r="C1030" s="40"/>
      <c r="D1030" s="40"/>
      <c r="E1030" s="40"/>
    </row>
    <row r="1031" spans="1:5" ht="12.75" x14ac:dyDescent="0.2">
      <c r="A1031" s="41" t="s">
        <v>337</v>
      </c>
      <c r="B1031" s="41"/>
      <c r="C1031" s="40"/>
      <c r="D1031" s="40"/>
      <c r="E1031" s="40"/>
    </row>
    <row r="1032" spans="1:5" ht="12.75" x14ac:dyDescent="0.2">
      <c r="A1032" s="41" t="s">
        <v>335</v>
      </c>
      <c r="B1032" s="40"/>
      <c r="C1032" s="40"/>
      <c r="D1032" s="40"/>
      <c r="E1032" s="40"/>
    </row>
    <row r="1033" spans="1:5" ht="12.75" x14ac:dyDescent="0.2">
      <c r="A1033" s="41" t="s">
        <v>355</v>
      </c>
      <c r="B1033" s="40"/>
      <c r="C1033" s="40"/>
      <c r="D1033" s="40"/>
      <c r="E1033" s="40"/>
    </row>
    <row r="1034" spans="1:5" ht="12.75" x14ac:dyDescent="0.2">
      <c r="A1034" s="41" t="s">
        <v>350</v>
      </c>
      <c r="B1034" s="40"/>
      <c r="C1034" s="40"/>
      <c r="D1034" s="40"/>
      <c r="E1034" s="40"/>
    </row>
    <row r="1035" spans="1:5" ht="12.75" x14ac:dyDescent="0.2">
      <c r="A1035" s="41" t="s">
        <v>347</v>
      </c>
      <c r="B1035" s="40"/>
      <c r="C1035" s="40"/>
      <c r="D1035" s="40"/>
      <c r="E1035" s="40"/>
    </row>
    <row r="1036" spans="1:5" ht="12.75" x14ac:dyDescent="0.2">
      <c r="A1036" s="41" t="s">
        <v>343</v>
      </c>
      <c r="B1036" s="40"/>
      <c r="C1036" s="40"/>
      <c r="D1036" s="40"/>
      <c r="E1036" s="40"/>
    </row>
    <row r="1037" spans="1:5" ht="12.75" x14ac:dyDescent="0.2">
      <c r="A1037" s="41"/>
      <c r="B1037" s="40"/>
      <c r="C1037" s="40"/>
      <c r="D1037" s="40"/>
      <c r="E1037" s="40"/>
    </row>
    <row r="1038" spans="1:5" ht="12.75" x14ac:dyDescent="0.2">
      <c r="A1038" s="38" t="s">
        <v>265</v>
      </c>
      <c r="B1038" s="39"/>
      <c r="C1038" s="39"/>
      <c r="D1038" s="39"/>
      <c r="E1038" s="39"/>
    </row>
    <row r="1039" spans="1:5" ht="12.75" x14ac:dyDescent="0.2">
      <c r="A1039" s="41" t="s">
        <v>284</v>
      </c>
      <c r="B1039" s="41" t="s">
        <v>402</v>
      </c>
      <c r="C1039" s="41" t="s">
        <v>268</v>
      </c>
      <c r="D1039" s="40"/>
      <c r="E1039" s="40"/>
    </row>
    <row r="1040" spans="1:5" ht="12.75" x14ac:dyDescent="0.2">
      <c r="A1040" s="41" t="s">
        <v>283</v>
      </c>
      <c r="B1040" s="41"/>
      <c r="C1040" s="40"/>
      <c r="D1040" s="40"/>
      <c r="E1040" s="40"/>
    </row>
    <row r="1041" spans="1:5" ht="12.75" x14ac:dyDescent="0.2">
      <c r="A1041" s="41" t="s">
        <v>280</v>
      </c>
      <c r="B1041" s="40"/>
      <c r="C1041" s="40"/>
      <c r="D1041" s="40"/>
      <c r="E1041" s="40"/>
    </row>
    <row r="1042" spans="1:5" ht="12.75" x14ac:dyDescent="0.2">
      <c r="A1042" s="41" t="s">
        <v>277</v>
      </c>
      <c r="B1042" s="41"/>
      <c r="C1042" s="40"/>
      <c r="D1042" s="40"/>
      <c r="E1042" s="40"/>
    </row>
    <row r="1043" spans="1:5" ht="12.75" x14ac:dyDescent="0.2">
      <c r="A1043" s="41" t="s">
        <v>274</v>
      </c>
      <c r="B1043" s="40"/>
      <c r="C1043" s="40"/>
      <c r="D1043" s="40"/>
      <c r="E1043" s="40"/>
    </row>
    <row r="1044" spans="1:5" ht="12.75" x14ac:dyDescent="0.2">
      <c r="A1044" s="41" t="s">
        <v>273</v>
      </c>
      <c r="B1044" s="40"/>
      <c r="C1044" s="40"/>
      <c r="D1044" s="40"/>
      <c r="E1044" s="40"/>
    </row>
    <row r="1045" spans="1:5" ht="12.75" x14ac:dyDescent="0.2">
      <c r="A1045" s="41" t="s">
        <v>270</v>
      </c>
      <c r="B1045" s="41"/>
      <c r="C1045" s="40"/>
      <c r="D1045" s="40"/>
      <c r="E1045" s="40"/>
    </row>
    <row r="1046" spans="1:5" ht="12.75" x14ac:dyDescent="0.2">
      <c r="A1046" s="41" t="s">
        <v>269</v>
      </c>
      <c r="B1046" s="40"/>
      <c r="C1046" s="40"/>
      <c r="D1046" s="40"/>
      <c r="E1046" s="40"/>
    </row>
    <row r="1047" spans="1:5" ht="12.75" x14ac:dyDescent="0.2">
      <c r="A1047" s="41" t="s">
        <v>267</v>
      </c>
      <c r="B1047" s="40"/>
      <c r="C1047" s="40"/>
      <c r="D1047" s="40"/>
      <c r="E1047" s="40"/>
    </row>
    <row r="1048" spans="1:5" ht="12.75" x14ac:dyDescent="0.2">
      <c r="A1048" s="41"/>
      <c r="B1048" s="40"/>
      <c r="C1048" s="40"/>
      <c r="D1048" s="40"/>
      <c r="E1048" s="40"/>
    </row>
    <row r="1049" spans="1:5" ht="12.75" x14ac:dyDescent="0.2">
      <c r="A1049" s="38" t="s">
        <v>287</v>
      </c>
      <c r="B1049" s="39"/>
      <c r="C1049" s="39"/>
      <c r="D1049" s="39"/>
      <c r="E1049" s="39"/>
    </row>
    <row r="1050" spans="1:5" ht="12.75" x14ac:dyDescent="0.2">
      <c r="A1050" s="41" t="s">
        <v>308</v>
      </c>
      <c r="B1050" s="41" t="s">
        <v>402</v>
      </c>
      <c r="C1050" s="41" t="s">
        <v>291</v>
      </c>
      <c r="D1050" s="40"/>
      <c r="E1050" s="40"/>
    </row>
    <row r="1051" spans="1:5" ht="12.75" x14ac:dyDescent="0.2">
      <c r="A1051" s="41" t="s">
        <v>306</v>
      </c>
      <c r="B1051" s="41"/>
      <c r="C1051" s="40"/>
      <c r="D1051" s="40"/>
      <c r="E1051" s="40"/>
    </row>
    <row r="1052" spans="1:5" ht="12.75" x14ac:dyDescent="0.2">
      <c r="A1052" s="41" t="s">
        <v>303</v>
      </c>
      <c r="B1052" s="40"/>
      <c r="C1052" s="40"/>
      <c r="D1052" s="40"/>
      <c r="E1052" s="40"/>
    </row>
    <row r="1053" spans="1:5" ht="12.75" x14ac:dyDescent="0.2">
      <c r="A1053" s="41" t="s">
        <v>307</v>
      </c>
      <c r="B1053" s="40"/>
      <c r="C1053" s="40"/>
      <c r="D1053" s="40"/>
      <c r="E1053" s="40"/>
    </row>
    <row r="1054" spans="1:5" ht="12.75" x14ac:dyDescent="0.2">
      <c r="A1054" s="41" t="s">
        <v>301</v>
      </c>
      <c r="B1054" s="40"/>
      <c r="C1054" s="40"/>
      <c r="D1054" s="40"/>
      <c r="E1054" s="40"/>
    </row>
    <row r="1055" spans="1:5" ht="12.75" x14ac:dyDescent="0.2">
      <c r="A1055" s="41" t="s">
        <v>299</v>
      </c>
      <c r="B1055" s="40"/>
      <c r="C1055" s="40"/>
      <c r="D1055" s="40"/>
      <c r="E1055" s="40"/>
    </row>
    <row r="1056" spans="1:5" ht="12.75" x14ac:dyDescent="0.2">
      <c r="A1056" s="41" t="s">
        <v>290</v>
      </c>
      <c r="B1056" s="40"/>
      <c r="C1056" s="40"/>
      <c r="D1056" s="40"/>
      <c r="E1056" s="40"/>
    </row>
    <row r="1057" spans="1:5" ht="12.75" x14ac:dyDescent="0.2">
      <c r="A1057" s="41" t="s">
        <v>298</v>
      </c>
      <c r="B1057" s="41"/>
      <c r="C1057" s="40"/>
      <c r="D1057" s="40"/>
      <c r="E1057" s="40"/>
    </row>
    <row r="1058" spans="1:5" ht="12.75" x14ac:dyDescent="0.2">
      <c r="A1058" s="41" t="s">
        <v>295</v>
      </c>
      <c r="B1058" s="40"/>
      <c r="C1058" s="40"/>
      <c r="D1058" s="40"/>
      <c r="E1058" s="40"/>
    </row>
    <row r="1059" spans="1:5" ht="12.75" x14ac:dyDescent="0.2">
      <c r="A1059" s="41"/>
      <c r="B1059" s="40"/>
      <c r="C1059" s="40"/>
      <c r="D1059" s="40"/>
      <c r="E1059" s="40"/>
    </row>
    <row r="1060" spans="1:5" ht="12.75" x14ac:dyDescent="0.2">
      <c r="A1060" s="38" t="s">
        <v>832</v>
      </c>
      <c r="B1060" s="39"/>
      <c r="C1060" s="39"/>
      <c r="D1060" s="39"/>
      <c r="E1060" s="39"/>
    </row>
    <row r="1061" spans="1:5" ht="12.75" x14ac:dyDescent="0.2">
      <c r="A1061" s="41" t="s">
        <v>833</v>
      </c>
      <c r="B1061" s="41" t="s">
        <v>402</v>
      </c>
      <c r="C1061" s="41" t="s">
        <v>834</v>
      </c>
      <c r="D1061" s="40"/>
      <c r="E1061" s="40"/>
    </row>
    <row r="1062" spans="1:5" ht="12.75" x14ac:dyDescent="0.2">
      <c r="A1062" s="41" t="s">
        <v>835</v>
      </c>
      <c r="B1062" s="40"/>
      <c r="C1062" s="40"/>
      <c r="D1062" s="40"/>
      <c r="E1062" s="40"/>
    </row>
    <row r="1063" spans="1:5" ht="12.75" x14ac:dyDescent="0.2">
      <c r="A1063" s="41"/>
      <c r="B1063" s="41" t="s">
        <v>422</v>
      </c>
      <c r="C1063" s="41" t="s">
        <v>836</v>
      </c>
      <c r="D1063" s="41" t="s">
        <v>837</v>
      </c>
      <c r="E1063" s="40"/>
    </row>
    <row r="1064" spans="1:5" ht="12.75" x14ac:dyDescent="0.2">
      <c r="A1064" s="41"/>
      <c r="B1064" s="40"/>
      <c r="C1064" s="40"/>
      <c r="D1064" s="40"/>
      <c r="E1064" s="40"/>
    </row>
    <row r="1065" spans="1:5" ht="12.75" x14ac:dyDescent="0.2">
      <c r="A1065" s="38" t="s">
        <v>314</v>
      </c>
      <c r="B1065" s="39"/>
      <c r="C1065" s="39"/>
      <c r="D1065" s="39"/>
      <c r="E1065" s="39"/>
    </row>
    <row r="1066" spans="1:5" ht="12.75" x14ac:dyDescent="0.2">
      <c r="A1066" s="41" t="s">
        <v>333</v>
      </c>
      <c r="B1066" s="41" t="s">
        <v>402</v>
      </c>
      <c r="C1066" s="41" t="s">
        <v>316</v>
      </c>
      <c r="D1066" s="40"/>
      <c r="E1066" s="40"/>
    </row>
    <row r="1067" spans="1:5" ht="12.75" x14ac:dyDescent="0.2">
      <c r="A1067" s="41" t="s">
        <v>331</v>
      </c>
      <c r="B1067" s="41"/>
      <c r="C1067" s="40"/>
      <c r="D1067" s="40"/>
      <c r="E1067" s="40"/>
    </row>
    <row r="1068" spans="1:5" ht="12.75" x14ac:dyDescent="0.2">
      <c r="A1068" s="41" t="s">
        <v>315</v>
      </c>
      <c r="B1068" s="40"/>
      <c r="C1068" s="40"/>
      <c r="D1068" s="40"/>
      <c r="E1068" s="40"/>
    </row>
    <row r="1069" spans="1:5" ht="12.75" x14ac:dyDescent="0.2">
      <c r="A1069" s="41" t="s">
        <v>327</v>
      </c>
      <c r="B1069" s="40"/>
      <c r="C1069" s="40"/>
      <c r="D1069" s="40"/>
      <c r="E1069" s="40"/>
    </row>
    <row r="1070" spans="1:5" ht="12.75" x14ac:dyDescent="0.2">
      <c r="A1070" s="41" t="s">
        <v>322</v>
      </c>
      <c r="B1070" s="40"/>
      <c r="C1070" s="40"/>
      <c r="D1070" s="40"/>
      <c r="E1070" s="40"/>
    </row>
    <row r="1071" spans="1:5" ht="12.75" x14ac:dyDescent="0.2">
      <c r="A1071" s="41" t="s">
        <v>328</v>
      </c>
      <c r="B1071" s="40"/>
      <c r="C1071" s="40"/>
      <c r="D1071" s="40"/>
      <c r="E1071" s="40"/>
    </row>
    <row r="1072" spans="1:5" ht="12.75" x14ac:dyDescent="0.2">
      <c r="A1072" s="41" t="s">
        <v>324</v>
      </c>
      <c r="B1072" s="40"/>
      <c r="C1072" s="40"/>
      <c r="D1072" s="40"/>
      <c r="E1072" s="40"/>
    </row>
    <row r="1073" spans="1:5" ht="12.75" x14ac:dyDescent="0.2">
      <c r="A1073" s="41" t="s">
        <v>323</v>
      </c>
      <c r="B1073" s="40"/>
      <c r="C1073" s="40"/>
      <c r="D1073" s="40"/>
      <c r="E1073" s="40"/>
    </row>
    <row r="1074" spans="1:5" ht="12.75" x14ac:dyDescent="0.2">
      <c r="A1074" s="41" t="s">
        <v>319</v>
      </c>
      <c r="B1074" s="41"/>
      <c r="C1074" s="40"/>
      <c r="D1074" s="40"/>
      <c r="E1074" s="40"/>
    </row>
    <row r="1075" spans="1:5" ht="12.75" x14ac:dyDescent="0.2">
      <c r="A1075" s="41"/>
      <c r="B1075" s="40"/>
      <c r="C1075" s="40"/>
      <c r="D1075" s="40"/>
      <c r="E1075" s="40"/>
    </row>
    <row r="1076" spans="1:5" ht="12.75" x14ac:dyDescent="0.2">
      <c r="A1076" s="38" t="s">
        <v>838</v>
      </c>
      <c r="B1076" s="39"/>
      <c r="C1076" s="39"/>
      <c r="D1076" s="39"/>
      <c r="E1076" s="39"/>
    </row>
    <row r="1077" spans="1:5" ht="12.75" x14ac:dyDescent="0.2">
      <c r="A1077" s="41" t="s">
        <v>839</v>
      </c>
      <c r="B1077" s="41" t="s">
        <v>402</v>
      </c>
      <c r="C1077" s="41" t="s">
        <v>840</v>
      </c>
      <c r="D1077" s="40"/>
      <c r="E1077" s="40"/>
    </row>
    <row r="1078" spans="1:5" ht="12.75" x14ac:dyDescent="0.2">
      <c r="A1078" s="41" t="s">
        <v>841</v>
      </c>
      <c r="B1078" s="40"/>
      <c r="C1078" s="40"/>
      <c r="D1078" s="40"/>
      <c r="E1078" s="40"/>
    </row>
    <row r="1079" spans="1:5" ht="12.75" x14ac:dyDescent="0.2">
      <c r="A1079" s="41" t="s">
        <v>842</v>
      </c>
      <c r="B1079" s="40"/>
      <c r="C1079" s="40"/>
      <c r="D1079" s="40"/>
      <c r="E1079" s="40"/>
    </row>
    <row r="1080" spans="1:5" ht="12.75" x14ac:dyDescent="0.2">
      <c r="A1080" s="41" t="s">
        <v>843</v>
      </c>
      <c r="B1080" s="41"/>
      <c r="C1080" s="40"/>
      <c r="D1080" s="40"/>
      <c r="E1080" s="40"/>
    </row>
    <row r="1081" spans="1:5" ht="12.75" x14ac:dyDescent="0.2">
      <c r="A1081" s="41" t="s">
        <v>844</v>
      </c>
      <c r="B1081" s="40"/>
      <c r="C1081" s="40"/>
      <c r="D1081" s="40"/>
      <c r="E1081" s="40"/>
    </row>
    <row r="1082" spans="1:5" ht="12.75" x14ac:dyDescent="0.2">
      <c r="A1082" s="41" t="s">
        <v>845</v>
      </c>
      <c r="B1082" s="40"/>
      <c r="C1082" s="40"/>
      <c r="D1082" s="40"/>
      <c r="E1082" s="40"/>
    </row>
    <row r="1083" spans="1:5" ht="12.75" x14ac:dyDescent="0.2">
      <c r="A1083" s="41" t="s">
        <v>846</v>
      </c>
      <c r="B1083" s="40"/>
      <c r="C1083" s="40"/>
      <c r="D1083" s="40"/>
      <c r="E1083" s="40"/>
    </row>
    <row r="1084" spans="1:5" ht="12.75" x14ac:dyDescent="0.2">
      <c r="A1084" s="41"/>
      <c r="B1084" s="41" t="s">
        <v>422</v>
      </c>
      <c r="C1084" s="41" t="s">
        <v>847</v>
      </c>
      <c r="D1084" s="41" t="s">
        <v>848</v>
      </c>
      <c r="E1084" s="40"/>
    </row>
    <row r="1085" spans="1:5" ht="12.75" x14ac:dyDescent="0.2">
      <c r="A1085" s="41"/>
      <c r="B1085" s="40"/>
      <c r="C1085" s="40"/>
      <c r="D1085" s="40"/>
      <c r="E1085" s="40"/>
    </row>
    <row r="1086" spans="1:5" ht="12.75" x14ac:dyDescent="0.2">
      <c r="A1086" s="38" t="s">
        <v>849</v>
      </c>
      <c r="B1086" s="39"/>
      <c r="C1086" s="39"/>
      <c r="D1086" s="39"/>
      <c r="E1086" s="39"/>
    </row>
    <row r="1087" spans="1:5" ht="25.5" x14ac:dyDescent="0.2">
      <c r="A1087" s="41" t="s">
        <v>255</v>
      </c>
      <c r="B1087" s="41" t="s">
        <v>402</v>
      </c>
      <c r="C1087" s="41" t="s">
        <v>850</v>
      </c>
      <c r="D1087" s="40"/>
      <c r="E1087" s="40"/>
    </row>
    <row r="1088" spans="1:5" ht="12.75" x14ac:dyDescent="0.2">
      <c r="A1088" s="41" t="s">
        <v>851</v>
      </c>
      <c r="B1088" s="40"/>
      <c r="C1088" s="40"/>
      <c r="D1088" s="40"/>
      <c r="E1088" s="40"/>
    </row>
    <row r="1089" spans="1:5" ht="12.75" x14ac:dyDescent="0.2">
      <c r="A1089" s="41" t="s">
        <v>852</v>
      </c>
      <c r="B1089" s="40"/>
      <c r="C1089" s="40"/>
      <c r="D1089" s="40"/>
      <c r="E1089" s="40"/>
    </row>
    <row r="1090" spans="1:5" ht="12.75" x14ac:dyDescent="0.2">
      <c r="A1090" s="41" t="s">
        <v>853</v>
      </c>
      <c r="B1090" s="40"/>
      <c r="C1090" s="40"/>
      <c r="D1090" s="40"/>
      <c r="E1090" s="40"/>
    </row>
    <row r="1091" spans="1:5" ht="12.75" x14ac:dyDescent="0.2">
      <c r="A1091" s="41" t="s">
        <v>854</v>
      </c>
      <c r="B1091" s="40"/>
      <c r="C1091" s="40"/>
      <c r="D1091" s="40"/>
      <c r="E1091" s="40"/>
    </row>
    <row r="1092" spans="1:5" ht="12.75" x14ac:dyDescent="0.2">
      <c r="A1092" s="41" t="s">
        <v>855</v>
      </c>
      <c r="B1092" s="41"/>
      <c r="C1092" s="40"/>
      <c r="D1092" s="40"/>
      <c r="E1092" s="40"/>
    </row>
    <row r="1093" spans="1:5" ht="12.75" x14ac:dyDescent="0.2">
      <c r="A1093" s="41" t="s">
        <v>856</v>
      </c>
      <c r="B1093" s="40"/>
      <c r="C1093" s="40"/>
      <c r="D1093" s="40"/>
      <c r="E1093" s="40"/>
    </row>
    <row r="1094" spans="1:5" ht="12.75" x14ac:dyDescent="0.2">
      <c r="A1094" s="41" t="s">
        <v>857</v>
      </c>
      <c r="B1094" s="40"/>
      <c r="C1094" s="40"/>
      <c r="D1094" s="40"/>
      <c r="E1094" s="40"/>
    </row>
    <row r="1095" spans="1:5" ht="12.75" x14ac:dyDescent="0.2">
      <c r="A1095" s="41" t="s">
        <v>858</v>
      </c>
      <c r="B1095" s="40"/>
      <c r="C1095" s="40"/>
      <c r="D1095" s="40"/>
      <c r="E1095" s="40"/>
    </row>
    <row r="1096" spans="1:5" ht="12.75" x14ac:dyDescent="0.2">
      <c r="A1096" s="41" t="s">
        <v>859</v>
      </c>
      <c r="B1096" s="40"/>
      <c r="C1096" s="40"/>
      <c r="D1096" s="40"/>
      <c r="E1096" s="40"/>
    </row>
    <row r="1097" spans="1:5" ht="12.75" x14ac:dyDescent="0.2">
      <c r="A1097" s="41"/>
      <c r="B1097" s="40"/>
      <c r="C1097" s="40"/>
      <c r="D1097" s="40"/>
      <c r="E1097" s="40"/>
    </row>
    <row r="1098" spans="1:5" ht="12.75" x14ac:dyDescent="0.2">
      <c r="A1098" s="38" t="s">
        <v>860</v>
      </c>
      <c r="B1098" s="39"/>
      <c r="C1098" s="39"/>
      <c r="D1098" s="39"/>
      <c r="E1098" s="39"/>
    </row>
    <row r="1099" spans="1:5" ht="25.5" x14ac:dyDescent="0.2">
      <c r="A1099" s="41" t="s">
        <v>63</v>
      </c>
      <c r="B1099" s="41" t="s">
        <v>402</v>
      </c>
      <c r="C1099" s="41" t="s">
        <v>809</v>
      </c>
      <c r="D1099" s="40"/>
      <c r="E1099" s="40"/>
    </row>
    <row r="1100" spans="1:5" ht="12.75" x14ac:dyDescent="0.2">
      <c r="A1100" s="41" t="s">
        <v>861</v>
      </c>
      <c r="B1100" s="40"/>
      <c r="C1100" s="40"/>
      <c r="D1100" s="40"/>
      <c r="E1100" s="40"/>
    </row>
    <row r="1101" spans="1:5" ht="12.75" x14ac:dyDescent="0.2">
      <c r="A1101" s="41" t="s">
        <v>54</v>
      </c>
      <c r="B1101" s="40"/>
      <c r="C1101" s="40"/>
      <c r="D1101" s="40"/>
      <c r="E1101" s="40"/>
    </row>
    <row r="1102" spans="1:5" ht="12.75" x14ac:dyDescent="0.2">
      <c r="A1102" s="41" t="s">
        <v>862</v>
      </c>
      <c r="B1102" s="40"/>
      <c r="C1102" s="40"/>
      <c r="D1102" s="40"/>
      <c r="E1102" s="40"/>
    </row>
    <row r="1103" spans="1:5" ht="12.75" x14ac:dyDescent="0.2">
      <c r="A1103" s="41" t="s">
        <v>863</v>
      </c>
      <c r="B1103" s="40"/>
      <c r="C1103" s="40"/>
      <c r="D1103" s="40"/>
      <c r="E1103" s="40"/>
    </row>
    <row r="1104" spans="1:5" ht="12.75" x14ac:dyDescent="0.2">
      <c r="A1104" s="41" t="s">
        <v>864</v>
      </c>
      <c r="B1104" s="40"/>
      <c r="C1104" s="40"/>
      <c r="D1104" s="40"/>
      <c r="E1104" s="40"/>
    </row>
    <row r="1105" spans="1:5" ht="12.75" x14ac:dyDescent="0.2">
      <c r="A1105" s="41" t="s">
        <v>49</v>
      </c>
      <c r="B1105" s="41"/>
      <c r="C1105" s="40"/>
      <c r="D1105" s="40"/>
      <c r="E1105" s="40"/>
    </row>
    <row r="1106" spans="1:5" ht="12.75" x14ac:dyDescent="0.2">
      <c r="A1106" s="41" t="s">
        <v>865</v>
      </c>
      <c r="B1106" s="40"/>
      <c r="C1106" s="40"/>
      <c r="D1106" s="40"/>
      <c r="E1106" s="40"/>
    </row>
    <row r="1107" spans="1:5" ht="12.75" x14ac:dyDescent="0.2">
      <c r="A1107" s="41" t="s">
        <v>866</v>
      </c>
      <c r="B1107" s="40"/>
      <c r="C1107" s="40"/>
      <c r="D1107" s="40"/>
      <c r="E1107" s="40"/>
    </row>
    <row r="1108" spans="1:5" ht="12.75" x14ac:dyDescent="0.2">
      <c r="A1108" s="41"/>
      <c r="B1108" s="41"/>
      <c r="C1108" s="41"/>
      <c r="D1108" s="41"/>
      <c r="E1108" s="40"/>
    </row>
    <row r="1109" spans="1:5" ht="12.75" x14ac:dyDescent="0.2">
      <c r="A1109" s="38" t="s">
        <v>867</v>
      </c>
      <c r="B1109" s="39"/>
      <c r="C1109" s="39"/>
      <c r="D1109" s="39"/>
      <c r="E1109" s="39"/>
    </row>
    <row r="1110" spans="1:5" ht="25.5" x14ac:dyDescent="0.2">
      <c r="A1110" s="41" t="s">
        <v>868</v>
      </c>
      <c r="B1110" s="41" t="s">
        <v>402</v>
      </c>
      <c r="C1110" s="41" t="s">
        <v>869</v>
      </c>
      <c r="D1110" s="41"/>
      <c r="E1110" s="40"/>
    </row>
    <row r="1111" spans="1:5" ht="12.75" x14ac:dyDescent="0.2">
      <c r="A1111" s="41" t="s">
        <v>870</v>
      </c>
      <c r="B1111" s="40"/>
      <c r="C1111" s="40"/>
      <c r="D1111" s="40"/>
      <c r="E1111" s="40"/>
    </row>
    <row r="1112" spans="1:5" ht="12.75" x14ac:dyDescent="0.2">
      <c r="A1112" s="41" t="s">
        <v>871</v>
      </c>
      <c r="B1112" s="40"/>
      <c r="C1112" s="40"/>
      <c r="D1112" s="40"/>
      <c r="E1112" s="40"/>
    </row>
    <row r="1113" spans="1:5" ht="12.75" x14ac:dyDescent="0.2">
      <c r="A1113" s="41" t="s">
        <v>872</v>
      </c>
      <c r="B1113" s="41"/>
      <c r="C1113" s="40"/>
      <c r="D1113" s="40"/>
      <c r="E1113" s="40"/>
    </row>
    <row r="1114" spans="1:5" ht="12.75" x14ac:dyDescent="0.2">
      <c r="A1114" s="41" t="s">
        <v>873</v>
      </c>
      <c r="B1114" s="40"/>
      <c r="C1114" s="40"/>
      <c r="D1114" s="40"/>
      <c r="E1114" s="40"/>
    </row>
    <row r="1115" spans="1:5" ht="12.75" x14ac:dyDescent="0.2">
      <c r="A1115" s="41" t="s">
        <v>874</v>
      </c>
      <c r="B1115" s="40"/>
      <c r="C1115" s="40"/>
      <c r="D1115" s="40"/>
      <c r="E1115" s="40"/>
    </row>
    <row r="1116" spans="1:5" ht="12.75" x14ac:dyDescent="0.2">
      <c r="A1116" s="41" t="s">
        <v>875</v>
      </c>
      <c r="B1116" s="40"/>
      <c r="C1116" s="40"/>
      <c r="D1116" s="40"/>
      <c r="E1116" s="40"/>
    </row>
    <row r="1117" spans="1:5" ht="12.75" x14ac:dyDescent="0.2">
      <c r="A1117" s="41" t="s">
        <v>876</v>
      </c>
      <c r="B1117" s="40"/>
      <c r="C1117" s="40"/>
      <c r="D1117" s="40"/>
      <c r="E1117" s="40"/>
    </row>
    <row r="1118" spans="1:5" ht="12.75" x14ac:dyDescent="0.2">
      <c r="A1118" s="41" t="s">
        <v>877</v>
      </c>
      <c r="B1118" s="41"/>
      <c r="C1118" s="40"/>
      <c r="D1118" s="40"/>
      <c r="E1118" s="40"/>
    </row>
    <row r="1119" spans="1:5" ht="12.75" x14ac:dyDescent="0.2">
      <c r="A1119" s="41" t="s">
        <v>878</v>
      </c>
      <c r="B1119" s="40"/>
      <c r="C1119" s="40"/>
      <c r="D1119" s="40"/>
      <c r="E1119" s="40"/>
    </row>
    <row r="1120" spans="1:5" ht="12.75" x14ac:dyDescent="0.2">
      <c r="A1120" s="41"/>
      <c r="B1120" s="40"/>
      <c r="C1120" s="40"/>
      <c r="D1120" s="40"/>
      <c r="E1120" s="40"/>
    </row>
    <row r="1121" spans="1:5" ht="12.75" x14ac:dyDescent="0.2">
      <c r="A1121" s="38" t="s">
        <v>880</v>
      </c>
      <c r="B1121" s="39"/>
      <c r="C1121" s="39"/>
      <c r="D1121" s="39"/>
      <c r="E1121" s="39"/>
    </row>
    <row r="1122" spans="1:5" ht="12.75" x14ac:dyDescent="0.2">
      <c r="A1122" s="41" t="s">
        <v>881</v>
      </c>
      <c r="B1122" s="41" t="s">
        <v>402</v>
      </c>
      <c r="C1122" s="41" t="s">
        <v>882</v>
      </c>
      <c r="D1122" s="40"/>
      <c r="E1122" s="40"/>
    </row>
    <row r="1123" spans="1:5" ht="12.75" x14ac:dyDescent="0.2">
      <c r="A1123" s="41" t="s">
        <v>883</v>
      </c>
      <c r="B1123" s="40"/>
      <c r="C1123" s="40"/>
      <c r="D1123" s="40"/>
      <c r="E1123" s="40"/>
    </row>
    <row r="1124" spans="1:5" ht="12.75" x14ac:dyDescent="0.2">
      <c r="A1124" s="41" t="s">
        <v>884</v>
      </c>
      <c r="B1124" s="40"/>
      <c r="C1124" s="40"/>
      <c r="D1124" s="40"/>
      <c r="E1124" s="40"/>
    </row>
    <row r="1125" spans="1:5" ht="12.75" x14ac:dyDescent="0.2">
      <c r="A1125" s="41" t="s">
        <v>885</v>
      </c>
      <c r="B1125" s="41"/>
      <c r="C1125" s="40"/>
      <c r="D1125" s="40"/>
      <c r="E1125" s="40"/>
    </row>
    <row r="1126" spans="1:5" ht="12.75" x14ac:dyDescent="0.2">
      <c r="A1126" s="41" t="s">
        <v>886</v>
      </c>
      <c r="B1126" s="40"/>
      <c r="C1126" s="40"/>
      <c r="D1126" s="40"/>
      <c r="E1126" s="40"/>
    </row>
    <row r="1127" spans="1:5" ht="12.75" x14ac:dyDescent="0.2">
      <c r="A1127" s="41" t="s">
        <v>887</v>
      </c>
      <c r="B1127" s="40"/>
      <c r="C1127" s="40"/>
      <c r="D1127" s="40"/>
      <c r="E1127" s="40"/>
    </row>
    <row r="1128" spans="1:5" ht="12.75" x14ac:dyDescent="0.2">
      <c r="A1128" s="41" t="s">
        <v>888</v>
      </c>
      <c r="B1128" s="41"/>
      <c r="C1128" s="41"/>
      <c r="D1128" s="41"/>
      <c r="E1128" s="40"/>
    </row>
    <row r="1129" spans="1:5" ht="12.75" x14ac:dyDescent="0.2">
      <c r="A1129" s="41" t="s">
        <v>889</v>
      </c>
      <c r="B1129" s="41"/>
      <c r="C1129" s="41"/>
      <c r="D1129" s="41"/>
      <c r="E1129" s="40"/>
    </row>
    <row r="1130" spans="1:5" ht="12.75" x14ac:dyDescent="0.2">
      <c r="A1130" s="41" t="s">
        <v>890</v>
      </c>
      <c r="B1130" s="41"/>
      <c r="C1130" s="41"/>
      <c r="D1130" s="41"/>
      <c r="E1130" s="40"/>
    </row>
    <row r="1131" spans="1:5" ht="12.75" x14ac:dyDescent="0.2">
      <c r="A1131" s="41" t="s">
        <v>891</v>
      </c>
      <c r="B1131" s="40"/>
      <c r="C1131" s="40"/>
      <c r="D1131" s="40"/>
      <c r="E1131" s="40"/>
    </row>
    <row r="1132" spans="1:5" ht="12.75" x14ac:dyDescent="0.2">
      <c r="A1132" s="41"/>
      <c r="B1132" s="40"/>
      <c r="C1132" s="40"/>
      <c r="D1132" s="40"/>
      <c r="E1132" s="40"/>
    </row>
    <row r="1133" spans="1:5" ht="12.75" x14ac:dyDescent="0.2">
      <c r="A1133" s="38" t="s">
        <v>892</v>
      </c>
      <c r="B1133" s="39"/>
      <c r="C1133" s="39"/>
      <c r="D1133" s="39"/>
      <c r="E1133" s="39"/>
    </row>
    <row r="1134" spans="1:5" ht="12.75" x14ac:dyDescent="0.2">
      <c r="A1134" s="41" t="s">
        <v>893</v>
      </c>
      <c r="B1134" s="41" t="s">
        <v>402</v>
      </c>
      <c r="C1134" s="41" t="s">
        <v>894</v>
      </c>
      <c r="D1134" s="40"/>
      <c r="E1134" s="40"/>
    </row>
    <row r="1135" spans="1:5" ht="12.75" x14ac:dyDescent="0.2">
      <c r="A1135" s="41" t="s">
        <v>895</v>
      </c>
      <c r="B1135" s="41"/>
      <c r="C1135" s="40"/>
      <c r="D1135" s="40"/>
      <c r="E1135" s="40"/>
    </row>
    <row r="1136" spans="1:5" ht="12.75" x14ac:dyDescent="0.2">
      <c r="A1136" s="41" t="s">
        <v>896</v>
      </c>
      <c r="B1136" s="40"/>
      <c r="C1136" s="40"/>
      <c r="D1136" s="40"/>
      <c r="E1136" s="40"/>
    </row>
    <row r="1137" spans="1:5" ht="12.75" x14ac:dyDescent="0.2">
      <c r="A1137" s="41" t="s">
        <v>897</v>
      </c>
      <c r="B1137" s="40"/>
      <c r="C1137" s="40"/>
      <c r="D1137" s="40"/>
      <c r="E1137" s="40"/>
    </row>
    <row r="1138" spans="1:5" ht="12.75" x14ac:dyDescent="0.2">
      <c r="A1138" s="41" t="s">
        <v>898</v>
      </c>
      <c r="B1138" s="40"/>
      <c r="C1138" s="40"/>
      <c r="D1138" s="40"/>
      <c r="E1138" s="40"/>
    </row>
    <row r="1139" spans="1:5" ht="12.75" x14ac:dyDescent="0.2">
      <c r="A1139" s="41" t="s">
        <v>899</v>
      </c>
      <c r="B1139" s="40"/>
      <c r="C1139" s="40"/>
      <c r="D1139" s="40"/>
      <c r="E1139" s="40"/>
    </row>
    <row r="1140" spans="1:5" ht="12.75" x14ac:dyDescent="0.2">
      <c r="A1140" s="41" t="s">
        <v>900</v>
      </c>
      <c r="B1140" s="40"/>
      <c r="C1140" s="40"/>
      <c r="D1140" s="40"/>
      <c r="E1140" s="40"/>
    </row>
    <row r="1141" spans="1:5" ht="12.75" x14ac:dyDescent="0.2">
      <c r="A1141" s="41" t="s">
        <v>901</v>
      </c>
      <c r="B1141" s="40"/>
      <c r="C1141" s="40"/>
      <c r="D1141" s="40"/>
      <c r="E1141" s="40"/>
    </row>
    <row r="1142" spans="1:5" ht="12.75" x14ac:dyDescent="0.2">
      <c r="A1142" s="41" t="s">
        <v>902</v>
      </c>
      <c r="B1142" s="40"/>
      <c r="C1142" s="40"/>
      <c r="D1142" s="40"/>
      <c r="E1142" s="40"/>
    </row>
    <row r="1143" spans="1:5" ht="12.75" x14ac:dyDescent="0.2">
      <c r="A1143" s="41" t="s">
        <v>903</v>
      </c>
      <c r="B1143" s="40"/>
      <c r="C1143" s="40"/>
      <c r="D1143" s="40"/>
      <c r="E1143" s="40"/>
    </row>
    <row r="1144" spans="1:5" ht="12.75" x14ac:dyDescent="0.2">
      <c r="A1144" s="41"/>
      <c r="B1144" s="41" t="s">
        <v>403</v>
      </c>
      <c r="C1144" s="41" t="s">
        <v>25</v>
      </c>
      <c r="D1144" s="41" t="s">
        <v>27</v>
      </c>
      <c r="E1144" s="40"/>
    </row>
    <row r="1145" spans="1:5" ht="12.75" x14ac:dyDescent="0.2">
      <c r="A1145" s="41"/>
      <c r="B1145" s="41" t="s">
        <v>403</v>
      </c>
      <c r="C1145" s="41" t="s">
        <v>30</v>
      </c>
      <c r="D1145" s="41" t="s">
        <v>31</v>
      </c>
      <c r="E1145" s="40"/>
    </row>
    <row r="1146" spans="1:5" ht="12.75" x14ac:dyDescent="0.2">
      <c r="A1146" s="41"/>
      <c r="B1146" s="41" t="s">
        <v>403</v>
      </c>
      <c r="C1146" s="41" t="s">
        <v>41</v>
      </c>
      <c r="D1146" s="41" t="s">
        <v>10</v>
      </c>
      <c r="E1146" s="40"/>
    </row>
    <row r="1147" spans="1:5" ht="12.75" x14ac:dyDescent="0.2">
      <c r="A1147" s="41"/>
      <c r="B1147" s="41"/>
      <c r="C1147" s="40"/>
      <c r="D1147" s="40"/>
      <c r="E1147" s="40"/>
    </row>
    <row r="1148" spans="1:5" ht="12.75" x14ac:dyDescent="0.2">
      <c r="A1148" s="38" t="s">
        <v>904</v>
      </c>
      <c r="B1148" s="39"/>
      <c r="C1148" s="39"/>
      <c r="D1148" s="39"/>
      <c r="E1148" s="39"/>
    </row>
    <row r="1149" spans="1:5" ht="12.75" x14ac:dyDescent="0.2">
      <c r="A1149" s="41" t="s">
        <v>905</v>
      </c>
      <c r="B1149" s="41" t="s">
        <v>402</v>
      </c>
      <c r="C1149" s="41" t="s">
        <v>906</v>
      </c>
      <c r="D1149" s="40"/>
      <c r="E1149" s="40"/>
    </row>
    <row r="1150" spans="1:5" ht="12.75" x14ac:dyDescent="0.2">
      <c r="A1150" s="41" t="s">
        <v>907</v>
      </c>
      <c r="B1150" s="40"/>
      <c r="C1150" s="40"/>
      <c r="D1150" s="40"/>
      <c r="E1150" s="40"/>
    </row>
    <row r="1151" spans="1:5" ht="12.75" x14ac:dyDescent="0.2">
      <c r="A1151" s="41" t="s">
        <v>908</v>
      </c>
      <c r="B1151" s="40"/>
      <c r="C1151" s="40"/>
      <c r="D1151" s="40"/>
      <c r="E1151" s="40"/>
    </row>
    <row r="1152" spans="1:5" ht="12.75" x14ac:dyDescent="0.2">
      <c r="A1152" s="41" t="s">
        <v>909</v>
      </c>
      <c r="B1152" s="40"/>
      <c r="C1152" s="40"/>
      <c r="D1152" s="40"/>
      <c r="E1152" s="40"/>
    </row>
    <row r="1153" spans="1:5" ht="12.75" x14ac:dyDescent="0.2">
      <c r="A1153" s="41" t="s">
        <v>910</v>
      </c>
      <c r="B1153" s="40"/>
      <c r="C1153" s="40"/>
      <c r="D1153" s="40"/>
      <c r="E1153" s="40"/>
    </row>
    <row r="1154" spans="1:5" ht="12.75" x14ac:dyDescent="0.2">
      <c r="A1154" s="41" t="s">
        <v>911</v>
      </c>
      <c r="B1154" s="40"/>
      <c r="C1154" s="40"/>
      <c r="D1154" s="40"/>
      <c r="E1154" s="40"/>
    </row>
    <row r="1155" spans="1:5" ht="12.75" x14ac:dyDescent="0.2">
      <c r="A1155" s="41" t="s">
        <v>912</v>
      </c>
      <c r="B1155" s="40"/>
      <c r="C1155" s="40"/>
      <c r="D1155" s="40"/>
      <c r="E1155" s="40"/>
    </row>
    <row r="1156" spans="1:5" ht="12.75" x14ac:dyDescent="0.2">
      <c r="A1156" s="41" t="s">
        <v>913</v>
      </c>
      <c r="B1156" s="40"/>
      <c r="C1156" s="40"/>
      <c r="D1156" s="40"/>
      <c r="E1156" s="40"/>
    </row>
    <row r="1157" spans="1:5" ht="12.75" x14ac:dyDescent="0.2">
      <c r="A1157" s="41" t="s">
        <v>914</v>
      </c>
      <c r="B1157" s="41"/>
      <c r="C1157" s="40"/>
      <c r="D1157" s="40"/>
      <c r="E1157" s="40"/>
    </row>
    <row r="1158" spans="1:5" ht="12.75" x14ac:dyDescent="0.2">
      <c r="A1158" s="41" t="s">
        <v>915</v>
      </c>
      <c r="B1158" s="40"/>
      <c r="C1158" s="40"/>
      <c r="D1158" s="40"/>
      <c r="E1158" s="40"/>
    </row>
    <row r="1159" spans="1:5" ht="12.75" x14ac:dyDescent="0.2">
      <c r="A1159" s="41"/>
      <c r="B1159" s="41"/>
      <c r="C1159" s="40"/>
      <c r="D1159" s="40"/>
      <c r="E1159" s="40"/>
    </row>
    <row r="1160" spans="1:5" ht="12.75" x14ac:dyDescent="0.2">
      <c r="A1160" s="38" t="s">
        <v>916</v>
      </c>
      <c r="B1160" s="39"/>
      <c r="C1160" s="39"/>
      <c r="D1160" s="39"/>
      <c r="E1160" s="39"/>
    </row>
    <row r="1161" spans="1:5" ht="12.75" x14ac:dyDescent="0.2">
      <c r="A1161" s="41" t="s">
        <v>917</v>
      </c>
      <c r="B1161" s="41" t="s">
        <v>402</v>
      </c>
      <c r="C1161" s="41" t="s">
        <v>918</v>
      </c>
      <c r="D1161" s="40"/>
      <c r="E1161" s="40"/>
    </row>
    <row r="1162" spans="1:5" ht="12.75" x14ac:dyDescent="0.2">
      <c r="A1162" s="41" t="s">
        <v>919</v>
      </c>
      <c r="B1162" s="40"/>
      <c r="C1162" s="40"/>
      <c r="D1162" s="40"/>
      <c r="E1162" s="40"/>
    </row>
    <row r="1163" spans="1:5" ht="12.75" x14ac:dyDescent="0.2">
      <c r="A1163" s="41" t="s">
        <v>920</v>
      </c>
      <c r="B1163" s="40"/>
      <c r="C1163" s="40"/>
      <c r="D1163" s="40"/>
      <c r="E1163" s="40"/>
    </row>
    <row r="1164" spans="1:5" ht="12.75" x14ac:dyDescent="0.2">
      <c r="A1164" s="41" t="s">
        <v>921</v>
      </c>
      <c r="B1164" s="40"/>
      <c r="C1164" s="40"/>
      <c r="D1164" s="40"/>
      <c r="E1164" s="40"/>
    </row>
    <row r="1165" spans="1:5" ht="12.75" x14ac:dyDescent="0.2">
      <c r="A1165" s="41" t="s">
        <v>922</v>
      </c>
      <c r="B1165" s="40"/>
      <c r="C1165" s="40"/>
      <c r="D1165" s="40"/>
      <c r="E1165" s="40"/>
    </row>
    <row r="1166" spans="1:5" ht="12.75" x14ac:dyDescent="0.2">
      <c r="A1166" s="41" t="s">
        <v>923</v>
      </c>
      <c r="B1166" s="40"/>
      <c r="C1166" s="40"/>
      <c r="D1166" s="40"/>
      <c r="E1166" s="40"/>
    </row>
    <row r="1167" spans="1:5" ht="12.75" x14ac:dyDescent="0.2">
      <c r="A1167" s="41" t="s">
        <v>924</v>
      </c>
      <c r="B1167" s="40"/>
      <c r="C1167" s="40"/>
      <c r="D1167" s="40"/>
      <c r="E1167" s="40"/>
    </row>
    <row r="1168" spans="1:5" ht="12.75" x14ac:dyDescent="0.2">
      <c r="A1168" s="41" t="s">
        <v>925</v>
      </c>
      <c r="B1168" s="40"/>
      <c r="C1168" s="40"/>
      <c r="D1168" s="40"/>
      <c r="E1168" s="40"/>
    </row>
    <row r="1169" spans="1:5" ht="12.75" x14ac:dyDescent="0.2">
      <c r="A1169" s="41"/>
      <c r="B1169" s="40"/>
      <c r="C1169" s="40"/>
      <c r="D1169" s="40"/>
      <c r="E1169" s="40"/>
    </row>
    <row r="1170" spans="1:5" ht="12.75" x14ac:dyDescent="0.2">
      <c r="A1170" s="38" t="s">
        <v>927</v>
      </c>
      <c r="B1170" s="39"/>
      <c r="C1170" s="39"/>
      <c r="D1170" s="39"/>
      <c r="E1170" s="39"/>
    </row>
    <row r="1171" spans="1:5" ht="12.75" x14ac:dyDescent="0.2">
      <c r="A1171" s="41" t="s">
        <v>928</v>
      </c>
      <c r="B1171" s="41" t="s">
        <v>402</v>
      </c>
      <c r="C1171" s="41" t="s">
        <v>929</v>
      </c>
      <c r="D1171" s="40"/>
      <c r="E1171" s="40"/>
    </row>
    <row r="1172" spans="1:5" ht="12.75" x14ac:dyDescent="0.2">
      <c r="A1172" s="41" t="s">
        <v>930</v>
      </c>
      <c r="B1172" s="40"/>
      <c r="C1172" s="40"/>
      <c r="D1172" s="40"/>
      <c r="E1172" s="40"/>
    </row>
    <row r="1173" spans="1:5" ht="12.75" x14ac:dyDescent="0.2">
      <c r="A1173" s="41" t="s">
        <v>931</v>
      </c>
      <c r="B1173" s="40"/>
      <c r="C1173" s="40"/>
      <c r="D1173" s="40"/>
      <c r="E1173" s="40"/>
    </row>
    <row r="1174" spans="1:5" ht="12.75" x14ac:dyDescent="0.2">
      <c r="A1174" s="41" t="s">
        <v>932</v>
      </c>
      <c r="B1174" s="40"/>
      <c r="C1174" s="40"/>
      <c r="D1174" s="40"/>
      <c r="E1174" s="40"/>
    </row>
    <row r="1175" spans="1:5" ht="12.75" x14ac:dyDescent="0.2">
      <c r="A1175" s="41" t="s">
        <v>933</v>
      </c>
      <c r="B1175" s="40"/>
      <c r="C1175" s="40"/>
      <c r="D1175" s="40"/>
      <c r="E1175" s="40"/>
    </row>
    <row r="1176" spans="1:5" ht="12.75" x14ac:dyDescent="0.2">
      <c r="A1176" s="41" t="s">
        <v>934</v>
      </c>
      <c r="B1176" s="40"/>
      <c r="C1176" s="40"/>
      <c r="D1176" s="40"/>
      <c r="E1176" s="40"/>
    </row>
    <row r="1177" spans="1:5" ht="12.75" x14ac:dyDescent="0.2">
      <c r="A1177" s="41" t="s">
        <v>935</v>
      </c>
      <c r="B1177" s="40"/>
      <c r="C1177" s="40"/>
      <c r="D1177" s="40"/>
      <c r="E1177" s="40"/>
    </row>
    <row r="1178" spans="1:5" ht="12.75" x14ac:dyDescent="0.2">
      <c r="A1178" s="41" t="s">
        <v>936</v>
      </c>
      <c r="B1178" s="40"/>
      <c r="C1178" s="40"/>
      <c r="D1178" s="40"/>
      <c r="E1178" s="40"/>
    </row>
    <row r="1179" spans="1:5" ht="12.75" x14ac:dyDescent="0.2">
      <c r="A1179" s="41" t="s">
        <v>937</v>
      </c>
      <c r="B1179" s="41"/>
      <c r="C1179" s="40"/>
      <c r="D1179" s="40"/>
      <c r="E1179" s="40"/>
    </row>
    <row r="1180" spans="1:5" ht="12.75" x14ac:dyDescent="0.2">
      <c r="A1180" s="41" t="s">
        <v>938</v>
      </c>
      <c r="B1180" s="40"/>
      <c r="C1180" s="40"/>
      <c r="D1180" s="40"/>
      <c r="E1180" s="40"/>
    </row>
    <row r="1181" spans="1:5" ht="12.75" x14ac:dyDescent="0.2">
      <c r="A1181" s="41"/>
      <c r="B1181" s="40"/>
      <c r="C1181" s="40"/>
      <c r="D1181" s="40"/>
      <c r="E1181" s="40"/>
    </row>
    <row r="1182" spans="1:5" ht="12.75" x14ac:dyDescent="0.2">
      <c r="A1182" s="38" t="s">
        <v>939</v>
      </c>
      <c r="B1182" s="39"/>
      <c r="C1182" s="39"/>
      <c r="D1182" s="39"/>
      <c r="E1182" s="39"/>
    </row>
    <row r="1183" spans="1:5" ht="12.75" x14ac:dyDescent="0.2">
      <c r="A1183" s="41" t="s">
        <v>337</v>
      </c>
      <c r="B1183" s="41" t="s">
        <v>402</v>
      </c>
      <c r="C1183" s="41" t="s">
        <v>940</v>
      </c>
      <c r="D1183" s="40"/>
      <c r="E1183" s="40"/>
    </row>
    <row r="1184" spans="1:5" ht="12.75" x14ac:dyDescent="0.2">
      <c r="A1184" s="41" t="s">
        <v>941</v>
      </c>
      <c r="B1184" s="40"/>
      <c r="C1184" s="40"/>
      <c r="D1184" s="40"/>
      <c r="E1184" s="40"/>
    </row>
    <row r="1185" spans="1:5" ht="12.75" x14ac:dyDescent="0.2">
      <c r="A1185" s="41" t="s">
        <v>942</v>
      </c>
      <c r="B1185" s="40"/>
      <c r="C1185" s="40"/>
      <c r="D1185" s="40"/>
      <c r="E1185" s="40"/>
    </row>
    <row r="1186" spans="1:5" ht="12.75" x14ac:dyDescent="0.2">
      <c r="A1186" s="41" t="s">
        <v>943</v>
      </c>
      <c r="B1186" s="40"/>
      <c r="C1186" s="40"/>
      <c r="D1186" s="40"/>
      <c r="E1186" s="40"/>
    </row>
    <row r="1187" spans="1:5" ht="12.75" x14ac:dyDescent="0.2">
      <c r="A1187" s="41" t="s">
        <v>944</v>
      </c>
      <c r="B1187" s="40"/>
      <c r="C1187" s="40"/>
      <c r="D1187" s="40"/>
      <c r="E1187" s="40"/>
    </row>
    <row r="1188" spans="1:5" ht="12.75" x14ac:dyDescent="0.2">
      <c r="A1188" s="41" t="s">
        <v>946</v>
      </c>
      <c r="B1188" s="41"/>
      <c r="C1188" s="40"/>
      <c r="D1188" s="40"/>
      <c r="E1188" s="40"/>
    </row>
    <row r="1189" spans="1:5" ht="12.75" x14ac:dyDescent="0.2">
      <c r="A1189" s="41" t="s">
        <v>947</v>
      </c>
      <c r="B1189" s="40"/>
      <c r="C1189" s="40"/>
      <c r="D1189" s="40"/>
      <c r="E1189" s="40"/>
    </row>
    <row r="1190" spans="1:5" ht="12.75" x14ac:dyDescent="0.2">
      <c r="A1190" s="41" t="s">
        <v>948</v>
      </c>
      <c r="B1190" s="40"/>
      <c r="C1190" s="40"/>
      <c r="D1190" s="40"/>
      <c r="E1190" s="40"/>
    </row>
    <row r="1191" spans="1:5" ht="12.75" x14ac:dyDescent="0.2">
      <c r="A1191" s="41" t="s">
        <v>950</v>
      </c>
      <c r="B1191" s="40"/>
      <c r="C1191" s="40"/>
      <c r="D1191" s="40"/>
      <c r="E1191" s="40"/>
    </row>
    <row r="1192" spans="1:5" ht="12.75" x14ac:dyDescent="0.2">
      <c r="A1192" s="41" t="s">
        <v>951</v>
      </c>
      <c r="B1192" s="40"/>
      <c r="C1192" s="40"/>
      <c r="D1192" s="40"/>
      <c r="E1192" s="40"/>
    </row>
    <row r="1193" spans="1:5" ht="12.75" x14ac:dyDescent="0.2">
      <c r="A1193" s="41"/>
      <c r="B1193" s="40"/>
      <c r="C1193" s="40"/>
      <c r="D1193" s="40"/>
      <c r="E1193" s="40"/>
    </row>
    <row r="1194" spans="1:5" ht="12.75" x14ac:dyDescent="0.2">
      <c r="A1194" s="38" t="s">
        <v>953</v>
      </c>
      <c r="B1194" s="39"/>
      <c r="C1194" s="39"/>
      <c r="D1194" s="39"/>
      <c r="E1194" s="39"/>
    </row>
    <row r="1195" spans="1:5" ht="12.75" x14ac:dyDescent="0.2">
      <c r="A1195" s="41" t="s">
        <v>954</v>
      </c>
      <c r="B1195" s="41" t="s">
        <v>402</v>
      </c>
      <c r="C1195" s="41" t="s">
        <v>955</v>
      </c>
      <c r="D1195" s="40"/>
      <c r="E1195" s="40"/>
    </row>
    <row r="1196" spans="1:5" ht="12.75" x14ac:dyDescent="0.2">
      <c r="A1196" s="41" t="s">
        <v>957</v>
      </c>
      <c r="B1196" s="40"/>
      <c r="C1196" s="40"/>
      <c r="D1196" s="40"/>
      <c r="E1196" s="40"/>
    </row>
    <row r="1197" spans="1:5" ht="12.75" x14ac:dyDescent="0.2">
      <c r="A1197" s="41" t="s">
        <v>959</v>
      </c>
      <c r="B1197" s="40"/>
      <c r="C1197" s="40"/>
      <c r="D1197" s="40"/>
      <c r="E1197" s="40"/>
    </row>
    <row r="1198" spans="1:5" ht="12.75" x14ac:dyDescent="0.2">
      <c r="A1198" s="41" t="s">
        <v>961</v>
      </c>
      <c r="B1198" s="41"/>
      <c r="C1198" s="40"/>
      <c r="D1198" s="40"/>
      <c r="E1198" s="40"/>
    </row>
    <row r="1199" spans="1:5" ht="12.75" x14ac:dyDescent="0.2">
      <c r="A1199" s="41" t="s">
        <v>962</v>
      </c>
      <c r="B1199" s="40"/>
      <c r="C1199" s="40"/>
      <c r="D1199" s="40"/>
      <c r="E1199" s="40"/>
    </row>
    <row r="1200" spans="1:5" ht="12.75" x14ac:dyDescent="0.2">
      <c r="A1200" s="41" t="s">
        <v>964</v>
      </c>
      <c r="B1200" s="40"/>
      <c r="C1200" s="40"/>
      <c r="D1200" s="40"/>
      <c r="E1200" s="40"/>
    </row>
    <row r="1201" spans="1:5" ht="12.75" x14ac:dyDescent="0.2">
      <c r="A1201" s="41" t="s">
        <v>965</v>
      </c>
      <c r="B1201" s="40"/>
      <c r="C1201" s="40"/>
      <c r="D1201" s="40"/>
      <c r="E1201" s="40"/>
    </row>
    <row r="1202" spans="1:5" ht="12.75" x14ac:dyDescent="0.2">
      <c r="A1202" s="41" t="s">
        <v>967</v>
      </c>
      <c r="B1202" s="40"/>
      <c r="C1202" s="40"/>
      <c r="D1202" s="40"/>
      <c r="E1202" s="40"/>
    </row>
    <row r="1203" spans="1:5" ht="12.75" x14ac:dyDescent="0.2">
      <c r="A1203" s="41" t="s">
        <v>969</v>
      </c>
      <c r="B1203" s="40"/>
      <c r="C1203" s="40"/>
      <c r="D1203" s="40"/>
      <c r="E1203" s="40"/>
    </row>
    <row r="1204" spans="1:5" ht="12.75" x14ac:dyDescent="0.2">
      <c r="A1204" s="41"/>
      <c r="B1204" s="40"/>
      <c r="C1204" s="40"/>
      <c r="D1204" s="40"/>
      <c r="E1204" s="40"/>
    </row>
    <row r="1205" spans="1:5" ht="12.75" x14ac:dyDescent="0.2">
      <c r="A1205" s="38" t="s">
        <v>971</v>
      </c>
      <c r="B1205" s="39"/>
      <c r="C1205" s="39"/>
      <c r="D1205" s="39"/>
      <c r="E1205" s="39"/>
    </row>
    <row r="1206" spans="1:5" ht="12.75" x14ac:dyDescent="0.2">
      <c r="A1206" s="41" t="s">
        <v>973</v>
      </c>
      <c r="B1206" s="41" t="s">
        <v>402</v>
      </c>
      <c r="C1206" s="41" t="s">
        <v>974</v>
      </c>
      <c r="D1206" s="40"/>
      <c r="E1206" s="40"/>
    </row>
    <row r="1207" spans="1:5" ht="12.75" x14ac:dyDescent="0.2">
      <c r="A1207" s="41" t="s">
        <v>976</v>
      </c>
      <c r="B1207" s="40"/>
      <c r="C1207" s="40"/>
      <c r="D1207" s="40"/>
      <c r="E1207" s="40"/>
    </row>
    <row r="1208" spans="1:5" ht="12.75" x14ac:dyDescent="0.2">
      <c r="A1208" s="41" t="s">
        <v>977</v>
      </c>
      <c r="B1208" s="40"/>
      <c r="C1208" s="40"/>
      <c r="D1208" s="40"/>
      <c r="E1208" s="40"/>
    </row>
    <row r="1209" spans="1:5" ht="12.75" x14ac:dyDescent="0.2">
      <c r="A1209" s="41" t="s">
        <v>979</v>
      </c>
      <c r="B1209" s="40"/>
      <c r="C1209" s="40"/>
      <c r="D1209" s="40"/>
      <c r="E1209" s="40"/>
    </row>
    <row r="1210" spans="1:5" ht="12.75" x14ac:dyDescent="0.2">
      <c r="A1210" s="41" t="s">
        <v>982</v>
      </c>
      <c r="B1210" s="41"/>
      <c r="C1210" s="40"/>
      <c r="D1210" s="40"/>
      <c r="E1210" s="40"/>
    </row>
    <row r="1211" spans="1:5" ht="12.75" x14ac:dyDescent="0.2">
      <c r="A1211" s="41" t="s">
        <v>984</v>
      </c>
      <c r="B1211" s="40"/>
      <c r="C1211" s="40"/>
      <c r="D1211" s="40"/>
      <c r="E1211" s="40"/>
    </row>
    <row r="1212" spans="1:5" ht="12.75" x14ac:dyDescent="0.2">
      <c r="A1212" s="41" t="s">
        <v>986</v>
      </c>
      <c r="B1212" s="40"/>
      <c r="C1212" s="40"/>
      <c r="D1212" s="40"/>
      <c r="E1212" s="40"/>
    </row>
    <row r="1213" spans="1:5" ht="12.75" x14ac:dyDescent="0.2">
      <c r="A1213" s="41"/>
      <c r="B1213" s="40"/>
      <c r="C1213" s="40"/>
      <c r="D1213" s="40"/>
      <c r="E1213" s="40"/>
    </row>
    <row r="1214" spans="1:5" ht="12.75" x14ac:dyDescent="0.2">
      <c r="A1214" s="38" t="s">
        <v>988</v>
      </c>
      <c r="B1214" s="39"/>
      <c r="C1214" s="39"/>
      <c r="D1214" s="39"/>
      <c r="E1214" s="39"/>
    </row>
    <row r="1215" spans="1:5" ht="12.75" x14ac:dyDescent="0.2">
      <c r="A1215" s="41" t="s">
        <v>989</v>
      </c>
      <c r="B1215" s="41" t="s">
        <v>402</v>
      </c>
      <c r="C1215" s="41" t="s">
        <v>990</v>
      </c>
      <c r="D1215" s="40"/>
      <c r="E1215" s="40"/>
    </row>
    <row r="1216" spans="1:5" ht="12.75" x14ac:dyDescent="0.2">
      <c r="A1216" s="41" t="s">
        <v>992</v>
      </c>
      <c r="B1216" s="40"/>
      <c r="C1216" s="40"/>
      <c r="D1216" s="40"/>
      <c r="E1216" s="40"/>
    </row>
    <row r="1217" spans="1:5" ht="12.75" x14ac:dyDescent="0.2">
      <c r="A1217" s="41" t="s">
        <v>993</v>
      </c>
      <c r="B1217" s="40"/>
      <c r="C1217" s="40"/>
      <c r="D1217" s="40"/>
      <c r="E1217" s="40"/>
    </row>
    <row r="1218" spans="1:5" ht="12.75" x14ac:dyDescent="0.2">
      <c r="A1218" s="41" t="s">
        <v>994</v>
      </c>
      <c r="B1218" s="40"/>
      <c r="C1218" s="40"/>
      <c r="D1218" s="40"/>
      <c r="E1218" s="40"/>
    </row>
    <row r="1219" spans="1:5" ht="12.75" x14ac:dyDescent="0.2">
      <c r="A1219" s="41" t="s">
        <v>995</v>
      </c>
      <c r="B1219" s="40"/>
      <c r="C1219" s="40"/>
      <c r="D1219" s="40"/>
      <c r="E1219" s="40"/>
    </row>
    <row r="1220" spans="1:5" ht="12.75" x14ac:dyDescent="0.2">
      <c r="A1220" s="41" t="s">
        <v>996</v>
      </c>
      <c r="B1220" s="41"/>
      <c r="C1220" s="40"/>
      <c r="D1220" s="40"/>
      <c r="E1220" s="40"/>
    </row>
    <row r="1221" spans="1:5" ht="12.75" x14ac:dyDescent="0.2">
      <c r="A1221" s="41" t="s">
        <v>997</v>
      </c>
      <c r="B1221" s="40"/>
      <c r="C1221" s="40"/>
      <c r="D1221" s="40"/>
      <c r="E1221" s="40"/>
    </row>
    <row r="1222" spans="1:5" ht="12.75" x14ac:dyDescent="0.2">
      <c r="A1222" s="41"/>
      <c r="B1222" s="40"/>
      <c r="C1222" s="40"/>
      <c r="D1222" s="40"/>
      <c r="E1222" s="40"/>
    </row>
    <row r="1223" spans="1:5" ht="12.75" x14ac:dyDescent="0.2">
      <c r="A1223" s="38" t="s">
        <v>998</v>
      </c>
      <c r="B1223" s="39"/>
      <c r="C1223" s="39"/>
      <c r="D1223" s="39"/>
      <c r="E1223" s="39"/>
    </row>
    <row r="1224" spans="1:5" ht="12.75" x14ac:dyDescent="0.2">
      <c r="A1224" s="41" t="s">
        <v>999</v>
      </c>
      <c r="B1224" s="41" t="s">
        <v>402</v>
      </c>
      <c r="C1224" s="41" t="s">
        <v>1001</v>
      </c>
      <c r="D1224" s="40"/>
      <c r="E1224" s="40"/>
    </row>
    <row r="1225" spans="1:5" ht="12.75" x14ac:dyDescent="0.2">
      <c r="A1225" s="41" t="s">
        <v>1002</v>
      </c>
      <c r="B1225" s="40"/>
      <c r="C1225" s="40"/>
      <c r="D1225" s="40"/>
      <c r="E1225" s="40"/>
    </row>
    <row r="1226" spans="1:5" ht="12.75" x14ac:dyDescent="0.2">
      <c r="A1226" s="41" t="s">
        <v>1004</v>
      </c>
      <c r="B1226" s="41"/>
      <c r="C1226" s="40"/>
      <c r="D1226" s="40"/>
      <c r="E1226" s="40"/>
    </row>
    <row r="1227" spans="1:5" ht="12.75" x14ac:dyDescent="0.2">
      <c r="A1227" s="41" t="s">
        <v>1006</v>
      </c>
      <c r="B1227" s="40"/>
      <c r="C1227" s="40"/>
      <c r="D1227" s="40"/>
      <c r="E1227" s="40"/>
    </row>
    <row r="1228" spans="1:5" ht="12.75" x14ac:dyDescent="0.2">
      <c r="A1228" s="41" t="s">
        <v>1008</v>
      </c>
      <c r="B1228" s="40"/>
      <c r="C1228" s="40"/>
      <c r="D1228" s="40"/>
      <c r="E1228" s="40"/>
    </row>
    <row r="1229" spans="1:5" ht="12.75" x14ac:dyDescent="0.2">
      <c r="A1229" s="41" t="s">
        <v>1011</v>
      </c>
      <c r="B1229" s="40"/>
      <c r="C1229" s="40"/>
      <c r="D1229" s="40"/>
      <c r="E1229" s="40"/>
    </row>
    <row r="1230" spans="1:5" ht="12.75" x14ac:dyDescent="0.2">
      <c r="A1230" s="41" t="s">
        <v>1013</v>
      </c>
      <c r="B1230" s="41"/>
      <c r="C1230" s="41"/>
      <c r="D1230" s="41"/>
      <c r="E1230" s="40"/>
    </row>
    <row r="1231" spans="1:5" ht="12.75" x14ac:dyDescent="0.2">
      <c r="A1231" s="41" t="s">
        <v>1015</v>
      </c>
      <c r="B1231" s="41"/>
      <c r="C1231" s="41"/>
      <c r="D1231" s="41"/>
      <c r="E1231" s="40"/>
    </row>
    <row r="1232" spans="1:5" ht="12.75" x14ac:dyDescent="0.2">
      <c r="A1232" s="41"/>
      <c r="B1232" s="41"/>
      <c r="C1232" s="41"/>
      <c r="D1232" s="41"/>
      <c r="E1232" s="40"/>
    </row>
    <row r="1233" spans="1:5" ht="12.75" x14ac:dyDescent="0.2">
      <c r="A1233" s="38" t="s">
        <v>1018</v>
      </c>
      <c r="B1233" s="39"/>
      <c r="C1233" s="39"/>
      <c r="D1233" s="39"/>
      <c r="E1233" s="39"/>
    </row>
    <row r="1234" spans="1:5" ht="12.75" x14ac:dyDescent="0.2">
      <c r="A1234" s="41" t="s">
        <v>1020</v>
      </c>
      <c r="B1234" s="41" t="s">
        <v>402</v>
      </c>
      <c r="C1234" s="41" t="s">
        <v>1022</v>
      </c>
      <c r="D1234" s="40"/>
      <c r="E1234" s="40"/>
    </row>
    <row r="1235" spans="1:5" ht="12.75" x14ac:dyDescent="0.2">
      <c r="A1235" s="41" t="s">
        <v>1024</v>
      </c>
      <c r="B1235" s="41"/>
      <c r="C1235" s="40"/>
      <c r="D1235" s="40"/>
      <c r="E1235" s="40"/>
    </row>
    <row r="1236" spans="1:5" ht="12.75" x14ac:dyDescent="0.2">
      <c r="A1236" s="41" t="s">
        <v>1027</v>
      </c>
      <c r="B1236" s="40"/>
      <c r="C1236" s="40"/>
      <c r="D1236" s="40"/>
      <c r="E1236" s="40"/>
    </row>
    <row r="1237" spans="1:5" ht="12.75" x14ac:dyDescent="0.2">
      <c r="A1237" s="41" t="s">
        <v>1028</v>
      </c>
      <c r="B1237" s="40"/>
      <c r="C1237" s="40"/>
      <c r="D1237" s="40"/>
      <c r="E1237" s="40"/>
    </row>
    <row r="1238" spans="1:5" ht="12.75" x14ac:dyDescent="0.2">
      <c r="A1238" s="41" t="s">
        <v>1029</v>
      </c>
      <c r="B1238" s="40"/>
      <c r="C1238" s="40"/>
      <c r="D1238" s="40"/>
      <c r="E1238" s="40"/>
    </row>
    <row r="1239" spans="1:5" ht="12.75" x14ac:dyDescent="0.2">
      <c r="A1239" s="41" t="s">
        <v>1031</v>
      </c>
      <c r="B1239" s="41"/>
      <c r="C1239" s="40"/>
      <c r="D1239" s="40"/>
      <c r="E1239" s="40"/>
    </row>
    <row r="1240" spans="1:5" ht="12.75" x14ac:dyDescent="0.2">
      <c r="A1240" s="41" t="s">
        <v>1032</v>
      </c>
      <c r="B1240" s="40"/>
      <c r="C1240" s="40"/>
      <c r="D1240" s="40"/>
      <c r="E1240" s="40"/>
    </row>
    <row r="1241" spans="1:5" ht="12.75" x14ac:dyDescent="0.2">
      <c r="A1241" s="41" t="s">
        <v>1033</v>
      </c>
      <c r="B1241" s="40"/>
      <c r="C1241" s="40"/>
      <c r="D1241" s="40"/>
      <c r="E1241" s="40"/>
    </row>
    <row r="1242" spans="1:5" ht="12.75" x14ac:dyDescent="0.2">
      <c r="A1242" s="41" t="s">
        <v>1034</v>
      </c>
      <c r="B1242" s="40"/>
      <c r="C1242" s="40"/>
      <c r="D1242" s="40"/>
      <c r="E1242" s="40"/>
    </row>
    <row r="1243" spans="1:5" ht="12.75" x14ac:dyDescent="0.2">
      <c r="A1243" s="41" t="s">
        <v>1035</v>
      </c>
      <c r="B1243" s="40"/>
      <c r="C1243" s="40"/>
      <c r="D1243" s="40"/>
      <c r="E1243" s="40"/>
    </row>
    <row r="1244" spans="1:5" ht="12.75" x14ac:dyDescent="0.2">
      <c r="A1244" s="41"/>
      <c r="B1244" s="40"/>
      <c r="C1244" s="40"/>
      <c r="D1244" s="40"/>
      <c r="E1244" s="40"/>
    </row>
    <row r="1245" spans="1:5" ht="12.75" x14ac:dyDescent="0.2">
      <c r="A1245" s="38" t="s">
        <v>1036</v>
      </c>
      <c r="B1245" s="39"/>
      <c r="C1245" s="39"/>
      <c r="D1245" s="39"/>
      <c r="E1245" s="39"/>
    </row>
    <row r="1246" spans="1:5" ht="12.75" x14ac:dyDescent="0.2">
      <c r="A1246" s="41" t="s">
        <v>1038</v>
      </c>
      <c r="B1246" s="41" t="s">
        <v>402</v>
      </c>
      <c r="C1246" s="41" t="s">
        <v>1039</v>
      </c>
      <c r="D1246" s="40"/>
      <c r="E1246" s="40"/>
    </row>
    <row r="1247" spans="1:5" ht="12.75" x14ac:dyDescent="0.2">
      <c r="A1247" s="41" t="s">
        <v>1040</v>
      </c>
      <c r="B1247" s="40"/>
      <c r="C1247" s="40"/>
      <c r="D1247" s="40"/>
      <c r="E1247" s="40"/>
    </row>
    <row r="1248" spans="1:5" ht="12.75" x14ac:dyDescent="0.2">
      <c r="A1248" s="41" t="s">
        <v>1041</v>
      </c>
      <c r="B1248" s="40"/>
      <c r="C1248" s="40"/>
      <c r="D1248" s="40"/>
      <c r="E1248" s="40"/>
    </row>
    <row r="1249" spans="1:5" ht="12.75" x14ac:dyDescent="0.2">
      <c r="A1249" s="41" t="s">
        <v>1042</v>
      </c>
      <c r="B1249" s="40"/>
      <c r="C1249" s="40"/>
      <c r="D1249" s="40"/>
      <c r="E1249" s="40"/>
    </row>
    <row r="1250" spans="1:5" ht="12.75" x14ac:dyDescent="0.2">
      <c r="A1250" s="41" t="s">
        <v>1043</v>
      </c>
      <c r="B1250" s="41"/>
      <c r="C1250" s="40"/>
      <c r="D1250" s="40"/>
      <c r="E1250" s="40"/>
    </row>
    <row r="1251" spans="1:5" ht="12.75" x14ac:dyDescent="0.2">
      <c r="A1251" s="41" t="s">
        <v>1044</v>
      </c>
      <c r="B1251" s="40"/>
      <c r="C1251" s="40"/>
      <c r="D1251" s="40"/>
      <c r="E1251" s="40"/>
    </row>
    <row r="1252" spans="1:5" ht="12.75" x14ac:dyDescent="0.2">
      <c r="A1252" s="41" t="s">
        <v>1045</v>
      </c>
      <c r="B1252" s="40"/>
      <c r="C1252" s="40"/>
      <c r="D1252" s="40"/>
      <c r="E1252" s="40"/>
    </row>
    <row r="1253" spans="1:5" ht="12.75" x14ac:dyDescent="0.2">
      <c r="A1253" s="41" t="s">
        <v>1046</v>
      </c>
      <c r="B1253" s="40"/>
      <c r="C1253" s="40"/>
      <c r="D1253" s="40"/>
      <c r="E1253" s="40"/>
    </row>
    <row r="1254" spans="1:5" ht="12.75" x14ac:dyDescent="0.2">
      <c r="A1254" s="41"/>
      <c r="B1254" s="40"/>
      <c r="C1254" s="40"/>
      <c r="D1254" s="40"/>
      <c r="E1254" s="40"/>
    </row>
    <row r="1255" spans="1:5" ht="12.75" x14ac:dyDescent="0.2">
      <c r="A1255" s="38" t="s">
        <v>1047</v>
      </c>
      <c r="B1255" s="39"/>
      <c r="C1255" s="39"/>
      <c r="D1255" s="39"/>
      <c r="E1255" s="39"/>
    </row>
    <row r="1256" spans="1:5" ht="12.75" x14ac:dyDescent="0.2">
      <c r="A1256" s="41" t="s">
        <v>1048</v>
      </c>
      <c r="B1256" s="41" t="s">
        <v>402</v>
      </c>
      <c r="C1256" s="41" t="s">
        <v>1049</v>
      </c>
      <c r="D1256" s="40"/>
      <c r="E1256" s="40"/>
    </row>
    <row r="1257" spans="1:5" ht="12.75" x14ac:dyDescent="0.2">
      <c r="A1257" s="41" t="s">
        <v>1050</v>
      </c>
      <c r="B1257" s="41"/>
      <c r="C1257" s="40"/>
      <c r="D1257" s="40"/>
      <c r="E1257" s="40"/>
    </row>
    <row r="1258" spans="1:5" ht="12.75" x14ac:dyDescent="0.2">
      <c r="A1258" s="41" t="s">
        <v>1051</v>
      </c>
      <c r="B1258" s="40"/>
      <c r="C1258" s="40"/>
      <c r="D1258" s="40"/>
      <c r="E1258" s="40"/>
    </row>
    <row r="1259" spans="1:5" ht="12.75" x14ac:dyDescent="0.2">
      <c r="A1259" s="41" t="s">
        <v>1052</v>
      </c>
      <c r="B1259" s="40"/>
      <c r="C1259" s="40"/>
      <c r="D1259" s="40"/>
      <c r="E1259" s="40"/>
    </row>
    <row r="1260" spans="1:5" ht="12.75" x14ac:dyDescent="0.2">
      <c r="A1260" s="41" t="s">
        <v>1053</v>
      </c>
      <c r="B1260" s="41"/>
      <c r="C1260" s="41"/>
      <c r="D1260" s="41"/>
      <c r="E1260" s="40"/>
    </row>
    <row r="1261" spans="1:5" ht="12.75" x14ac:dyDescent="0.2">
      <c r="A1261" s="41" t="s">
        <v>1054</v>
      </c>
      <c r="B1261" s="41"/>
      <c r="C1261" s="41"/>
      <c r="D1261" s="41"/>
      <c r="E1261" s="40"/>
    </row>
    <row r="1262" spans="1:5" ht="12.75" x14ac:dyDescent="0.2">
      <c r="A1262" s="41" t="s">
        <v>1055</v>
      </c>
      <c r="B1262" s="41"/>
      <c r="C1262" s="41"/>
      <c r="D1262" s="41"/>
      <c r="E1262" s="40"/>
    </row>
    <row r="1263" spans="1:5" ht="12.75" x14ac:dyDescent="0.2">
      <c r="A1263" s="41" t="s">
        <v>1056</v>
      </c>
      <c r="B1263" s="40"/>
      <c r="C1263" s="40"/>
      <c r="D1263" s="40"/>
      <c r="E1263" s="40"/>
    </row>
    <row r="1264" spans="1:5" ht="12.75" x14ac:dyDescent="0.2">
      <c r="A1264" s="41" t="s">
        <v>1057</v>
      </c>
      <c r="B1264" s="40"/>
      <c r="C1264" s="40"/>
      <c r="D1264" s="40"/>
      <c r="E1264" s="40"/>
    </row>
    <row r="1265" spans="1:5" ht="12.75" x14ac:dyDescent="0.2">
      <c r="A1265" s="41" t="s">
        <v>1058</v>
      </c>
      <c r="B1265" s="41"/>
      <c r="C1265" s="40"/>
      <c r="D1265" s="40"/>
      <c r="E1265" s="40"/>
    </row>
    <row r="1266" spans="1:5" ht="12.75" x14ac:dyDescent="0.2">
      <c r="A1266" s="41"/>
      <c r="B1266" s="41" t="s">
        <v>403</v>
      </c>
      <c r="C1266" s="41" t="s">
        <v>25</v>
      </c>
      <c r="D1266" s="41" t="s">
        <v>27</v>
      </c>
      <c r="E1266" s="40"/>
    </row>
    <row r="1267" spans="1:5" ht="12.75" x14ac:dyDescent="0.2">
      <c r="A1267" s="41"/>
      <c r="B1267" s="41" t="s">
        <v>403</v>
      </c>
      <c r="C1267" s="41" t="s">
        <v>30</v>
      </c>
      <c r="D1267" s="41" t="s">
        <v>31</v>
      </c>
      <c r="E1267" s="40"/>
    </row>
    <row r="1268" spans="1:5" ht="12.75" x14ac:dyDescent="0.2">
      <c r="A1268" s="41"/>
      <c r="B1268" s="41" t="s">
        <v>403</v>
      </c>
      <c r="C1268" s="41" t="s">
        <v>41</v>
      </c>
      <c r="D1268" s="41" t="s">
        <v>10</v>
      </c>
      <c r="E1268" s="40"/>
    </row>
    <row r="1269" spans="1:5" ht="12.75" x14ac:dyDescent="0.2">
      <c r="A1269" s="41"/>
      <c r="B1269" s="41"/>
      <c r="C1269" s="40"/>
      <c r="D1269" s="40"/>
      <c r="E1269" s="40"/>
    </row>
    <row r="1270" spans="1:5" ht="12.75" x14ac:dyDescent="0.2">
      <c r="A1270" s="38" t="s">
        <v>1059</v>
      </c>
      <c r="B1270" s="39"/>
      <c r="C1270" s="39"/>
      <c r="D1270" s="39"/>
      <c r="E1270" s="39"/>
    </row>
    <row r="1271" spans="1:5" ht="12.75" x14ac:dyDescent="0.2">
      <c r="A1271" s="41" t="s">
        <v>1060</v>
      </c>
      <c r="B1271" s="41" t="s">
        <v>402</v>
      </c>
      <c r="C1271" s="41" t="s">
        <v>1061</v>
      </c>
      <c r="D1271" s="40"/>
      <c r="E1271" s="40"/>
    </row>
    <row r="1272" spans="1:5" ht="12.75" x14ac:dyDescent="0.2">
      <c r="A1272" s="41" t="s">
        <v>1062</v>
      </c>
      <c r="B1272" s="40"/>
      <c r="C1272" s="40"/>
      <c r="D1272" s="40"/>
      <c r="E1272" s="40"/>
    </row>
    <row r="1273" spans="1:5" ht="12.75" x14ac:dyDescent="0.2">
      <c r="A1273" s="41" t="s">
        <v>1063</v>
      </c>
      <c r="B1273" s="40"/>
      <c r="C1273" s="40"/>
      <c r="D1273" s="40"/>
      <c r="E1273" s="40"/>
    </row>
    <row r="1274" spans="1:5" ht="12.75" x14ac:dyDescent="0.2">
      <c r="A1274" s="41" t="s">
        <v>1064</v>
      </c>
      <c r="B1274" s="40"/>
      <c r="C1274" s="40"/>
      <c r="D1274" s="40"/>
      <c r="E1274" s="40"/>
    </row>
    <row r="1275" spans="1:5" ht="12.75" x14ac:dyDescent="0.2">
      <c r="A1275" s="41" t="s">
        <v>1065</v>
      </c>
      <c r="B1275" s="40"/>
      <c r="C1275" s="40"/>
      <c r="D1275" s="40"/>
      <c r="E1275" s="40"/>
    </row>
    <row r="1276" spans="1:5" ht="12.75" x14ac:dyDescent="0.2">
      <c r="A1276" s="41" t="s">
        <v>1066</v>
      </c>
      <c r="B1276" s="41"/>
      <c r="C1276" s="40"/>
      <c r="D1276" s="40"/>
      <c r="E1276" s="40"/>
    </row>
    <row r="1277" spans="1:5" ht="12.75" x14ac:dyDescent="0.2">
      <c r="A1277" s="41" t="s">
        <v>1067</v>
      </c>
      <c r="B1277" s="40"/>
      <c r="C1277" s="40"/>
      <c r="D1277" s="40"/>
      <c r="E1277" s="40"/>
    </row>
    <row r="1278" spans="1:5" ht="12.75" x14ac:dyDescent="0.2">
      <c r="A1278" s="41" t="s">
        <v>1068</v>
      </c>
      <c r="B1278" s="40"/>
      <c r="C1278" s="40"/>
      <c r="D1278" s="40"/>
      <c r="E1278" s="40"/>
    </row>
    <row r="1279" spans="1:5" ht="12.75" x14ac:dyDescent="0.2">
      <c r="A1279" s="41"/>
      <c r="B1279" s="40"/>
      <c r="C1279" s="40"/>
      <c r="D1279" s="40"/>
      <c r="E1279" s="40"/>
    </row>
    <row r="1280" spans="1:5" ht="12.75" x14ac:dyDescent="0.2">
      <c r="A1280" s="38" t="s">
        <v>1069</v>
      </c>
      <c r="B1280" s="39"/>
      <c r="C1280" s="39"/>
      <c r="D1280" s="39"/>
      <c r="E1280" s="39"/>
    </row>
    <row r="1281" spans="1:5" ht="12.75" x14ac:dyDescent="0.2">
      <c r="A1281" s="41" t="s">
        <v>1070</v>
      </c>
      <c r="B1281" s="41" t="s">
        <v>402</v>
      </c>
      <c r="C1281" s="41" t="s">
        <v>1071</v>
      </c>
      <c r="D1281" s="40"/>
      <c r="E1281" s="40"/>
    </row>
    <row r="1282" spans="1:5" ht="12.75" x14ac:dyDescent="0.2">
      <c r="A1282" s="41" t="s">
        <v>1072</v>
      </c>
      <c r="B1282" s="40"/>
      <c r="C1282" s="40"/>
      <c r="D1282" s="40"/>
      <c r="E1282" s="40"/>
    </row>
    <row r="1283" spans="1:5" ht="12.75" x14ac:dyDescent="0.2">
      <c r="A1283" s="41" t="s">
        <v>1073</v>
      </c>
      <c r="B1283" s="40"/>
      <c r="C1283" s="40"/>
      <c r="D1283" s="40"/>
      <c r="E1283" s="40"/>
    </row>
    <row r="1284" spans="1:5" ht="12.75" x14ac:dyDescent="0.2">
      <c r="A1284" s="41" t="s">
        <v>1074</v>
      </c>
      <c r="B1284" s="40"/>
      <c r="C1284" s="40"/>
      <c r="D1284" s="40"/>
      <c r="E1284" s="40"/>
    </row>
    <row r="1285" spans="1:5" ht="12.75" x14ac:dyDescent="0.2">
      <c r="A1285" s="41" t="s">
        <v>1075</v>
      </c>
      <c r="B1285" s="40"/>
      <c r="C1285" s="40"/>
      <c r="D1285" s="40"/>
      <c r="E1285" s="40"/>
    </row>
    <row r="1286" spans="1:5" ht="12.75" x14ac:dyDescent="0.2">
      <c r="A1286" s="41" t="s">
        <v>1076</v>
      </c>
      <c r="B1286" s="40"/>
      <c r="C1286" s="40"/>
      <c r="D1286" s="40"/>
      <c r="E1286" s="40"/>
    </row>
    <row r="1287" spans="1:5" ht="12.75" x14ac:dyDescent="0.2">
      <c r="A1287" s="41" t="s">
        <v>1077</v>
      </c>
      <c r="B1287" s="40"/>
      <c r="C1287" s="40"/>
      <c r="D1287" s="40"/>
      <c r="E1287" s="40"/>
    </row>
    <row r="1288" spans="1:5" ht="12.75" x14ac:dyDescent="0.2">
      <c r="A1288" s="41" t="s">
        <v>1078</v>
      </c>
      <c r="B1288" s="40"/>
      <c r="C1288" s="40"/>
      <c r="D1288" s="40"/>
      <c r="E1288" s="40"/>
    </row>
    <row r="1289" spans="1:5" ht="12.75" x14ac:dyDescent="0.2">
      <c r="A1289" s="41" t="s">
        <v>1079</v>
      </c>
      <c r="B1289" s="41"/>
      <c r="C1289" s="40"/>
      <c r="D1289" s="40"/>
      <c r="E1289" s="40"/>
    </row>
    <row r="1290" spans="1:5" ht="12.75" x14ac:dyDescent="0.2">
      <c r="A1290" s="41" t="s">
        <v>1080</v>
      </c>
      <c r="B1290" s="40"/>
      <c r="C1290" s="40"/>
      <c r="D1290" s="40"/>
      <c r="E1290" s="40"/>
    </row>
    <row r="1291" spans="1:5" ht="12.75" x14ac:dyDescent="0.2">
      <c r="A1291" s="41"/>
      <c r="B1291" s="40"/>
      <c r="C1291" s="40"/>
      <c r="D1291" s="40"/>
      <c r="E1291" s="40"/>
    </row>
    <row r="1292" spans="1:5" ht="12.75" x14ac:dyDescent="0.2">
      <c r="A1292" s="38" t="s">
        <v>1081</v>
      </c>
      <c r="B1292" s="39"/>
      <c r="C1292" s="39"/>
      <c r="D1292" s="39"/>
      <c r="E1292" s="39"/>
    </row>
    <row r="1293" spans="1:5" ht="12.75" x14ac:dyDescent="0.2">
      <c r="A1293" s="41" t="s">
        <v>1082</v>
      </c>
      <c r="B1293" s="41" t="s">
        <v>402</v>
      </c>
      <c r="C1293" s="41" t="s">
        <v>1083</v>
      </c>
      <c r="D1293" s="40"/>
      <c r="E1293" s="40"/>
    </row>
    <row r="1294" spans="1:5" ht="12.75" x14ac:dyDescent="0.2">
      <c r="A1294" s="41" t="s">
        <v>1084</v>
      </c>
      <c r="B1294" s="40"/>
      <c r="C1294" s="40"/>
      <c r="D1294" s="40"/>
      <c r="E1294" s="40"/>
    </row>
    <row r="1295" spans="1:5" ht="12.75" x14ac:dyDescent="0.2">
      <c r="A1295" s="41" t="s">
        <v>1085</v>
      </c>
      <c r="B1295" s="40"/>
      <c r="C1295" s="40"/>
      <c r="D1295" s="40"/>
      <c r="E1295" s="40"/>
    </row>
    <row r="1296" spans="1:5" ht="12.75" x14ac:dyDescent="0.2">
      <c r="A1296" s="41" t="s">
        <v>1086</v>
      </c>
      <c r="B1296" s="40"/>
      <c r="C1296" s="40"/>
      <c r="D1296" s="40"/>
      <c r="E1296" s="40"/>
    </row>
    <row r="1297" spans="1:5" ht="12.75" x14ac:dyDescent="0.2">
      <c r="A1297" s="41" t="s">
        <v>1087</v>
      </c>
      <c r="B1297" s="40"/>
      <c r="C1297" s="40"/>
      <c r="D1297" s="40"/>
      <c r="E1297" s="40"/>
    </row>
    <row r="1298" spans="1:5" ht="12.75" x14ac:dyDescent="0.2">
      <c r="A1298" s="41" t="s">
        <v>1088</v>
      </c>
      <c r="B1298" s="40"/>
      <c r="C1298" s="40"/>
      <c r="D1298" s="40"/>
      <c r="E1298" s="40"/>
    </row>
    <row r="1299" spans="1:5" ht="12.75" x14ac:dyDescent="0.2">
      <c r="A1299" s="41" t="s">
        <v>1089</v>
      </c>
      <c r="B1299" s="40"/>
      <c r="C1299" s="40"/>
      <c r="D1299" s="40"/>
      <c r="E1299" s="40"/>
    </row>
    <row r="1300" spans="1:5" ht="12.75" x14ac:dyDescent="0.2">
      <c r="A1300" s="41" t="s">
        <v>1090</v>
      </c>
      <c r="B1300" s="40"/>
      <c r="C1300" s="40"/>
      <c r="D1300" s="40"/>
      <c r="E1300" s="40"/>
    </row>
    <row r="1301" spans="1:5" ht="12.75" x14ac:dyDescent="0.2">
      <c r="A1301" s="41" t="s">
        <v>1091</v>
      </c>
      <c r="B1301" s="40"/>
      <c r="C1301" s="40"/>
      <c r="D1301" s="40"/>
      <c r="E1301" s="40"/>
    </row>
    <row r="1302" spans="1:5" ht="12.75" x14ac:dyDescent="0.2">
      <c r="A1302" s="41" t="s">
        <v>1092</v>
      </c>
      <c r="B1302" s="41"/>
      <c r="C1302" s="40"/>
      <c r="D1302" s="40"/>
      <c r="E1302" s="40"/>
    </row>
    <row r="1303" spans="1:5" ht="12.75" x14ac:dyDescent="0.2">
      <c r="A1303" s="41"/>
      <c r="B1303" s="40"/>
      <c r="C1303" s="40"/>
      <c r="D1303" s="40"/>
      <c r="E1303" s="40"/>
    </row>
    <row r="1304" spans="1:5" ht="12.75" x14ac:dyDescent="0.2">
      <c r="A1304" s="38" t="s">
        <v>1093</v>
      </c>
      <c r="B1304" s="39"/>
      <c r="C1304" s="39"/>
      <c r="D1304" s="39"/>
      <c r="E1304" s="39"/>
    </row>
    <row r="1305" spans="1:5" ht="12.75" x14ac:dyDescent="0.2">
      <c r="A1305" s="41" t="s">
        <v>1094</v>
      </c>
      <c r="B1305" s="41" t="s">
        <v>402</v>
      </c>
      <c r="C1305" s="41" t="s">
        <v>1095</v>
      </c>
      <c r="D1305" s="40"/>
      <c r="E1305" s="40"/>
    </row>
    <row r="1306" spans="1:5" ht="12.75" x14ac:dyDescent="0.2">
      <c r="A1306" s="41" t="s">
        <v>1096</v>
      </c>
      <c r="B1306" s="40"/>
      <c r="C1306" s="40"/>
      <c r="D1306" s="40"/>
      <c r="E1306" s="40"/>
    </row>
    <row r="1307" spans="1:5" ht="12.75" x14ac:dyDescent="0.2">
      <c r="A1307" s="41" t="s">
        <v>1097</v>
      </c>
      <c r="B1307" s="40"/>
      <c r="C1307" s="40"/>
      <c r="D1307" s="40"/>
      <c r="E1307" s="40"/>
    </row>
    <row r="1308" spans="1:5" ht="12.75" x14ac:dyDescent="0.2">
      <c r="A1308" s="41" t="s">
        <v>1098</v>
      </c>
      <c r="B1308" s="40"/>
      <c r="C1308" s="40"/>
      <c r="D1308" s="40"/>
      <c r="E1308" s="40"/>
    </row>
    <row r="1309" spans="1:5" ht="12.75" x14ac:dyDescent="0.2">
      <c r="A1309" s="41" t="s">
        <v>1099</v>
      </c>
      <c r="B1309" s="40"/>
      <c r="C1309" s="40"/>
      <c r="D1309" s="40"/>
      <c r="E1309" s="40"/>
    </row>
    <row r="1310" spans="1:5" ht="12.75" x14ac:dyDescent="0.2">
      <c r="A1310" s="41" t="s">
        <v>1100</v>
      </c>
      <c r="B1310" s="40"/>
      <c r="C1310" s="40"/>
      <c r="D1310" s="40"/>
      <c r="E1310" s="40"/>
    </row>
    <row r="1311" spans="1:5" ht="12.75" x14ac:dyDescent="0.2">
      <c r="A1311" s="41" t="s">
        <v>1101</v>
      </c>
      <c r="B1311" s="40"/>
      <c r="C1311" s="40"/>
      <c r="D1311" s="40"/>
      <c r="E1311" s="40"/>
    </row>
    <row r="1312" spans="1:5" ht="12.75" x14ac:dyDescent="0.2">
      <c r="A1312" s="41" t="s">
        <v>1102</v>
      </c>
      <c r="B1312" s="40"/>
      <c r="C1312" s="40"/>
      <c r="D1312" s="40"/>
      <c r="E1312" s="40"/>
    </row>
    <row r="1313" spans="1:5" ht="12.75" x14ac:dyDescent="0.2">
      <c r="A1313" s="41" t="s">
        <v>1103</v>
      </c>
      <c r="B1313" s="40"/>
      <c r="C1313" s="40"/>
      <c r="D1313" s="40"/>
      <c r="E1313" s="40"/>
    </row>
    <row r="1314" spans="1:5" ht="12.75" x14ac:dyDescent="0.2">
      <c r="A1314" s="41" t="s">
        <v>1104</v>
      </c>
      <c r="B1314" s="40"/>
      <c r="C1314" s="40"/>
      <c r="D1314" s="40"/>
      <c r="E1314" s="40"/>
    </row>
    <row r="1315" spans="1:5" ht="12.75" x14ac:dyDescent="0.2">
      <c r="A1315" s="41"/>
      <c r="B1315" s="41"/>
      <c r="C1315" s="40"/>
      <c r="D1315" s="40"/>
      <c r="E1315" s="40"/>
    </row>
    <row r="1316" spans="1:5" ht="12.75" x14ac:dyDescent="0.2">
      <c r="A1316" s="38" t="s">
        <v>1105</v>
      </c>
      <c r="B1316" s="39"/>
      <c r="C1316" s="39"/>
      <c r="D1316" s="39"/>
      <c r="E1316" s="39"/>
    </row>
    <row r="1317" spans="1:5" ht="12.75" x14ac:dyDescent="0.2">
      <c r="A1317" s="41" t="s">
        <v>1106</v>
      </c>
      <c r="B1317" s="41" t="s">
        <v>402</v>
      </c>
      <c r="C1317" s="41" t="s">
        <v>1107</v>
      </c>
      <c r="D1317" s="40"/>
      <c r="E1317" s="40"/>
    </row>
    <row r="1318" spans="1:5" ht="12.75" x14ac:dyDescent="0.2">
      <c r="A1318" s="41" t="s">
        <v>1108</v>
      </c>
      <c r="B1318" s="40"/>
      <c r="C1318" s="40"/>
      <c r="D1318" s="40"/>
      <c r="E1318" s="40"/>
    </row>
    <row r="1319" spans="1:5" ht="12.75" x14ac:dyDescent="0.2">
      <c r="A1319" s="41" t="s">
        <v>1109</v>
      </c>
      <c r="B1319" s="40"/>
      <c r="C1319" s="40"/>
      <c r="D1319" s="40"/>
      <c r="E1319" s="40"/>
    </row>
    <row r="1320" spans="1:5" ht="12.75" x14ac:dyDescent="0.2">
      <c r="A1320" s="41" t="s">
        <v>1110</v>
      </c>
      <c r="B1320" s="40"/>
      <c r="C1320" s="40"/>
      <c r="D1320" s="40"/>
      <c r="E1320" s="40"/>
    </row>
    <row r="1321" spans="1:5" ht="12.75" x14ac:dyDescent="0.2">
      <c r="A1321" s="41" t="s">
        <v>1111</v>
      </c>
      <c r="B1321" s="40"/>
      <c r="C1321" s="40"/>
      <c r="D1321" s="40"/>
      <c r="E1321" s="40"/>
    </row>
    <row r="1322" spans="1:5" ht="12.75" x14ac:dyDescent="0.2">
      <c r="A1322" s="41" t="s">
        <v>1112</v>
      </c>
      <c r="B1322" s="40"/>
      <c r="C1322" s="40"/>
      <c r="D1322" s="40"/>
      <c r="E1322" s="40"/>
    </row>
    <row r="1323" spans="1:5" ht="12.75" x14ac:dyDescent="0.2">
      <c r="A1323" s="41" t="s">
        <v>1113</v>
      </c>
      <c r="B1323" s="40"/>
      <c r="C1323" s="40"/>
      <c r="D1323" s="40"/>
      <c r="E1323" s="40"/>
    </row>
    <row r="1324" spans="1:5" ht="12.75" x14ac:dyDescent="0.2">
      <c r="A1324" s="41" t="s">
        <v>1114</v>
      </c>
      <c r="B1324" s="40"/>
      <c r="C1324" s="40"/>
      <c r="D1324" s="40"/>
      <c r="E1324" s="40"/>
    </row>
    <row r="1325" spans="1:5" ht="12.75" x14ac:dyDescent="0.2">
      <c r="A1325" s="41" t="s">
        <v>1115</v>
      </c>
      <c r="B1325" s="40"/>
      <c r="C1325" s="40"/>
      <c r="D1325" s="40"/>
      <c r="E1325" s="40"/>
    </row>
    <row r="1326" spans="1:5" ht="12.75" x14ac:dyDescent="0.2">
      <c r="A1326" s="41" t="s">
        <v>1116</v>
      </c>
      <c r="B1326" s="40"/>
      <c r="C1326" s="40"/>
      <c r="D1326" s="40"/>
      <c r="E1326" s="40"/>
    </row>
    <row r="1327" spans="1:5" ht="12.75" x14ac:dyDescent="0.2">
      <c r="A1327" s="41"/>
      <c r="B1327" s="41"/>
      <c r="C1327" s="40"/>
      <c r="D1327" s="40"/>
      <c r="E1327" s="40"/>
    </row>
    <row r="1328" spans="1:5" ht="12.75" x14ac:dyDescent="0.2">
      <c r="A1328" s="38" t="s">
        <v>1117</v>
      </c>
      <c r="B1328" s="39"/>
      <c r="C1328" s="39"/>
      <c r="D1328" s="39"/>
      <c r="E1328" s="39"/>
    </row>
    <row r="1329" spans="1:5" ht="12.75" x14ac:dyDescent="0.2">
      <c r="A1329" s="41" t="s">
        <v>1118</v>
      </c>
      <c r="B1329" s="41" t="s">
        <v>402</v>
      </c>
      <c r="C1329" s="41" t="s">
        <v>1119</v>
      </c>
      <c r="D1329" s="40"/>
      <c r="E1329" s="40"/>
    </row>
    <row r="1330" spans="1:5" ht="12.75" x14ac:dyDescent="0.2">
      <c r="A1330" s="41" t="s">
        <v>1120</v>
      </c>
      <c r="B1330" s="40"/>
      <c r="C1330" s="40"/>
      <c r="D1330" s="40"/>
      <c r="E1330" s="40"/>
    </row>
    <row r="1331" spans="1:5" ht="12.75" x14ac:dyDescent="0.2">
      <c r="A1331" s="41" t="s">
        <v>1121</v>
      </c>
      <c r="B1331" s="40"/>
      <c r="C1331" s="40"/>
      <c r="D1331" s="40"/>
      <c r="E1331" s="40"/>
    </row>
    <row r="1332" spans="1:5" ht="12.75" x14ac:dyDescent="0.2">
      <c r="A1332" s="41" t="s">
        <v>1122</v>
      </c>
      <c r="B1332" s="40"/>
      <c r="C1332" s="40"/>
      <c r="D1332" s="40"/>
      <c r="E1332" s="40"/>
    </row>
    <row r="1333" spans="1:5" ht="12.75" x14ac:dyDescent="0.2">
      <c r="A1333" s="41" t="s">
        <v>1123</v>
      </c>
      <c r="B1333" s="40"/>
      <c r="C1333" s="40"/>
      <c r="D1333" s="40"/>
      <c r="E1333" s="40"/>
    </row>
    <row r="1334" spans="1:5" ht="12.75" x14ac:dyDescent="0.2">
      <c r="A1334" s="41" t="s">
        <v>1124</v>
      </c>
      <c r="B1334" s="40"/>
      <c r="C1334" s="40"/>
      <c r="D1334" s="40"/>
      <c r="E1334" s="40"/>
    </row>
    <row r="1335" spans="1:5" ht="12.75" x14ac:dyDescent="0.2">
      <c r="A1335" s="41" t="s">
        <v>1125</v>
      </c>
      <c r="B1335" s="40"/>
      <c r="C1335" s="40"/>
      <c r="D1335" s="40"/>
      <c r="E1335" s="40"/>
    </row>
    <row r="1336" spans="1:5" ht="12.75" x14ac:dyDescent="0.2">
      <c r="A1336" s="41" t="s">
        <v>1126</v>
      </c>
      <c r="B1336" s="40"/>
      <c r="C1336" s="40"/>
      <c r="D1336" s="40"/>
      <c r="E1336" s="40"/>
    </row>
    <row r="1337" spans="1:5" ht="12.75" x14ac:dyDescent="0.2">
      <c r="A1337" s="41" t="s">
        <v>1127</v>
      </c>
      <c r="B1337" s="41"/>
      <c r="C1337" s="40"/>
      <c r="D1337" s="40"/>
      <c r="E1337" s="40"/>
    </row>
    <row r="1338" spans="1:5" ht="12.75" x14ac:dyDescent="0.2">
      <c r="A1338" s="41" t="s">
        <v>1128</v>
      </c>
      <c r="B1338" s="40"/>
      <c r="C1338" s="40"/>
      <c r="D1338" s="40"/>
      <c r="E1338" s="40"/>
    </row>
    <row r="1339" spans="1:5" ht="12.75" x14ac:dyDescent="0.2">
      <c r="A1339" s="41"/>
      <c r="B1339" s="40"/>
      <c r="C1339" s="40"/>
      <c r="D1339" s="40"/>
      <c r="E1339" s="40"/>
    </row>
    <row r="1340" spans="1:5" ht="12.75" x14ac:dyDescent="0.2">
      <c r="A1340" s="38" t="s">
        <v>1129</v>
      </c>
      <c r="B1340" s="39"/>
      <c r="C1340" s="39"/>
      <c r="D1340" s="39"/>
      <c r="E1340" s="39"/>
    </row>
    <row r="1341" spans="1:5" ht="12.75" x14ac:dyDescent="0.2">
      <c r="A1341" s="41" t="s">
        <v>1130</v>
      </c>
      <c r="B1341" s="41" t="s">
        <v>402</v>
      </c>
      <c r="C1341" s="41" t="s">
        <v>1131</v>
      </c>
      <c r="D1341" s="40"/>
      <c r="E1341" s="40"/>
    </row>
    <row r="1342" spans="1:5" ht="12.75" x14ac:dyDescent="0.2">
      <c r="A1342" s="41" t="s">
        <v>1132</v>
      </c>
      <c r="B1342" s="40"/>
      <c r="C1342" s="40"/>
      <c r="D1342" s="40"/>
      <c r="E1342" s="40"/>
    </row>
    <row r="1343" spans="1:5" ht="12.75" x14ac:dyDescent="0.2">
      <c r="A1343" s="41" t="s">
        <v>1133</v>
      </c>
      <c r="B1343" s="40"/>
      <c r="C1343" s="40"/>
      <c r="D1343" s="40"/>
      <c r="E1343" s="40"/>
    </row>
    <row r="1344" spans="1:5" ht="12.75" x14ac:dyDescent="0.2">
      <c r="A1344" s="41" t="s">
        <v>1134</v>
      </c>
      <c r="B1344" s="40"/>
      <c r="C1344" s="40"/>
      <c r="D1344" s="40"/>
      <c r="E1344" s="40"/>
    </row>
    <row r="1345" spans="1:5" ht="12.75" x14ac:dyDescent="0.2">
      <c r="A1345" s="41" t="s">
        <v>1135</v>
      </c>
      <c r="B1345" s="40"/>
      <c r="C1345" s="40"/>
      <c r="D1345" s="40"/>
      <c r="E1345" s="40"/>
    </row>
    <row r="1346" spans="1:5" ht="12.75" x14ac:dyDescent="0.2">
      <c r="A1346" s="41" t="s">
        <v>1136</v>
      </c>
      <c r="B1346" s="40"/>
      <c r="C1346" s="40"/>
      <c r="D1346" s="40"/>
      <c r="E1346" s="40"/>
    </row>
    <row r="1347" spans="1:5" ht="12.75" x14ac:dyDescent="0.2">
      <c r="A1347" s="41" t="s">
        <v>1137</v>
      </c>
      <c r="B1347" s="40"/>
      <c r="C1347" s="40"/>
      <c r="D1347" s="40"/>
      <c r="E1347" s="40"/>
    </row>
    <row r="1348" spans="1:5" ht="12.75" x14ac:dyDescent="0.2">
      <c r="A1348" s="41" t="s">
        <v>1138</v>
      </c>
      <c r="B1348" s="41"/>
      <c r="C1348" s="40"/>
      <c r="D1348" s="40"/>
      <c r="E1348" s="40"/>
    </row>
    <row r="1349" spans="1:5" ht="12.75" x14ac:dyDescent="0.2">
      <c r="A1349" s="41" t="s">
        <v>1139</v>
      </c>
      <c r="B1349" s="40"/>
      <c r="C1349" s="40"/>
      <c r="D1349" s="40"/>
      <c r="E1349" s="40"/>
    </row>
    <row r="1350" spans="1:5" ht="12.75" x14ac:dyDescent="0.2">
      <c r="A1350" s="41" t="s">
        <v>1140</v>
      </c>
      <c r="B1350" s="40"/>
      <c r="C1350" s="40"/>
      <c r="D1350" s="40"/>
      <c r="E1350" s="40"/>
    </row>
    <row r="1351" spans="1:5" ht="12.75" x14ac:dyDescent="0.2">
      <c r="A1351" s="41"/>
      <c r="B1351" s="40"/>
      <c r="C1351" s="40"/>
      <c r="D1351" s="40"/>
      <c r="E1351" s="40"/>
    </row>
    <row r="1352" spans="1:5" ht="12.75" x14ac:dyDescent="0.2">
      <c r="A1352" s="38" t="s">
        <v>1141</v>
      </c>
      <c r="B1352" s="39"/>
      <c r="C1352" s="39"/>
      <c r="D1352" s="39"/>
      <c r="E1352" s="39"/>
    </row>
    <row r="1353" spans="1:5" ht="12.75" x14ac:dyDescent="0.2">
      <c r="A1353" s="41" t="s">
        <v>1142</v>
      </c>
      <c r="B1353" s="41" t="s">
        <v>402</v>
      </c>
      <c r="C1353" s="41" t="s">
        <v>1143</v>
      </c>
      <c r="D1353" s="40"/>
      <c r="E1353" s="40"/>
    </row>
    <row r="1354" spans="1:5" ht="12.75" x14ac:dyDescent="0.2">
      <c r="A1354" s="41" t="s">
        <v>1144</v>
      </c>
      <c r="B1354" s="41"/>
      <c r="C1354" s="40"/>
      <c r="D1354" s="40"/>
      <c r="E1354" s="40"/>
    </row>
    <row r="1355" spans="1:5" ht="12.75" x14ac:dyDescent="0.2">
      <c r="A1355" s="41" t="s">
        <v>1145</v>
      </c>
      <c r="B1355" s="40"/>
      <c r="C1355" s="40"/>
      <c r="D1355" s="40"/>
      <c r="E1355" s="40"/>
    </row>
    <row r="1356" spans="1:5" ht="12.75" x14ac:dyDescent="0.2">
      <c r="A1356" s="41" t="s">
        <v>1146</v>
      </c>
      <c r="B1356" s="40"/>
      <c r="C1356" s="40"/>
      <c r="D1356" s="40"/>
      <c r="E1356" s="40"/>
    </row>
    <row r="1357" spans="1:5" ht="12.75" x14ac:dyDescent="0.2">
      <c r="A1357" s="41" t="s">
        <v>1147</v>
      </c>
      <c r="B1357" s="40"/>
      <c r="C1357" s="40"/>
      <c r="D1357" s="40"/>
      <c r="E1357" s="40"/>
    </row>
    <row r="1358" spans="1:5" ht="12.75" x14ac:dyDescent="0.2">
      <c r="A1358" s="41" t="s">
        <v>1148</v>
      </c>
      <c r="B1358" s="40"/>
      <c r="C1358" s="40"/>
      <c r="D1358" s="40"/>
      <c r="E1358" s="40"/>
    </row>
    <row r="1359" spans="1:5" ht="12.75" x14ac:dyDescent="0.2">
      <c r="A1359" s="41" t="s">
        <v>1149</v>
      </c>
      <c r="B1359" s="40"/>
      <c r="C1359" s="40"/>
      <c r="D1359" s="40"/>
      <c r="E1359" s="40"/>
    </row>
    <row r="1360" spans="1:5" ht="12.75" x14ac:dyDescent="0.2">
      <c r="A1360" s="41" t="s">
        <v>1150</v>
      </c>
      <c r="B1360" s="41"/>
      <c r="C1360" s="40"/>
      <c r="D1360" s="40"/>
      <c r="E1360" s="40"/>
    </row>
    <row r="1361" spans="1:5" ht="12.75" x14ac:dyDescent="0.2">
      <c r="A1361" s="41"/>
      <c r="B1361" s="40"/>
      <c r="C1361" s="40"/>
      <c r="D1361" s="40"/>
      <c r="E1361" s="40"/>
    </row>
    <row r="1362" spans="1:5" ht="12.75" x14ac:dyDescent="0.2">
      <c r="A1362" s="38" t="s">
        <v>1151</v>
      </c>
      <c r="B1362" s="39"/>
      <c r="C1362" s="39"/>
      <c r="D1362" s="39"/>
      <c r="E1362" s="39"/>
    </row>
    <row r="1363" spans="1:5" ht="12.75" x14ac:dyDescent="0.2">
      <c r="A1363" s="41" t="s">
        <v>1152</v>
      </c>
      <c r="B1363" s="41" t="s">
        <v>402</v>
      </c>
      <c r="C1363" s="41" t="s">
        <v>1153</v>
      </c>
      <c r="D1363" s="40"/>
      <c r="E1363" s="40"/>
    </row>
    <row r="1364" spans="1:5" ht="12.75" x14ac:dyDescent="0.2">
      <c r="A1364" s="41" t="s">
        <v>1154</v>
      </c>
      <c r="B1364" s="40"/>
      <c r="C1364" s="40"/>
      <c r="D1364" s="40"/>
      <c r="E1364" s="40"/>
    </row>
    <row r="1365" spans="1:5" ht="12.75" x14ac:dyDescent="0.2">
      <c r="A1365" s="41" t="s">
        <v>1155</v>
      </c>
      <c r="B1365" s="41"/>
      <c r="C1365" s="40"/>
      <c r="D1365" s="40"/>
      <c r="E1365" s="40"/>
    </row>
    <row r="1366" spans="1:5" ht="12.75" x14ac:dyDescent="0.2">
      <c r="A1366" s="41" t="s">
        <v>1156</v>
      </c>
      <c r="B1366" s="40"/>
      <c r="C1366" s="40"/>
      <c r="D1366" s="40"/>
      <c r="E1366" s="40"/>
    </row>
    <row r="1367" spans="1:5" ht="12.75" x14ac:dyDescent="0.2">
      <c r="A1367" s="41" t="s">
        <v>1157</v>
      </c>
      <c r="B1367" s="40"/>
      <c r="C1367" s="40"/>
      <c r="D1367" s="40"/>
      <c r="E1367" s="40"/>
    </row>
    <row r="1368" spans="1:5" ht="12.75" x14ac:dyDescent="0.2">
      <c r="A1368" s="41" t="s">
        <v>1158</v>
      </c>
      <c r="B1368" s="40"/>
      <c r="C1368" s="40"/>
      <c r="D1368" s="40"/>
      <c r="E1368" s="40"/>
    </row>
    <row r="1369" spans="1:5" ht="12.75" x14ac:dyDescent="0.2">
      <c r="A1369" s="41" t="s">
        <v>1159</v>
      </c>
      <c r="B1369" s="40"/>
      <c r="C1369" s="40"/>
      <c r="D1369" s="40"/>
      <c r="E1369" s="40"/>
    </row>
    <row r="1370" spans="1:5" ht="12.75" x14ac:dyDescent="0.2">
      <c r="A1370" s="41" t="s">
        <v>1160</v>
      </c>
      <c r="B1370" s="40"/>
      <c r="C1370" s="40"/>
      <c r="D1370" s="40"/>
      <c r="E1370" s="40"/>
    </row>
    <row r="1371" spans="1:5" ht="12.75" x14ac:dyDescent="0.2">
      <c r="A1371" s="41"/>
      <c r="B1371" s="40"/>
      <c r="C1371" s="40"/>
      <c r="D1371" s="40"/>
      <c r="E1371" s="40"/>
    </row>
    <row r="1372" spans="1:5" ht="12.75" x14ac:dyDescent="0.2">
      <c r="A1372" s="38" t="s">
        <v>1161</v>
      </c>
      <c r="B1372" s="39"/>
      <c r="C1372" s="39"/>
      <c r="D1372" s="39"/>
      <c r="E1372" s="39"/>
    </row>
    <row r="1373" spans="1:5" ht="12.75" x14ac:dyDescent="0.2">
      <c r="A1373" s="41" t="s">
        <v>124</v>
      </c>
      <c r="B1373" s="41" t="s">
        <v>402</v>
      </c>
      <c r="C1373" s="41" t="s">
        <v>1162</v>
      </c>
      <c r="D1373" s="40"/>
      <c r="E1373" s="40"/>
    </row>
    <row r="1374" spans="1:5" ht="12.75" x14ac:dyDescent="0.2">
      <c r="A1374" s="41" t="s">
        <v>1163</v>
      </c>
      <c r="B1374" s="40"/>
      <c r="C1374" s="40"/>
      <c r="D1374" s="40"/>
      <c r="E1374" s="40"/>
    </row>
    <row r="1375" spans="1:5" ht="12.75" x14ac:dyDescent="0.2">
      <c r="A1375" s="41" t="s">
        <v>1164</v>
      </c>
      <c r="B1375" s="40"/>
      <c r="C1375" s="40"/>
      <c r="D1375" s="40"/>
      <c r="E1375" s="40"/>
    </row>
    <row r="1376" spans="1:5" ht="12.75" x14ac:dyDescent="0.2">
      <c r="A1376" s="41" t="s">
        <v>1165</v>
      </c>
      <c r="B1376" s="41"/>
      <c r="C1376" s="40"/>
      <c r="D1376" s="40"/>
      <c r="E1376" s="40"/>
    </row>
    <row r="1377" spans="1:5" ht="12.75" x14ac:dyDescent="0.2">
      <c r="A1377" s="41" t="s">
        <v>1166</v>
      </c>
      <c r="B1377" s="40"/>
      <c r="C1377" s="40"/>
      <c r="D1377" s="40"/>
      <c r="E1377" s="40"/>
    </row>
    <row r="1378" spans="1:5" ht="12.75" x14ac:dyDescent="0.2">
      <c r="A1378" s="41" t="s">
        <v>1167</v>
      </c>
      <c r="B1378" s="40"/>
      <c r="C1378" s="40"/>
      <c r="D1378" s="40"/>
      <c r="E1378" s="40"/>
    </row>
    <row r="1379" spans="1:5" ht="12.75" x14ac:dyDescent="0.2">
      <c r="A1379" s="41" t="s">
        <v>1168</v>
      </c>
      <c r="B1379" s="40"/>
      <c r="C1379" s="40"/>
      <c r="D1379" s="40"/>
      <c r="E1379" s="40"/>
    </row>
    <row r="1380" spans="1:5" ht="12.75" x14ac:dyDescent="0.2">
      <c r="A1380" s="41" t="s">
        <v>1169</v>
      </c>
      <c r="B1380" s="40"/>
      <c r="C1380" s="40"/>
      <c r="D1380" s="40"/>
      <c r="E1380" s="40"/>
    </row>
    <row r="1381" spans="1:5" ht="12.75" x14ac:dyDescent="0.2">
      <c r="A1381" s="41" t="s">
        <v>1170</v>
      </c>
      <c r="B1381" s="40"/>
      <c r="C1381" s="40"/>
      <c r="D1381" s="40"/>
      <c r="E1381" s="40"/>
    </row>
    <row r="1382" spans="1:5" ht="12.75" x14ac:dyDescent="0.2">
      <c r="A1382" s="41"/>
      <c r="B1382" s="40"/>
      <c r="C1382" s="40"/>
      <c r="D1382" s="40"/>
      <c r="E1382" s="40"/>
    </row>
    <row r="1383" spans="1:5" ht="12.75" x14ac:dyDescent="0.2">
      <c r="A1383" s="38" t="s">
        <v>1171</v>
      </c>
      <c r="B1383" s="39"/>
      <c r="C1383" s="39"/>
      <c r="D1383" s="39"/>
      <c r="E1383" s="39"/>
    </row>
    <row r="1384" spans="1:5" ht="12.75" x14ac:dyDescent="0.2">
      <c r="A1384" s="41" t="s">
        <v>1172</v>
      </c>
      <c r="B1384" s="41" t="s">
        <v>402</v>
      </c>
      <c r="C1384" s="41" t="s">
        <v>1173</v>
      </c>
      <c r="D1384" s="40"/>
      <c r="E1384" s="40"/>
    </row>
    <row r="1385" spans="1:5" ht="12.75" x14ac:dyDescent="0.2">
      <c r="A1385" s="41" t="s">
        <v>1174</v>
      </c>
      <c r="B1385" s="40"/>
      <c r="C1385" s="40"/>
      <c r="D1385" s="40"/>
      <c r="E1385" s="40"/>
    </row>
    <row r="1386" spans="1:5" ht="12.75" x14ac:dyDescent="0.2">
      <c r="A1386" s="41" t="s">
        <v>1175</v>
      </c>
      <c r="B1386" s="40"/>
      <c r="C1386" s="40"/>
      <c r="D1386" s="40"/>
      <c r="E1386" s="40"/>
    </row>
    <row r="1387" spans="1:5" ht="12.75" x14ac:dyDescent="0.2">
      <c r="A1387" s="41" t="s">
        <v>1176</v>
      </c>
      <c r="B1387" s="40"/>
      <c r="C1387" s="40"/>
      <c r="D1387" s="40"/>
      <c r="E1387" s="40"/>
    </row>
    <row r="1388" spans="1:5" ht="12.75" x14ac:dyDescent="0.2">
      <c r="A1388" s="41" t="s">
        <v>1177</v>
      </c>
      <c r="B1388" s="41"/>
      <c r="C1388" s="40"/>
      <c r="D1388" s="40"/>
      <c r="E1388" s="40"/>
    </row>
    <row r="1389" spans="1:5" ht="12.75" x14ac:dyDescent="0.2">
      <c r="A1389" s="41" t="s">
        <v>1178</v>
      </c>
      <c r="B1389" s="40"/>
      <c r="C1389" s="40"/>
      <c r="D1389" s="40"/>
      <c r="E1389" s="40"/>
    </row>
    <row r="1390" spans="1:5" ht="12.75" x14ac:dyDescent="0.2">
      <c r="A1390" s="41" t="s">
        <v>1179</v>
      </c>
      <c r="B1390" s="40"/>
      <c r="C1390" s="40"/>
      <c r="D1390" s="40"/>
      <c r="E1390" s="40"/>
    </row>
    <row r="1391" spans="1:5" ht="12.75" x14ac:dyDescent="0.2">
      <c r="A1391" s="41" t="s">
        <v>1180</v>
      </c>
      <c r="B1391" s="40"/>
      <c r="C1391" s="40"/>
      <c r="D1391" s="40"/>
      <c r="E1391" s="40"/>
    </row>
    <row r="1392" spans="1:5" ht="12.75" x14ac:dyDescent="0.2">
      <c r="A1392" s="41" t="s">
        <v>1181</v>
      </c>
      <c r="B1392" s="40"/>
      <c r="C1392" s="40"/>
      <c r="D1392" s="40"/>
      <c r="E1392" s="40"/>
    </row>
    <row r="1393" spans="1:5" ht="12.75" x14ac:dyDescent="0.2">
      <c r="A1393" s="41" t="s">
        <v>1182</v>
      </c>
      <c r="B1393" s="40"/>
      <c r="C1393" s="40"/>
      <c r="D1393" s="40"/>
      <c r="E1393" s="40"/>
    </row>
    <row r="1394" spans="1:5" ht="12.75" x14ac:dyDescent="0.2">
      <c r="A1394" s="41"/>
      <c r="B1394" s="40"/>
      <c r="C1394" s="40"/>
      <c r="D1394" s="40"/>
      <c r="E1394" s="40"/>
    </row>
    <row r="1395" spans="1:5" ht="12.75" x14ac:dyDescent="0.2">
      <c r="A1395" s="38" t="s">
        <v>1183</v>
      </c>
      <c r="B1395" s="39"/>
      <c r="C1395" s="39"/>
      <c r="D1395" s="39"/>
      <c r="E1395" s="39"/>
    </row>
    <row r="1396" spans="1:5" ht="12.75" x14ac:dyDescent="0.2">
      <c r="A1396" s="41" t="s">
        <v>1184</v>
      </c>
      <c r="B1396" s="41" t="s">
        <v>402</v>
      </c>
      <c r="C1396" s="41" t="s">
        <v>1185</v>
      </c>
      <c r="D1396" s="40"/>
      <c r="E1396" s="40"/>
    </row>
    <row r="1397" spans="1:5" ht="12.75" x14ac:dyDescent="0.2">
      <c r="A1397" s="41" t="s">
        <v>1186</v>
      </c>
      <c r="B1397" s="40"/>
      <c r="C1397" s="40"/>
      <c r="D1397" s="40"/>
      <c r="E1397" s="40"/>
    </row>
    <row r="1398" spans="1:5" ht="12.75" x14ac:dyDescent="0.2">
      <c r="A1398" s="41" t="s">
        <v>1187</v>
      </c>
      <c r="B1398" s="40"/>
      <c r="C1398" s="40"/>
      <c r="D1398" s="40"/>
      <c r="E1398" s="40"/>
    </row>
    <row r="1399" spans="1:5" ht="12.75" x14ac:dyDescent="0.2">
      <c r="A1399" s="41" t="s">
        <v>1188</v>
      </c>
      <c r="B1399" s="40"/>
      <c r="C1399" s="40"/>
      <c r="D1399" s="40"/>
      <c r="E1399" s="40"/>
    </row>
    <row r="1400" spans="1:5" ht="12.75" x14ac:dyDescent="0.2">
      <c r="A1400" s="41" t="s">
        <v>1189</v>
      </c>
      <c r="B1400" s="40"/>
      <c r="C1400" s="40"/>
      <c r="D1400" s="40"/>
      <c r="E1400" s="40"/>
    </row>
    <row r="1401" spans="1:5" ht="12.75" x14ac:dyDescent="0.2">
      <c r="A1401" s="41" t="s">
        <v>1190</v>
      </c>
      <c r="B1401" s="41"/>
      <c r="C1401" s="41"/>
      <c r="D1401" s="41"/>
      <c r="E1401" s="40"/>
    </row>
    <row r="1402" spans="1:5" ht="12.75" x14ac:dyDescent="0.2">
      <c r="A1402" s="41" t="s">
        <v>1191</v>
      </c>
      <c r="B1402" s="41"/>
      <c r="C1402" s="41"/>
      <c r="D1402" s="41"/>
      <c r="E1402" s="40"/>
    </row>
    <row r="1403" spans="1:5" ht="12.75" x14ac:dyDescent="0.2">
      <c r="A1403" s="41" t="s">
        <v>1192</v>
      </c>
      <c r="B1403" s="41"/>
      <c r="C1403" s="41"/>
      <c r="D1403" s="41"/>
      <c r="E1403" s="40"/>
    </row>
    <row r="1404" spans="1:5" ht="12.75" x14ac:dyDescent="0.2">
      <c r="A1404" s="41" t="s">
        <v>1193</v>
      </c>
      <c r="B1404" s="40"/>
      <c r="C1404" s="40"/>
      <c r="D1404" s="40"/>
      <c r="E1404" s="40"/>
    </row>
    <row r="1405" spans="1:5" ht="12.75" x14ac:dyDescent="0.2">
      <c r="A1405" s="41" t="s">
        <v>1194</v>
      </c>
      <c r="B1405" s="40"/>
      <c r="C1405" s="40"/>
      <c r="D1405" s="40"/>
      <c r="E1405" s="40"/>
    </row>
    <row r="1406" spans="1:5" ht="12.75" x14ac:dyDescent="0.2">
      <c r="A1406" s="41"/>
      <c r="B1406" s="41"/>
      <c r="C1406" s="40"/>
      <c r="D1406" s="40"/>
      <c r="E1406" s="40"/>
    </row>
    <row r="1407" spans="1:5" ht="12.75" x14ac:dyDescent="0.2">
      <c r="A1407" s="38" t="s">
        <v>1195</v>
      </c>
      <c r="B1407" s="39"/>
      <c r="C1407" s="39"/>
      <c r="D1407" s="39"/>
      <c r="E1407" s="39"/>
    </row>
    <row r="1408" spans="1:5" ht="12.75" x14ac:dyDescent="0.2">
      <c r="A1408" s="41" t="s">
        <v>1196</v>
      </c>
      <c r="B1408" s="41" t="s">
        <v>402</v>
      </c>
      <c r="C1408" s="41" t="s">
        <v>1197</v>
      </c>
      <c r="D1408" s="40"/>
      <c r="E1408" s="40"/>
    </row>
    <row r="1409" spans="1:5" ht="12.75" x14ac:dyDescent="0.2">
      <c r="A1409" s="41" t="s">
        <v>1198</v>
      </c>
      <c r="B1409" s="40"/>
      <c r="C1409" s="40"/>
      <c r="D1409" s="40"/>
      <c r="E1409" s="40"/>
    </row>
    <row r="1410" spans="1:5" ht="12.75" x14ac:dyDescent="0.2">
      <c r="A1410" s="41" t="s">
        <v>1199</v>
      </c>
      <c r="B1410" s="40"/>
      <c r="C1410" s="40"/>
      <c r="D1410" s="40"/>
      <c r="E1410" s="40"/>
    </row>
    <row r="1411" spans="1:5" ht="12.75" x14ac:dyDescent="0.2">
      <c r="A1411" s="41" t="s">
        <v>1200</v>
      </c>
      <c r="B1411" s="40"/>
      <c r="C1411" s="40"/>
      <c r="D1411" s="40"/>
      <c r="E1411" s="40"/>
    </row>
    <row r="1412" spans="1:5" ht="12.75" x14ac:dyDescent="0.2">
      <c r="A1412" s="41" t="s">
        <v>1201</v>
      </c>
      <c r="B1412" s="40"/>
      <c r="C1412" s="40"/>
      <c r="D1412" s="40"/>
      <c r="E1412" s="40"/>
    </row>
    <row r="1413" spans="1:5" ht="12.75" x14ac:dyDescent="0.2">
      <c r="A1413" s="41" t="s">
        <v>1202</v>
      </c>
      <c r="B1413" s="40"/>
      <c r="C1413" s="40"/>
      <c r="D1413" s="40"/>
      <c r="E1413" s="40"/>
    </row>
    <row r="1414" spans="1:5" ht="12.75" x14ac:dyDescent="0.2">
      <c r="A1414" s="41" t="s">
        <v>1203</v>
      </c>
      <c r="B1414" s="41"/>
      <c r="C1414" s="40"/>
      <c r="D1414" s="40"/>
      <c r="E1414" s="40"/>
    </row>
    <row r="1415" spans="1:5" ht="12.75" x14ac:dyDescent="0.2">
      <c r="A1415" s="41" t="s">
        <v>1204</v>
      </c>
      <c r="B1415" s="40"/>
      <c r="C1415" s="40"/>
      <c r="D1415" s="40"/>
      <c r="E1415" s="40"/>
    </row>
    <row r="1416" spans="1:5" ht="12.75" x14ac:dyDescent="0.2">
      <c r="A1416" s="41" t="s">
        <v>1205</v>
      </c>
      <c r="B1416" s="40"/>
      <c r="C1416" s="40"/>
      <c r="D1416" s="40"/>
      <c r="E1416" s="40"/>
    </row>
    <row r="1417" spans="1:5" ht="12.75" x14ac:dyDescent="0.2">
      <c r="A1417" s="41" t="s">
        <v>1206</v>
      </c>
      <c r="B1417" s="40"/>
      <c r="C1417" s="40"/>
      <c r="D1417" s="40"/>
      <c r="E1417" s="40"/>
    </row>
    <row r="1418" spans="1:5" ht="12.75" x14ac:dyDescent="0.2">
      <c r="A1418" s="41"/>
      <c r="B1418" s="41"/>
      <c r="C1418" s="40"/>
      <c r="D1418" s="40"/>
      <c r="E1418" s="40"/>
    </row>
    <row r="1419" spans="1:5" ht="12.75" x14ac:dyDescent="0.2">
      <c r="A1419" s="38" t="s">
        <v>1207</v>
      </c>
      <c r="B1419" s="39"/>
      <c r="C1419" s="39"/>
      <c r="D1419" s="39"/>
      <c r="E1419" s="39"/>
    </row>
    <row r="1420" spans="1:5" ht="38.25" x14ac:dyDescent="0.2">
      <c r="A1420" s="41" t="s">
        <v>1208</v>
      </c>
      <c r="B1420" s="41" t="s">
        <v>402</v>
      </c>
      <c r="C1420" s="41" t="s">
        <v>1209</v>
      </c>
      <c r="D1420" s="40"/>
      <c r="E1420" s="40"/>
    </row>
    <row r="1421" spans="1:5" ht="12.75" x14ac:dyDescent="0.2">
      <c r="A1421" s="41" t="s">
        <v>1210</v>
      </c>
      <c r="B1421" s="40"/>
      <c r="C1421" s="40"/>
      <c r="D1421" s="40"/>
      <c r="E1421" s="40"/>
    </row>
    <row r="1422" spans="1:5" ht="12.75" x14ac:dyDescent="0.2">
      <c r="A1422" s="41" t="s">
        <v>1211</v>
      </c>
      <c r="B1422" s="40"/>
      <c r="C1422" s="40"/>
      <c r="D1422" s="40"/>
      <c r="E1422" s="40"/>
    </row>
    <row r="1423" spans="1:5" ht="12.75" x14ac:dyDescent="0.2">
      <c r="A1423" s="41" t="s">
        <v>1212</v>
      </c>
      <c r="B1423" s="40"/>
      <c r="C1423" s="40"/>
      <c r="D1423" s="40"/>
      <c r="E1423" s="40"/>
    </row>
    <row r="1424" spans="1:5" ht="12.75" x14ac:dyDescent="0.2">
      <c r="A1424" s="41" t="s">
        <v>1213</v>
      </c>
      <c r="B1424" s="41"/>
      <c r="C1424" s="41"/>
      <c r="D1424" s="41"/>
      <c r="E1424" s="40"/>
    </row>
    <row r="1425" spans="1:5" ht="12.75" x14ac:dyDescent="0.2">
      <c r="A1425" s="41" t="s">
        <v>1214</v>
      </c>
      <c r="B1425" s="41"/>
      <c r="C1425" s="41"/>
      <c r="D1425" s="41"/>
      <c r="E1425" s="40"/>
    </row>
    <row r="1426" spans="1:5" ht="12.75" x14ac:dyDescent="0.2">
      <c r="A1426" s="41" t="s">
        <v>1215</v>
      </c>
      <c r="B1426" s="41"/>
      <c r="C1426" s="41"/>
      <c r="D1426" s="41"/>
      <c r="E1426" s="40"/>
    </row>
    <row r="1427" spans="1:5" ht="12.75" x14ac:dyDescent="0.2">
      <c r="A1427" s="41" t="s">
        <v>1216</v>
      </c>
      <c r="B1427" s="41"/>
      <c r="C1427" s="40"/>
      <c r="D1427" s="40"/>
      <c r="E1427" s="40"/>
    </row>
    <row r="1428" spans="1:5" ht="12.75" x14ac:dyDescent="0.2">
      <c r="A1428" s="41" t="s">
        <v>1217</v>
      </c>
      <c r="B1428" s="40"/>
      <c r="C1428" s="40"/>
      <c r="D1428" s="40"/>
      <c r="E1428" s="40"/>
    </row>
    <row r="1429" spans="1:5" ht="12.75" x14ac:dyDescent="0.2">
      <c r="A1429" s="41" t="s">
        <v>1218</v>
      </c>
      <c r="B1429" s="41"/>
      <c r="C1429" s="40"/>
      <c r="D1429" s="40"/>
      <c r="E1429" s="40"/>
    </row>
    <row r="1430" spans="1:5" ht="12.75" x14ac:dyDescent="0.2">
      <c r="A1430" s="41" t="s">
        <v>1219</v>
      </c>
      <c r="B1430" s="40"/>
      <c r="C1430" s="40"/>
      <c r="D1430" s="40"/>
      <c r="E1430" s="40"/>
    </row>
    <row r="1431" spans="1:5" ht="12.75" x14ac:dyDescent="0.2">
      <c r="A1431" s="41" t="s">
        <v>1220</v>
      </c>
      <c r="B1431" s="40"/>
      <c r="C1431" s="40"/>
      <c r="D1431" s="40"/>
      <c r="E1431" s="40"/>
    </row>
    <row r="1432" spans="1:5" ht="12.75" x14ac:dyDescent="0.2">
      <c r="A1432" s="41" t="s">
        <v>1221</v>
      </c>
      <c r="B1432" s="40"/>
      <c r="C1432" s="40"/>
      <c r="D1432" s="40"/>
      <c r="E1432" s="40"/>
    </row>
    <row r="1433" spans="1:5" ht="12.75" x14ac:dyDescent="0.2">
      <c r="A1433" s="41" t="s">
        <v>1222</v>
      </c>
      <c r="B1433" s="40"/>
      <c r="C1433" s="40"/>
      <c r="D1433" s="40"/>
      <c r="E1433" s="40"/>
    </row>
    <row r="1434" spans="1:5" ht="12.75" x14ac:dyDescent="0.2">
      <c r="A1434" s="41" t="s">
        <v>1223</v>
      </c>
      <c r="B1434" s="40"/>
      <c r="C1434" s="40"/>
      <c r="D1434" s="40"/>
      <c r="E1434" s="40"/>
    </row>
    <row r="1435" spans="1:5" ht="12.75" x14ac:dyDescent="0.2">
      <c r="A1435" s="41" t="s">
        <v>1224</v>
      </c>
      <c r="B1435" s="40"/>
      <c r="C1435" s="40"/>
      <c r="D1435" s="40"/>
      <c r="E1435" s="40"/>
    </row>
    <row r="1436" spans="1:5" ht="12.75" x14ac:dyDescent="0.2">
      <c r="A1436" s="41" t="s">
        <v>1225</v>
      </c>
      <c r="B1436" s="40"/>
      <c r="C1436" s="40"/>
      <c r="D1436" s="40"/>
      <c r="E1436" s="40"/>
    </row>
    <row r="1437" spans="1:5" ht="12.75" x14ac:dyDescent="0.2">
      <c r="A1437" s="41"/>
      <c r="B1437" s="41" t="s">
        <v>403</v>
      </c>
      <c r="C1437" s="41" t="s">
        <v>25</v>
      </c>
      <c r="D1437" s="41" t="s">
        <v>27</v>
      </c>
      <c r="E1437" s="40"/>
    </row>
    <row r="1438" spans="1:5" ht="12.75" x14ac:dyDescent="0.2">
      <c r="A1438" s="41"/>
      <c r="B1438" s="41" t="s">
        <v>403</v>
      </c>
      <c r="C1438" s="41" t="s">
        <v>30</v>
      </c>
      <c r="D1438" s="41" t="s">
        <v>31</v>
      </c>
      <c r="E1438" s="40"/>
    </row>
    <row r="1439" spans="1:5" ht="12.75" x14ac:dyDescent="0.2">
      <c r="A1439" s="41"/>
      <c r="B1439" s="41" t="s">
        <v>403</v>
      </c>
      <c r="C1439" s="41" t="s">
        <v>16</v>
      </c>
      <c r="D1439" s="41" t="s">
        <v>10</v>
      </c>
      <c r="E1439" s="40"/>
    </row>
    <row r="1440" spans="1:5" ht="12.75" x14ac:dyDescent="0.2">
      <c r="A1440" s="41"/>
      <c r="B1440" s="40"/>
      <c r="C1440" s="40"/>
      <c r="D1440" s="40"/>
      <c r="E1440" s="40"/>
    </row>
    <row r="1441" spans="1:5" ht="12.75" x14ac:dyDescent="0.2">
      <c r="A1441" s="38" t="s">
        <v>1226</v>
      </c>
      <c r="B1441" s="39"/>
      <c r="C1441" s="39"/>
      <c r="D1441" s="39"/>
      <c r="E1441" s="39"/>
    </row>
    <row r="1442" spans="1:5" ht="12.75" x14ac:dyDescent="0.2">
      <c r="A1442" s="41" t="s">
        <v>1227</v>
      </c>
      <c r="B1442" s="41" t="s">
        <v>402</v>
      </c>
      <c r="C1442" s="41" t="s">
        <v>1228</v>
      </c>
      <c r="D1442" s="40"/>
      <c r="E1442" s="40"/>
    </row>
    <row r="1443" spans="1:5" ht="12.75" x14ac:dyDescent="0.2">
      <c r="A1443" s="41" t="s">
        <v>1229</v>
      </c>
      <c r="B1443" s="40"/>
      <c r="C1443" s="40"/>
      <c r="D1443" s="40"/>
      <c r="E1443" s="40"/>
    </row>
    <row r="1444" spans="1:5" ht="12.75" x14ac:dyDescent="0.2">
      <c r="A1444" s="41" t="s">
        <v>1230</v>
      </c>
      <c r="B1444" s="41"/>
      <c r="C1444" s="41"/>
      <c r="D1444" s="41"/>
      <c r="E1444" s="40"/>
    </row>
    <row r="1445" spans="1:5" ht="12.75" x14ac:dyDescent="0.2">
      <c r="A1445" s="41" t="s">
        <v>1231</v>
      </c>
      <c r="B1445" s="41"/>
      <c r="C1445" s="41"/>
      <c r="D1445" s="41"/>
      <c r="E1445" s="40"/>
    </row>
    <row r="1446" spans="1:5" ht="12.75" x14ac:dyDescent="0.2">
      <c r="A1446" s="41" t="s">
        <v>1232</v>
      </c>
      <c r="B1446" s="41"/>
      <c r="C1446" s="41"/>
      <c r="D1446" s="41"/>
      <c r="E1446" s="40"/>
    </row>
    <row r="1447" spans="1:5" ht="12.75" x14ac:dyDescent="0.2">
      <c r="A1447" s="41" t="s">
        <v>1233</v>
      </c>
      <c r="B1447" s="40"/>
      <c r="C1447" s="40"/>
      <c r="D1447" s="40"/>
      <c r="E1447" s="40"/>
    </row>
    <row r="1448" spans="1:5" ht="12.75" x14ac:dyDescent="0.2">
      <c r="A1448" s="41" t="s">
        <v>1234</v>
      </c>
      <c r="B1448" s="40"/>
      <c r="C1448" s="40"/>
      <c r="D1448" s="40"/>
      <c r="E1448" s="40"/>
    </row>
    <row r="1449" spans="1:5" ht="12.75" x14ac:dyDescent="0.2">
      <c r="A1449" s="41" t="s">
        <v>1235</v>
      </c>
      <c r="B1449" s="41"/>
      <c r="C1449" s="40"/>
      <c r="D1449" s="40"/>
      <c r="E1449" s="40"/>
    </row>
    <row r="1450" spans="1:5" ht="12.75" x14ac:dyDescent="0.2">
      <c r="A1450" s="41" t="s">
        <v>1236</v>
      </c>
      <c r="B1450" s="40"/>
      <c r="C1450" s="40"/>
      <c r="D1450" s="40"/>
      <c r="E1450" s="40"/>
    </row>
    <row r="1451" spans="1:5" ht="12.75" x14ac:dyDescent="0.2">
      <c r="A1451" s="41" t="s">
        <v>1237</v>
      </c>
      <c r="B1451" s="40"/>
      <c r="C1451" s="40"/>
      <c r="D1451" s="40"/>
      <c r="E1451" s="40"/>
    </row>
    <row r="1452" spans="1:5" ht="12.75" x14ac:dyDescent="0.2">
      <c r="A1452" s="41"/>
      <c r="B1452" s="41"/>
      <c r="C1452" s="40"/>
      <c r="D1452" s="40"/>
      <c r="E1452" s="40"/>
    </row>
    <row r="1453" spans="1:5" ht="12.75" x14ac:dyDescent="0.2">
      <c r="A1453" s="38" t="s">
        <v>1238</v>
      </c>
      <c r="B1453" s="39"/>
      <c r="C1453" s="39"/>
      <c r="D1453" s="39"/>
      <c r="E1453" s="39"/>
    </row>
    <row r="1454" spans="1:5" ht="12.75" x14ac:dyDescent="0.2">
      <c r="A1454" s="41" t="s">
        <v>1239</v>
      </c>
      <c r="B1454" s="41" t="s">
        <v>402</v>
      </c>
      <c r="C1454" s="41" t="s">
        <v>1240</v>
      </c>
      <c r="D1454" s="40"/>
      <c r="E1454" s="40"/>
    </row>
    <row r="1455" spans="1:5" ht="12.75" x14ac:dyDescent="0.2">
      <c r="A1455" s="41" t="s">
        <v>1241</v>
      </c>
      <c r="B1455" s="40"/>
      <c r="C1455" s="40"/>
      <c r="D1455" s="40"/>
      <c r="E1455" s="40"/>
    </row>
    <row r="1456" spans="1:5" ht="12.75" x14ac:dyDescent="0.2">
      <c r="A1456" s="41" t="s">
        <v>1242</v>
      </c>
      <c r="B1456" s="40"/>
      <c r="C1456" s="40"/>
      <c r="D1456" s="40"/>
      <c r="E1456" s="40"/>
    </row>
    <row r="1457" spans="1:5" ht="12.75" x14ac:dyDescent="0.2">
      <c r="A1457" s="41" t="s">
        <v>1243</v>
      </c>
      <c r="B1457" s="40"/>
      <c r="C1457" s="40"/>
      <c r="D1457" s="40"/>
      <c r="E1457" s="40"/>
    </row>
    <row r="1458" spans="1:5" ht="12.75" x14ac:dyDescent="0.2">
      <c r="A1458" s="41" t="s">
        <v>1244</v>
      </c>
      <c r="B1458" s="40"/>
      <c r="C1458" s="40"/>
      <c r="D1458" s="40"/>
      <c r="E1458" s="40"/>
    </row>
    <row r="1459" spans="1:5" ht="12.75" x14ac:dyDescent="0.2">
      <c r="A1459" s="41" t="s">
        <v>1245</v>
      </c>
      <c r="B1459" s="40"/>
      <c r="C1459" s="40"/>
      <c r="D1459" s="40"/>
      <c r="E1459" s="40"/>
    </row>
    <row r="1460" spans="1:5" ht="12.75" x14ac:dyDescent="0.2">
      <c r="A1460" s="41"/>
      <c r="B1460" s="41" t="s">
        <v>403</v>
      </c>
      <c r="C1460" s="41" t="s">
        <v>25</v>
      </c>
      <c r="D1460" s="41" t="s">
        <v>27</v>
      </c>
      <c r="E1460" s="40"/>
    </row>
    <row r="1461" spans="1:5" ht="12.75" x14ac:dyDescent="0.2">
      <c r="A1461" s="41"/>
      <c r="B1461" s="41" t="s">
        <v>403</v>
      </c>
      <c r="C1461" s="41" t="s">
        <v>30</v>
      </c>
      <c r="D1461" s="41" t="s">
        <v>31</v>
      </c>
      <c r="E1461" s="40"/>
    </row>
    <row r="1462" spans="1:5" ht="12.75" x14ac:dyDescent="0.2">
      <c r="A1462" s="41"/>
      <c r="B1462" s="41" t="s">
        <v>403</v>
      </c>
      <c r="C1462" s="41" t="s">
        <v>41</v>
      </c>
      <c r="D1462" s="41" t="s">
        <v>10</v>
      </c>
      <c r="E1462" s="40"/>
    </row>
    <row r="1463" spans="1:5" ht="12.75" x14ac:dyDescent="0.2">
      <c r="A1463" s="41"/>
      <c r="B1463" s="40"/>
      <c r="C1463" s="40"/>
      <c r="D1463" s="40"/>
      <c r="E1463" s="40"/>
    </row>
    <row r="1464" spans="1:5" ht="12.75" x14ac:dyDescent="0.2">
      <c r="A1464" s="38" t="s">
        <v>1246</v>
      </c>
      <c r="B1464" s="39"/>
      <c r="C1464" s="39"/>
      <c r="D1464" s="39"/>
      <c r="E1464" s="39"/>
    </row>
    <row r="1465" spans="1:5" ht="12.75" x14ac:dyDescent="0.2">
      <c r="A1465" s="41" t="s">
        <v>1247</v>
      </c>
      <c r="B1465" s="41" t="s">
        <v>402</v>
      </c>
      <c r="C1465" s="41" t="s">
        <v>1248</v>
      </c>
      <c r="D1465" s="40"/>
      <c r="E1465" s="40"/>
    </row>
    <row r="1466" spans="1:5" ht="12.75" x14ac:dyDescent="0.2">
      <c r="A1466" s="41" t="s">
        <v>1249</v>
      </c>
      <c r="B1466" s="40"/>
      <c r="C1466" s="40"/>
      <c r="D1466" s="40"/>
      <c r="E1466" s="40"/>
    </row>
    <row r="1467" spans="1:5" ht="12.75" x14ac:dyDescent="0.2">
      <c r="A1467" s="41" t="s">
        <v>1250</v>
      </c>
      <c r="B1467" s="41"/>
      <c r="C1467" s="40"/>
      <c r="D1467" s="40"/>
      <c r="E1467" s="40"/>
    </row>
    <row r="1468" spans="1:5" ht="12.75" x14ac:dyDescent="0.2">
      <c r="A1468" s="41" t="s">
        <v>1251</v>
      </c>
      <c r="B1468" s="41"/>
      <c r="C1468" s="41"/>
      <c r="D1468" s="41"/>
      <c r="E1468" s="40"/>
    </row>
    <row r="1469" spans="1:5" ht="12.75" x14ac:dyDescent="0.2">
      <c r="A1469" s="41" t="s">
        <v>1252</v>
      </c>
      <c r="B1469" s="41"/>
      <c r="C1469" s="41"/>
      <c r="D1469" s="41"/>
      <c r="E1469" s="40"/>
    </row>
    <row r="1470" spans="1:5" ht="12.75" x14ac:dyDescent="0.2">
      <c r="A1470" s="41" t="s">
        <v>1253</v>
      </c>
      <c r="B1470" s="41"/>
      <c r="C1470" s="41"/>
      <c r="D1470" s="41"/>
      <c r="E1470" s="40"/>
    </row>
    <row r="1471" spans="1:5" ht="12.75" x14ac:dyDescent="0.2">
      <c r="A1471" s="41" t="s">
        <v>1254</v>
      </c>
      <c r="B1471" s="41"/>
      <c r="C1471" s="41"/>
      <c r="D1471" s="41"/>
      <c r="E1471" s="40"/>
    </row>
    <row r="1472" spans="1:5" ht="12.75" x14ac:dyDescent="0.2">
      <c r="A1472" s="41" t="s">
        <v>1255</v>
      </c>
      <c r="B1472" s="41"/>
      <c r="C1472" s="41"/>
      <c r="D1472" s="41"/>
      <c r="E1472" s="40"/>
    </row>
    <row r="1473" spans="1:5" ht="12.75" x14ac:dyDescent="0.2">
      <c r="A1473" s="41" t="s">
        <v>1256</v>
      </c>
      <c r="B1473" s="41"/>
      <c r="C1473" s="41"/>
      <c r="D1473" s="41"/>
      <c r="E1473" s="40"/>
    </row>
    <row r="1474" spans="1:5" ht="12.75" x14ac:dyDescent="0.2">
      <c r="A1474" s="41" t="s">
        <v>1257</v>
      </c>
      <c r="B1474" s="40"/>
      <c r="C1474" s="40"/>
      <c r="D1474" s="40"/>
      <c r="E1474" s="40"/>
    </row>
    <row r="1475" spans="1:5" ht="12.75" x14ac:dyDescent="0.2">
      <c r="A1475" s="41"/>
      <c r="B1475" s="40"/>
      <c r="C1475" s="40"/>
      <c r="D1475" s="40"/>
      <c r="E1475" s="40"/>
    </row>
    <row r="1476" spans="1:5" ht="12.75" x14ac:dyDescent="0.2">
      <c r="A1476" s="38" t="s">
        <v>1258</v>
      </c>
      <c r="B1476" s="39"/>
      <c r="C1476" s="39"/>
      <c r="D1476" s="39"/>
      <c r="E1476" s="39"/>
    </row>
    <row r="1477" spans="1:5" ht="12.75" x14ac:dyDescent="0.2">
      <c r="A1477" s="41" t="s">
        <v>1259</v>
      </c>
      <c r="B1477" s="41" t="s">
        <v>402</v>
      </c>
      <c r="C1477" s="41" t="s">
        <v>1260</v>
      </c>
      <c r="D1477" s="40"/>
      <c r="E1477" s="40"/>
    </row>
    <row r="1478" spans="1:5" ht="12.75" x14ac:dyDescent="0.2">
      <c r="A1478" s="41" t="s">
        <v>1261</v>
      </c>
      <c r="B1478" s="40"/>
      <c r="C1478" s="40"/>
      <c r="D1478" s="40"/>
      <c r="E1478" s="40"/>
    </row>
    <row r="1479" spans="1:5" ht="12.75" x14ac:dyDescent="0.2">
      <c r="A1479" s="41" t="s">
        <v>1262</v>
      </c>
      <c r="B1479" s="40"/>
      <c r="C1479" s="40"/>
      <c r="D1479" s="40"/>
      <c r="E1479" s="40"/>
    </row>
    <row r="1480" spans="1:5" ht="12.75" x14ac:dyDescent="0.2">
      <c r="A1480" s="41" t="s">
        <v>1263</v>
      </c>
      <c r="B1480" s="40"/>
      <c r="C1480" s="40"/>
      <c r="D1480" s="40"/>
      <c r="E1480" s="40"/>
    </row>
    <row r="1481" spans="1:5" ht="12.75" x14ac:dyDescent="0.2">
      <c r="A1481" s="41" t="s">
        <v>1264</v>
      </c>
      <c r="B1481" s="40"/>
      <c r="C1481" s="40"/>
      <c r="D1481" s="40"/>
      <c r="E1481" s="40"/>
    </row>
    <row r="1482" spans="1:5" ht="12.75" x14ac:dyDescent="0.2">
      <c r="A1482" s="41" t="s">
        <v>1265</v>
      </c>
      <c r="B1482" s="40"/>
      <c r="C1482" s="40"/>
      <c r="D1482" s="40"/>
      <c r="E1482" s="40"/>
    </row>
    <row r="1483" spans="1:5" ht="12.75" x14ac:dyDescent="0.2">
      <c r="A1483" s="41" t="s">
        <v>1267</v>
      </c>
      <c r="B1483" s="40"/>
      <c r="C1483" s="40"/>
      <c r="D1483" s="40"/>
      <c r="E1483" s="40"/>
    </row>
    <row r="1484" spans="1:5" ht="12.75" x14ac:dyDescent="0.2">
      <c r="A1484" s="41" t="s">
        <v>1268</v>
      </c>
      <c r="B1484" s="40"/>
      <c r="C1484" s="40"/>
      <c r="D1484" s="40"/>
      <c r="E1484" s="40"/>
    </row>
    <row r="1485" spans="1:5" ht="12.75" x14ac:dyDescent="0.2">
      <c r="A1485" s="41" t="s">
        <v>1269</v>
      </c>
      <c r="B1485" s="40"/>
      <c r="C1485" s="40"/>
      <c r="D1485" s="40"/>
      <c r="E1485" s="40"/>
    </row>
    <row r="1486" spans="1:5" ht="12.75" x14ac:dyDescent="0.2">
      <c r="A1486" s="41"/>
      <c r="B1486" s="41"/>
      <c r="C1486" s="41"/>
      <c r="D1486" s="41"/>
      <c r="E1486" s="40"/>
    </row>
    <row r="1487" spans="1:5" ht="12.75" x14ac:dyDescent="0.2">
      <c r="A1487" s="38" t="s">
        <v>1271</v>
      </c>
      <c r="B1487" s="39"/>
      <c r="C1487" s="39"/>
      <c r="D1487" s="39"/>
      <c r="E1487" s="39"/>
    </row>
    <row r="1488" spans="1:5" ht="12.75" x14ac:dyDescent="0.2">
      <c r="A1488" s="41" t="s">
        <v>1025</v>
      </c>
      <c r="B1488" s="41" t="s">
        <v>402</v>
      </c>
      <c r="C1488" s="41" t="s">
        <v>1275</v>
      </c>
      <c r="D1488" s="41"/>
      <c r="E1488" s="40"/>
    </row>
    <row r="1489" spans="1:5" ht="12.75" x14ac:dyDescent="0.2">
      <c r="A1489" s="41" t="s">
        <v>1277</v>
      </c>
      <c r="B1489" s="40"/>
      <c r="C1489" s="40"/>
      <c r="D1489" s="40"/>
      <c r="E1489" s="40"/>
    </row>
    <row r="1490" spans="1:5" ht="12.75" x14ac:dyDescent="0.2">
      <c r="A1490" s="41" t="s">
        <v>1278</v>
      </c>
      <c r="B1490" s="40"/>
      <c r="C1490" s="40"/>
      <c r="D1490" s="40"/>
      <c r="E1490" s="40"/>
    </row>
    <row r="1491" spans="1:5" ht="12.75" x14ac:dyDescent="0.2">
      <c r="A1491" s="41" t="s">
        <v>1279</v>
      </c>
      <c r="B1491" s="41"/>
      <c r="C1491" s="40"/>
      <c r="D1491" s="40"/>
      <c r="E1491" s="40"/>
    </row>
    <row r="1492" spans="1:5" ht="12.75" x14ac:dyDescent="0.2">
      <c r="A1492" s="41" t="s">
        <v>1281</v>
      </c>
      <c r="B1492" s="40"/>
      <c r="C1492" s="40"/>
      <c r="D1492" s="40"/>
      <c r="E1492" s="40"/>
    </row>
    <row r="1493" spans="1:5" ht="12.75" x14ac:dyDescent="0.2">
      <c r="A1493" s="41" t="s">
        <v>1282</v>
      </c>
      <c r="B1493" s="40"/>
      <c r="C1493" s="40"/>
      <c r="D1493" s="40"/>
      <c r="E1493" s="40"/>
    </row>
    <row r="1494" spans="1:5" ht="12.75" x14ac:dyDescent="0.2">
      <c r="A1494" s="41" t="s">
        <v>1283</v>
      </c>
      <c r="B1494" s="40"/>
      <c r="C1494" s="40"/>
      <c r="D1494" s="40"/>
      <c r="E1494" s="40"/>
    </row>
    <row r="1495" spans="1:5" ht="12.75" x14ac:dyDescent="0.2">
      <c r="A1495" s="41" t="s">
        <v>1284</v>
      </c>
      <c r="B1495" s="41"/>
      <c r="C1495" s="41"/>
      <c r="D1495" s="41"/>
      <c r="E1495" s="40"/>
    </row>
    <row r="1496" spans="1:5" ht="12.75" x14ac:dyDescent="0.2">
      <c r="A1496" s="41" t="s">
        <v>1019</v>
      </c>
      <c r="B1496" s="41"/>
      <c r="C1496" s="41"/>
      <c r="D1496" s="41"/>
      <c r="E1496" s="40"/>
    </row>
    <row r="1497" spans="1:5" ht="12.75" x14ac:dyDescent="0.2">
      <c r="A1497" s="41" t="s">
        <v>1285</v>
      </c>
      <c r="B1497" s="41"/>
      <c r="C1497" s="41"/>
      <c r="D1497" s="41"/>
      <c r="E1497" s="40"/>
    </row>
    <row r="1498" spans="1:5" ht="12.75" x14ac:dyDescent="0.2">
      <c r="A1498" s="41"/>
      <c r="B1498" s="41"/>
      <c r="C1498" s="40"/>
      <c r="D1498" s="40"/>
      <c r="E1498" s="40"/>
    </row>
    <row r="1499" spans="1:5" ht="12.75" x14ac:dyDescent="0.2">
      <c r="A1499" s="38" t="s">
        <v>1288</v>
      </c>
      <c r="B1499" s="39"/>
      <c r="C1499" s="39"/>
      <c r="D1499" s="39"/>
      <c r="E1499" s="39"/>
    </row>
    <row r="1500" spans="1:5" ht="12.75" x14ac:dyDescent="0.2">
      <c r="A1500" s="41" t="s">
        <v>1290</v>
      </c>
      <c r="B1500" s="41" t="s">
        <v>402</v>
      </c>
      <c r="C1500" s="41" t="s">
        <v>1292</v>
      </c>
      <c r="D1500" s="40"/>
      <c r="E1500" s="40"/>
    </row>
    <row r="1501" spans="1:5" ht="12.75" x14ac:dyDescent="0.2">
      <c r="A1501" s="41"/>
      <c r="B1501" s="40"/>
      <c r="C1501" s="40"/>
      <c r="D1501" s="40"/>
      <c r="E1501" s="40"/>
    </row>
    <row r="1502" spans="1:5" ht="12.75" x14ac:dyDescent="0.2">
      <c r="A1502" s="41" t="s">
        <v>1295</v>
      </c>
      <c r="B1502" s="40"/>
      <c r="C1502" s="40"/>
      <c r="D1502" s="40"/>
      <c r="E1502" s="40"/>
    </row>
    <row r="1503" spans="1:5" ht="12.75" x14ac:dyDescent="0.2">
      <c r="A1503" s="41" t="s">
        <v>1297</v>
      </c>
      <c r="B1503" s="41" t="s">
        <v>402</v>
      </c>
      <c r="C1503" s="41" t="s">
        <v>1298</v>
      </c>
      <c r="D1503" s="40"/>
      <c r="E1503" s="40"/>
    </row>
    <row r="1504" spans="1:5" ht="12.75" x14ac:dyDescent="0.2">
      <c r="A1504" s="41" t="s">
        <v>1299</v>
      </c>
      <c r="B1504" s="40"/>
      <c r="C1504" s="40"/>
      <c r="D1504" s="40"/>
      <c r="E1504" s="40"/>
    </row>
    <row r="1505" spans="1:5" ht="12.75" x14ac:dyDescent="0.2">
      <c r="A1505" s="41" t="s">
        <v>1300</v>
      </c>
      <c r="B1505" s="40"/>
      <c r="C1505" s="40"/>
      <c r="D1505" s="40"/>
      <c r="E1505" s="40"/>
    </row>
    <row r="1506" spans="1:5" ht="12.75" x14ac:dyDescent="0.2">
      <c r="A1506" s="41" t="s">
        <v>1301</v>
      </c>
      <c r="B1506" s="40"/>
      <c r="C1506" s="40"/>
      <c r="D1506" s="40"/>
      <c r="E1506" s="40"/>
    </row>
    <row r="1507" spans="1:5" ht="12.75" x14ac:dyDescent="0.2">
      <c r="A1507" s="41"/>
      <c r="B1507" s="41" t="s">
        <v>403</v>
      </c>
      <c r="C1507" s="41" t="s">
        <v>25</v>
      </c>
      <c r="D1507" s="41" t="s">
        <v>27</v>
      </c>
      <c r="E1507" s="40"/>
    </row>
    <row r="1508" spans="1:5" ht="12.75" x14ac:dyDescent="0.2">
      <c r="A1508" s="40"/>
      <c r="B1508" s="41" t="s">
        <v>403</v>
      </c>
      <c r="C1508" s="41" t="s">
        <v>30</v>
      </c>
      <c r="D1508" s="41" t="s">
        <v>31</v>
      </c>
      <c r="E1508" s="40"/>
    </row>
    <row r="1509" spans="1:5" ht="12.75" x14ac:dyDescent="0.2">
      <c r="A1509" s="40"/>
      <c r="B1509" s="41" t="s">
        <v>403</v>
      </c>
      <c r="C1509" s="41" t="s">
        <v>41</v>
      </c>
      <c r="D1509" s="41" t="s">
        <v>10</v>
      </c>
      <c r="E1509" s="40"/>
    </row>
    <row r="1510" spans="1:5" ht="12.75" x14ac:dyDescent="0.2">
      <c r="A1510" s="41"/>
      <c r="B1510" s="40"/>
      <c r="C1510" s="40"/>
      <c r="D1510" s="40"/>
      <c r="E1510" s="40"/>
    </row>
    <row r="1511" spans="1:5" ht="12.75" x14ac:dyDescent="0.2">
      <c r="A1511" s="38" t="s">
        <v>1302</v>
      </c>
      <c r="B1511" s="39"/>
      <c r="C1511" s="39"/>
      <c r="D1511" s="39"/>
      <c r="E1511" s="39"/>
    </row>
    <row r="1512" spans="1:5" ht="12.75" x14ac:dyDescent="0.2">
      <c r="A1512" s="41" t="s">
        <v>1303</v>
      </c>
      <c r="B1512" s="41" t="s">
        <v>402</v>
      </c>
      <c r="C1512" s="41" t="s">
        <v>1304</v>
      </c>
      <c r="D1512" s="40"/>
      <c r="E1512" s="40"/>
    </row>
    <row r="1513" spans="1:5" ht="12.75" x14ac:dyDescent="0.2">
      <c r="A1513" s="41" t="s">
        <v>1305</v>
      </c>
      <c r="B1513" s="40"/>
      <c r="C1513" s="40"/>
      <c r="D1513" s="40"/>
      <c r="E1513" s="40"/>
    </row>
    <row r="1514" spans="1:5" ht="12.75" x14ac:dyDescent="0.2">
      <c r="A1514" s="41" t="s">
        <v>1306</v>
      </c>
      <c r="B1514" s="40"/>
      <c r="C1514" s="40"/>
      <c r="D1514" s="40"/>
      <c r="E1514" s="40"/>
    </row>
    <row r="1515" spans="1:5" ht="12.75" x14ac:dyDescent="0.2">
      <c r="A1515" s="41" t="s">
        <v>1307</v>
      </c>
      <c r="B1515" s="41"/>
      <c r="C1515" s="40"/>
      <c r="D1515" s="40"/>
      <c r="E1515" s="40"/>
    </row>
    <row r="1516" spans="1:5" ht="12.75" x14ac:dyDescent="0.2">
      <c r="A1516" s="41" t="s">
        <v>1308</v>
      </c>
      <c r="B1516" s="40"/>
      <c r="C1516" s="40"/>
      <c r="D1516" s="40"/>
      <c r="E1516" s="40"/>
    </row>
    <row r="1517" spans="1:5" ht="12.75" x14ac:dyDescent="0.2">
      <c r="A1517" s="41" t="s">
        <v>1309</v>
      </c>
      <c r="B1517" s="40"/>
      <c r="C1517" s="40"/>
      <c r="D1517" s="40"/>
      <c r="E1517" s="40"/>
    </row>
    <row r="1518" spans="1:5" ht="12.75" x14ac:dyDescent="0.2">
      <c r="A1518" s="41" t="s">
        <v>1310</v>
      </c>
      <c r="B1518" s="40"/>
      <c r="C1518" s="40"/>
      <c r="D1518" s="40"/>
      <c r="E1518" s="40"/>
    </row>
    <row r="1519" spans="1:5" ht="12.75" x14ac:dyDescent="0.2">
      <c r="A1519" s="41" t="s">
        <v>1311</v>
      </c>
      <c r="B1519" s="41"/>
      <c r="C1519" s="41"/>
      <c r="D1519" s="41"/>
      <c r="E1519" s="40"/>
    </row>
    <row r="1520" spans="1:5" ht="12.75" x14ac:dyDescent="0.2">
      <c r="A1520" s="41" t="s">
        <v>1312</v>
      </c>
      <c r="B1520" s="41"/>
      <c r="C1520" s="41"/>
      <c r="D1520" s="41"/>
      <c r="E1520" s="40"/>
    </row>
    <row r="1521" spans="1:5" ht="12.75" x14ac:dyDescent="0.2">
      <c r="A1521" s="41" t="s">
        <v>1313</v>
      </c>
      <c r="B1521" s="41"/>
      <c r="C1521" s="41"/>
      <c r="D1521" s="41"/>
      <c r="E1521" s="40"/>
    </row>
    <row r="1522" spans="1:5" ht="12.75" x14ac:dyDescent="0.2">
      <c r="A1522" s="41"/>
      <c r="B1522" s="41" t="s">
        <v>403</v>
      </c>
      <c r="C1522" s="41" t="s">
        <v>25</v>
      </c>
      <c r="D1522" s="41" t="s">
        <v>27</v>
      </c>
      <c r="E1522" s="40"/>
    </row>
    <row r="1523" spans="1:5" ht="12.75" x14ac:dyDescent="0.2">
      <c r="A1523" s="41"/>
      <c r="B1523" s="41" t="s">
        <v>403</v>
      </c>
      <c r="C1523" s="41" t="s">
        <v>30</v>
      </c>
      <c r="D1523" s="41" t="s">
        <v>31</v>
      </c>
      <c r="E1523" s="40"/>
    </row>
    <row r="1524" spans="1:5" ht="12.75" x14ac:dyDescent="0.2">
      <c r="A1524" s="41"/>
      <c r="B1524" s="41" t="s">
        <v>403</v>
      </c>
      <c r="C1524" s="41" t="s">
        <v>41</v>
      </c>
      <c r="D1524" s="41" t="s">
        <v>10</v>
      </c>
      <c r="E1524" s="40"/>
    </row>
    <row r="1525" spans="1:5" ht="12.75" x14ac:dyDescent="0.2">
      <c r="A1525" s="41"/>
      <c r="B1525" s="40"/>
      <c r="C1525" s="40"/>
      <c r="D1525" s="40"/>
      <c r="E1525" s="40"/>
    </row>
    <row r="1526" spans="1:5" ht="12.75" x14ac:dyDescent="0.2">
      <c r="A1526" s="38" t="s">
        <v>1314</v>
      </c>
      <c r="B1526" s="39"/>
      <c r="C1526" s="39"/>
      <c r="D1526" s="39"/>
      <c r="E1526" s="39"/>
    </row>
    <row r="1527" spans="1:5" ht="12.75" x14ac:dyDescent="0.2">
      <c r="A1527" s="41" t="s">
        <v>1315</v>
      </c>
      <c r="B1527" s="41" t="s">
        <v>402</v>
      </c>
      <c r="C1527" s="41" t="s">
        <v>1316</v>
      </c>
      <c r="D1527" s="40"/>
      <c r="E1527" s="40"/>
    </row>
    <row r="1528" spans="1:5" ht="12.75" x14ac:dyDescent="0.2">
      <c r="A1528" s="41" t="s">
        <v>1317</v>
      </c>
      <c r="B1528" s="40"/>
      <c r="C1528" s="40"/>
      <c r="D1528" s="40"/>
      <c r="E1528" s="40"/>
    </row>
    <row r="1529" spans="1:5" ht="12.75" x14ac:dyDescent="0.2">
      <c r="A1529" s="41" t="s">
        <v>1318</v>
      </c>
      <c r="B1529" s="40"/>
      <c r="C1529" s="40"/>
      <c r="D1529" s="40"/>
      <c r="E1529" s="40"/>
    </row>
    <row r="1530" spans="1:5" ht="12.75" x14ac:dyDescent="0.2">
      <c r="A1530" s="41" t="s">
        <v>1319</v>
      </c>
      <c r="B1530" s="40"/>
      <c r="C1530" s="40"/>
      <c r="D1530" s="40"/>
      <c r="E1530" s="40"/>
    </row>
    <row r="1531" spans="1:5" ht="12.75" x14ac:dyDescent="0.2">
      <c r="A1531" s="41"/>
      <c r="B1531" s="41" t="s">
        <v>422</v>
      </c>
      <c r="C1531" s="41" t="s">
        <v>1320</v>
      </c>
      <c r="D1531" s="41" t="s">
        <v>805</v>
      </c>
      <c r="E1531" s="40"/>
    </row>
    <row r="1532" spans="1:5" ht="12.75" x14ac:dyDescent="0.2">
      <c r="A1532" s="41"/>
      <c r="B1532" s="41" t="s">
        <v>403</v>
      </c>
      <c r="C1532" s="41" t="s">
        <v>25</v>
      </c>
      <c r="D1532" s="41" t="s">
        <v>27</v>
      </c>
      <c r="E1532" s="40"/>
    </row>
    <row r="1533" spans="1:5" ht="12.75" x14ac:dyDescent="0.2">
      <c r="A1533" s="41"/>
      <c r="B1533" s="41" t="s">
        <v>403</v>
      </c>
      <c r="C1533" s="41" t="s">
        <v>30</v>
      </c>
      <c r="D1533" s="41" t="s">
        <v>31</v>
      </c>
      <c r="E1533" s="40"/>
    </row>
    <row r="1534" spans="1:5" ht="12.75" x14ac:dyDescent="0.2">
      <c r="A1534" s="41"/>
      <c r="B1534" s="41" t="s">
        <v>403</v>
      </c>
      <c r="C1534" s="41" t="s">
        <v>41</v>
      </c>
      <c r="D1534" s="41" t="s">
        <v>10</v>
      </c>
      <c r="E1534" s="40"/>
    </row>
    <row r="1535" spans="1:5" ht="12.75" x14ac:dyDescent="0.2">
      <c r="A1535" s="41"/>
      <c r="B1535" s="41"/>
      <c r="C1535" s="41"/>
      <c r="D1535" s="41"/>
      <c r="E1535" s="40"/>
    </row>
    <row r="1536" spans="1:5" ht="12.75" x14ac:dyDescent="0.2">
      <c r="A1536" s="38" t="s">
        <v>1321</v>
      </c>
      <c r="B1536" s="39"/>
      <c r="C1536" s="39"/>
      <c r="D1536" s="39"/>
      <c r="E1536" s="39"/>
    </row>
    <row r="1537" spans="1:5" ht="12.75" x14ac:dyDescent="0.2">
      <c r="A1537" s="41" t="s">
        <v>1317</v>
      </c>
      <c r="B1537" s="41" t="s">
        <v>402</v>
      </c>
      <c r="C1537" s="41" t="s">
        <v>1322</v>
      </c>
      <c r="D1537" s="40"/>
      <c r="E1537" s="40"/>
    </row>
    <row r="1538" spans="1:5" ht="12.75" x14ac:dyDescent="0.2">
      <c r="A1538" s="41" t="s">
        <v>1323</v>
      </c>
      <c r="B1538" s="40"/>
      <c r="C1538" s="40"/>
      <c r="D1538" s="40"/>
      <c r="E1538" s="40"/>
    </row>
    <row r="1539" spans="1:5" ht="12.75" x14ac:dyDescent="0.2">
      <c r="A1539" s="41" t="s">
        <v>1324</v>
      </c>
      <c r="B1539" s="41"/>
      <c r="C1539" s="40"/>
      <c r="D1539" s="40"/>
      <c r="E1539" s="40"/>
    </row>
    <row r="1540" spans="1:5" ht="12.75" x14ac:dyDescent="0.2">
      <c r="A1540" s="41" t="s">
        <v>1325</v>
      </c>
      <c r="B1540" s="40"/>
      <c r="C1540" s="40"/>
      <c r="D1540" s="40"/>
      <c r="E1540" s="40"/>
    </row>
    <row r="1541" spans="1:5" ht="12.75" x14ac:dyDescent="0.2">
      <c r="A1541" s="41" t="s">
        <v>1326</v>
      </c>
      <c r="B1541" s="40"/>
      <c r="C1541" s="40"/>
      <c r="D1541" s="40"/>
      <c r="E1541" s="40"/>
    </row>
    <row r="1542" spans="1:5" ht="12.75" x14ac:dyDescent="0.2">
      <c r="A1542" s="41" t="s">
        <v>1327</v>
      </c>
      <c r="B1542" s="41"/>
      <c r="C1542" s="40"/>
      <c r="D1542" s="40"/>
      <c r="E1542" s="40"/>
    </row>
    <row r="1543" spans="1:5" ht="12.75" x14ac:dyDescent="0.2">
      <c r="A1543" s="41" t="s">
        <v>1328</v>
      </c>
      <c r="B1543" s="41"/>
      <c r="C1543" s="41"/>
      <c r="D1543" s="41"/>
      <c r="E1543" s="40"/>
    </row>
    <row r="1544" spans="1:5" ht="12.75" x14ac:dyDescent="0.2">
      <c r="A1544" s="41"/>
      <c r="B1544" s="41" t="s">
        <v>403</v>
      </c>
      <c r="C1544" s="41" t="s">
        <v>25</v>
      </c>
      <c r="D1544" s="41" t="s">
        <v>27</v>
      </c>
      <c r="E1544" s="40"/>
    </row>
    <row r="1545" spans="1:5" ht="12.75" x14ac:dyDescent="0.2">
      <c r="A1545" s="41"/>
      <c r="B1545" s="41" t="s">
        <v>403</v>
      </c>
      <c r="C1545" s="41" t="s">
        <v>30</v>
      </c>
      <c r="D1545" s="41" t="s">
        <v>31</v>
      </c>
      <c r="E1545" s="40"/>
    </row>
    <row r="1546" spans="1:5" ht="12.75" x14ac:dyDescent="0.2">
      <c r="A1546" s="41"/>
      <c r="B1546" s="41" t="s">
        <v>403</v>
      </c>
      <c r="C1546" s="41" t="s">
        <v>41</v>
      </c>
      <c r="D1546" s="41" t="s">
        <v>10</v>
      </c>
      <c r="E1546" s="40"/>
    </row>
    <row r="1547" spans="1:5" ht="12.75" x14ac:dyDescent="0.2">
      <c r="A1547" s="41"/>
      <c r="B1547" s="40"/>
      <c r="C1547" s="40"/>
      <c r="D1547" s="40"/>
      <c r="E1547" s="40"/>
    </row>
    <row r="1548" spans="1:5" ht="12.75" x14ac:dyDescent="0.2">
      <c r="A1548" s="38" t="s">
        <v>1329</v>
      </c>
      <c r="B1548" s="39"/>
      <c r="C1548" s="39"/>
      <c r="D1548" s="39"/>
      <c r="E1548" s="39"/>
    </row>
    <row r="1549" spans="1:5" ht="12.75" x14ac:dyDescent="0.2">
      <c r="A1549" s="41" t="s">
        <v>1330</v>
      </c>
      <c r="B1549" s="41" t="s">
        <v>402</v>
      </c>
      <c r="C1549" s="41" t="s">
        <v>1331</v>
      </c>
      <c r="D1549" s="40"/>
      <c r="E1549" s="40"/>
    </row>
    <row r="1550" spans="1:5" ht="12.75" x14ac:dyDescent="0.2">
      <c r="A1550" s="41" t="s">
        <v>1332</v>
      </c>
      <c r="B1550" s="40"/>
      <c r="C1550" s="40"/>
      <c r="D1550" s="40"/>
      <c r="E1550" s="40"/>
    </row>
    <row r="1551" spans="1:5" ht="12.75" x14ac:dyDescent="0.2">
      <c r="A1551" s="41" t="s">
        <v>1333</v>
      </c>
      <c r="B1551" s="40"/>
      <c r="C1551" s="40"/>
      <c r="D1551" s="40"/>
      <c r="E1551" s="40"/>
    </row>
    <row r="1552" spans="1:5" ht="12.75" x14ac:dyDescent="0.2">
      <c r="A1552" s="41" t="s">
        <v>1334</v>
      </c>
      <c r="B1552" s="40"/>
      <c r="C1552" s="40"/>
      <c r="D1552" s="40"/>
      <c r="E1552" s="40"/>
    </row>
    <row r="1553" spans="1:5" ht="12.75" x14ac:dyDescent="0.2">
      <c r="A1553" s="41" t="s">
        <v>1335</v>
      </c>
      <c r="B1553" s="40"/>
      <c r="C1553" s="40"/>
      <c r="D1553" s="40"/>
      <c r="E1553" s="40"/>
    </row>
    <row r="1554" spans="1:5" ht="12.75" x14ac:dyDescent="0.2">
      <c r="A1554" s="41" t="s">
        <v>1336</v>
      </c>
      <c r="B1554" s="41"/>
      <c r="C1554" s="40"/>
      <c r="D1554" s="40"/>
      <c r="E1554" s="40"/>
    </row>
    <row r="1555" spans="1:5" ht="12.75" x14ac:dyDescent="0.2">
      <c r="A1555" s="41" t="s">
        <v>1337</v>
      </c>
      <c r="B1555" s="41"/>
      <c r="C1555" s="41"/>
      <c r="D1555" s="41"/>
      <c r="E1555" s="40"/>
    </row>
    <row r="1556" spans="1:5" ht="12.75" x14ac:dyDescent="0.2">
      <c r="A1556" s="41"/>
      <c r="B1556" s="41"/>
      <c r="C1556" s="41"/>
      <c r="D1556" s="41"/>
      <c r="E1556" s="40"/>
    </row>
    <row r="1557" spans="1:5" ht="12.75" x14ac:dyDescent="0.2">
      <c r="A1557" s="38" t="s">
        <v>1338</v>
      </c>
      <c r="B1557" s="39"/>
      <c r="C1557" s="39"/>
      <c r="D1557" s="39"/>
      <c r="E1557" s="39"/>
    </row>
    <row r="1558" spans="1:5" ht="12.75" x14ac:dyDescent="0.2">
      <c r="A1558" s="41" t="s">
        <v>1339</v>
      </c>
      <c r="B1558" s="41" t="s">
        <v>402</v>
      </c>
      <c r="C1558" s="41" t="s">
        <v>1340</v>
      </c>
      <c r="D1558" s="40"/>
      <c r="E1558" s="40"/>
    </row>
    <row r="1559" spans="1:5" ht="12.75" x14ac:dyDescent="0.2">
      <c r="A1559" s="41" t="s">
        <v>1341</v>
      </c>
      <c r="B1559" s="40"/>
      <c r="C1559" s="40"/>
      <c r="D1559" s="40"/>
      <c r="E1559" s="40"/>
    </row>
    <row r="1560" spans="1:5" ht="12.75" x14ac:dyDescent="0.2">
      <c r="A1560" s="41" t="s">
        <v>1342</v>
      </c>
      <c r="B1560" s="41"/>
      <c r="C1560" s="40"/>
      <c r="D1560" s="40"/>
      <c r="E1560" s="40"/>
    </row>
    <row r="1561" spans="1:5" ht="12.75" x14ac:dyDescent="0.2">
      <c r="A1561" s="41" t="s">
        <v>1343</v>
      </c>
      <c r="B1561" s="40"/>
      <c r="C1561" s="40"/>
      <c r="D1561" s="40"/>
      <c r="E1561" s="40"/>
    </row>
    <row r="1562" spans="1:5" ht="12.75" x14ac:dyDescent="0.2">
      <c r="A1562" s="41" t="s">
        <v>1344</v>
      </c>
      <c r="B1562" s="40"/>
      <c r="C1562" s="40"/>
      <c r="D1562" s="40"/>
      <c r="E1562" s="40"/>
    </row>
    <row r="1563" spans="1:5" ht="12.75" x14ac:dyDescent="0.2">
      <c r="A1563" s="41" t="s">
        <v>1345</v>
      </c>
      <c r="B1563" s="40"/>
      <c r="C1563" s="40"/>
      <c r="D1563" s="40"/>
      <c r="E1563" s="40"/>
    </row>
    <row r="1564" spans="1:5" ht="12.75" x14ac:dyDescent="0.2">
      <c r="A1564" s="41" t="s">
        <v>1346</v>
      </c>
      <c r="B1564" s="40"/>
      <c r="C1564" s="40"/>
      <c r="D1564" s="40"/>
      <c r="E1564" s="40"/>
    </row>
    <row r="1565" spans="1:5" ht="12.75" x14ac:dyDescent="0.2">
      <c r="A1565" s="41" t="s">
        <v>1347</v>
      </c>
      <c r="B1565" s="40"/>
      <c r="C1565" s="40"/>
      <c r="D1565" s="40"/>
      <c r="E1565" s="40"/>
    </row>
    <row r="1566" spans="1:5" ht="12.75" x14ac:dyDescent="0.2">
      <c r="A1566" s="41" t="s">
        <v>1348</v>
      </c>
      <c r="B1566" s="40"/>
      <c r="C1566" s="40"/>
      <c r="D1566" s="40"/>
      <c r="E1566" s="40"/>
    </row>
    <row r="1567" spans="1:5" ht="12.75" x14ac:dyDescent="0.2">
      <c r="A1567" s="41" t="s">
        <v>1349</v>
      </c>
      <c r="B1567" s="40"/>
      <c r="C1567" s="40"/>
      <c r="D1567" s="40"/>
      <c r="E1567" s="40"/>
    </row>
    <row r="1568" spans="1:5" ht="12.75" x14ac:dyDescent="0.2">
      <c r="A1568" s="41"/>
      <c r="B1568" s="40"/>
      <c r="C1568" s="40"/>
      <c r="D1568" s="40"/>
      <c r="E1568" s="40"/>
    </row>
    <row r="1569" spans="1:5" ht="12.75" x14ac:dyDescent="0.2">
      <c r="A1569" s="38" t="s">
        <v>1350</v>
      </c>
      <c r="B1569" s="39"/>
      <c r="C1569" s="39"/>
      <c r="D1569" s="39"/>
      <c r="E1569" s="39"/>
    </row>
    <row r="1570" spans="1:5" ht="12.75" x14ac:dyDescent="0.2">
      <c r="A1570" s="41" t="s">
        <v>1351</v>
      </c>
      <c r="B1570" s="41" t="s">
        <v>402</v>
      </c>
      <c r="C1570" s="41" t="s">
        <v>1352</v>
      </c>
      <c r="D1570" s="40"/>
      <c r="E1570" s="40"/>
    </row>
    <row r="1571" spans="1:5" ht="12.75" x14ac:dyDescent="0.2">
      <c r="A1571" s="41" t="s">
        <v>1353</v>
      </c>
      <c r="B1571" s="40"/>
      <c r="C1571" s="40"/>
      <c r="D1571" s="40"/>
      <c r="E1571" s="40"/>
    </row>
    <row r="1572" spans="1:5" ht="12.75" x14ac:dyDescent="0.2">
      <c r="A1572" s="41" t="s">
        <v>1354</v>
      </c>
      <c r="B1572" s="41"/>
      <c r="C1572" s="40"/>
      <c r="D1572" s="40"/>
      <c r="E1572" s="40"/>
    </row>
    <row r="1573" spans="1:5" ht="12.75" x14ac:dyDescent="0.2">
      <c r="A1573" s="41" t="s">
        <v>1355</v>
      </c>
      <c r="B1573" s="40"/>
      <c r="C1573" s="40"/>
      <c r="D1573" s="40"/>
      <c r="E1573" s="40"/>
    </row>
    <row r="1574" spans="1:5" ht="12.75" x14ac:dyDescent="0.2">
      <c r="A1574" s="41" t="s">
        <v>1356</v>
      </c>
      <c r="B1574" s="40"/>
      <c r="C1574" s="40"/>
      <c r="D1574" s="40"/>
      <c r="E1574" s="40"/>
    </row>
    <row r="1575" spans="1:5" ht="12.75" x14ac:dyDescent="0.2">
      <c r="A1575" s="41" t="s">
        <v>1357</v>
      </c>
      <c r="B1575" s="40"/>
      <c r="C1575" s="40"/>
      <c r="D1575" s="40"/>
      <c r="E1575" s="40"/>
    </row>
    <row r="1576" spans="1:5" ht="12.75" x14ac:dyDescent="0.2">
      <c r="A1576" s="41" t="s">
        <v>1358</v>
      </c>
      <c r="B1576" s="40"/>
      <c r="C1576" s="40"/>
      <c r="D1576" s="40"/>
      <c r="E1576" s="40"/>
    </row>
    <row r="1577" spans="1:5" ht="12.75" x14ac:dyDescent="0.2">
      <c r="A1577" s="41"/>
      <c r="B1577" s="40"/>
      <c r="C1577" s="40"/>
      <c r="D1577" s="40"/>
      <c r="E1577" s="40"/>
    </row>
    <row r="1578" spans="1:5" ht="12.75" x14ac:dyDescent="0.2">
      <c r="A1578" s="38" t="s">
        <v>1359</v>
      </c>
      <c r="B1578" s="39"/>
      <c r="C1578" s="39"/>
      <c r="D1578" s="39"/>
      <c r="E1578" s="39"/>
    </row>
    <row r="1579" spans="1:5" ht="12.75" x14ac:dyDescent="0.2">
      <c r="A1579" s="41" t="s">
        <v>1360</v>
      </c>
      <c r="B1579" s="41" t="s">
        <v>402</v>
      </c>
      <c r="C1579" s="41" t="s">
        <v>1361</v>
      </c>
      <c r="D1579" s="40"/>
      <c r="E1579" s="40"/>
    </row>
    <row r="1580" spans="1:5" ht="12.75" x14ac:dyDescent="0.2">
      <c r="A1580" s="41" t="s">
        <v>1362</v>
      </c>
      <c r="B1580" s="40"/>
      <c r="C1580" s="40"/>
      <c r="D1580" s="40"/>
      <c r="E1580" s="40"/>
    </row>
    <row r="1581" spans="1:5" ht="12.75" x14ac:dyDescent="0.2">
      <c r="A1581" s="41" t="s">
        <v>1363</v>
      </c>
      <c r="B1581" s="40"/>
      <c r="C1581" s="40"/>
      <c r="D1581" s="40"/>
      <c r="E1581" s="40"/>
    </row>
    <row r="1582" spans="1:5" ht="12.75" x14ac:dyDescent="0.2">
      <c r="A1582" s="41" t="s">
        <v>1364</v>
      </c>
      <c r="B1582" s="41"/>
      <c r="C1582" s="40"/>
      <c r="D1582" s="40"/>
      <c r="E1582" s="40"/>
    </row>
    <row r="1583" spans="1:5" ht="12.75" x14ac:dyDescent="0.2">
      <c r="A1583" s="41" t="s">
        <v>1365</v>
      </c>
      <c r="B1583" s="41"/>
      <c r="C1583" s="40"/>
      <c r="D1583" s="40"/>
      <c r="E1583" s="40"/>
    </row>
    <row r="1584" spans="1:5" ht="12.75" x14ac:dyDescent="0.2">
      <c r="A1584" s="41" t="s">
        <v>1366</v>
      </c>
      <c r="B1584" s="40"/>
      <c r="C1584" s="40"/>
      <c r="D1584" s="40"/>
      <c r="E1584" s="40"/>
    </row>
    <row r="1585" spans="1:5" ht="12.75" x14ac:dyDescent="0.2">
      <c r="A1585" s="41" t="s">
        <v>1367</v>
      </c>
      <c r="B1585" s="40"/>
      <c r="C1585" s="40"/>
      <c r="D1585" s="40"/>
      <c r="E1585" s="40"/>
    </row>
    <row r="1586" spans="1:5" ht="12.75" x14ac:dyDescent="0.2">
      <c r="A1586" s="41" t="s">
        <v>1368</v>
      </c>
      <c r="B1586" s="40"/>
      <c r="C1586" s="40"/>
      <c r="D1586" s="40"/>
      <c r="E1586" s="40"/>
    </row>
    <row r="1587" spans="1:5" ht="12.75" x14ac:dyDescent="0.2">
      <c r="A1587" s="41" t="s">
        <v>1369</v>
      </c>
      <c r="B1587" s="40"/>
      <c r="C1587" s="40"/>
      <c r="D1587" s="40"/>
      <c r="E1587" s="40"/>
    </row>
    <row r="1588" spans="1:5" ht="12.75" x14ac:dyDescent="0.2">
      <c r="A1588" s="41" t="s">
        <v>1370</v>
      </c>
      <c r="B1588" s="40"/>
      <c r="C1588" s="40"/>
      <c r="D1588" s="40"/>
      <c r="E1588" s="40"/>
    </row>
    <row r="1589" spans="1:5" ht="12.75" x14ac:dyDescent="0.2">
      <c r="A1589" s="41"/>
      <c r="B1589" s="40"/>
      <c r="C1589" s="40"/>
      <c r="D1589" s="40"/>
      <c r="E1589" s="40"/>
    </row>
    <row r="1590" spans="1:5" ht="12.75" x14ac:dyDescent="0.2">
      <c r="A1590" s="38" t="s">
        <v>1371</v>
      </c>
      <c r="B1590" s="39"/>
      <c r="C1590" s="39"/>
      <c r="D1590" s="39"/>
      <c r="E1590" s="39"/>
    </row>
    <row r="1591" spans="1:5" ht="12.75" x14ac:dyDescent="0.2">
      <c r="A1591" s="41" t="s">
        <v>1372</v>
      </c>
      <c r="B1591" s="41" t="s">
        <v>402</v>
      </c>
      <c r="C1591" s="41" t="s">
        <v>1373</v>
      </c>
      <c r="D1591" s="40"/>
      <c r="E1591" s="40"/>
    </row>
    <row r="1592" spans="1:5" ht="12.75" x14ac:dyDescent="0.2">
      <c r="A1592" s="41" t="s">
        <v>1374</v>
      </c>
      <c r="B1592" s="40"/>
      <c r="C1592" s="40"/>
      <c r="D1592" s="40"/>
      <c r="E1592" s="40"/>
    </row>
    <row r="1593" spans="1:5" ht="12.75" x14ac:dyDescent="0.2">
      <c r="A1593" s="41" t="s">
        <v>1375</v>
      </c>
      <c r="B1593" s="41"/>
      <c r="C1593" s="40"/>
      <c r="D1593" s="40"/>
      <c r="E1593" s="40"/>
    </row>
    <row r="1594" spans="1:5" ht="12.75" x14ac:dyDescent="0.2">
      <c r="A1594" s="41" t="s">
        <v>1376</v>
      </c>
      <c r="B1594" s="40"/>
      <c r="C1594" s="40"/>
      <c r="D1594" s="40"/>
      <c r="E1594" s="40"/>
    </row>
    <row r="1595" spans="1:5" ht="12.75" x14ac:dyDescent="0.2">
      <c r="A1595" s="41"/>
      <c r="B1595" s="40"/>
      <c r="C1595" s="40"/>
      <c r="D1595" s="40"/>
      <c r="E1595" s="40"/>
    </row>
    <row r="1596" spans="1:5" ht="12.75" x14ac:dyDescent="0.2">
      <c r="A1596" s="38" t="s">
        <v>1377</v>
      </c>
      <c r="B1596" s="39"/>
      <c r="C1596" s="39"/>
      <c r="D1596" s="39"/>
      <c r="E1596" s="39"/>
    </row>
    <row r="1597" spans="1:5" ht="12.75" x14ac:dyDescent="0.2">
      <c r="A1597" s="41" t="s">
        <v>1378</v>
      </c>
      <c r="B1597" s="41" t="s">
        <v>402</v>
      </c>
      <c r="C1597" s="41" t="s">
        <v>1379</v>
      </c>
      <c r="D1597" s="40"/>
      <c r="E1597" s="40"/>
    </row>
    <row r="1598" spans="1:5" ht="12.75" x14ac:dyDescent="0.2">
      <c r="A1598" s="41" t="s">
        <v>1380</v>
      </c>
      <c r="B1598" s="40"/>
      <c r="C1598" s="40"/>
      <c r="D1598" s="40"/>
      <c r="E1598" s="40"/>
    </row>
    <row r="1599" spans="1:5" ht="12.75" x14ac:dyDescent="0.2">
      <c r="A1599" s="41" t="s">
        <v>1381</v>
      </c>
      <c r="B1599" s="40"/>
      <c r="C1599" s="40"/>
      <c r="D1599" s="40"/>
      <c r="E1599" s="40"/>
    </row>
    <row r="1600" spans="1:5" ht="12.75" x14ac:dyDescent="0.2">
      <c r="A1600" s="41" t="s">
        <v>1382</v>
      </c>
      <c r="B1600" s="40"/>
      <c r="C1600" s="40"/>
      <c r="D1600" s="40"/>
      <c r="E1600" s="40"/>
    </row>
    <row r="1601" spans="1:5" ht="12.75" x14ac:dyDescent="0.2">
      <c r="A1601" s="41" t="s">
        <v>1383</v>
      </c>
      <c r="B1601" s="40"/>
      <c r="C1601" s="40"/>
      <c r="D1601" s="40"/>
      <c r="E1601" s="40"/>
    </row>
    <row r="1602" spans="1:5" ht="12.75" x14ac:dyDescent="0.2">
      <c r="A1602" s="41" t="s">
        <v>1384</v>
      </c>
      <c r="B1602" s="41"/>
      <c r="C1602" s="40"/>
      <c r="D1602" s="40"/>
      <c r="E1602" s="40"/>
    </row>
    <row r="1603" spans="1:5" ht="12.75" x14ac:dyDescent="0.2">
      <c r="A1603" s="41" t="s">
        <v>951</v>
      </c>
      <c r="B1603" s="40"/>
      <c r="C1603" s="40"/>
      <c r="D1603" s="40"/>
      <c r="E1603" s="40"/>
    </row>
    <row r="1604" spans="1:5" ht="12.75" x14ac:dyDescent="0.2">
      <c r="A1604" s="41" t="s">
        <v>1385</v>
      </c>
      <c r="B1604" s="40"/>
      <c r="C1604" s="40"/>
      <c r="D1604" s="40"/>
      <c r="E1604" s="40"/>
    </row>
    <row r="1605" spans="1:5" ht="12.75" x14ac:dyDescent="0.2">
      <c r="A1605" s="41" t="s">
        <v>1386</v>
      </c>
      <c r="B1605" s="40"/>
      <c r="C1605" s="40"/>
      <c r="D1605" s="40"/>
      <c r="E1605" s="40"/>
    </row>
    <row r="1606" spans="1:5" ht="12.75" x14ac:dyDescent="0.2">
      <c r="A1606" s="41" t="s">
        <v>1387</v>
      </c>
      <c r="B1606" s="41"/>
      <c r="C1606" s="40"/>
      <c r="D1606" s="40"/>
      <c r="E1606" s="40"/>
    </row>
    <row r="1607" spans="1:5" ht="12.75" x14ac:dyDescent="0.2">
      <c r="A1607" s="41"/>
      <c r="B1607" s="40"/>
      <c r="C1607" s="40"/>
      <c r="D1607" s="40"/>
      <c r="E1607" s="40"/>
    </row>
    <row r="1608" spans="1:5" ht="12.75" x14ac:dyDescent="0.2">
      <c r="A1608" s="38" t="s">
        <v>1388</v>
      </c>
      <c r="B1608" s="39"/>
      <c r="C1608" s="39"/>
      <c r="D1608" s="39"/>
      <c r="E1608" s="39"/>
    </row>
    <row r="1609" spans="1:5" ht="12.75" x14ac:dyDescent="0.2">
      <c r="A1609" s="41" t="s">
        <v>1389</v>
      </c>
      <c r="B1609" s="41" t="s">
        <v>402</v>
      </c>
      <c r="C1609" s="41" t="s">
        <v>1390</v>
      </c>
      <c r="D1609" s="40"/>
      <c r="E1609" s="40"/>
    </row>
    <row r="1610" spans="1:5" ht="12.75" x14ac:dyDescent="0.2">
      <c r="A1610" s="41" t="s">
        <v>1391</v>
      </c>
      <c r="B1610" s="40"/>
      <c r="C1610" s="40"/>
      <c r="D1610" s="40"/>
      <c r="E1610" s="40"/>
    </row>
    <row r="1611" spans="1:5" ht="12.75" x14ac:dyDescent="0.2">
      <c r="A1611" s="41" t="s">
        <v>1392</v>
      </c>
      <c r="B1611" s="40"/>
      <c r="C1611" s="40"/>
      <c r="D1611" s="40"/>
      <c r="E1611" s="40"/>
    </row>
    <row r="1612" spans="1:5" ht="12.75" x14ac:dyDescent="0.2">
      <c r="A1612" s="41" t="s">
        <v>1393</v>
      </c>
      <c r="B1612" s="40"/>
      <c r="C1612" s="40"/>
      <c r="D1612" s="40"/>
      <c r="E1612" s="40"/>
    </row>
    <row r="1613" spans="1:5" ht="12.75" x14ac:dyDescent="0.2">
      <c r="A1613" s="41" t="s">
        <v>1394</v>
      </c>
      <c r="B1613" s="41"/>
      <c r="C1613" s="40"/>
      <c r="D1613" s="40"/>
      <c r="E1613" s="40"/>
    </row>
    <row r="1614" spans="1:5" ht="12.75" x14ac:dyDescent="0.2">
      <c r="A1614" s="41" t="s">
        <v>1395</v>
      </c>
      <c r="B1614" s="40"/>
      <c r="C1614" s="40"/>
      <c r="D1614" s="40"/>
      <c r="E1614" s="40"/>
    </row>
    <row r="1615" spans="1:5" ht="12.75" x14ac:dyDescent="0.2">
      <c r="A1615" s="41" t="s">
        <v>1396</v>
      </c>
      <c r="B1615" s="40"/>
      <c r="C1615" s="40"/>
      <c r="D1615" s="40"/>
      <c r="E1615" s="40"/>
    </row>
    <row r="1616" spans="1:5" ht="12.75" x14ac:dyDescent="0.2">
      <c r="A1616" s="41" t="s">
        <v>1397</v>
      </c>
      <c r="B1616" s="40"/>
      <c r="C1616" s="40"/>
      <c r="D1616" s="40"/>
      <c r="E1616" s="40"/>
    </row>
    <row r="1617" spans="1:5" ht="12.75" x14ac:dyDescent="0.2">
      <c r="A1617" s="41"/>
      <c r="B1617" s="40"/>
      <c r="C1617" s="40"/>
      <c r="D1617" s="40"/>
      <c r="E1617" s="40"/>
    </row>
    <row r="1618" spans="1:5" ht="12.75" x14ac:dyDescent="0.2">
      <c r="A1618" s="38" t="s">
        <v>1398</v>
      </c>
      <c r="B1618" s="39"/>
      <c r="C1618" s="39"/>
      <c r="D1618" s="39"/>
      <c r="E1618" s="39"/>
    </row>
    <row r="1619" spans="1:5" ht="12.75" x14ac:dyDescent="0.2">
      <c r="A1619" s="41" t="s">
        <v>1399</v>
      </c>
      <c r="B1619" s="41" t="s">
        <v>402</v>
      </c>
      <c r="C1619" s="41" t="s">
        <v>1400</v>
      </c>
      <c r="D1619" s="40"/>
      <c r="E1619" s="40"/>
    </row>
    <row r="1620" spans="1:5" ht="12.75" x14ac:dyDescent="0.2">
      <c r="A1620" s="41" t="s">
        <v>1401</v>
      </c>
      <c r="B1620" s="41"/>
      <c r="C1620" s="40"/>
      <c r="D1620" s="40"/>
      <c r="E1620" s="40"/>
    </row>
    <row r="1621" spans="1:5" ht="12.75" x14ac:dyDescent="0.2">
      <c r="A1621" s="41" t="s">
        <v>319</v>
      </c>
      <c r="B1621" s="40"/>
      <c r="C1621" s="40"/>
      <c r="D1621" s="40"/>
      <c r="E1621" s="40"/>
    </row>
    <row r="1622" spans="1:5" ht="12.75" x14ac:dyDescent="0.2">
      <c r="A1622" s="41" t="s">
        <v>1402</v>
      </c>
      <c r="B1622" s="40"/>
      <c r="C1622" s="40"/>
      <c r="D1622" s="40"/>
      <c r="E1622" s="40"/>
    </row>
    <row r="1623" spans="1:5" ht="12.75" x14ac:dyDescent="0.2">
      <c r="A1623" s="41" t="s">
        <v>333</v>
      </c>
      <c r="B1623" s="40"/>
      <c r="C1623" s="40"/>
      <c r="D1623" s="40"/>
      <c r="E1623" s="40"/>
    </row>
    <row r="1624" spans="1:5" ht="12.75" x14ac:dyDescent="0.2">
      <c r="A1624" s="41" t="s">
        <v>1403</v>
      </c>
      <c r="B1624" s="41"/>
      <c r="C1624" s="40"/>
      <c r="D1624" s="40"/>
      <c r="E1624" s="40"/>
    </row>
    <row r="1625" spans="1:5" ht="12.75" x14ac:dyDescent="0.2">
      <c r="A1625" s="41" t="s">
        <v>1404</v>
      </c>
      <c r="B1625" s="40"/>
      <c r="C1625" s="40"/>
      <c r="D1625" s="40"/>
      <c r="E1625" s="40"/>
    </row>
    <row r="1626" spans="1:5" ht="12.75" x14ac:dyDescent="0.2">
      <c r="A1626" s="41" t="s">
        <v>327</v>
      </c>
      <c r="B1626" s="41"/>
      <c r="C1626" s="40"/>
      <c r="D1626" s="40"/>
      <c r="E1626" s="40"/>
    </row>
    <row r="1627" spans="1:5" ht="12.75" x14ac:dyDescent="0.2">
      <c r="A1627" s="41" t="s">
        <v>1405</v>
      </c>
      <c r="B1627" s="40"/>
      <c r="C1627" s="40"/>
      <c r="D1627" s="40"/>
      <c r="E1627" s="40"/>
    </row>
    <row r="1628" spans="1:5" ht="12.75" x14ac:dyDescent="0.2">
      <c r="A1628" s="41"/>
      <c r="B1628" s="40"/>
      <c r="C1628" s="40"/>
      <c r="D1628" s="40"/>
      <c r="E1628" s="40"/>
    </row>
    <row r="1629" spans="1:5" ht="12.75" x14ac:dyDescent="0.2">
      <c r="A1629" s="38" t="s">
        <v>1406</v>
      </c>
      <c r="B1629" s="39"/>
      <c r="C1629" s="39"/>
      <c r="D1629" s="39"/>
      <c r="E1629" s="39"/>
    </row>
    <row r="1630" spans="1:5" ht="12.75" x14ac:dyDescent="0.2">
      <c r="A1630" s="41" t="s">
        <v>1407</v>
      </c>
      <c r="B1630" s="41" t="s">
        <v>402</v>
      </c>
      <c r="C1630" s="41" t="s">
        <v>1408</v>
      </c>
      <c r="D1630" s="40"/>
      <c r="E1630" s="40"/>
    </row>
    <row r="1631" spans="1:5" ht="12.75" x14ac:dyDescent="0.2">
      <c r="A1631" s="41" t="s">
        <v>1409</v>
      </c>
      <c r="B1631" s="40"/>
      <c r="C1631" s="40"/>
      <c r="D1631" s="40"/>
      <c r="E1631" s="40"/>
    </row>
    <row r="1632" spans="1:5" ht="12.75" x14ac:dyDescent="0.2">
      <c r="A1632" s="41" t="s">
        <v>1410</v>
      </c>
      <c r="B1632" s="40"/>
      <c r="C1632" s="40"/>
      <c r="D1632" s="40"/>
      <c r="E1632" s="40"/>
    </row>
    <row r="1633" spans="1:5" ht="12.75" x14ac:dyDescent="0.2">
      <c r="A1633" s="41" t="s">
        <v>1411</v>
      </c>
      <c r="B1633" s="40"/>
      <c r="C1633" s="40"/>
      <c r="D1633" s="40"/>
      <c r="E1633" s="40"/>
    </row>
    <row r="1634" spans="1:5" ht="12.75" x14ac:dyDescent="0.2">
      <c r="A1634" s="41" t="s">
        <v>1412</v>
      </c>
      <c r="B1634" s="40"/>
      <c r="C1634" s="40"/>
      <c r="D1634" s="40"/>
      <c r="E1634" s="40"/>
    </row>
    <row r="1635" spans="1:5" ht="12.75" x14ac:dyDescent="0.2">
      <c r="A1635" s="41" t="s">
        <v>1413</v>
      </c>
      <c r="B1635" s="40"/>
      <c r="C1635" s="40"/>
      <c r="D1635" s="40"/>
      <c r="E1635" s="40"/>
    </row>
    <row r="1636" spans="1:5" ht="12.75" x14ac:dyDescent="0.2">
      <c r="A1636" s="41" t="s">
        <v>1414</v>
      </c>
      <c r="B1636" s="40"/>
      <c r="C1636" s="40"/>
      <c r="D1636" s="40"/>
      <c r="E1636" s="40"/>
    </row>
    <row r="1637" spans="1:5" ht="12.75" x14ac:dyDescent="0.2">
      <c r="A1637" s="41"/>
      <c r="B1637" s="41"/>
      <c r="C1637" s="40"/>
      <c r="D1637" s="40"/>
      <c r="E1637" s="40"/>
    </row>
    <row r="1638" spans="1:5" ht="12.75" x14ac:dyDescent="0.2">
      <c r="A1638" s="38" t="s">
        <v>1415</v>
      </c>
      <c r="B1638" s="39"/>
      <c r="C1638" s="39"/>
      <c r="D1638" s="39"/>
      <c r="E1638" s="39"/>
    </row>
    <row r="1639" spans="1:5" ht="12.75" x14ac:dyDescent="0.2">
      <c r="A1639" s="41" t="s">
        <v>1416</v>
      </c>
      <c r="B1639" s="41" t="s">
        <v>402</v>
      </c>
      <c r="C1639" s="41" t="s">
        <v>1417</v>
      </c>
      <c r="D1639" s="40"/>
      <c r="E1639" s="40"/>
    </row>
    <row r="1640" spans="1:5" ht="12.75" x14ac:dyDescent="0.2">
      <c r="A1640" s="41" t="s">
        <v>1418</v>
      </c>
      <c r="B1640" s="40"/>
      <c r="C1640" s="40"/>
      <c r="D1640" s="40"/>
      <c r="E1640" s="40"/>
    </row>
    <row r="1641" spans="1:5" ht="12.75" x14ac:dyDescent="0.2">
      <c r="A1641" s="41" t="s">
        <v>1419</v>
      </c>
      <c r="B1641" s="40"/>
      <c r="C1641" s="40"/>
      <c r="D1641" s="40"/>
      <c r="E1641" s="40"/>
    </row>
    <row r="1642" spans="1:5" ht="12.75" x14ac:dyDescent="0.2">
      <c r="A1642" s="41" t="s">
        <v>1420</v>
      </c>
      <c r="B1642" s="40"/>
      <c r="C1642" s="40"/>
      <c r="D1642" s="40"/>
      <c r="E1642" s="40"/>
    </row>
    <row r="1643" spans="1:5" ht="12.75" x14ac:dyDescent="0.2">
      <c r="A1643" s="41" t="s">
        <v>1421</v>
      </c>
      <c r="B1643" s="40"/>
      <c r="C1643" s="40"/>
      <c r="D1643" s="40"/>
      <c r="E1643" s="40"/>
    </row>
    <row r="1644" spans="1:5" ht="12.75" x14ac:dyDescent="0.2">
      <c r="A1644" s="41" t="s">
        <v>1422</v>
      </c>
      <c r="B1644" s="40"/>
      <c r="C1644" s="40"/>
      <c r="D1644" s="40"/>
      <c r="E1644" s="40"/>
    </row>
    <row r="1645" spans="1:5" ht="12.75" x14ac:dyDescent="0.2">
      <c r="A1645" s="41" t="s">
        <v>1423</v>
      </c>
      <c r="B1645" s="40"/>
      <c r="C1645" s="40"/>
      <c r="D1645" s="40"/>
      <c r="E1645" s="40"/>
    </row>
    <row r="1646" spans="1:5" ht="12.75" x14ac:dyDescent="0.2">
      <c r="A1646" s="41" t="s">
        <v>1424</v>
      </c>
      <c r="B1646" s="40"/>
      <c r="C1646" s="40"/>
      <c r="D1646" s="40"/>
      <c r="E1646" s="40"/>
    </row>
    <row r="1647" spans="1:5" ht="12.75" x14ac:dyDescent="0.2">
      <c r="A1647" s="41" t="s">
        <v>1425</v>
      </c>
      <c r="B1647" s="40"/>
      <c r="C1647" s="40"/>
      <c r="D1647" s="40"/>
      <c r="E1647" s="40"/>
    </row>
    <row r="1648" spans="1:5" ht="12.75" x14ac:dyDescent="0.2">
      <c r="A1648" s="41"/>
      <c r="B1648" s="40"/>
      <c r="C1648" s="40"/>
      <c r="D1648" s="40"/>
      <c r="E1648" s="40"/>
    </row>
    <row r="1649" spans="1:5" ht="12.75" x14ac:dyDescent="0.2">
      <c r="A1649" s="38" t="s">
        <v>1426</v>
      </c>
      <c r="B1649" s="39"/>
      <c r="C1649" s="39"/>
      <c r="D1649" s="39"/>
      <c r="E1649" s="39"/>
    </row>
    <row r="1650" spans="1:5" ht="12.75" x14ac:dyDescent="0.2">
      <c r="A1650" s="41" t="s">
        <v>1427</v>
      </c>
      <c r="B1650" s="41" t="s">
        <v>402</v>
      </c>
      <c r="C1650" s="41" t="s">
        <v>1428</v>
      </c>
      <c r="D1650" s="40"/>
      <c r="E1650" s="40"/>
    </row>
    <row r="1651" spans="1:5" ht="12.75" x14ac:dyDescent="0.2">
      <c r="A1651" s="41" t="s">
        <v>1429</v>
      </c>
      <c r="B1651" s="40"/>
      <c r="C1651" s="40"/>
      <c r="D1651" s="40"/>
      <c r="E1651" s="40"/>
    </row>
    <row r="1652" spans="1:5" ht="12.75" x14ac:dyDescent="0.2">
      <c r="A1652" s="41" t="s">
        <v>1430</v>
      </c>
      <c r="B1652" s="40"/>
      <c r="C1652" s="40"/>
      <c r="D1652" s="40"/>
      <c r="E1652" s="40"/>
    </row>
    <row r="1653" spans="1:5" ht="12.75" x14ac:dyDescent="0.2">
      <c r="A1653" s="41" t="s">
        <v>1431</v>
      </c>
      <c r="B1653" s="40"/>
      <c r="C1653" s="40"/>
      <c r="D1653" s="40"/>
      <c r="E1653" s="40"/>
    </row>
    <row r="1654" spans="1:5" ht="12.75" x14ac:dyDescent="0.2">
      <c r="A1654" s="41" t="s">
        <v>1432</v>
      </c>
      <c r="B1654" s="40"/>
      <c r="C1654" s="40"/>
      <c r="D1654" s="40"/>
      <c r="E1654" s="40"/>
    </row>
    <row r="1655" spans="1:5" ht="12.75" x14ac:dyDescent="0.2">
      <c r="A1655" s="41"/>
      <c r="B1655" s="40"/>
      <c r="C1655" s="40"/>
      <c r="D1655" s="40"/>
      <c r="E1655" s="40"/>
    </row>
    <row r="1656" spans="1:5" ht="12.75" x14ac:dyDescent="0.2">
      <c r="A1656" s="38" t="s">
        <v>1433</v>
      </c>
      <c r="B1656" s="39"/>
      <c r="C1656" s="39"/>
      <c r="D1656" s="39"/>
      <c r="E1656" s="39"/>
    </row>
    <row r="1657" spans="1:5" ht="12.75" x14ac:dyDescent="0.2">
      <c r="A1657" s="41" t="s">
        <v>1434</v>
      </c>
      <c r="B1657" s="41" t="s">
        <v>402</v>
      </c>
      <c r="C1657" s="41" t="s">
        <v>1435</v>
      </c>
      <c r="D1657" s="40"/>
      <c r="E1657" s="40"/>
    </row>
    <row r="1658" spans="1:5" ht="12.75" x14ac:dyDescent="0.2">
      <c r="A1658" s="41" t="s">
        <v>1436</v>
      </c>
      <c r="B1658" s="40"/>
      <c r="C1658" s="40"/>
      <c r="D1658" s="40"/>
      <c r="E1658" s="40"/>
    </row>
    <row r="1659" spans="1:5" ht="12.75" x14ac:dyDescent="0.2">
      <c r="A1659" s="41"/>
      <c r="B1659" s="41"/>
      <c r="C1659" s="40"/>
      <c r="D1659" s="40"/>
      <c r="E1659" s="40"/>
    </row>
    <row r="1660" spans="1:5" ht="12.75" x14ac:dyDescent="0.2">
      <c r="A1660" s="38" t="s">
        <v>1437</v>
      </c>
      <c r="B1660" s="39"/>
      <c r="C1660" s="39"/>
      <c r="D1660" s="39"/>
      <c r="E1660" s="39"/>
    </row>
    <row r="1661" spans="1:5" ht="12.75" x14ac:dyDescent="0.2">
      <c r="A1661" s="41" t="s">
        <v>1438</v>
      </c>
      <c r="B1661" s="41" t="s">
        <v>402</v>
      </c>
      <c r="C1661" s="41" t="s">
        <v>1439</v>
      </c>
      <c r="D1661" s="40"/>
      <c r="E1661" s="40"/>
    </row>
    <row r="1662" spans="1:5" ht="12.75" x14ac:dyDescent="0.2">
      <c r="A1662" s="41" t="s">
        <v>1440</v>
      </c>
      <c r="B1662" s="40"/>
      <c r="C1662" s="40"/>
      <c r="D1662" s="40"/>
      <c r="E1662" s="40"/>
    </row>
    <row r="1663" spans="1:5" ht="12.75" x14ac:dyDescent="0.2">
      <c r="A1663" s="41" t="s">
        <v>1441</v>
      </c>
      <c r="B1663" s="40"/>
      <c r="C1663" s="40"/>
      <c r="D1663" s="40"/>
      <c r="E1663" s="40"/>
    </row>
    <row r="1664" spans="1:5" ht="12.75" x14ac:dyDescent="0.2">
      <c r="A1664" s="41" t="s">
        <v>1442</v>
      </c>
      <c r="B1664" s="40"/>
      <c r="C1664" s="40"/>
      <c r="D1664" s="40"/>
      <c r="E1664" s="40"/>
    </row>
    <row r="1665" spans="1:5" ht="12.75" x14ac:dyDescent="0.2">
      <c r="A1665" s="41"/>
      <c r="B1665" s="40"/>
      <c r="C1665" s="40"/>
      <c r="D1665" s="40"/>
      <c r="E1665" s="40"/>
    </row>
    <row r="1666" spans="1:5" ht="12.75" x14ac:dyDescent="0.2">
      <c r="A1666" s="38" t="s">
        <v>1443</v>
      </c>
      <c r="B1666" s="39"/>
      <c r="C1666" s="39"/>
      <c r="D1666" s="39"/>
      <c r="E1666" s="39"/>
    </row>
    <row r="1667" spans="1:5" ht="12.75" x14ac:dyDescent="0.2">
      <c r="A1667" s="41" t="s">
        <v>1444</v>
      </c>
      <c r="B1667" s="41" t="s">
        <v>402</v>
      </c>
      <c r="C1667" s="41" t="s">
        <v>1445</v>
      </c>
      <c r="D1667" s="40"/>
      <c r="E1667" s="40"/>
    </row>
    <row r="1668" spans="1:5" ht="12.75" x14ac:dyDescent="0.2">
      <c r="A1668" s="41" t="s">
        <v>1446</v>
      </c>
      <c r="B1668" s="40"/>
      <c r="C1668" s="40"/>
      <c r="D1668" s="40"/>
      <c r="E1668" s="40"/>
    </row>
    <row r="1669" spans="1:5" ht="12.75" x14ac:dyDescent="0.2">
      <c r="A1669" s="41" t="s">
        <v>1447</v>
      </c>
      <c r="B1669" s="40"/>
      <c r="C1669" s="40"/>
      <c r="D1669" s="40"/>
      <c r="E1669" s="40"/>
    </row>
    <row r="1670" spans="1:5" ht="12.75" x14ac:dyDescent="0.2">
      <c r="A1670" s="41" t="s">
        <v>1448</v>
      </c>
      <c r="B1670" s="41"/>
      <c r="C1670" s="41"/>
      <c r="D1670" s="41"/>
      <c r="E1670" s="40"/>
    </row>
    <row r="1671" spans="1:5" ht="12.75" x14ac:dyDescent="0.2">
      <c r="A1671" s="41" t="s">
        <v>1449</v>
      </c>
      <c r="B1671" s="41"/>
      <c r="C1671" s="40"/>
      <c r="D1671" s="40"/>
      <c r="E1671" s="40"/>
    </row>
    <row r="1672" spans="1:5" ht="12.75" x14ac:dyDescent="0.2">
      <c r="A1672" s="41" t="s">
        <v>1450</v>
      </c>
      <c r="B1672" s="40"/>
      <c r="C1672" s="40"/>
      <c r="D1672" s="40"/>
      <c r="E1672" s="40"/>
    </row>
    <row r="1673" spans="1:5" ht="12.75" x14ac:dyDescent="0.2">
      <c r="A1673" s="41" t="s">
        <v>1451</v>
      </c>
      <c r="B1673" s="41"/>
      <c r="C1673" s="40"/>
      <c r="D1673" s="40"/>
      <c r="E1673" s="40"/>
    </row>
    <row r="1674" spans="1:5" ht="12.75" x14ac:dyDescent="0.2">
      <c r="A1674" s="41"/>
      <c r="B1674" s="40"/>
      <c r="C1674" s="40"/>
      <c r="D1674" s="40"/>
      <c r="E1674" s="40"/>
    </row>
    <row r="1675" spans="1:5" ht="12.75" x14ac:dyDescent="0.2">
      <c r="A1675" s="38" t="s">
        <v>1452</v>
      </c>
      <c r="B1675" s="39"/>
      <c r="C1675" s="39"/>
      <c r="D1675" s="39"/>
      <c r="E1675" s="39"/>
    </row>
    <row r="1676" spans="1:5" ht="12.75" x14ac:dyDescent="0.2">
      <c r="A1676" s="41" t="s">
        <v>1453</v>
      </c>
      <c r="B1676" s="41" t="s">
        <v>402</v>
      </c>
      <c r="C1676" s="41" t="s">
        <v>1454</v>
      </c>
      <c r="D1676" s="40"/>
      <c r="E1676" s="40"/>
    </row>
    <row r="1677" spans="1:5" ht="12.75" x14ac:dyDescent="0.2">
      <c r="A1677" s="41" t="s">
        <v>1455</v>
      </c>
      <c r="B1677" s="40"/>
      <c r="C1677" s="40"/>
      <c r="D1677" s="40"/>
      <c r="E1677" s="40"/>
    </row>
    <row r="1678" spans="1:5" ht="12.75" x14ac:dyDescent="0.2">
      <c r="A1678" s="41" t="s">
        <v>1456</v>
      </c>
      <c r="B1678" s="40"/>
      <c r="C1678" s="40"/>
      <c r="D1678" s="40"/>
      <c r="E1678" s="40"/>
    </row>
    <row r="1679" spans="1:5" ht="12.75" x14ac:dyDescent="0.2">
      <c r="A1679" s="41" t="s">
        <v>1457</v>
      </c>
      <c r="B1679" s="41"/>
      <c r="C1679" s="40"/>
      <c r="D1679" s="40"/>
      <c r="E1679" s="40"/>
    </row>
    <row r="1680" spans="1:5" ht="12.75" x14ac:dyDescent="0.2">
      <c r="A1680" s="41" t="s">
        <v>1458</v>
      </c>
      <c r="B1680" s="40"/>
      <c r="C1680" s="40"/>
      <c r="D1680" s="40"/>
      <c r="E1680" s="40"/>
    </row>
    <row r="1681" spans="1:5" ht="12.75" x14ac:dyDescent="0.2">
      <c r="A1681" s="41" t="s">
        <v>1459</v>
      </c>
      <c r="B1681" s="40"/>
      <c r="C1681" s="40"/>
      <c r="D1681" s="40"/>
      <c r="E1681" s="40"/>
    </row>
    <row r="1682" spans="1:5" ht="12.75" x14ac:dyDescent="0.2">
      <c r="A1682" s="41" t="s">
        <v>1460</v>
      </c>
      <c r="B1682" s="40"/>
      <c r="C1682" s="40"/>
      <c r="D1682" s="40"/>
      <c r="E1682" s="40"/>
    </row>
    <row r="1683" spans="1:5" ht="12.75" x14ac:dyDescent="0.2">
      <c r="A1683" s="41" t="s">
        <v>1461</v>
      </c>
      <c r="B1683" s="40"/>
      <c r="C1683" s="40"/>
      <c r="D1683" s="40"/>
      <c r="E1683" s="40"/>
    </row>
    <row r="1684" spans="1:5" ht="12.75" x14ac:dyDescent="0.2">
      <c r="A1684" s="41"/>
      <c r="B1684" s="41"/>
      <c r="C1684" s="40"/>
      <c r="D1684" s="40"/>
      <c r="E1684" s="40"/>
    </row>
    <row r="1685" spans="1:5" ht="12.75" x14ac:dyDescent="0.2">
      <c r="A1685" s="38" t="s">
        <v>1462</v>
      </c>
      <c r="B1685" s="39"/>
      <c r="C1685" s="39"/>
      <c r="D1685" s="39"/>
      <c r="E1685" s="39"/>
    </row>
    <row r="1686" spans="1:5" ht="12.75" x14ac:dyDescent="0.2">
      <c r="A1686" s="41" t="s">
        <v>1463</v>
      </c>
      <c r="B1686" s="41" t="s">
        <v>402</v>
      </c>
      <c r="C1686" s="41" t="s">
        <v>1408</v>
      </c>
      <c r="D1686" s="40"/>
      <c r="E1686" s="40"/>
    </row>
    <row r="1687" spans="1:5" ht="12.75" x14ac:dyDescent="0.2">
      <c r="A1687" s="41" t="s">
        <v>1464</v>
      </c>
      <c r="B1687" s="40"/>
      <c r="C1687" s="40"/>
      <c r="D1687" s="40"/>
      <c r="E1687" s="40"/>
    </row>
    <row r="1688" spans="1:5" ht="12.75" x14ac:dyDescent="0.2">
      <c r="A1688" s="41" t="s">
        <v>1465</v>
      </c>
      <c r="B1688" s="40"/>
      <c r="C1688" s="40"/>
      <c r="D1688" s="40"/>
      <c r="E1688" s="40"/>
    </row>
    <row r="1689" spans="1:5" ht="12.75" x14ac:dyDescent="0.2">
      <c r="A1689" s="41" t="s">
        <v>1466</v>
      </c>
      <c r="B1689" s="40"/>
      <c r="C1689" s="40"/>
      <c r="D1689" s="40"/>
      <c r="E1689" s="40"/>
    </row>
    <row r="1690" spans="1:5" ht="12.75" x14ac:dyDescent="0.2">
      <c r="A1690" s="41" t="s">
        <v>1467</v>
      </c>
      <c r="B1690" s="40"/>
      <c r="C1690" s="40"/>
      <c r="D1690" s="40"/>
      <c r="E1690" s="40"/>
    </row>
    <row r="1691" spans="1:5" ht="12.75" x14ac:dyDescent="0.2">
      <c r="A1691" s="41" t="s">
        <v>1468</v>
      </c>
      <c r="B1691" s="41"/>
      <c r="C1691" s="40"/>
      <c r="D1691" s="40"/>
      <c r="E1691" s="40"/>
    </row>
    <row r="1692" spans="1:5" ht="12.75" x14ac:dyDescent="0.2">
      <c r="A1692" s="41" t="s">
        <v>1469</v>
      </c>
      <c r="B1692" s="40"/>
      <c r="C1692" s="40"/>
      <c r="D1692" s="40"/>
      <c r="E1692" s="40"/>
    </row>
    <row r="1693" spans="1:5" ht="12.75" x14ac:dyDescent="0.2">
      <c r="A1693" s="41" t="s">
        <v>1470</v>
      </c>
      <c r="B1693" s="40"/>
      <c r="C1693" s="40"/>
      <c r="D1693" s="40"/>
      <c r="E1693" s="40"/>
    </row>
    <row r="1694" spans="1:5" ht="12.75" x14ac:dyDescent="0.2">
      <c r="A1694" s="41" t="s">
        <v>1471</v>
      </c>
      <c r="B1694" s="40"/>
      <c r="C1694" s="40"/>
      <c r="D1694" s="40"/>
      <c r="E1694" s="40"/>
    </row>
    <row r="1695" spans="1:5" ht="12.75" x14ac:dyDescent="0.2">
      <c r="A1695" s="41"/>
      <c r="B1695" s="40"/>
      <c r="C1695" s="40"/>
      <c r="D1695" s="40"/>
      <c r="E1695" s="40"/>
    </row>
    <row r="1696" spans="1:5" ht="12.75" x14ac:dyDescent="0.2">
      <c r="A1696" s="38" t="s">
        <v>1472</v>
      </c>
      <c r="B1696" s="39"/>
      <c r="C1696" s="39"/>
      <c r="D1696" s="39"/>
      <c r="E1696" s="39"/>
    </row>
    <row r="1697" spans="1:5" ht="12.75" x14ac:dyDescent="0.2">
      <c r="A1697" s="41" t="s">
        <v>1473</v>
      </c>
      <c r="B1697" s="41" t="s">
        <v>402</v>
      </c>
      <c r="C1697" s="41" t="s">
        <v>1474</v>
      </c>
      <c r="D1697" s="40"/>
      <c r="E1697" s="40"/>
    </row>
    <row r="1698" spans="1:5" ht="12.75" x14ac:dyDescent="0.2">
      <c r="A1698" s="41" t="s">
        <v>1475</v>
      </c>
      <c r="B1698" s="40"/>
      <c r="C1698" s="40"/>
      <c r="D1698" s="40"/>
      <c r="E1698" s="40"/>
    </row>
    <row r="1699" spans="1:5" ht="12.75" x14ac:dyDescent="0.2">
      <c r="A1699" s="41" t="s">
        <v>1476</v>
      </c>
      <c r="B1699" s="40"/>
      <c r="C1699" s="40"/>
      <c r="D1699" s="40"/>
      <c r="E1699" s="40"/>
    </row>
    <row r="1700" spans="1:5" ht="12.75" x14ac:dyDescent="0.2">
      <c r="A1700" s="41" t="s">
        <v>1477</v>
      </c>
      <c r="B1700" s="40"/>
      <c r="C1700" s="40"/>
      <c r="D1700" s="40"/>
      <c r="E1700" s="40"/>
    </row>
    <row r="1701" spans="1:5" ht="12.75" x14ac:dyDescent="0.2">
      <c r="A1701" s="41" t="s">
        <v>1478</v>
      </c>
      <c r="B1701" s="41"/>
      <c r="C1701" s="40"/>
      <c r="D1701" s="40"/>
      <c r="E1701" s="40"/>
    </row>
    <row r="1702" spans="1:5" ht="12.75" x14ac:dyDescent="0.2">
      <c r="A1702" s="41" t="s">
        <v>1479</v>
      </c>
      <c r="B1702" s="40"/>
      <c r="C1702" s="40"/>
      <c r="D1702" s="40"/>
      <c r="E1702" s="40"/>
    </row>
    <row r="1703" spans="1:5" ht="12.75" x14ac:dyDescent="0.2">
      <c r="A1703" s="41" t="s">
        <v>1480</v>
      </c>
      <c r="B1703" s="40"/>
      <c r="C1703" s="40"/>
      <c r="D1703" s="40"/>
      <c r="E1703" s="40"/>
    </row>
    <row r="1704" spans="1:5" ht="12.75" x14ac:dyDescent="0.2">
      <c r="A1704" s="41" t="s">
        <v>1481</v>
      </c>
      <c r="B1704" s="41"/>
      <c r="C1704" s="40"/>
      <c r="D1704" s="40"/>
      <c r="E1704" s="40"/>
    </row>
    <row r="1705" spans="1:5" ht="12.75" x14ac:dyDescent="0.2">
      <c r="A1705" s="41" t="s">
        <v>1482</v>
      </c>
      <c r="B1705" s="40"/>
      <c r="C1705" s="40"/>
      <c r="D1705" s="40"/>
      <c r="E1705" s="40"/>
    </row>
    <row r="1706" spans="1:5" ht="12.75" x14ac:dyDescent="0.2">
      <c r="A1706" s="41" t="s">
        <v>1483</v>
      </c>
      <c r="B1706" s="40"/>
      <c r="C1706" s="40"/>
      <c r="D1706" s="40"/>
      <c r="E1706" s="40"/>
    </row>
    <row r="1707" spans="1:5" ht="12.75" x14ac:dyDescent="0.2">
      <c r="A1707" s="41"/>
      <c r="B1707" s="41" t="s">
        <v>403</v>
      </c>
      <c r="C1707" s="41" t="s">
        <v>41</v>
      </c>
      <c r="D1707" s="41" t="s">
        <v>10</v>
      </c>
      <c r="E1707" s="40"/>
    </row>
    <row r="1708" spans="1:5" ht="12.75" x14ac:dyDescent="0.2">
      <c r="A1708" s="41"/>
      <c r="B1708" s="40"/>
      <c r="C1708" s="40"/>
      <c r="D1708" s="40"/>
      <c r="E1708" s="40"/>
    </row>
    <row r="1709" spans="1:5" ht="12.75" x14ac:dyDescent="0.2">
      <c r="A1709" s="38" t="s">
        <v>1484</v>
      </c>
      <c r="B1709" s="39"/>
      <c r="C1709" s="39"/>
      <c r="D1709" s="39"/>
      <c r="E1709" s="39"/>
    </row>
    <row r="1710" spans="1:5" ht="12.75" x14ac:dyDescent="0.2">
      <c r="A1710" s="41" t="s">
        <v>1485</v>
      </c>
      <c r="B1710" s="41" t="s">
        <v>402</v>
      </c>
      <c r="C1710" s="41" t="s">
        <v>1486</v>
      </c>
      <c r="D1710" s="40"/>
      <c r="E1710" s="40"/>
    </row>
    <row r="1711" spans="1:5" ht="12.75" x14ac:dyDescent="0.2">
      <c r="A1711" s="41" t="s">
        <v>1487</v>
      </c>
      <c r="B1711" s="40"/>
      <c r="C1711" s="40"/>
      <c r="D1711" s="40"/>
      <c r="E1711" s="40"/>
    </row>
    <row r="1712" spans="1:5" ht="12.75" x14ac:dyDescent="0.2">
      <c r="A1712" s="41" t="s">
        <v>1488</v>
      </c>
      <c r="B1712" s="41"/>
      <c r="C1712" s="40"/>
      <c r="D1712" s="40"/>
      <c r="E1712" s="40"/>
    </row>
    <row r="1713" spans="1:5" ht="12.75" x14ac:dyDescent="0.2">
      <c r="A1713" s="41" t="s">
        <v>1489</v>
      </c>
      <c r="B1713" s="40"/>
      <c r="C1713" s="40"/>
      <c r="D1713" s="40"/>
      <c r="E1713" s="40"/>
    </row>
    <row r="1714" spans="1:5" ht="12.75" x14ac:dyDescent="0.2">
      <c r="A1714" s="41" t="s">
        <v>1490</v>
      </c>
      <c r="B1714" s="40"/>
      <c r="C1714" s="40"/>
      <c r="D1714" s="40"/>
      <c r="E1714" s="40"/>
    </row>
    <row r="1715" spans="1:5" ht="12.75" x14ac:dyDescent="0.2">
      <c r="A1715" s="41" t="s">
        <v>1491</v>
      </c>
      <c r="B1715" s="41"/>
      <c r="C1715" s="40"/>
      <c r="D1715" s="40"/>
      <c r="E1715" s="40"/>
    </row>
    <row r="1716" spans="1:5" ht="12.75" x14ac:dyDescent="0.2">
      <c r="A1716" s="41" t="s">
        <v>1492</v>
      </c>
      <c r="B1716" s="40"/>
      <c r="C1716" s="40"/>
      <c r="D1716" s="40"/>
      <c r="E1716" s="40"/>
    </row>
    <row r="1717" spans="1:5" ht="12.75" x14ac:dyDescent="0.2">
      <c r="A1717" s="41" t="s">
        <v>1493</v>
      </c>
      <c r="B1717" s="40"/>
      <c r="C1717" s="40"/>
      <c r="D1717" s="40"/>
      <c r="E1717" s="40"/>
    </row>
    <row r="1718" spans="1:5" ht="12.75" x14ac:dyDescent="0.2">
      <c r="A1718" s="41" t="s">
        <v>1494</v>
      </c>
      <c r="B1718" s="40"/>
      <c r="C1718" s="40"/>
      <c r="D1718" s="40"/>
      <c r="E1718" s="40"/>
    </row>
    <row r="1719" spans="1:5" ht="12.75" x14ac:dyDescent="0.2">
      <c r="A1719" s="41" t="s">
        <v>1495</v>
      </c>
      <c r="B1719" s="40"/>
      <c r="C1719" s="40"/>
      <c r="D1719" s="40"/>
      <c r="E1719" s="40"/>
    </row>
    <row r="1720" spans="1:5" ht="12.75" x14ac:dyDescent="0.2">
      <c r="A1720" s="41"/>
      <c r="B1720" s="40"/>
      <c r="C1720" s="40"/>
      <c r="D1720" s="40"/>
      <c r="E1720" s="40"/>
    </row>
    <row r="1721" spans="1:5" ht="12.75" x14ac:dyDescent="0.2">
      <c r="A1721" s="38" t="s">
        <v>1496</v>
      </c>
      <c r="B1721" s="39"/>
      <c r="C1721" s="39"/>
      <c r="D1721" s="39"/>
      <c r="E1721" s="39"/>
    </row>
    <row r="1722" spans="1:5" ht="12.75" x14ac:dyDescent="0.2">
      <c r="A1722" s="41" t="s">
        <v>1497</v>
      </c>
      <c r="B1722" s="41" t="s">
        <v>402</v>
      </c>
      <c r="C1722" s="41" t="s">
        <v>1498</v>
      </c>
      <c r="D1722" s="40"/>
      <c r="E1722" s="40"/>
    </row>
    <row r="1723" spans="1:5" ht="12.75" x14ac:dyDescent="0.2">
      <c r="A1723" s="41" t="s">
        <v>1499</v>
      </c>
      <c r="B1723" s="40"/>
      <c r="C1723" s="40"/>
      <c r="D1723" s="40"/>
      <c r="E1723" s="40"/>
    </row>
    <row r="1724" spans="1:5" ht="12.75" x14ac:dyDescent="0.2">
      <c r="A1724" s="41" t="s">
        <v>1500</v>
      </c>
      <c r="B1724" s="41"/>
      <c r="C1724" s="40"/>
      <c r="D1724" s="40"/>
      <c r="E1724" s="40"/>
    </row>
    <row r="1725" spans="1:5" ht="12.75" x14ac:dyDescent="0.2">
      <c r="A1725" s="41" t="s">
        <v>1501</v>
      </c>
      <c r="B1725" s="40"/>
      <c r="C1725" s="40"/>
      <c r="D1725" s="40"/>
      <c r="E1725" s="40"/>
    </row>
    <row r="1726" spans="1:5" ht="12.75" x14ac:dyDescent="0.2">
      <c r="A1726" s="41" t="s">
        <v>1502</v>
      </c>
      <c r="B1726" s="41"/>
      <c r="C1726" s="40"/>
      <c r="D1726" s="40"/>
      <c r="E1726" s="40"/>
    </row>
    <row r="1727" spans="1:5" ht="12.75" x14ac:dyDescent="0.2">
      <c r="A1727" s="41" t="s">
        <v>1503</v>
      </c>
      <c r="B1727" s="40"/>
      <c r="C1727" s="40"/>
      <c r="D1727" s="40"/>
      <c r="E1727" s="40"/>
    </row>
    <row r="1728" spans="1:5" ht="12.75" x14ac:dyDescent="0.2">
      <c r="A1728" s="41" t="s">
        <v>1504</v>
      </c>
      <c r="B1728" s="40"/>
      <c r="C1728" s="40"/>
      <c r="D1728" s="40"/>
      <c r="E1728" s="40"/>
    </row>
    <row r="1729" spans="1:5" ht="12.75" x14ac:dyDescent="0.2">
      <c r="A1729" s="41" t="s">
        <v>1505</v>
      </c>
      <c r="B1729" s="40"/>
      <c r="C1729" s="40"/>
      <c r="D1729" s="40"/>
      <c r="E1729" s="40"/>
    </row>
    <row r="1730" spans="1:5" ht="12.75" x14ac:dyDescent="0.2">
      <c r="A1730" s="41" t="s">
        <v>1506</v>
      </c>
      <c r="B1730" s="40"/>
      <c r="C1730" s="40"/>
      <c r="D1730" s="40"/>
      <c r="E1730" s="40"/>
    </row>
    <row r="1731" spans="1:5" ht="12.75" x14ac:dyDescent="0.2">
      <c r="A1731" s="41" t="s">
        <v>1507</v>
      </c>
      <c r="B1731" s="40"/>
      <c r="C1731" s="40"/>
      <c r="D1731" s="40"/>
      <c r="E1731" s="40"/>
    </row>
    <row r="1732" spans="1:5" ht="12.75" x14ac:dyDescent="0.2">
      <c r="A1732" s="41"/>
      <c r="B1732" s="40"/>
      <c r="C1732" s="40"/>
      <c r="D1732" s="40"/>
      <c r="E1732" s="40"/>
    </row>
    <row r="1733" spans="1:5" ht="12.75" x14ac:dyDescent="0.2">
      <c r="A1733" s="38" t="s">
        <v>1508</v>
      </c>
      <c r="B1733" s="39"/>
      <c r="C1733" s="39"/>
      <c r="D1733" s="39"/>
      <c r="E1733" s="39"/>
    </row>
    <row r="1734" spans="1:5" ht="12.75" x14ac:dyDescent="0.2">
      <c r="A1734" s="41" t="s">
        <v>1509</v>
      </c>
      <c r="B1734" s="41" t="s">
        <v>402</v>
      </c>
      <c r="C1734" s="41" t="s">
        <v>1510</v>
      </c>
      <c r="D1734" s="41"/>
      <c r="E1734" s="40"/>
    </row>
    <row r="1735" spans="1:5" ht="12.75" x14ac:dyDescent="0.2">
      <c r="A1735" s="41" t="s">
        <v>1511</v>
      </c>
      <c r="B1735" s="40"/>
      <c r="C1735" s="40"/>
      <c r="D1735" s="40"/>
      <c r="E1735" s="40"/>
    </row>
    <row r="1736" spans="1:5" ht="12.75" x14ac:dyDescent="0.2">
      <c r="A1736" s="41" t="s">
        <v>1512</v>
      </c>
      <c r="B1736" s="40"/>
      <c r="C1736" s="40"/>
      <c r="D1736" s="40"/>
      <c r="E1736" s="40"/>
    </row>
    <row r="1737" spans="1:5" ht="12.75" x14ac:dyDescent="0.2">
      <c r="A1737" s="41" t="s">
        <v>1513</v>
      </c>
      <c r="B1737" s="41"/>
      <c r="C1737" s="40"/>
      <c r="D1737" s="40"/>
      <c r="E1737" s="40"/>
    </row>
    <row r="1738" spans="1:5" ht="12.75" x14ac:dyDescent="0.2">
      <c r="A1738" s="41" t="s">
        <v>1514</v>
      </c>
      <c r="B1738" s="40"/>
      <c r="C1738" s="40"/>
      <c r="D1738" s="40"/>
      <c r="E1738" s="40"/>
    </row>
    <row r="1739" spans="1:5" ht="12.75" x14ac:dyDescent="0.2">
      <c r="A1739" s="41"/>
      <c r="B1739" s="40"/>
      <c r="C1739" s="40"/>
      <c r="D1739" s="40"/>
      <c r="E1739" s="40"/>
    </row>
    <row r="1740" spans="1:5" ht="12.75" x14ac:dyDescent="0.2">
      <c r="A1740" s="38" t="s">
        <v>1515</v>
      </c>
      <c r="B1740" s="39"/>
      <c r="C1740" s="39"/>
      <c r="D1740" s="39"/>
      <c r="E1740" s="39"/>
    </row>
    <row r="1741" spans="1:5" ht="12.75" x14ac:dyDescent="0.2">
      <c r="A1741" s="41" t="s">
        <v>1516</v>
      </c>
      <c r="B1741" s="41" t="s">
        <v>402</v>
      </c>
      <c r="C1741" s="41" t="s">
        <v>1517</v>
      </c>
      <c r="D1741" s="40"/>
      <c r="E1741" s="40"/>
    </row>
    <row r="1742" spans="1:5" ht="12.75" x14ac:dyDescent="0.2">
      <c r="A1742" s="41" t="s">
        <v>1518</v>
      </c>
      <c r="B1742" s="40"/>
      <c r="C1742" s="40"/>
      <c r="D1742" s="40"/>
      <c r="E1742" s="40"/>
    </row>
    <row r="1743" spans="1:5" ht="12.75" x14ac:dyDescent="0.2">
      <c r="A1743" s="41" t="s">
        <v>1519</v>
      </c>
      <c r="B1743" s="41"/>
      <c r="C1743" s="40"/>
      <c r="D1743" s="40"/>
      <c r="E1743" s="40"/>
    </row>
    <row r="1744" spans="1:5" ht="12.75" x14ac:dyDescent="0.2">
      <c r="A1744" s="41" t="s">
        <v>1520</v>
      </c>
      <c r="B1744" s="40"/>
      <c r="C1744" s="40"/>
      <c r="D1744" s="40"/>
      <c r="E1744" s="40"/>
    </row>
    <row r="1745" spans="1:5" ht="12.75" x14ac:dyDescent="0.2">
      <c r="A1745" s="41" t="s">
        <v>1521</v>
      </c>
      <c r="B1745" s="40"/>
      <c r="C1745" s="40"/>
      <c r="D1745" s="40"/>
      <c r="E1745" s="40"/>
    </row>
    <row r="1746" spans="1:5" ht="12.75" x14ac:dyDescent="0.2">
      <c r="A1746" s="41" t="s">
        <v>1522</v>
      </c>
      <c r="B1746" s="41"/>
      <c r="C1746" s="40"/>
      <c r="D1746" s="40"/>
      <c r="E1746" s="40"/>
    </row>
    <row r="1747" spans="1:5" ht="12.75" x14ac:dyDescent="0.2">
      <c r="A1747" s="41" t="s">
        <v>1523</v>
      </c>
      <c r="B1747" s="40"/>
      <c r="C1747" s="40"/>
      <c r="D1747" s="40"/>
      <c r="E1747" s="40"/>
    </row>
    <row r="1748" spans="1:5" ht="12.75" x14ac:dyDescent="0.2">
      <c r="A1748" s="41" t="s">
        <v>1524</v>
      </c>
      <c r="B1748" s="40"/>
      <c r="C1748" s="40"/>
      <c r="D1748" s="40"/>
      <c r="E1748" s="40"/>
    </row>
    <row r="1749" spans="1:5" ht="12.75" x14ac:dyDescent="0.2">
      <c r="A1749" s="41" t="s">
        <v>1525</v>
      </c>
      <c r="B1749" s="40"/>
      <c r="C1749" s="40"/>
      <c r="D1749" s="40"/>
      <c r="E1749" s="40"/>
    </row>
    <row r="1750" spans="1:5" ht="12.75" x14ac:dyDescent="0.2">
      <c r="A1750" s="41"/>
      <c r="B1750" s="41"/>
      <c r="C1750" s="40"/>
      <c r="D1750" s="40"/>
      <c r="E1750" s="40"/>
    </row>
    <row r="1751" spans="1:5" ht="12.75" x14ac:dyDescent="0.2">
      <c r="A1751" s="38" t="s">
        <v>1526</v>
      </c>
      <c r="B1751" s="39"/>
      <c r="C1751" s="39"/>
      <c r="D1751" s="39"/>
      <c r="E1751" s="39"/>
    </row>
    <row r="1752" spans="1:5" ht="12.75" x14ac:dyDescent="0.2">
      <c r="A1752" s="41" t="s">
        <v>1528</v>
      </c>
      <c r="B1752" s="41" t="s">
        <v>402</v>
      </c>
      <c r="C1752" s="41" t="s">
        <v>1528</v>
      </c>
      <c r="D1752" s="40"/>
      <c r="E1752" s="40"/>
    </row>
    <row r="1753" spans="1:5" ht="12.75" x14ac:dyDescent="0.2">
      <c r="A1753" s="41" t="s">
        <v>1529</v>
      </c>
      <c r="B1753" s="40"/>
      <c r="C1753" s="40"/>
      <c r="D1753" s="40"/>
      <c r="E1753" s="40"/>
    </row>
    <row r="1754" spans="1:5" ht="12.75" x14ac:dyDescent="0.2">
      <c r="A1754" s="41" t="s">
        <v>1530</v>
      </c>
      <c r="B1754" s="40"/>
      <c r="C1754" s="40"/>
      <c r="D1754" s="40"/>
      <c r="E1754" s="40"/>
    </row>
    <row r="1755" spans="1:5" ht="12.75" x14ac:dyDescent="0.2">
      <c r="A1755" s="41" t="s">
        <v>1531</v>
      </c>
      <c r="B1755" s="40"/>
      <c r="C1755" s="40"/>
      <c r="D1755" s="40"/>
      <c r="E1755" s="40"/>
    </row>
    <row r="1756" spans="1:5" ht="12.75" x14ac:dyDescent="0.2">
      <c r="A1756" s="41" t="s">
        <v>1532</v>
      </c>
      <c r="B1756" s="40"/>
      <c r="C1756" s="40"/>
      <c r="D1756" s="40"/>
      <c r="E1756" s="40"/>
    </row>
    <row r="1757" spans="1:5" ht="12.75" x14ac:dyDescent="0.2">
      <c r="A1757" s="41" t="s">
        <v>1533</v>
      </c>
      <c r="B1757" s="41"/>
      <c r="C1757" s="40"/>
      <c r="D1757" s="40"/>
      <c r="E1757" s="40"/>
    </row>
    <row r="1758" spans="1:5" ht="12.75" x14ac:dyDescent="0.2">
      <c r="A1758" s="41" t="s">
        <v>1534</v>
      </c>
      <c r="B1758" s="40"/>
      <c r="C1758" s="40"/>
      <c r="D1758" s="40"/>
      <c r="E1758" s="40"/>
    </row>
    <row r="1759" spans="1:5" ht="12.75" x14ac:dyDescent="0.2">
      <c r="A1759" s="41" t="s">
        <v>1535</v>
      </c>
      <c r="B1759" s="40"/>
      <c r="C1759" s="40"/>
      <c r="D1759" s="40"/>
      <c r="E1759" s="40"/>
    </row>
    <row r="1760" spans="1:5" ht="12.75" x14ac:dyDescent="0.2">
      <c r="A1760" s="41" t="s">
        <v>1536</v>
      </c>
      <c r="B1760" s="40"/>
      <c r="C1760" s="40"/>
      <c r="D1760" s="40"/>
      <c r="E1760" s="40"/>
    </row>
    <row r="1761" spans="1:5" ht="12.75" x14ac:dyDescent="0.2">
      <c r="A1761" s="41"/>
      <c r="B1761" s="40"/>
      <c r="C1761" s="40"/>
      <c r="D1761" s="40"/>
      <c r="E1761" s="40"/>
    </row>
    <row r="1762" spans="1:5" ht="12.75" x14ac:dyDescent="0.2">
      <c r="A1762" s="38" t="s">
        <v>1537</v>
      </c>
      <c r="B1762" s="39"/>
      <c r="C1762" s="39"/>
      <c r="D1762" s="39"/>
      <c r="E1762" s="39"/>
    </row>
    <row r="1763" spans="1:5" ht="12.75" x14ac:dyDescent="0.2">
      <c r="A1763" s="41" t="s">
        <v>1538</v>
      </c>
      <c r="B1763" s="41" t="s">
        <v>402</v>
      </c>
      <c r="C1763" s="41" t="s">
        <v>1539</v>
      </c>
      <c r="D1763" s="40"/>
      <c r="E1763" s="40"/>
    </row>
    <row r="1764" spans="1:5" ht="12.75" x14ac:dyDescent="0.2">
      <c r="A1764" s="41" t="s">
        <v>1540</v>
      </c>
      <c r="B1764" s="40"/>
      <c r="C1764" s="40"/>
      <c r="D1764" s="40"/>
      <c r="E1764" s="40"/>
    </row>
    <row r="1765" spans="1:5" ht="12.75" x14ac:dyDescent="0.2">
      <c r="A1765" s="41" t="s">
        <v>1541</v>
      </c>
      <c r="B1765" s="41"/>
      <c r="C1765" s="40"/>
      <c r="D1765" s="40"/>
      <c r="E1765" s="40"/>
    </row>
    <row r="1766" spans="1:5" ht="12.75" x14ac:dyDescent="0.2">
      <c r="A1766" s="41" t="s">
        <v>1542</v>
      </c>
      <c r="B1766" s="40"/>
      <c r="C1766" s="40"/>
      <c r="D1766" s="40"/>
      <c r="E1766" s="40"/>
    </row>
    <row r="1767" spans="1:5" ht="12.75" x14ac:dyDescent="0.2">
      <c r="A1767" s="41" t="s">
        <v>1544</v>
      </c>
      <c r="B1767" s="40"/>
      <c r="C1767" s="40"/>
      <c r="D1767" s="40"/>
      <c r="E1767" s="40"/>
    </row>
    <row r="1768" spans="1:5" ht="12.75" x14ac:dyDescent="0.2">
      <c r="A1768" s="41" t="s">
        <v>1545</v>
      </c>
      <c r="B1768" s="40"/>
      <c r="C1768" s="40"/>
      <c r="D1768" s="40"/>
      <c r="E1768" s="40"/>
    </row>
    <row r="1769" spans="1:5" ht="12.75" x14ac:dyDescent="0.2">
      <c r="A1769" s="41" t="s">
        <v>1546</v>
      </c>
      <c r="B1769" s="40"/>
      <c r="C1769" s="40"/>
      <c r="D1769" s="40"/>
      <c r="E1769" s="40"/>
    </row>
    <row r="1770" spans="1:5" ht="12.75" x14ac:dyDescent="0.2">
      <c r="A1770" s="41" t="s">
        <v>1547</v>
      </c>
      <c r="B1770" s="40"/>
      <c r="C1770" s="40"/>
      <c r="D1770" s="40"/>
      <c r="E1770" s="40"/>
    </row>
    <row r="1771" spans="1:5" ht="12.75" x14ac:dyDescent="0.2">
      <c r="A1771" s="41" t="s">
        <v>1549</v>
      </c>
      <c r="B1771" s="41"/>
      <c r="C1771" s="40"/>
      <c r="D1771" s="40"/>
      <c r="E1771" s="40"/>
    </row>
    <row r="1772" spans="1:5" ht="12.75" x14ac:dyDescent="0.2">
      <c r="A1772" s="41"/>
      <c r="B1772" s="40"/>
      <c r="C1772" s="40"/>
      <c r="D1772" s="40"/>
      <c r="E1772" s="40"/>
    </row>
    <row r="1773" spans="1:5" ht="12.75" x14ac:dyDescent="0.2">
      <c r="A1773" s="47" t="s">
        <v>1551</v>
      </c>
      <c r="B1773" s="48"/>
      <c r="C1773" s="48"/>
      <c r="D1773" s="48"/>
      <c r="E1773" s="48"/>
    </row>
    <row r="1774" spans="1:5" ht="12.75" x14ac:dyDescent="0.2">
      <c r="A1774" s="41" t="s">
        <v>1608</v>
      </c>
      <c r="B1774" s="41" t="s">
        <v>402</v>
      </c>
      <c r="C1774" s="41" t="s">
        <v>1611</v>
      </c>
      <c r="D1774" s="40"/>
      <c r="E1774" s="40"/>
    </row>
    <row r="1775" spans="1:5" ht="12.75" x14ac:dyDescent="0.2">
      <c r="A1775" s="41" t="s">
        <v>1613</v>
      </c>
      <c r="B1775" s="40"/>
      <c r="C1775" s="40"/>
      <c r="D1775" s="40"/>
      <c r="E1775" s="40"/>
    </row>
    <row r="1776" spans="1:5" ht="12.75" x14ac:dyDescent="0.2">
      <c r="A1776" s="41" t="s">
        <v>1615</v>
      </c>
      <c r="B1776" s="40"/>
      <c r="C1776" s="40"/>
      <c r="D1776" s="40"/>
      <c r="E1776" s="40"/>
    </row>
    <row r="1777" spans="1:5" ht="12.75" x14ac:dyDescent="0.2">
      <c r="A1777" s="41" t="s">
        <v>1616</v>
      </c>
      <c r="B1777" s="40"/>
      <c r="C1777" s="40"/>
      <c r="D1777" s="40"/>
      <c r="E1777" s="40"/>
    </row>
    <row r="1778" spans="1:5" ht="12.75" x14ac:dyDescent="0.2">
      <c r="A1778" s="41"/>
      <c r="B1778" s="40"/>
      <c r="C1778" s="40"/>
      <c r="D1778" s="40"/>
      <c r="E1778" s="40"/>
    </row>
    <row r="1779" spans="1:5" ht="12.75" x14ac:dyDescent="0.2">
      <c r="A1779" s="47" t="s">
        <v>1618</v>
      </c>
      <c r="B1779" s="48"/>
      <c r="C1779" s="48"/>
      <c r="D1779" s="48"/>
      <c r="E1779" s="48"/>
    </row>
    <row r="1780" spans="1:5" ht="12.75" x14ac:dyDescent="0.2">
      <c r="A1780" s="41" t="s">
        <v>1620</v>
      </c>
      <c r="B1780" s="41" t="s">
        <v>402</v>
      </c>
      <c r="C1780" s="41" t="s">
        <v>1621</v>
      </c>
      <c r="D1780" s="40"/>
      <c r="E1780" s="40"/>
    </row>
    <row r="1781" spans="1:5" ht="12.75" x14ac:dyDescent="0.2">
      <c r="A1781" s="41"/>
      <c r="B1781" s="40"/>
      <c r="C1781" s="40"/>
      <c r="D1781" s="40"/>
      <c r="E1781" s="40"/>
    </row>
    <row r="1782" spans="1:5" ht="12.75" x14ac:dyDescent="0.2">
      <c r="A1782" s="47" t="s">
        <v>1623</v>
      </c>
      <c r="B1782" s="48"/>
      <c r="C1782" s="48"/>
      <c r="D1782" s="48"/>
      <c r="E1782" s="48"/>
    </row>
    <row r="1783" spans="1:5" ht="12.75" x14ac:dyDescent="0.2">
      <c r="A1783" s="41" t="s">
        <v>168</v>
      </c>
      <c r="B1783" s="41" t="s">
        <v>402</v>
      </c>
      <c r="C1783" s="41" t="s">
        <v>1626</v>
      </c>
      <c r="D1783" s="40"/>
      <c r="E1783" s="40"/>
    </row>
    <row r="1784" spans="1:5" ht="12.75" x14ac:dyDescent="0.2">
      <c r="A1784" s="41" t="s">
        <v>1627</v>
      </c>
      <c r="B1784" s="40"/>
      <c r="C1784" s="40"/>
      <c r="D1784" s="40"/>
      <c r="E1784" s="40"/>
    </row>
    <row r="1785" spans="1:5" ht="12.75" x14ac:dyDescent="0.2">
      <c r="A1785" s="41" t="s">
        <v>175</v>
      </c>
      <c r="B1785" s="41"/>
      <c r="C1785" s="40"/>
      <c r="D1785" s="40"/>
      <c r="E1785" s="40"/>
    </row>
    <row r="1786" spans="1:5" ht="12.75" x14ac:dyDescent="0.2">
      <c r="A1786" s="41" t="s">
        <v>161</v>
      </c>
      <c r="B1786" s="40"/>
      <c r="C1786" s="40"/>
      <c r="D1786" s="40"/>
      <c r="E1786" s="40"/>
    </row>
    <row r="1787" spans="1:5" ht="12.75" x14ac:dyDescent="0.2">
      <c r="A1787" s="41" t="s">
        <v>1628</v>
      </c>
      <c r="B1787" s="40"/>
      <c r="C1787" s="40"/>
      <c r="D1787" s="40"/>
      <c r="E1787" s="40"/>
    </row>
    <row r="1788" spans="1:5" ht="12.75" x14ac:dyDescent="0.2">
      <c r="A1788" s="41" t="s">
        <v>1629</v>
      </c>
      <c r="B1788" s="40"/>
      <c r="C1788" s="40"/>
      <c r="D1788" s="40"/>
      <c r="E1788" s="40"/>
    </row>
    <row r="1789" spans="1:5" ht="12.75" x14ac:dyDescent="0.2">
      <c r="A1789" s="41" t="s">
        <v>1630</v>
      </c>
      <c r="B1789" s="40"/>
      <c r="C1789" s="40"/>
      <c r="D1789" s="40"/>
      <c r="E1789" s="40"/>
    </row>
    <row r="1790" spans="1:5" ht="12.75" x14ac:dyDescent="0.2">
      <c r="A1790" s="41" t="s">
        <v>1631</v>
      </c>
      <c r="B1790" s="40"/>
      <c r="C1790" s="40"/>
      <c r="D1790" s="40"/>
      <c r="E1790" s="40"/>
    </row>
    <row r="1791" spans="1:5" ht="12.75" x14ac:dyDescent="0.2">
      <c r="A1791" s="41" t="s">
        <v>1633</v>
      </c>
      <c r="B1791" s="40"/>
      <c r="C1791" s="40"/>
      <c r="D1791" s="40"/>
      <c r="E1791" s="40"/>
    </row>
    <row r="1792" spans="1:5" ht="12.75" x14ac:dyDescent="0.2">
      <c r="A1792" s="41"/>
      <c r="B1792" s="40"/>
      <c r="C1792" s="40"/>
      <c r="D1792" s="40"/>
      <c r="E1792" s="40"/>
    </row>
    <row r="1793" spans="1:5" ht="12.75" x14ac:dyDescent="0.2">
      <c r="A1793" s="47" t="s">
        <v>1638</v>
      </c>
      <c r="B1793" s="48"/>
      <c r="C1793" s="48"/>
      <c r="D1793" s="48"/>
      <c r="E1793" s="48"/>
    </row>
    <row r="1794" spans="1:5" ht="12.75" x14ac:dyDescent="0.2">
      <c r="A1794" s="41" t="s">
        <v>184</v>
      </c>
      <c r="B1794" s="41" t="s">
        <v>402</v>
      </c>
      <c r="C1794" s="41" t="s">
        <v>1644</v>
      </c>
      <c r="D1794" s="41"/>
      <c r="E1794" s="40"/>
    </row>
    <row r="1795" spans="1:5" ht="12.75" x14ac:dyDescent="0.2">
      <c r="A1795" s="41" t="s">
        <v>1648</v>
      </c>
      <c r="B1795" s="41"/>
      <c r="C1795" s="41"/>
      <c r="D1795" s="41"/>
      <c r="E1795" s="40"/>
    </row>
    <row r="1796" spans="1:5" ht="12.75" x14ac:dyDescent="0.2">
      <c r="A1796" s="41" t="s">
        <v>1652</v>
      </c>
      <c r="B1796" s="41"/>
      <c r="C1796" s="41"/>
      <c r="D1796" s="41"/>
      <c r="E1796" s="40"/>
    </row>
    <row r="1797" spans="1:5" ht="12.75" x14ac:dyDescent="0.2">
      <c r="A1797" s="41" t="s">
        <v>1657</v>
      </c>
      <c r="B1797" s="40"/>
      <c r="C1797" s="40"/>
      <c r="D1797" s="40"/>
      <c r="E1797" s="40"/>
    </row>
    <row r="1798" spans="1:5" ht="12.75" x14ac:dyDescent="0.2">
      <c r="A1798" s="41" t="s">
        <v>1663</v>
      </c>
      <c r="B1798" s="40"/>
      <c r="C1798" s="40"/>
      <c r="D1798" s="40"/>
      <c r="E1798" s="40"/>
    </row>
    <row r="1799" spans="1:5" ht="12.75" x14ac:dyDescent="0.2">
      <c r="A1799" s="41" t="s">
        <v>1667</v>
      </c>
      <c r="B1799" s="41"/>
      <c r="C1799" s="40"/>
      <c r="D1799" s="40"/>
      <c r="E1799" s="40"/>
    </row>
    <row r="1800" spans="1:5" ht="12.75" x14ac:dyDescent="0.2">
      <c r="A1800" s="41"/>
      <c r="B1800" s="40"/>
      <c r="C1800" s="40"/>
      <c r="D1800" s="40"/>
      <c r="E1800" s="40"/>
    </row>
    <row r="1801" spans="1:5" ht="12.75" x14ac:dyDescent="0.2">
      <c r="A1801" s="47" t="s">
        <v>1671</v>
      </c>
      <c r="B1801" s="48"/>
      <c r="C1801" s="48"/>
      <c r="D1801" s="48"/>
      <c r="E1801" s="48"/>
    </row>
    <row r="1802" spans="1:5" ht="12.75" x14ac:dyDescent="0.2">
      <c r="A1802" s="41" t="s">
        <v>186</v>
      </c>
      <c r="B1802" s="41" t="s">
        <v>402</v>
      </c>
      <c r="C1802" s="41" t="s">
        <v>1677</v>
      </c>
      <c r="D1802" s="40"/>
      <c r="E1802" s="40"/>
    </row>
    <row r="1803" spans="1:5" ht="12.75" x14ac:dyDescent="0.2">
      <c r="A1803" s="41" t="s">
        <v>1680</v>
      </c>
      <c r="B1803" s="40"/>
      <c r="C1803" s="40"/>
      <c r="D1803" s="40"/>
      <c r="E1803" s="40"/>
    </row>
    <row r="1804" spans="1:5" ht="12.75" x14ac:dyDescent="0.2">
      <c r="A1804" s="41" t="s">
        <v>187</v>
      </c>
      <c r="B1804" s="40"/>
      <c r="C1804" s="40"/>
      <c r="D1804" s="40"/>
      <c r="E1804" s="40"/>
    </row>
    <row r="1805" spans="1:5" ht="12.75" x14ac:dyDescent="0.2">
      <c r="A1805" s="41" t="s">
        <v>188</v>
      </c>
      <c r="B1805" s="40"/>
      <c r="C1805" s="40"/>
      <c r="D1805" s="40"/>
      <c r="E1805" s="40"/>
    </row>
    <row r="1806" spans="1:5" ht="12.75" x14ac:dyDescent="0.2">
      <c r="A1806" s="41" t="s">
        <v>1683</v>
      </c>
      <c r="B1806" s="40"/>
      <c r="C1806" s="40"/>
      <c r="D1806" s="40"/>
      <c r="E1806" s="40"/>
    </row>
    <row r="1807" spans="1:5" ht="12.75" x14ac:dyDescent="0.2">
      <c r="A1807" s="41" t="s">
        <v>1684</v>
      </c>
      <c r="B1807" s="41"/>
      <c r="C1807" s="40"/>
      <c r="D1807" s="40"/>
      <c r="E1807" s="40"/>
    </row>
    <row r="1808" spans="1:5" ht="12.75" x14ac:dyDescent="0.2">
      <c r="A1808" s="41"/>
      <c r="B1808" s="40"/>
      <c r="C1808" s="40"/>
      <c r="D1808" s="40"/>
      <c r="E1808" s="40"/>
    </row>
    <row r="1809" spans="1:5" ht="12.75" x14ac:dyDescent="0.2">
      <c r="A1809" s="47" t="s">
        <v>1685</v>
      </c>
      <c r="B1809" s="48"/>
      <c r="C1809" s="48"/>
      <c r="D1809" s="48"/>
      <c r="E1809" s="48"/>
    </row>
    <row r="1810" spans="1:5" ht="12.75" x14ac:dyDescent="0.2">
      <c r="A1810" s="41" t="s">
        <v>1686</v>
      </c>
      <c r="B1810" s="41" t="s">
        <v>402</v>
      </c>
      <c r="C1810" s="41" t="s">
        <v>1687</v>
      </c>
      <c r="D1810" s="40"/>
      <c r="E1810" s="40"/>
    </row>
    <row r="1811" spans="1:5" ht="12.75" x14ac:dyDescent="0.2">
      <c r="A1811" s="41" t="s">
        <v>1688</v>
      </c>
      <c r="B1811" s="40"/>
      <c r="C1811" s="40"/>
      <c r="D1811" s="40"/>
      <c r="E1811" s="40"/>
    </row>
    <row r="1812" spans="1:5" ht="12.75" x14ac:dyDescent="0.2">
      <c r="A1812" s="41" t="s">
        <v>1689</v>
      </c>
      <c r="B1812" s="40"/>
      <c r="C1812" s="40"/>
      <c r="D1812" s="40"/>
      <c r="E1812" s="40"/>
    </row>
    <row r="1813" spans="1:5" ht="12.75" x14ac:dyDescent="0.2">
      <c r="A1813" s="41" t="s">
        <v>1690</v>
      </c>
      <c r="B1813" s="40"/>
      <c r="C1813" s="40"/>
      <c r="D1813" s="40"/>
      <c r="E1813" s="40"/>
    </row>
    <row r="1814" spans="1:5" ht="12.75" x14ac:dyDescent="0.2">
      <c r="A1814" s="41" t="s">
        <v>1691</v>
      </c>
      <c r="B1814" s="41"/>
      <c r="C1814" s="40"/>
      <c r="D1814" s="40"/>
      <c r="E1814" s="40"/>
    </row>
    <row r="1815" spans="1:5" ht="12.75" x14ac:dyDescent="0.2">
      <c r="A1815" s="41" t="s">
        <v>1692</v>
      </c>
      <c r="B1815" s="40"/>
      <c r="C1815" s="40"/>
      <c r="D1815" s="40"/>
      <c r="E1815" s="40"/>
    </row>
    <row r="1816" spans="1:5" ht="12.75" x14ac:dyDescent="0.2">
      <c r="A1816" s="41" t="s">
        <v>1696</v>
      </c>
      <c r="B1816" s="40"/>
      <c r="C1816" s="40"/>
      <c r="D1816" s="40"/>
      <c r="E1816" s="40"/>
    </row>
    <row r="1817" spans="1:5" ht="12.75" x14ac:dyDescent="0.2">
      <c r="A1817" s="41" t="s">
        <v>1698</v>
      </c>
      <c r="B1817" s="40"/>
      <c r="C1817" s="40"/>
      <c r="D1817" s="40"/>
      <c r="E1817" s="40"/>
    </row>
    <row r="1818" spans="1:5" ht="12.75" x14ac:dyDescent="0.2">
      <c r="A1818" s="41" t="s">
        <v>1701</v>
      </c>
      <c r="B1818" s="41"/>
      <c r="C1818" s="41"/>
      <c r="D1818" s="41"/>
      <c r="E1818" s="40"/>
    </row>
    <row r="1819" spans="1:5" ht="12.75" x14ac:dyDescent="0.2">
      <c r="A1819" s="41" t="s">
        <v>1704</v>
      </c>
      <c r="B1819" s="41"/>
      <c r="C1819" s="41"/>
      <c r="D1819" s="41"/>
      <c r="E1819" s="40"/>
    </row>
    <row r="1820" spans="1:5" ht="12.75" x14ac:dyDescent="0.2">
      <c r="A1820" s="41"/>
      <c r="B1820" s="41"/>
      <c r="C1820" s="41"/>
      <c r="D1820" s="41"/>
      <c r="E1820" s="40"/>
    </row>
    <row r="1821" spans="1:5" ht="12.75" x14ac:dyDescent="0.2">
      <c r="A1821" s="47" t="s">
        <v>1707</v>
      </c>
      <c r="B1821" s="48"/>
      <c r="C1821" s="48"/>
      <c r="D1821" s="48"/>
      <c r="E1821" s="48"/>
    </row>
    <row r="1822" spans="1:5" ht="12.75" x14ac:dyDescent="0.2">
      <c r="A1822" s="41" t="s">
        <v>1710</v>
      </c>
      <c r="B1822" s="41" t="s">
        <v>402</v>
      </c>
      <c r="C1822" s="41" t="s">
        <v>1712</v>
      </c>
      <c r="D1822" s="40"/>
      <c r="E1822" s="40"/>
    </row>
    <row r="1823" spans="1:5" ht="12.75" x14ac:dyDescent="0.2">
      <c r="A1823" s="41" t="s">
        <v>1716</v>
      </c>
      <c r="B1823" s="41"/>
      <c r="C1823" s="40"/>
      <c r="D1823" s="40"/>
      <c r="E1823" s="40"/>
    </row>
    <row r="1824" spans="1:5" ht="12.75" x14ac:dyDescent="0.2">
      <c r="A1824" s="41" t="s">
        <v>190</v>
      </c>
      <c r="B1824" s="40"/>
      <c r="C1824" s="40"/>
      <c r="D1824" s="40"/>
      <c r="E1824" s="40"/>
    </row>
    <row r="1825" spans="1:5" ht="12.75" x14ac:dyDescent="0.2">
      <c r="A1825" s="41" t="s">
        <v>328</v>
      </c>
      <c r="B1825" s="40"/>
      <c r="C1825" s="40"/>
      <c r="D1825" s="40"/>
      <c r="E1825" s="40"/>
    </row>
    <row r="1826" spans="1:5" ht="12.75" x14ac:dyDescent="0.2">
      <c r="A1826" s="41" t="s">
        <v>1721</v>
      </c>
      <c r="B1826" s="40"/>
      <c r="C1826" s="40"/>
      <c r="D1826" s="40"/>
      <c r="E1826" s="40"/>
    </row>
    <row r="1827" spans="1:5" ht="12.75" x14ac:dyDescent="0.2">
      <c r="A1827" s="41" t="s">
        <v>1722</v>
      </c>
      <c r="B1827" s="40"/>
      <c r="C1827" s="40"/>
      <c r="D1827" s="40"/>
      <c r="E1827" s="40"/>
    </row>
    <row r="1828" spans="1:5" ht="12.75" x14ac:dyDescent="0.2">
      <c r="A1828" s="41" t="s">
        <v>1724</v>
      </c>
      <c r="B1828" s="40"/>
      <c r="C1828" s="40"/>
      <c r="D1828" s="40"/>
      <c r="E1828" s="40"/>
    </row>
    <row r="1829" spans="1:5" ht="12.75" x14ac:dyDescent="0.2">
      <c r="A1829" s="41" t="s">
        <v>1728</v>
      </c>
      <c r="B1829" s="40"/>
      <c r="C1829" s="40"/>
      <c r="D1829" s="40"/>
      <c r="E1829" s="40"/>
    </row>
    <row r="1830" spans="1:5" ht="12.75" x14ac:dyDescent="0.2">
      <c r="A1830" s="41" t="s">
        <v>1731</v>
      </c>
      <c r="B1830" s="41"/>
      <c r="C1830" s="40"/>
      <c r="D1830" s="40"/>
      <c r="E1830" s="40"/>
    </row>
    <row r="1831" spans="1:5" ht="12.75" x14ac:dyDescent="0.2">
      <c r="A1831" s="41"/>
      <c r="B1831" s="41" t="s">
        <v>403</v>
      </c>
      <c r="C1831" s="41" t="s">
        <v>25</v>
      </c>
      <c r="D1831" s="41" t="s">
        <v>27</v>
      </c>
      <c r="E1831" s="40"/>
    </row>
    <row r="1832" spans="1:5" ht="12.75" x14ac:dyDescent="0.2">
      <c r="A1832" s="41"/>
      <c r="B1832" s="41" t="s">
        <v>403</v>
      </c>
      <c r="C1832" s="41" t="s">
        <v>30</v>
      </c>
      <c r="D1832" s="41" t="s">
        <v>31</v>
      </c>
      <c r="E1832" s="40"/>
    </row>
    <row r="1833" spans="1:5" ht="12.75" x14ac:dyDescent="0.2">
      <c r="A1833" s="41"/>
      <c r="B1833" s="41" t="s">
        <v>403</v>
      </c>
      <c r="C1833" s="41" t="s">
        <v>41</v>
      </c>
      <c r="D1833" s="41" t="s">
        <v>10</v>
      </c>
      <c r="E1833" s="40"/>
    </row>
    <row r="1834" spans="1:5" ht="12.75" x14ac:dyDescent="0.2">
      <c r="A1834" s="41"/>
      <c r="B1834" s="40"/>
      <c r="C1834" s="40"/>
      <c r="D1834" s="40"/>
      <c r="E1834" s="40"/>
    </row>
    <row r="1835" spans="1:5" ht="12.75" x14ac:dyDescent="0.2">
      <c r="A1835" s="47" t="s">
        <v>1746</v>
      </c>
      <c r="B1835" s="48"/>
      <c r="C1835" s="48"/>
      <c r="D1835" s="48"/>
      <c r="E1835" s="48"/>
    </row>
    <row r="1836" spans="1:5" ht="12.75" x14ac:dyDescent="0.2">
      <c r="A1836" s="41" t="s">
        <v>1391</v>
      </c>
      <c r="B1836" s="41" t="s">
        <v>402</v>
      </c>
      <c r="C1836" s="41" t="s">
        <v>1752</v>
      </c>
      <c r="D1836" s="40"/>
      <c r="E1836" s="40"/>
    </row>
    <row r="1837" spans="1:5" ht="12.75" x14ac:dyDescent="0.2">
      <c r="A1837" s="41" t="s">
        <v>1754</v>
      </c>
      <c r="B1837" s="40"/>
      <c r="C1837" s="40"/>
      <c r="D1837" s="40"/>
      <c r="E1837" s="40"/>
    </row>
    <row r="1838" spans="1:5" ht="12.75" x14ac:dyDescent="0.2">
      <c r="A1838" s="41" t="s">
        <v>1757</v>
      </c>
      <c r="B1838" s="40"/>
      <c r="C1838" s="40"/>
      <c r="D1838" s="40"/>
      <c r="E1838" s="40"/>
    </row>
    <row r="1839" spans="1:5" ht="12.75" x14ac:dyDescent="0.2">
      <c r="A1839" s="41" t="s">
        <v>1760</v>
      </c>
      <c r="B1839" s="41"/>
      <c r="C1839" s="40"/>
      <c r="D1839" s="40"/>
      <c r="E1839" s="40"/>
    </row>
    <row r="1840" spans="1:5" ht="12.75" x14ac:dyDescent="0.2">
      <c r="A1840" s="41" t="s">
        <v>1762</v>
      </c>
      <c r="B1840" s="40"/>
      <c r="C1840" s="40"/>
      <c r="D1840" s="40"/>
      <c r="E1840" s="40"/>
    </row>
    <row r="1841" spans="1:5" ht="12.75" x14ac:dyDescent="0.2">
      <c r="A1841" s="41" t="s">
        <v>1764</v>
      </c>
      <c r="B1841" s="40"/>
      <c r="C1841" s="40"/>
      <c r="D1841" s="40"/>
      <c r="E1841" s="40"/>
    </row>
    <row r="1842" spans="1:5" ht="12.75" x14ac:dyDescent="0.2">
      <c r="A1842" s="41" t="s">
        <v>1766</v>
      </c>
      <c r="B1842" s="40"/>
      <c r="C1842" s="40"/>
      <c r="D1842" s="40"/>
      <c r="E1842" s="40"/>
    </row>
    <row r="1843" spans="1:5" ht="12.75" x14ac:dyDescent="0.2">
      <c r="A1843" s="41" t="s">
        <v>1768</v>
      </c>
      <c r="B1843" s="40"/>
      <c r="C1843" s="40"/>
      <c r="D1843" s="40"/>
      <c r="E1843" s="40"/>
    </row>
    <row r="1844" spans="1:5" ht="12.75" x14ac:dyDescent="0.2">
      <c r="A1844" s="41"/>
      <c r="B1844" s="41"/>
      <c r="C1844" s="40"/>
      <c r="D1844" s="40"/>
      <c r="E1844" s="40"/>
    </row>
    <row r="1845" spans="1:5" ht="12.75" x14ac:dyDescent="0.2">
      <c r="A1845" s="47" t="s">
        <v>1773</v>
      </c>
      <c r="B1845" s="48"/>
      <c r="C1845" s="48"/>
      <c r="D1845" s="48"/>
      <c r="E1845" s="48"/>
    </row>
    <row r="1846" spans="1:5" ht="25.5" x14ac:dyDescent="0.2">
      <c r="A1846" s="41" t="s">
        <v>193</v>
      </c>
      <c r="B1846" s="41" t="s">
        <v>402</v>
      </c>
      <c r="C1846" s="41" t="s">
        <v>1776</v>
      </c>
      <c r="D1846" s="40"/>
      <c r="E1846" s="40"/>
    </row>
    <row r="1847" spans="1:5" ht="12.75" x14ac:dyDescent="0.2">
      <c r="A1847" s="41" t="s">
        <v>1777</v>
      </c>
      <c r="B1847" s="40"/>
      <c r="C1847" s="40"/>
      <c r="D1847" s="40"/>
      <c r="E1847" s="40"/>
    </row>
    <row r="1848" spans="1:5" ht="12.75" x14ac:dyDescent="0.2">
      <c r="A1848" s="41" t="s">
        <v>1779</v>
      </c>
      <c r="B1848" s="41"/>
      <c r="C1848" s="40"/>
      <c r="D1848" s="40"/>
      <c r="E1848" s="40"/>
    </row>
    <row r="1849" spans="1:5" ht="12.75" x14ac:dyDescent="0.2">
      <c r="A1849" s="41" t="s">
        <v>1781</v>
      </c>
      <c r="B1849" s="40"/>
      <c r="C1849" s="40"/>
      <c r="D1849" s="40"/>
      <c r="E1849" s="40"/>
    </row>
    <row r="1850" spans="1:5" ht="12.75" x14ac:dyDescent="0.2">
      <c r="A1850" s="41" t="s">
        <v>1782</v>
      </c>
      <c r="B1850" s="40"/>
      <c r="C1850" s="40"/>
      <c r="D1850" s="40"/>
      <c r="E1850" s="40"/>
    </row>
    <row r="1851" spans="1:5" ht="12.75" x14ac:dyDescent="0.2">
      <c r="A1851" s="41" t="s">
        <v>1784</v>
      </c>
      <c r="B1851" s="41"/>
      <c r="C1851" s="40"/>
      <c r="D1851" s="40"/>
      <c r="E1851" s="40"/>
    </row>
    <row r="1852" spans="1:5" ht="12.75" x14ac:dyDescent="0.2">
      <c r="A1852" s="41" t="s">
        <v>1787</v>
      </c>
      <c r="B1852" s="40"/>
      <c r="C1852" s="40"/>
      <c r="D1852" s="40"/>
      <c r="E1852" s="40"/>
    </row>
    <row r="1853" spans="1:5" ht="12.75" x14ac:dyDescent="0.2">
      <c r="A1853" s="41" t="s">
        <v>1789</v>
      </c>
      <c r="B1853" s="40"/>
      <c r="C1853" s="40"/>
      <c r="D1853" s="40"/>
      <c r="E1853" s="40"/>
    </row>
    <row r="1854" spans="1:5" ht="12.75" x14ac:dyDescent="0.2">
      <c r="A1854" s="41" t="s">
        <v>1791</v>
      </c>
      <c r="B1854" s="40"/>
      <c r="C1854" s="40"/>
      <c r="D1854" s="40"/>
      <c r="E1854" s="40"/>
    </row>
    <row r="1855" spans="1:5" ht="12.75" x14ac:dyDescent="0.2">
      <c r="A1855" s="41"/>
      <c r="B1855" s="41" t="s">
        <v>403</v>
      </c>
      <c r="C1855" s="41" t="s">
        <v>25</v>
      </c>
      <c r="D1855" s="41" t="s">
        <v>27</v>
      </c>
      <c r="E1855" s="40"/>
    </row>
    <row r="1856" spans="1:5" ht="12.75" x14ac:dyDescent="0.2">
      <c r="A1856" s="41"/>
      <c r="B1856" s="41" t="s">
        <v>403</v>
      </c>
      <c r="C1856" s="41" t="s">
        <v>30</v>
      </c>
      <c r="D1856" s="41" t="s">
        <v>31</v>
      </c>
      <c r="E1856" s="40"/>
    </row>
    <row r="1857" spans="1:5" ht="12.75" x14ac:dyDescent="0.2">
      <c r="A1857" s="41"/>
      <c r="B1857" s="41" t="s">
        <v>403</v>
      </c>
      <c r="C1857" s="41" t="s">
        <v>41</v>
      </c>
      <c r="D1857" s="41" t="s">
        <v>10</v>
      </c>
      <c r="E1857" s="40"/>
    </row>
    <row r="1858" spans="1:5" ht="12.75" x14ac:dyDescent="0.2">
      <c r="A1858" s="41"/>
      <c r="B1858" s="40"/>
      <c r="C1858" s="40"/>
      <c r="D1858" s="40"/>
      <c r="E1858" s="40"/>
    </row>
    <row r="1859" spans="1:5" ht="12.75" x14ac:dyDescent="0.2">
      <c r="A1859" s="47" t="s">
        <v>1806</v>
      </c>
      <c r="B1859" s="48"/>
      <c r="C1859" s="48"/>
      <c r="D1859" s="48"/>
      <c r="E1859" s="48"/>
    </row>
    <row r="1860" spans="1:5" ht="12.75" x14ac:dyDescent="0.2">
      <c r="A1860" s="41" t="s">
        <v>1809</v>
      </c>
      <c r="B1860" s="41" t="s">
        <v>402</v>
      </c>
      <c r="C1860" s="41" t="s">
        <v>1812</v>
      </c>
      <c r="D1860" s="40"/>
      <c r="E1860" s="40"/>
    </row>
    <row r="1861" spans="1:5" ht="12.75" x14ac:dyDescent="0.2">
      <c r="A1861" s="41" t="s">
        <v>1814</v>
      </c>
      <c r="B1861" s="41"/>
      <c r="C1861" s="40"/>
      <c r="D1861" s="40"/>
      <c r="E1861" s="40"/>
    </row>
    <row r="1862" spans="1:5" ht="12.75" x14ac:dyDescent="0.2">
      <c r="A1862" s="41" t="s">
        <v>1816</v>
      </c>
      <c r="B1862" s="40"/>
      <c r="C1862" s="40"/>
      <c r="D1862" s="40"/>
      <c r="E1862" s="40"/>
    </row>
    <row r="1863" spans="1:5" ht="12.75" x14ac:dyDescent="0.2">
      <c r="A1863" s="41" t="s">
        <v>1782</v>
      </c>
      <c r="B1863" s="40"/>
      <c r="C1863" s="40"/>
      <c r="D1863" s="40"/>
      <c r="E1863" s="40"/>
    </row>
    <row r="1864" spans="1:5" ht="12.75" x14ac:dyDescent="0.2">
      <c r="A1864" s="41" t="s">
        <v>1819</v>
      </c>
      <c r="B1864" s="40"/>
      <c r="C1864" s="40"/>
      <c r="D1864" s="40"/>
      <c r="E1864" s="40"/>
    </row>
    <row r="1865" spans="1:5" ht="12.75" x14ac:dyDescent="0.2">
      <c r="A1865" s="41" t="s">
        <v>1821</v>
      </c>
      <c r="B1865" s="40"/>
      <c r="C1865" s="40"/>
      <c r="D1865" s="40"/>
      <c r="E1865" s="40"/>
    </row>
    <row r="1866" spans="1:5" ht="12.75" x14ac:dyDescent="0.2">
      <c r="A1866" s="41" t="s">
        <v>1822</v>
      </c>
      <c r="B1866" s="40"/>
      <c r="C1866" s="40"/>
      <c r="D1866" s="40"/>
      <c r="E1866" s="40"/>
    </row>
    <row r="1867" spans="1:5" ht="12.75" x14ac:dyDescent="0.2">
      <c r="A1867" s="41" t="s">
        <v>1824</v>
      </c>
      <c r="B1867" s="40"/>
      <c r="C1867" s="40"/>
      <c r="D1867" s="40"/>
      <c r="E1867" s="40"/>
    </row>
    <row r="1868" spans="1:5" ht="12.75" x14ac:dyDescent="0.2">
      <c r="A1868" s="41" t="s">
        <v>1826</v>
      </c>
      <c r="B1868" s="41"/>
      <c r="C1868" s="40"/>
      <c r="D1868" s="40"/>
      <c r="E1868" s="40"/>
    </row>
    <row r="1869" spans="1:5" ht="12.75" x14ac:dyDescent="0.2">
      <c r="A1869" s="41" t="s">
        <v>1828</v>
      </c>
      <c r="B1869" s="40"/>
      <c r="C1869" s="40"/>
      <c r="D1869" s="40"/>
      <c r="E1869" s="40"/>
    </row>
    <row r="1870" spans="1:5" ht="12.75" x14ac:dyDescent="0.2">
      <c r="A1870" s="41"/>
      <c r="B1870" s="41"/>
      <c r="C1870" s="41"/>
      <c r="D1870" s="41"/>
      <c r="E1870" s="40"/>
    </row>
    <row r="1871" spans="1:5" ht="12.75" x14ac:dyDescent="0.2">
      <c r="A1871" s="47" t="s">
        <v>1832</v>
      </c>
      <c r="B1871" s="48"/>
      <c r="C1871" s="48"/>
      <c r="D1871" s="48"/>
      <c r="E1871" s="48"/>
    </row>
    <row r="1872" spans="1:5" ht="12.75" x14ac:dyDescent="0.2">
      <c r="A1872" s="41" t="s">
        <v>1834</v>
      </c>
      <c r="B1872" s="41" t="s">
        <v>402</v>
      </c>
      <c r="C1872" s="41" t="s">
        <v>1836</v>
      </c>
      <c r="D1872" s="41"/>
      <c r="E1872" s="40"/>
    </row>
    <row r="1873" spans="1:5" ht="12.75" x14ac:dyDescent="0.2">
      <c r="A1873" s="41" t="s">
        <v>1838</v>
      </c>
      <c r="B1873" s="40"/>
      <c r="C1873" s="40"/>
      <c r="D1873" s="40"/>
      <c r="E1873" s="40"/>
    </row>
    <row r="1874" spans="1:5" ht="12.75" x14ac:dyDescent="0.2">
      <c r="A1874" s="41" t="s">
        <v>1840</v>
      </c>
      <c r="B1874" s="40"/>
      <c r="C1874" s="40"/>
      <c r="D1874" s="40"/>
      <c r="E1874" s="40"/>
    </row>
    <row r="1875" spans="1:5" ht="12.75" x14ac:dyDescent="0.2">
      <c r="A1875" s="41" t="s">
        <v>1842</v>
      </c>
      <c r="B1875" s="41"/>
      <c r="C1875" s="40"/>
      <c r="D1875" s="40"/>
      <c r="E1875" s="40"/>
    </row>
    <row r="1876" spans="1:5" ht="12.75" x14ac:dyDescent="0.2">
      <c r="A1876" s="41" t="s">
        <v>1844</v>
      </c>
      <c r="B1876" s="41"/>
      <c r="C1876" s="40"/>
      <c r="D1876" s="40"/>
      <c r="E1876" s="40"/>
    </row>
    <row r="1877" spans="1:5" ht="12.75" x14ac:dyDescent="0.2">
      <c r="A1877" s="41" t="s">
        <v>1846</v>
      </c>
      <c r="B1877" s="40"/>
      <c r="C1877" s="40"/>
      <c r="D1877" s="40"/>
      <c r="E1877" s="40"/>
    </row>
    <row r="1878" spans="1:5" ht="12.75" x14ac:dyDescent="0.2">
      <c r="A1878" s="41" t="s">
        <v>1848</v>
      </c>
      <c r="B1878" s="40"/>
      <c r="C1878" s="40"/>
      <c r="D1878" s="40"/>
      <c r="E1878" s="40"/>
    </row>
    <row r="1879" spans="1:5" ht="12.75" x14ac:dyDescent="0.2">
      <c r="A1879" s="41"/>
      <c r="B1879" s="40"/>
      <c r="C1879" s="40"/>
      <c r="D1879" s="40"/>
      <c r="E1879" s="40"/>
    </row>
    <row r="1880" spans="1:5" ht="12.75" x14ac:dyDescent="0.2">
      <c r="A1880" s="47" t="s">
        <v>1851</v>
      </c>
      <c r="B1880" s="48"/>
      <c r="C1880" s="48"/>
      <c r="D1880" s="48"/>
      <c r="E1880" s="48"/>
    </row>
    <row r="1881" spans="1:5" ht="12.75" x14ac:dyDescent="0.2">
      <c r="A1881" s="41" t="s">
        <v>1853</v>
      </c>
      <c r="B1881" s="41" t="s">
        <v>402</v>
      </c>
      <c r="C1881" s="41" t="s">
        <v>1856</v>
      </c>
      <c r="D1881" s="40"/>
      <c r="E1881" s="40"/>
    </row>
    <row r="1882" spans="1:5" ht="12.75" x14ac:dyDescent="0.2">
      <c r="A1882" s="41" t="s">
        <v>1858</v>
      </c>
      <c r="B1882" s="40"/>
      <c r="C1882" s="40"/>
      <c r="D1882" s="40"/>
      <c r="E1882" s="40"/>
    </row>
    <row r="1883" spans="1:5" ht="12.75" x14ac:dyDescent="0.2">
      <c r="A1883" s="41" t="s">
        <v>1859</v>
      </c>
      <c r="B1883" s="40"/>
      <c r="C1883" s="40"/>
      <c r="D1883" s="40"/>
      <c r="E1883" s="40"/>
    </row>
    <row r="1884" spans="1:5" ht="12.75" x14ac:dyDescent="0.2">
      <c r="A1884" s="41" t="s">
        <v>1860</v>
      </c>
      <c r="B1884" s="40"/>
      <c r="C1884" s="40"/>
      <c r="D1884" s="40"/>
      <c r="E1884" s="40"/>
    </row>
    <row r="1885" spans="1:5" ht="12.75" x14ac:dyDescent="0.2">
      <c r="A1885" s="41" t="s">
        <v>1861</v>
      </c>
      <c r="B1885" s="40"/>
      <c r="C1885" s="40"/>
      <c r="D1885" s="40"/>
      <c r="E1885" s="40"/>
    </row>
    <row r="1886" spans="1:5" ht="12.75" x14ac:dyDescent="0.2">
      <c r="A1886" s="41"/>
      <c r="B1886" s="41"/>
      <c r="C1886" s="40"/>
      <c r="D1886" s="40"/>
      <c r="E1886" s="40"/>
    </row>
    <row r="1887" spans="1:5" ht="12.75" x14ac:dyDescent="0.2">
      <c r="A1887" s="47" t="s">
        <v>1862</v>
      </c>
      <c r="B1887" s="48"/>
      <c r="C1887" s="48"/>
      <c r="D1887" s="48"/>
      <c r="E1887" s="48"/>
    </row>
    <row r="1888" spans="1:5" ht="12.75" x14ac:dyDescent="0.2">
      <c r="A1888" s="41" t="s">
        <v>1863</v>
      </c>
      <c r="B1888" s="41" t="s">
        <v>402</v>
      </c>
      <c r="C1888" s="41" t="s">
        <v>1864</v>
      </c>
      <c r="D1888" s="40"/>
      <c r="E1888" s="40"/>
    </row>
    <row r="1889" spans="1:5" ht="12.75" x14ac:dyDescent="0.2">
      <c r="A1889" s="41" t="s">
        <v>1865</v>
      </c>
      <c r="B1889" s="40"/>
      <c r="C1889" s="40"/>
      <c r="D1889" s="40"/>
      <c r="E1889" s="40"/>
    </row>
    <row r="1890" spans="1:5" ht="12.75" x14ac:dyDescent="0.2">
      <c r="A1890" s="41" t="s">
        <v>1866</v>
      </c>
      <c r="B1890" s="40"/>
      <c r="C1890" s="40"/>
      <c r="D1890" s="40"/>
      <c r="E1890" s="40"/>
    </row>
    <row r="1891" spans="1:5" ht="12.75" x14ac:dyDescent="0.2">
      <c r="A1891" s="41" t="s">
        <v>1867</v>
      </c>
      <c r="B1891" s="40"/>
      <c r="C1891" s="40"/>
      <c r="D1891" s="40"/>
      <c r="E1891" s="40"/>
    </row>
    <row r="1892" spans="1:5" ht="12.75" x14ac:dyDescent="0.2">
      <c r="A1892" s="41" t="s">
        <v>1868</v>
      </c>
      <c r="B1892" s="40"/>
      <c r="C1892" s="40"/>
      <c r="D1892" s="40"/>
      <c r="E1892" s="40"/>
    </row>
    <row r="1893" spans="1:5" ht="12.75" x14ac:dyDescent="0.2">
      <c r="A1893" s="41" t="s">
        <v>1869</v>
      </c>
      <c r="B1893" s="40"/>
      <c r="C1893" s="40"/>
      <c r="D1893" s="40"/>
      <c r="E1893" s="40"/>
    </row>
    <row r="1894" spans="1:5" ht="12.75" x14ac:dyDescent="0.2">
      <c r="A1894" s="41"/>
      <c r="B1894" s="41" t="s">
        <v>422</v>
      </c>
      <c r="C1894" s="41" t="s">
        <v>1870</v>
      </c>
      <c r="D1894" s="41" t="s">
        <v>489</v>
      </c>
      <c r="E1894" s="40"/>
    </row>
    <row r="1895" spans="1:5" ht="12.75" x14ac:dyDescent="0.2">
      <c r="A1895" s="41"/>
      <c r="B1895" s="41"/>
      <c r="C1895" s="41"/>
      <c r="D1895" s="41"/>
      <c r="E1895" s="40"/>
    </row>
    <row r="1896" spans="1:5" ht="12.75" x14ac:dyDescent="0.2">
      <c r="A1896" s="47" t="s">
        <v>1871</v>
      </c>
      <c r="B1896" s="48"/>
      <c r="C1896" s="48"/>
      <c r="D1896" s="48"/>
      <c r="E1896" s="48"/>
    </row>
    <row r="1897" spans="1:5" ht="12.75" x14ac:dyDescent="0.2">
      <c r="A1897" s="41" t="s">
        <v>1872</v>
      </c>
      <c r="B1897" s="41" t="s">
        <v>402</v>
      </c>
      <c r="C1897" s="41" t="s">
        <v>1873</v>
      </c>
      <c r="D1897" s="41"/>
      <c r="E1897" s="40"/>
    </row>
    <row r="1898" spans="1:5" ht="12.75" x14ac:dyDescent="0.2">
      <c r="A1898" s="41" t="s">
        <v>1874</v>
      </c>
      <c r="B1898" s="40"/>
      <c r="C1898" s="40"/>
      <c r="D1898" s="40"/>
      <c r="E1898" s="40"/>
    </row>
    <row r="1899" spans="1:5" ht="12.75" x14ac:dyDescent="0.2">
      <c r="A1899" s="41" t="s">
        <v>1875</v>
      </c>
      <c r="B1899" s="40"/>
      <c r="C1899" s="40"/>
      <c r="D1899" s="40"/>
      <c r="E1899" s="40"/>
    </row>
    <row r="1900" spans="1:5" ht="12.75" x14ac:dyDescent="0.2">
      <c r="A1900" s="41" t="s">
        <v>1876</v>
      </c>
      <c r="B1900" s="41"/>
      <c r="C1900" s="40"/>
      <c r="D1900" s="40"/>
      <c r="E1900" s="40"/>
    </row>
    <row r="1901" spans="1:5" ht="12.75" x14ac:dyDescent="0.2">
      <c r="A1901" s="41" t="s">
        <v>1877</v>
      </c>
      <c r="B1901" s="40"/>
      <c r="C1901" s="40"/>
      <c r="D1901" s="40"/>
      <c r="E1901" s="40"/>
    </row>
    <row r="1902" spans="1:5" ht="12.75" x14ac:dyDescent="0.2">
      <c r="A1902" s="41" t="s">
        <v>1878</v>
      </c>
      <c r="B1902" s="40"/>
      <c r="C1902" s="40"/>
      <c r="D1902" s="40"/>
      <c r="E1902" s="40"/>
    </row>
    <row r="1903" spans="1:5" ht="12.75" x14ac:dyDescent="0.2">
      <c r="A1903" s="41" t="s">
        <v>1879</v>
      </c>
      <c r="B1903" s="40"/>
      <c r="C1903" s="40"/>
      <c r="D1903" s="40"/>
      <c r="E1903" s="40"/>
    </row>
    <row r="1904" spans="1:5" ht="12.75" x14ac:dyDescent="0.2">
      <c r="A1904" s="41"/>
      <c r="B1904" s="41"/>
      <c r="C1904" s="40"/>
      <c r="D1904" s="40"/>
      <c r="E1904" s="40"/>
    </row>
    <row r="1905" spans="1:5" ht="12.75" x14ac:dyDescent="0.2">
      <c r="A1905" s="47" t="s">
        <v>1880</v>
      </c>
      <c r="B1905" s="48"/>
      <c r="C1905" s="48"/>
      <c r="D1905" s="48"/>
      <c r="E1905" s="48"/>
    </row>
    <row r="1906" spans="1:5" ht="12.75" x14ac:dyDescent="0.2">
      <c r="A1906" s="41" t="s">
        <v>1881</v>
      </c>
      <c r="B1906" s="41" t="s">
        <v>402</v>
      </c>
      <c r="C1906" s="41" t="s">
        <v>1882</v>
      </c>
      <c r="D1906" s="40"/>
      <c r="E1906" s="40"/>
    </row>
    <row r="1907" spans="1:5" ht="12.75" x14ac:dyDescent="0.2">
      <c r="A1907" s="41" t="s">
        <v>1883</v>
      </c>
      <c r="B1907" s="40"/>
      <c r="C1907" s="40"/>
      <c r="D1907" s="40"/>
      <c r="E1907" s="40"/>
    </row>
    <row r="1908" spans="1:5" ht="12.75" x14ac:dyDescent="0.2">
      <c r="A1908" s="41" t="s">
        <v>1884</v>
      </c>
      <c r="B1908" s="40"/>
      <c r="C1908" s="40"/>
      <c r="D1908" s="40"/>
      <c r="E1908" s="40"/>
    </row>
    <row r="1909" spans="1:5" ht="12.75" x14ac:dyDescent="0.2">
      <c r="A1909" s="41" t="s">
        <v>1885</v>
      </c>
      <c r="B1909" s="40"/>
      <c r="C1909" s="40"/>
      <c r="D1909" s="40"/>
      <c r="E1909" s="40"/>
    </row>
    <row r="1910" spans="1:5" ht="12.75" x14ac:dyDescent="0.2">
      <c r="A1910" s="41" t="s">
        <v>1886</v>
      </c>
      <c r="B1910" s="40"/>
      <c r="C1910" s="40"/>
      <c r="D1910" s="40"/>
      <c r="E1910" s="40"/>
    </row>
    <row r="1911" spans="1:5" ht="12.75" x14ac:dyDescent="0.2">
      <c r="A1911" s="41" t="s">
        <v>1887</v>
      </c>
      <c r="B1911" s="40"/>
      <c r="C1911" s="40"/>
      <c r="D1911" s="40"/>
      <c r="E1911" s="40"/>
    </row>
    <row r="1912" spans="1:5" ht="12.75" x14ac:dyDescent="0.2">
      <c r="A1912" s="41"/>
      <c r="B1912" s="40"/>
      <c r="C1912" s="40"/>
      <c r="D1912" s="40"/>
      <c r="E1912" s="40"/>
    </row>
    <row r="1913" spans="1:5" ht="12.75" x14ac:dyDescent="0.2">
      <c r="A1913" s="47" t="s">
        <v>1888</v>
      </c>
      <c r="B1913" s="48"/>
      <c r="C1913" s="48"/>
      <c r="D1913" s="48"/>
      <c r="E1913" s="48"/>
    </row>
    <row r="1914" spans="1:5" ht="12.75" x14ac:dyDescent="0.2">
      <c r="A1914" s="41" t="s">
        <v>1889</v>
      </c>
      <c r="B1914" s="41" t="s">
        <v>402</v>
      </c>
      <c r="C1914" s="41" t="s">
        <v>1890</v>
      </c>
      <c r="D1914" s="40"/>
      <c r="E1914" s="40"/>
    </row>
    <row r="1915" spans="1:5" ht="12.75" x14ac:dyDescent="0.2">
      <c r="A1915" s="41" t="s">
        <v>1891</v>
      </c>
      <c r="B1915" s="40"/>
      <c r="C1915" s="40"/>
      <c r="D1915" s="40"/>
      <c r="E1915" s="40"/>
    </row>
    <row r="1916" spans="1:5" ht="12.75" x14ac:dyDescent="0.2">
      <c r="A1916" s="41" t="s">
        <v>1892</v>
      </c>
      <c r="B1916" s="40"/>
      <c r="C1916" s="40"/>
      <c r="D1916" s="40"/>
      <c r="E1916" s="40"/>
    </row>
    <row r="1917" spans="1:5" ht="12.75" x14ac:dyDescent="0.2">
      <c r="A1917" s="41" t="s">
        <v>267</v>
      </c>
      <c r="B1917" s="40"/>
      <c r="C1917" s="40"/>
      <c r="D1917" s="40"/>
      <c r="E1917" s="40"/>
    </row>
    <row r="1918" spans="1:5" ht="12.75" x14ac:dyDescent="0.2">
      <c r="A1918" s="41" t="s">
        <v>1893</v>
      </c>
      <c r="B1918" s="40"/>
      <c r="C1918" s="40"/>
      <c r="D1918" s="40"/>
      <c r="E1918" s="40"/>
    </row>
    <row r="1919" spans="1:5" ht="12.75" x14ac:dyDescent="0.2">
      <c r="A1919" s="41" t="s">
        <v>1894</v>
      </c>
      <c r="B1919" s="40"/>
      <c r="C1919" s="40"/>
      <c r="D1919" s="40"/>
      <c r="E1919" s="40"/>
    </row>
    <row r="1920" spans="1:5" ht="12.75" x14ac:dyDescent="0.2">
      <c r="A1920" s="41" t="s">
        <v>1895</v>
      </c>
      <c r="B1920" s="40"/>
      <c r="C1920" s="40"/>
      <c r="D1920" s="40"/>
      <c r="E1920" s="40"/>
    </row>
    <row r="1921" spans="1:5" ht="12.75" x14ac:dyDescent="0.2">
      <c r="A1921" s="41" t="s">
        <v>1896</v>
      </c>
      <c r="B1921" s="40"/>
      <c r="C1921" s="40"/>
      <c r="D1921" s="40"/>
      <c r="E1921" s="40"/>
    </row>
    <row r="1922" spans="1:5" ht="12.75" x14ac:dyDescent="0.2">
      <c r="A1922" s="41"/>
      <c r="B1922" s="41"/>
      <c r="C1922" s="40"/>
      <c r="D1922" s="40"/>
      <c r="E1922" s="40"/>
    </row>
    <row r="1923" spans="1:5" ht="12.75" x14ac:dyDescent="0.2">
      <c r="A1923" s="47" t="s">
        <v>1897</v>
      </c>
      <c r="B1923" s="48"/>
      <c r="C1923" s="48"/>
      <c r="D1923" s="48"/>
      <c r="E1923" s="48"/>
    </row>
    <row r="1924" spans="1:5" ht="12.75" x14ac:dyDescent="0.2">
      <c r="A1924" s="41" t="s">
        <v>1898</v>
      </c>
      <c r="B1924" s="41" t="s">
        <v>402</v>
      </c>
      <c r="C1924" s="41" t="s">
        <v>1899</v>
      </c>
      <c r="D1924" s="40"/>
      <c r="E1924" s="40"/>
    </row>
    <row r="1925" spans="1:5" ht="12.75" x14ac:dyDescent="0.2">
      <c r="A1925" s="41" t="s">
        <v>1900</v>
      </c>
      <c r="B1925" s="40"/>
      <c r="C1925" s="40"/>
      <c r="D1925" s="40"/>
      <c r="E1925" s="40"/>
    </row>
    <row r="1926" spans="1:5" ht="12.75" x14ac:dyDescent="0.2">
      <c r="A1926" s="41" t="s">
        <v>154</v>
      </c>
      <c r="B1926" s="40"/>
      <c r="C1926" s="40"/>
      <c r="D1926" s="40"/>
      <c r="E1926" s="40"/>
    </row>
    <row r="1927" spans="1:5" ht="12.75" x14ac:dyDescent="0.2">
      <c r="A1927" s="41" t="s">
        <v>1901</v>
      </c>
      <c r="B1927" s="40"/>
      <c r="C1927" s="40"/>
      <c r="D1927" s="40"/>
      <c r="E1927" s="40"/>
    </row>
    <row r="1928" spans="1:5" ht="12.75" x14ac:dyDescent="0.2">
      <c r="A1928" s="41" t="s">
        <v>1902</v>
      </c>
      <c r="B1928" s="41"/>
      <c r="C1928" s="40"/>
      <c r="D1928" s="40"/>
      <c r="E1928" s="40"/>
    </row>
    <row r="1929" spans="1:5" ht="12.75" x14ac:dyDescent="0.2">
      <c r="A1929" s="41" t="s">
        <v>1903</v>
      </c>
      <c r="B1929" s="40"/>
      <c r="C1929" s="40"/>
      <c r="D1929" s="40"/>
      <c r="E1929" s="40"/>
    </row>
    <row r="1930" spans="1:5" ht="12.75" x14ac:dyDescent="0.2">
      <c r="A1930" s="41"/>
      <c r="B1930" s="40"/>
      <c r="C1930" s="40"/>
      <c r="D1930" s="40"/>
      <c r="E1930" s="40"/>
    </row>
    <row r="1931" spans="1:5" ht="12.75" x14ac:dyDescent="0.2">
      <c r="A1931" s="47" t="s">
        <v>1904</v>
      </c>
      <c r="B1931" s="48"/>
      <c r="C1931" s="48"/>
      <c r="D1931" s="48"/>
      <c r="E1931" s="48"/>
    </row>
    <row r="1932" spans="1:5" ht="12.75" x14ac:dyDescent="0.2">
      <c r="A1932" s="41" t="s">
        <v>1905</v>
      </c>
      <c r="B1932" s="41" t="s">
        <v>402</v>
      </c>
      <c r="C1932" s="41" t="s">
        <v>1906</v>
      </c>
      <c r="D1932" s="40"/>
      <c r="E1932" s="40"/>
    </row>
    <row r="1933" spans="1:5" ht="12.75" x14ac:dyDescent="0.2">
      <c r="A1933" s="41" t="s">
        <v>1907</v>
      </c>
      <c r="B1933" s="40"/>
      <c r="C1933" s="40"/>
      <c r="D1933" s="40"/>
      <c r="E1933" s="40"/>
    </row>
    <row r="1934" spans="1:5" ht="12.75" x14ac:dyDescent="0.2">
      <c r="A1934" s="41" t="s">
        <v>1908</v>
      </c>
      <c r="B1934" s="40"/>
      <c r="C1934" s="40"/>
      <c r="D1934" s="40"/>
      <c r="E1934" s="40"/>
    </row>
    <row r="1935" spans="1:5" ht="12.75" x14ac:dyDescent="0.2">
      <c r="A1935" s="41" t="s">
        <v>1909</v>
      </c>
      <c r="B1935" s="40"/>
      <c r="C1935" s="40"/>
      <c r="D1935" s="40"/>
      <c r="E1935" s="40"/>
    </row>
    <row r="1936" spans="1:5" ht="12.75" x14ac:dyDescent="0.2">
      <c r="A1936" s="41" t="s">
        <v>1910</v>
      </c>
      <c r="B1936" s="40"/>
      <c r="C1936" s="40"/>
      <c r="D1936" s="40"/>
      <c r="E1936" s="40"/>
    </row>
    <row r="1937" spans="1:5" ht="12.75" x14ac:dyDescent="0.2">
      <c r="A1937" s="41" t="s">
        <v>1911</v>
      </c>
      <c r="B1937" s="40"/>
      <c r="C1937" s="40"/>
      <c r="D1937" s="40"/>
      <c r="E1937" s="40"/>
    </row>
    <row r="1938" spans="1:5" ht="12.75" x14ac:dyDescent="0.2">
      <c r="A1938" s="41" t="s">
        <v>1912</v>
      </c>
      <c r="B1938" s="40"/>
      <c r="C1938" s="40"/>
      <c r="D1938" s="40"/>
      <c r="E1938" s="40"/>
    </row>
    <row r="1939" spans="1:5" ht="12.75" x14ac:dyDescent="0.2">
      <c r="A1939" s="41" t="s">
        <v>1913</v>
      </c>
      <c r="B1939" s="41"/>
      <c r="C1939" s="40"/>
      <c r="D1939" s="40"/>
      <c r="E1939" s="40"/>
    </row>
    <row r="1940" spans="1:5" ht="12.75" x14ac:dyDescent="0.2">
      <c r="A1940" s="41"/>
      <c r="B1940" s="41"/>
      <c r="C1940" s="40"/>
      <c r="D1940" s="40"/>
      <c r="E1940" s="40"/>
    </row>
    <row r="1941" spans="1:5" ht="12.75" x14ac:dyDescent="0.2">
      <c r="A1941" s="47" t="s">
        <v>1914</v>
      </c>
      <c r="B1941" s="48"/>
      <c r="C1941" s="48"/>
      <c r="D1941" s="48"/>
      <c r="E1941" s="48"/>
    </row>
    <row r="1942" spans="1:5" ht="12.75" x14ac:dyDescent="0.2">
      <c r="A1942" s="41" t="s">
        <v>1915</v>
      </c>
      <c r="B1942" s="41" t="s">
        <v>402</v>
      </c>
      <c r="C1942" s="41" t="s">
        <v>1916</v>
      </c>
      <c r="D1942" s="40"/>
      <c r="E1942" s="40"/>
    </row>
    <row r="1943" spans="1:5" ht="12.75" x14ac:dyDescent="0.2">
      <c r="A1943" s="41" t="s">
        <v>1917</v>
      </c>
      <c r="B1943" s="40"/>
      <c r="C1943" s="40"/>
      <c r="D1943" s="40"/>
      <c r="E1943" s="40"/>
    </row>
    <row r="1944" spans="1:5" ht="12.75" x14ac:dyDescent="0.2">
      <c r="A1944" s="41" t="s">
        <v>1918</v>
      </c>
      <c r="B1944" s="40"/>
      <c r="C1944" s="40"/>
      <c r="D1944" s="40"/>
      <c r="E1944" s="40"/>
    </row>
    <row r="1945" spans="1:5" ht="12.75" x14ac:dyDescent="0.2">
      <c r="A1945" s="41" t="s">
        <v>1919</v>
      </c>
      <c r="B1945" s="40"/>
      <c r="C1945" s="40"/>
      <c r="D1945" s="40"/>
      <c r="E1945" s="40"/>
    </row>
    <row r="1946" spans="1:5" ht="12.75" x14ac:dyDescent="0.2">
      <c r="A1946" s="41" t="s">
        <v>1920</v>
      </c>
      <c r="B1946" s="40"/>
      <c r="C1946" s="40"/>
      <c r="D1946" s="40"/>
      <c r="E1946" s="40"/>
    </row>
    <row r="1947" spans="1:5" ht="12.75" x14ac:dyDescent="0.2">
      <c r="A1947" s="41" t="s">
        <v>1921</v>
      </c>
      <c r="B1947" s="41"/>
      <c r="C1947" s="40"/>
      <c r="D1947" s="40"/>
      <c r="E1947" s="40"/>
    </row>
    <row r="1948" spans="1:5" ht="12.75" x14ac:dyDescent="0.2">
      <c r="A1948" s="41" t="s">
        <v>1922</v>
      </c>
      <c r="B1948" s="40"/>
      <c r="C1948" s="40"/>
      <c r="D1948" s="40"/>
      <c r="E1948" s="40"/>
    </row>
    <row r="1949" spans="1:5" ht="12.75" x14ac:dyDescent="0.2">
      <c r="A1949" s="41"/>
      <c r="B1949" s="40"/>
      <c r="C1949" s="40"/>
      <c r="D1949" s="40"/>
      <c r="E1949" s="40"/>
    </row>
    <row r="1950" spans="1:5" ht="12.75" x14ac:dyDescent="0.2">
      <c r="A1950" s="47" t="s">
        <v>1923</v>
      </c>
      <c r="B1950" s="48"/>
      <c r="C1950" s="48"/>
      <c r="D1950" s="48"/>
      <c r="E1950" s="48"/>
    </row>
    <row r="1951" spans="1:5" ht="12.75" x14ac:dyDescent="0.2">
      <c r="A1951" s="41" t="s">
        <v>1924</v>
      </c>
      <c r="B1951" s="41" t="s">
        <v>402</v>
      </c>
      <c r="C1951" s="41" t="s">
        <v>1925</v>
      </c>
      <c r="D1951" s="40"/>
      <c r="E1951" s="40"/>
    </row>
    <row r="1952" spans="1:5" ht="12.75" x14ac:dyDescent="0.2">
      <c r="A1952" s="41" t="s">
        <v>1926</v>
      </c>
      <c r="B1952" s="40"/>
      <c r="C1952" s="40"/>
      <c r="D1952" s="40"/>
      <c r="E1952" s="40"/>
    </row>
    <row r="1953" spans="1:5" ht="12.75" x14ac:dyDescent="0.2">
      <c r="A1953" s="41" t="s">
        <v>1927</v>
      </c>
      <c r="B1953" s="40"/>
      <c r="C1953" s="40"/>
      <c r="D1953" s="40"/>
      <c r="E1953" s="40"/>
    </row>
    <row r="1954" spans="1:5" ht="12.75" x14ac:dyDescent="0.2">
      <c r="A1954" s="41" t="s">
        <v>1928</v>
      </c>
      <c r="B1954" s="41"/>
      <c r="C1954" s="40"/>
      <c r="D1954" s="40"/>
      <c r="E1954" s="40"/>
    </row>
    <row r="1955" spans="1:5" ht="12.75" x14ac:dyDescent="0.2">
      <c r="A1955" s="41" t="s">
        <v>1929</v>
      </c>
      <c r="B1955" s="40"/>
      <c r="C1955" s="40"/>
      <c r="D1955" s="40"/>
      <c r="E1955" s="40"/>
    </row>
    <row r="1956" spans="1:5" ht="12.75" x14ac:dyDescent="0.2">
      <c r="A1956" s="41" t="s">
        <v>1930</v>
      </c>
      <c r="B1956" s="40"/>
      <c r="C1956" s="40"/>
      <c r="D1956" s="40"/>
      <c r="E1956" s="40"/>
    </row>
    <row r="1957" spans="1:5" ht="12.75" x14ac:dyDescent="0.2">
      <c r="A1957" s="41" t="s">
        <v>1931</v>
      </c>
      <c r="B1957" s="40"/>
      <c r="C1957" s="40"/>
      <c r="D1957" s="40"/>
      <c r="E1957" s="40"/>
    </row>
    <row r="1958" spans="1:5" ht="12.75" x14ac:dyDescent="0.2">
      <c r="A1958" s="41"/>
      <c r="B1958" s="40"/>
      <c r="C1958" s="40"/>
      <c r="D1958" s="40"/>
      <c r="E1958" s="40"/>
    </row>
    <row r="1959" spans="1:5" ht="12.75" x14ac:dyDescent="0.2">
      <c r="A1959" s="47" t="s">
        <v>1932</v>
      </c>
      <c r="B1959" s="48"/>
      <c r="C1959" s="48"/>
      <c r="D1959" s="48"/>
      <c r="E1959" s="48"/>
    </row>
    <row r="1960" spans="1:5" ht="12.75" x14ac:dyDescent="0.2">
      <c r="A1960" s="41" t="s">
        <v>1933</v>
      </c>
      <c r="B1960" s="41" t="s">
        <v>402</v>
      </c>
      <c r="C1960" s="41" t="s">
        <v>1934</v>
      </c>
      <c r="D1960" s="40"/>
      <c r="E1960" s="40"/>
    </row>
    <row r="1961" spans="1:5" ht="12.75" x14ac:dyDescent="0.2">
      <c r="A1961" s="41" t="s">
        <v>1935</v>
      </c>
      <c r="B1961" s="40"/>
      <c r="C1961" s="40"/>
      <c r="D1961" s="40"/>
      <c r="E1961" s="40"/>
    </row>
    <row r="1962" spans="1:5" ht="12.75" x14ac:dyDescent="0.2">
      <c r="A1962" s="41" t="s">
        <v>1936</v>
      </c>
      <c r="B1962" s="41"/>
      <c r="C1962" s="40"/>
      <c r="D1962" s="40"/>
      <c r="E1962" s="40"/>
    </row>
    <row r="1963" spans="1:5" ht="12.75" x14ac:dyDescent="0.2">
      <c r="A1963" s="41" t="s">
        <v>1937</v>
      </c>
      <c r="B1963" s="40"/>
      <c r="C1963" s="40"/>
      <c r="D1963" s="40"/>
      <c r="E1963" s="40"/>
    </row>
    <row r="1964" spans="1:5" ht="12.75" x14ac:dyDescent="0.2">
      <c r="A1964" s="41"/>
      <c r="B1964" s="40"/>
      <c r="C1964" s="40"/>
      <c r="D1964" s="40"/>
      <c r="E1964" s="40"/>
    </row>
    <row r="1965" spans="1:5" ht="12.75" x14ac:dyDescent="0.2">
      <c r="A1965" s="47" t="s">
        <v>1938</v>
      </c>
      <c r="B1965" s="48"/>
      <c r="C1965" s="48"/>
      <c r="D1965" s="48"/>
      <c r="E1965" s="48"/>
    </row>
    <row r="1966" spans="1:5" ht="12.75" x14ac:dyDescent="0.2">
      <c r="A1966" s="41" t="s">
        <v>1939</v>
      </c>
      <c r="B1966" s="41" t="s">
        <v>402</v>
      </c>
      <c r="C1966" s="41" t="s">
        <v>1940</v>
      </c>
      <c r="D1966" s="40"/>
      <c r="E1966" s="40"/>
    </row>
    <row r="1967" spans="1:5" ht="12.75" x14ac:dyDescent="0.2">
      <c r="A1967" s="41" t="s">
        <v>1941</v>
      </c>
      <c r="B1967" s="41"/>
      <c r="C1967" s="41"/>
      <c r="D1967" s="41"/>
      <c r="E1967" s="40"/>
    </row>
    <row r="1968" spans="1:5" ht="12.75" x14ac:dyDescent="0.2">
      <c r="A1968" s="41" t="s">
        <v>1942</v>
      </c>
      <c r="B1968" s="41"/>
      <c r="C1968" s="41"/>
      <c r="D1968" s="41"/>
      <c r="E1968" s="40"/>
    </row>
    <row r="1969" spans="1:5" ht="12.75" x14ac:dyDescent="0.2">
      <c r="A1969" s="41" t="s">
        <v>1943</v>
      </c>
      <c r="B1969" s="41"/>
      <c r="C1969" s="41"/>
      <c r="D1969" s="41"/>
      <c r="E1969" s="40"/>
    </row>
    <row r="1970" spans="1:5" ht="12.75" x14ac:dyDescent="0.2">
      <c r="A1970" s="41" t="s">
        <v>1944</v>
      </c>
      <c r="B1970" s="41"/>
      <c r="C1970" s="40"/>
      <c r="D1970" s="40"/>
      <c r="E1970" s="40"/>
    </row>
    <row r="1971" spans="1:5" ht="12.75" x14ac:dyDescent="0.2">
      <c r="A1971" s="41" t="s">
        <v>1945</v>
      </c>
      <c r="B1971" s="40"/>
      <c r="C1971" s="40"/>
      <c r="D1971" s="40"/>
      <c r="E1971" s="40"/>
    </row>
    <row r="1972" spans="1:5" ht="12.75" x14ac:dyDescent="0.2">
      <c r="A1972" s="41" t="s">
        <v>1946</v>
      </c>
      <c r="B1972" s="41"/>
      <c r="C1972" s="40"/>
      <c r="D1972" s="40"/>
      <c r="E1972" s="40"/>
    </row>
    <row r="1973" spans="1:5" ht="12.75" x14ac:dyDescent="0.2">
      <c r="A1973" s="41" t="s">
        <v>1947</v>
      </c>
      <c r="B1973" s="40"/>
      <c r="C1973" s="40"/>
      <c r="D1973" s="40"/>
      <c r="E1973" s="40"/>
    </row>
    <row r="1974" spans="1:5" ht="12.75" x14ac:dyDescent="0.2">
      <c r="A1974" s="41" t="s">
        <v>1948</v>
      </c>
      <c r="B1974" s="40"/>
      <c r="C1974" s="40"/>
      <c r="D1974" s="40"/>
      <c r="E1974" s="40"/>
    </row>
    <row r="1975" spans="1:5" ht="12.75" x14ac:dyDescent="0.2">
      <c r="A1975" s="41"/>
      <c r="B1975" s="40"/>
      <c r="C1975" s="40"/>
      <c r="D1975" s="40"/>
      <c r="E1975" s="40"/>
    </row>
    <row r="1976" spans="1:5" ht="12.75" x14ac:dyDescent="0.2">
      <c r="A1976" s="47" t="s">
        <v>1949</v>
      </c>
      <c r="B1976" s="48"/>
      <c r="C1976" s="48"/>
      <c r="D1976" s="48"/>
      <c r="E1976" s="48"/>
    </row>
    <row r="1977" spans="1:5" ht="12.75" x14ac:dyDescent="0.2">
      <c r="A1977" s="41" t="s">
        <v>1950</v>
      </c>
      <c r="B1977" s="41" t="s">
        <v>402</v>
      </c>
      <c r="C1977" s="41" t="s">
        <v>1951</v>
      </c>
      <c r="D1977" s="40"/>
      <c r="E1977" s="40"/>
    </row>
    <row r="1978" spans="1:5" ht="12.75" x14ac:dyDescent="0.2">
      <c r="A1978" s="41" t="s">
        <v>1952</v>
      </c>
      <c r="B1978" s="40"/>
      <c r="C1978" s="40"/>
      <c r="D1978" s="40"/>
      <c r="E1978" s="40"/>
    </row>
    <row r="1979" spans="1:5" ht="12.75" x14ac:dyDescent="0.2">
      <c r="A1979" s="41" t="s">
        <v>1953</v>
      </c>
      <c r="B1979" s="41"/>
      <c r="C1979" s="40"/>
      <c r="D1979" s="40"/>
      <c r="E1979" s="40"/>
    </row>
    <row r="1980" spans="1:5" ht="12.75" x14ac:dyDescent="0.2">
      <c r="A1980" s="41" t="s">
        <v>1954</v>
      </c>
      <c r="B1980" s="40"/>
      <c r="C1980" s="40"/>
      <c r="D1980" s="40"/>
      <c r="E1980" s="40"/>
    </row>
    <row r="1981" spans="1:5" ht="12.75" x14ac:dyDescent="0.2">
      <c r="A1981" s="41" t="s">
        <v>1955</v>
      </c>
      <c r="B1981" s="40"/>
      <c r="C1981" s="40"/>
      <c r="D1981" s="40"/>
      <c r="E1981" s="40"/>
    </row>
    <row r="1982" spans="1:5" ht="12.75" x14ac:dyDescent="0.2">
      <c r="A1982" s="41" t="s">
        <v>1956</v>
      </c>
      <c r="B1982" s="40"/>
      <c r="C1982" s="40"/>
      <c r="D1982" s="40"/>
      <c r="E1982" s="40"/>
    </row>
    <row r="1983" spans="1:5" ht="12.75" x14ac:dyDescent="0.2">
      <c r="A1983" s="41"/>
      <c r="B1983" s="40"/>
      <c r="C1983" s="40"/>
      <c r="D1983" s="40"/>
      <c r="E1983" s="40"/>
    </row>
    <row r="1984" spans="1:5" ht="12.75" x14ac:dyDescent="0.2">
      <c r="A1984" s="47" t="s">
        <v>1957</v>
      </c>
      <c r="B1984" s="48"/>
      <c r="C1984" s="48"/>
      <c r="D1984" s="48"/>
      <c r="E1984" s="48"/>
    </row>
    <row r="1985" spans="1:5" ht="12.75" x14ac:dyDescent="0.2">
      <c r="A1985" s="41" t="s">
        <v>1958</v>
      </c>
      <c r="B1985" s="41" t="s">
        <v>402</v>
      </c>
      <c r="C1985" s="41" t="s">
        <v>1959</v>
      </c>
      <c r="D1985" s="40"/>
      <c r="E1985" s="40"/>
    </row>
    <row r="1986" spans="1:5" ht="12.75" x14ac:dyDescent="0.2">
      <c r="A1986" s="41" t="s">
        <v>1960</v>
      </c>
      <c r="B1986" s="40"/>
      <c r="C1986" s="40"/>
      <c r="D1986" s="40"/>
      <c r="E1986" s="40"/>
    </row>
    <row r="1987" spans="1:5" ht="12.75" x14ac:dyDescent="0.2">
      <c r="A1987" s="41" t="s">
        <v>1961</v>
      </c>
      <c r="B1987" s="40"/>
      <c r="C1987" s="40"/>
      <c r="D1987" s="40"/>
      <c r="E1987" s="40"/>
    </row>
    <row r="1988" spans="1:5" ht="12.75" x14ac:dyDescent="0.2">
      <c r="A1988" s="41" t="s">
        <v>1962</v>
      </c>
      <c r="B1988" s="40"/>
      <c r="C1988" s="40"/>
      <c r="D1988" s="40"/>
      <c r="E1988" s="40"/>
    </row>
    <row r="1989" spans="1:5" ht="12.75" x14ac:dyDescent="0.2">
      <c r="A1989" s="41" t="s">
        <v>1963</v>
      </c>
      <c r="B1989" s="40"/>
      <c r="C1989" s="40"/>
      <c r="D1989" s="40"/>
      <c r="E1989" s="40"/>
    </row>
    <row r="1990" spans="1:5" ht="12.75" x14ac:dyDescent="0.2">
      <c r="A1990" s="41"/>
      <c r="B1990" s="41"/>
      <c r="C1990" s="40"/>
      <c r="D1990" s="40"/>
      <c r="E1990" s="40"/>
    </row>
    <row r="1991" spans="1:5" ht="12.75" x14ac:dyDescent="0.2">
      <c r="A1991" s="47" t="s">
        <v>1964</v>
      </c>
      <c r="B1991" s="48"/>
      <c r="C1991" s="48"/>
      <c r="D1991" s="48"/>
      <c r="E1991" s="48"/>
    </row>
    <row r="1992" spans="1:5" ht="12.75" x14ac:dyDescent="0.2">
      <c r="A1992" s="41" t="s">
        <v>1965</v>
      </c>
      <c r="B1992" s="41" t="s">
        <v>402</v>
      </c>
      <c r="C1992" s="41" t="s">
        <v>1966</v>
      </c>
      <c r="D1992" s="40"/>
      <c r="E1992" s="40"/>
    </row>
    <row r="1993" spans="1:5" ht="12.75" x14ac:dyDescent="0.2">
      <c r="A1993" s="41" t="s">
        <v>1967</v>
      </c>
      <c r="B1993" s="40"/>
      <c r="C1993" s="40"/>
      <c r="D1993" s="40"/>
      <c r="E1993" s="40"/>
    </row>
    <row r="1994" spans="1:5" ht="12.75" x14ac:dyDescent="0.2">
      <c r="A1994" s="41" t="s">
        <v>1968</v>
      </c>
      <c r="B1994" s="40"/>
      <c r="C1994" s="40"/>
      <c r="D1994" s="40"/>
      <c r="E1994" s="40"/>
    </row>
    <row r="1995" spans="1:5" ht="12.75" x14ac:dyDescent="0.2">
      <c r="A1995" s="41" t="s">
        <v>1970</v>
      </c>
      <c r="B1995" s="40"/>
      <c r="C1995" s="40"/>
      <c r="D1995" s="40"/>
      <c r="E1995" s="40"/>
    </row>
    <row r="1996" spans="1:5" ht="12.75" x14ac:dyDescent="0.2">
      <c r="A1996" s="41" t="s">
        <v>1972</v>
      </c>
      <c r="B1996" s="41"/>
      <c r="C1996" s="40"/>
      <c r="D1996" s="40"/>
      <c r="E1996" s="40"/>
    </row>
    <row r="1997" spans="1:5" ht="12.75" x14ac:dyDescent="0.2">
      <c r="A1997" s="41" t="s">
        <v>1973</v>
      </c>
      <c r="B1997" s="40"/>
      <c r="C1997" s="40"/>
      <c r="D1997" s="40"/>
      <c r="E1997" s="40"/>
    </row>
    <row r="1998" spans="1:5" ht="12.75" x14ac:dyDescent="0.2">
      <c r="A1998" s="41"/>
      <c r="B1998" s="40"/>
      <c r="C1998" s="40"/>
      <c r="D1998" s="40"/>
      <c r="E1998" s="40"/>
    </row>
    <row r="1999" spans="1:5" ht="12.75" x14ac:dyDescent="0.2">
      <c r="A1999" s="47" t="s">
        <v>1974</v>
      </c>
      <c r="B1999" s="48"/>
      <c r="C1999" s="48"/>
      <c r="D1999" s="48"/>
      <c r="E1999" s="48"/>
    </row>
    <row r="2000" spans="1:5" ht="12.75" x14ac:dyDescent="0.2">
      <c r="A2000" s="41" t="s">
        <v>1975</v>
      </c>
      <c r="B2000" s="41" t="s">
        <v>402</v>
      </c>
      <c r="C2000" s="41" t="s">
        <v>1976</v>
      </c>
      <c r="D2000" s="40"/>
      <c r="E2000" s="40"/>
    </row>
    <row r="2001" spans="1:5" ht="12.75" x14ac:dyDescent="0.2">
      <c r="A2001" s="41" t="s">
        <v>1977</v>
      </c>
      <c r="B2001" s="40"/>
      <c r="C2001" s="40"/>
      <c r="D2001" s="40"/>
      <c r="E2001" s="40"/>
    </row>
    <row r="2002" spans="1:5" ht="12.75" x14ac:dyDescent="0.2">
      <c r="A2002" s="41" t="s">
        <v>1978</v>
      </c>
      <c r="B2002" s="40"/>
      <c r="C2002" s="40"/>
      <c r="D2002" s="40"/>
      <c r="E2002" s="40"/>
    </row>
    <row r="2003" spans="1:5" ht="12.75" x14ac:dyDescent="0.2">
      <c r="A2003" s="41" t="s">
        <v>1979</v>
      </c>
      <c r="B2003" s="40"/>
      <c r="C2003" s="40"/>
      <c r="D2003" s="40"/>
      <c r="E2003" s="40"/>
    </row>
    <row r="2004" spans="1:5" ht="12.75" x14ac:dyDescent="0.2">
      <c r="A2004" s="41" t="s">
        <v>1980</v>
      </c>
      <c r="B2004" s="41"/>
      <c r="C2004" s="40"/>
      <c r="D2004" s="40"/>
      <c r="E2004" s="40"/>
    </row>
    <row r="2005" spans="1:5" ht="12.75" x14ac:dyDescent="0.2">
      <c r="A2005" s="41"/>
      <c r="B2005" s="41" t="s">
        <v>403</v>
      </c>
      <c r="C2005" s="41" t="s">
        <v>25</v>
      </c>
      <c r="D2005" s="41" t="s">
        <v>27</v>
      </c>
      <c r="E2005" s="40"/>
    </row>
    <row r="2006" spans="1:5" ht="12.75" x14ac:dyDescent="0.2">
      <c r="A2006" s="41"/>
      <c r="B2006" s="41" t="s">
        <v>403</v>
      </c>
      <c r="C2006" s="41" t="s">
        <v>30</v>
      </c>
      <c r="D2006" s="41" t="s">
        <v>31</v>
      </c>
      <c r="E2006" s="40"/>
    </row>
    <row r="2007" spans="1:5" ht="12.75" x14ac:dyDescent="0.2">
      <c r="A2007" s="41"/>
      <c r="B2007" s="41" t="s">
        <v>403</v>
      </c>
      <c r="C2007" s="41" t="s">
        <v>16</v>
      </c>
      <c r="D2007" s="41" t="s">
        <v>10</v>
      </c>
      <c r="E2007" s="40"/>
    </row>
    <row r="2008" spans="1:5" ht="12.75" x14ac:dyDescent="0.2">
      <c r="A2008" s="41"/>
      <c r="B2008" s="40"/>
      <c r="C2008" s="40"/>
      <c r="D2008" s="40"/>
      <c r="E2008" s="40"/>
    </row>
    <row r="2009" spans="1:5" ht="12.75" x14ac:dyDescent="0.2">
      <c r="A2009" s="47" t="s">
        <v>1981</v>
      </c>
      <c r="B2009" s="48"/>
      <c r="C2009" s="48"/>
      <c r="D2009" s="48"/>
      <c r="E2009" s="48"/>
    </row>
    <row r="2010" spans="1:5" ht="12.75" x14ac:dyDescent="0.2">
      <c r="A2010" s="41" t="s">
        <v>1982</v>
      </c>
      <c r="B2010" s="41" t="s">
        <v>402</v>
      </c>
      <c r="C2010" s="41" t="s">
        <v>1983</v>
      </c>
      <c r="D2010" s="40"/>
      <c r="E2010" s="40"/>
    </row>
    <row r="2011" spans="1:5" ht="12.75" x14ac:dyDescent="0.2">
      <c r="A2011" s="41" t="s">
        <v>1984</v>
      </c>
      <c r="B2011" s="40"/>
      <c r="C2011" s="40"/>
      <c r="D2011" s="40"/>
      <c r="E2011" s="40"/>
    </row>
    <row r="2012" spans="1:5" ht="12.75" x14ac:dyDescent="0.2">
      <c r="A2012" s="41" t="s">
        <v>1985</v>
      </c>
      <c r="B2012" s="41"/>
      <c r="C2012" s="40"/>
      <c r="D2012" s="40"/>
      <c r="E2012" s="40"/>
    </row>
    <row r="2013" spans="1:5" ht="12.75" x14ac:dyDescent="0.2">
      <c r="A2013" s="41" t="s">
        <v>1986</v>
      </c>
      <c r="B2013" s="40"/>
      <c r="C2013" s="40"/>
      <c r="D2013" s="40"/>
      <c r="E2013" s="40"/>
    </row>
    <row r="2014" spans="1:5" ht="12.75" x14ac:dyDescent="0.2">
      <c r="A2014" s="41" t="s">
        <v>1987</v>
      </c>
      <c r="B2014" s="40"/>
      <c r="C2014" s="40"/>
      <c r="D2014" s="40"/>
      <c r="E2014" s="40"/>
    </row>
    <row r="2015" spans="1:5" ht="12.75" x14ac:dyDescent="0.2">
      <c r="A2015" s="41" t="s">
        <v>1988</v>
      </c>
      <c r="B2015" s="40"/>
      <c r="C2015" s="40"/>
      <c r="D2015" s="40"/>
      <c r="E2015" s="40"/>
    </row>
    <row r="2016" spans="1:5" ht="12.75" x14ac:dyDescent="0.2">
      <c r="A2016" s="41" t="s">
        <v>1989</v>
      </c>
      <c r="B2016" s="40"/>
      <c r="C2016" s="40"/>
      <c r="D2016" s="40"/>
      <c r="E2016" s="40"/>
    </row>
    <row r="2017" spans="1:5" ht="12.75" x14ac:dyDescent="0.2">
      <c r="A2017" s="41" t="s">
        <v>1990</v>
      </c>
      <c r="B2017" s="41"/>
      <c r="C2017" s="40"/>
      <c r="D2017" s="40"/>
      <c r="E2017" s="40"/>
    </row>
    <row r="2018" spans="1:5" ht="12.75" x14ac:dyDescent="0.2">
      <c r="A2018" s="41" t="s">
        <v>1991</v>
      </c>
      <c r="B2018" s="40"/>
      <c r="C2018" s="40"/>
      <c r="D2018" s="40"/>
      <c r="E2018" s="40"/>
    </row>
    <row r="2019" spans="1:5" ht="12.75" x14ac:dyDescent="0.2">
      <c r="A2019" s="41" t="s">
        <v>1992</v>
      </c>
      <c r="B2019" s="40"/>
      <c r="C2019" s="40"/>
      <c r="D2019" s="40"/>
      <c r="E2019" s="40"/>
    </row>
    <row r="2020" spans="1:5" ht="12.75" x14ac:dyDescent="0.2">
      <c r="A2020" s="41"/>
      <c r="B2020" s="40"/>
      <c r="C2020" s="40"/>
      <c r="D2020" s="40"/>
      <c r="E2020" s="40"/>
    </row>
    <row r="2021" spans="1:5" ht="12.75" x14ac:dyDescent="0.2">
      <c r="A2021" s="47" t="s">
        <v>1993</v>
      </c>
      <c r="B2021" s="48"/>
      <c r="C2021" s="48"/>
      <c r="D2021" s="48"/>
      <c r="E2021" s="48"/>
    </row>
    <row r="2022" spans="1:5" ht="12.75" x14ac:dyDescent="0.2">
      <c r="A2022" s="41" t="s">
        <v>1994</v>
      </c>
      <c r="B2022" s="41" t="s">
        <v>402</v>
      </c>
      <c r="C2022" s="41" t="s">
        <v>1995</v>
      </c>
      <c r="D2022" s="40"/>
      <c r="E2022" s="40"/>
    </row>
    <row r="2023" spans="1:5" ht="12.75" x14ac:dyDescent="0.2">
      <c r="A2023" s="41" t="s">
        <v>1996</v>
      </c>
      <c r="B2023" s="40"/>
      <c r="C2023" s="40"/>
      <c r="D2023" s="40"/>
      <c r="E2023" s="40"/>
    </row>
    <row r="2024" spans="1:5" ht="12.75" x14ac:dyDescent="0.2">
      <c r="A2024" s="41" t="s">
        <v>1997</v>
      </c>
      <c r="B2024" s="40"/>
      <c r="C2024" s="40"/>
      <c r="D2024" s="40"/>
      <c r="E2024" s="40"/>
    </row>
    <row r="2025" spans="1:5" ht="12.75" x14ac:dyDescent="0.2">
      <c r="A2025" s="41" t="s">
        <v>1998</v>
      </c>
      <c r="B2025" s="40"/>
      <c r="C2025" s="40"/>
      <c r="D2025" s="40"/>
      <c r="E2025" s="40"/>
    </row>
    <row r="2026" spans="1:5" ht="12.75" x14ac:dyDescent="0.2">
      <c r="A2026" s="41" t="s">
        <v>1999</v>
      </c>
      <c r="B2026" s="41"/>
      <c r="C2026" s="40"/>
      <c r="D2026" s="40"/>
      <c r="E2026" s="40"/>
    </row>
    <row r="2027" spans="1:5" ht="12.75" x14ac:dyDescent="0.2">
      <c r="A2027" s="41" t="s">
        <v>2000</v>
      </c>
      <c r="B2027" s="40"/>
      <c r="C2027" s="40"/>
      <c r="D2027" s="40"/>
      <c r="E2027" s="40"/>
    </row>
    <row r="2028" spans="1:5" ht="12.75" x14ac:dyDescent="0.2">
      <c r="A2028" s="41" t="s">
        <v>2001</v>
      </c>
      <c r="B2028" s="40"/>
      <c r="C2028" s="40"/>
      <c r="D2028" s="40"/>
      <c r="E2028" s="40"/>
    </row>
    <row r="2029" spans="1:5" ht="12.75" x14ac:dyDescent="0.2">
      <c r="A2029" s="41" t="s">
        <v>2002</v>
      </c>
      <c r="B2029" s="41"/>
      <c r="C2029" s="40"/>
      <c r="D2029" s="40"/>
      <c r="E2029" s="40"/>
    </row>
    <row r="2030" spans="1:5" ht="12.75" x14ac:dyDescent="0.2">
      <c r="A2030" s="41" t="s">
        <v>2003</v>
      </c>
      <c r="B2030" s="40"/>
      <c r="C2030" s="40"/>
      <c r="D2030" s="40"/>
      <c r="E2030" s="40"/>
    </row>
    <row r="2031" spans="1:5" ht="12.75" x14ac:dyDescent="0.2">
      <c r="A2031" s="41" t="s">
        <v>2004</v>
      </c>
      <c r="B2031" s="40"/>
      <c r="C2031" s="40"/>
      <c r="D2031" s="40"/>
      <c r="E2031" s="40"/>
    </row>
    <row r="2032" spans="1:5" ht="12.75" x14ac:dyDescent="0.2">
      <c r="A2032" s="41"/>
      <c r="B2032" s="40"/>
      <c r="C2032" s="40"/>
      <c r="D2032" s="40"/>
      <c r="E2032" s="40"/>
    </row>
    <row r="2033" spans="1:5" ht="12.75" x14ac:dyDescent="0.2">
      <c r="A2033" s="47" t="s">
        <v>2005</v>
      </c>
      <c r="B2033" s="48"/>
      <c r="C2033" s="48"/>
      <c r="D2033" s="48"/>
      <c r="E2033" s="48"/>
    </row>
    <row r="2034" spans="1:5" ht="12.75" x14ac:dyDescent="0.2">
      <c r="A2034" s="41" t="s">
        <v>2006</v>
      </c>
      <c r="B2034" s="41" t="s">
        <v>402</v>
      </c>
      <c r="C2034" s="41" t="s">
        <v>2007</v>
      </c>
      <c r="D2034" s="40"/>
      <c r="E2034" s="40"/>
    </row>
    <row r="2035" spans="1:5" ht="12.75" x14ac:dyDescent="0.2">
      <c r="A2035" s="41" t="s">
        <v>2008</v>
      </c>
      <c r="B2035" s="40"/>
      <c r="C2035" s="40"/>
      <c r="D2035" s="40"/>
      <c r="E2035" s="40"/>
    </row>
    <row r="2036" spans="1:5" ht="12.75" x14ac:dyDescent="0.2">
      <c r="A2036" s="41" t="s">
        <v>2009</v>
      </c>
      <c r="B2036" s="40"/>
      <c r="C2036" s="40"/>
      <c r="D2036" s="40"/>
      <c r="E2036" s="40"/>
    </row>
    <row r="2037" spans="1:5" ht="12.75" x14ac:dyDescent="0.2">
      <c r="A2037" s="41" t="s">
        <v>2010</v>
      </c>
      <c r="B2037" s="40"/>
      <c r="C2037" s="40"/>
      <c r="D2037" s="40"/>
      <c r="E2037" s="40"/>
    </row>
    <row r="2038" spans="1:5" ht="12.75" x14ac:dyDescent="0.2">
      <c r="A2038" s="41" t="s">
        <v>2011</v>
      </c>
      <c r="B2038" s="41"/>
      <c r="C2038" s="40"/>
      <c r="D2038" s="40"/>
      <c r="E2038" s="40"/>
    </row>
    <row r="2039" spans="1:5" ht="12.75" x14ac:dyDescent="0.2">
      <c r="A2039" s="41" t="s">
        <v>2012</v>
      </c>
      <c r="B2039" s="40"/>
      <c r="C2039" s="40"/>
      <c r="D2039" s="40"/>
      <c r="E2039" s="40"/>
    </row>
    <row r="2040" spans="1:5" ht="12.75" x14ac:dyDescent="0.2">
      <c r="A2040" s="41"/>
      <c r="B2040" s="40"/>
      <c r="C2040" s="40"/>
      <c r="D2040" s="40"/>
      <c r="E2040" s="40"/>
    </row>
    <row r="2041" spans="1:5" ht="12.75" x14ac:dyDescent="0.2">
      <c r="A2041" s="47" t="s">
        <v>2013</v>
      </c>
      <c r="B2041" s="48"/>
      <c r="C2041" s="48"/>
      <c r="D2041" s="48"/>
      <c r="E2041" s="48"/>
    </row>
    <row r="2042" spans="1:5" ht="12.75" x14ac:dyDescent="0.2">
      <c r="A2042" s="41" t="s">
        <v>2014</v>
      </c>
      <c r="B2042" s="41" t="s">
        <v>402</v>
      </c>
      <c r="C2042" s="41" t="s">
        <v>2015</v>
      </c>
      <c r="D2042" s="40"/>
      <c r="E2042" s="40"/>
    </row>
    <row r="2043" spans="1:5" ht="12.75" x14ac:dyDescent="0.2">
      <c r="A2043" s="41" t="s">
        <v>2016</v>
      </c>
      <c r="B2043" s="40"/>
      <c r="C2043" s="40"/>
      <c r="D2043" s="40"/>
      <c r="E2043" s="40"/>
    </row>
    <row r="2044" spans="1:5" ht="12.75" x14ac:dyDescent="0.2">
      <c r="A2044" s="41" t="s">
        <v>2017</v>
      </c>
      <c r="B2044" s="40"/>
      <c r="C2044" s="40"/>
      <c r="D2044" s="40"/>
      <c r="E2044" s="40"/>
    </row>
    <row r="2045" spans="1:5" ht="12.75" x14ac:dyDescent="0.2">
      <c r="A2045" s="41" t="s">
        <v>2018</v>
      </c>
      <c r="B2045" s="40"/>
      <c r="C2045" s="40"/>
      <c r="D2045" s="40"/>
      <c r="E2045" s="40"/>
    </row>
    <row r="2046" spans="1:5" ht="12.75" x14ac:dyDescent="0.2">
      <c r="A2046" s="41" t="s">
        <v>2019</v>
      </c>
      <c r="B2046" s="41"/>
      <c r="C2046" s="40"/>
      <c r="D2046" s="40"/>
      <c r="E2046" s="40"/>
    </row>
    <row r="2047" spans="1:5" ht="12.75" x14ac:dyDescent="0.2">
      <c r="A2047" s="41"/>
      <c r="B2047" s="41" t="s">
        <v>403</v>
      </c>
      <c r="C2047" s="41" t="s">
        <v>16</v>
      </c>
      <c r="D2047" s="41" t="s">
        <v>10</v>
      </c>
      <c r="E2047" s="40"/>
    </row>
    <row r="2048" spans="1:5" ht="12.75" x14ac:dyDescent="0.2">
      <c r="A2048" s="41"/>
      <c r="B2048" s="40"/>
      <c r="C2048" s="40"/>
      <c r="D2048" s="40"/>
      <c r="E2048" s="40"/>
    </row>
    <row r="2049" spans="1:5" ht="12.75" x14ac:dyDescent="0.2">
      <c r="A2049" s="47" t="s">
        <v>2020</v>
      </c>
      <c r="B2049" s="48"/>
      <c r="C2049" s="48"/>
      <c r="D2049" s="48"/>
      <c r="E2049" s="48"/>
    </row>
    <row r="2050" spans="1:5" ht="51" x14ac:dyDescent="0.2">
      <c r="A2050" s="41" t="s">
        <v>2021</v>
      </c>
      <c r="B2050" s="41" t="s">
        <v>402</v>
      </c>
      <c r="C2050" s="41" t="s">
        <v>2022</v>
      </c>
      <c r="D2050" s="40"/>
      <c r="E2050" s="40"/>
    </row>
    <row r="2051" spans="1:5" ht="12.75" x14ac:dyDescent="0.2">
      <c r="A2051" s="41" t="s">
        <v>2023</v>
      </c>
      <c r="B2051" s="40"/>
      <c r="C2051" s="40"/>
      <c r="D2051" s="40"/>
      <c r="E2051" s="40"/>
    </row>
    <row r="2052" spans="1:5" ht="12.75" x14ac:dyDescent="0.2">
      <c r="A2052" s="41" t="s">
        <v>2024</v>
      </c>
      <c r="B2052" s="40"/>
      <c r="C2052" s="40"/>
      <c r="D2052" s="40"/>
      <c r="E2052" s="40"/>
    </row>
    <row r="2053" spans="1:5" ht="12.75" x14ac:dyDescent="0.2">
      <c r="A2053" s="41" t="s">
        <v>2025</v>
      </c>
      <c r="B2053" s="41"/>
      <c r="C2053" s="40"/>
      <c r="D2053" s="40"/>
      <c r="E2053" s="40"/>
    </row>
    <row r="2054" spans="1:5" ht="12.75" x14ac:dyDescent="0.2">
      <c r="A2054" s="41" t="s">
        <v>2026</v>
      </c>
      <c r="B2054" s="40"/>
      <c r="C2054" s="40"/>
      <c r="D2054" s="40"/>
      <c r="E2054" s="40"/>
    </row>
    <row r="2055" spans="1:5" ht="12.75" x14ac:dyDescent="0.2">
      <c r="A2055" s="41" t="s">
        <v>2027</v>
      </c>
      <c r="B2055" s="41"/>
      <c r="C2055" s="40"/>
      <c r="D2055" s="40"/>
      <c r="E2055" s="40"/>
    </row>
    <row r="2056" spans="1:5" ht="12.75" x14ac:dyDescent="0.2">
      <c r="A2056" s="41" t="s">
        <v>2028</v>
      </c>
      <c r="B2056" s="40"/>
      <c r="C2056" s="40"/>
      <c r="D2056" s="40"/>
      <c r="E2056" s="40"/>
    </row>
    <row r="2057" spans="1:5" ht="12.75" x14ac:dyDescent="0.2">
      <c r="A2057" s="41" t="s">
        <v>2029</v>
      </c>
      <c r="B2057" s="40"/>
      <c r="C2057" s="40"/>
      <c r="D2057" s="40"/>
      <c r="E2057" s="40"/>
    </row>
    <row r="2058" spans="1:5" ht="12.75" x14ac:dyDescent="0.2">
      <c r="A2058" s="41"/>
      <c r="B2058" s="40"/>
      <c r="C2058" s="40"/>
      <c r="D2058" s="40"/>
      <c r="E2058" s="40"/>
    </row>
    <row r="2059" spans="1:5" ht="12.75" x14ac:dyDescent="0.2">
      <c r="A2059" s="47" t="s">
        <v>2030</v>
      </c>
      <c r="B2059" s="48"/>
      <c r="C2059" s="48"/>
      <c r="D2059" s="48"/>
      <c r="E2059" s="48"/>
    </row>
    <row r="2060" spans="1:5" ht="12.75" x14ac:dyDescent="0.2">
      <c r="A2060" s="41" t="s">
        <v>2031</v>
      </c>
      <c r="B2060" s="41" t="s">
        <v>402</v>
      </c>
      <c r="C2060" s="41" t="s">
        <v>2032</v>
      </c>
      <c r="D2060" s="41"/>
      <c r="E2060" s="40"/>
    </row>
    <row r="2061" spans="1:5" ht="12.75" x14ac:dyDescent="0.2">
      <c r="A2061" s="41" t="s">
        <v>2033</v>
      </c>
      <c r="B2061" s="41"/>
      <c r="C2061" s="41"/>
      <c r="D2061" s="41"/>
      <c r="E2061" s="40"/>
    </row>
    <row r="2062" spans="1:5" ht="12.75" x14ac:dyDescent="0.2">
      <c r="A2062" s="41"/>
      <c r="B2062" s="41"/>
      <c r="C2062" s="41"/>
      <c r="D2062" s="41"/>
      <c r="E2062" s="40"/>
    </row>
    <row r="2063" spans="1:5" ht="12.75" x14ac:dyDescent="0.2">
      <c r="A2063" s="47" t="s">
        <v>2034</v>
      </c>
      <c r="B2063" s="48"/>
      <c r="C2063" s="48"/>
      <c r="D2063" s="48"/>
      <c r="E2063" s="48"/>
    </row>
    <row r="2064" spans="1:5" ht="38.25" x14ac:dyDescent="0.2">
      <c r="A2064" s="41" t="s">
        <v>2035</v>
      </c>
      <c r="B2064" s="41" t="s">
        <v>402</v>
      </c>
      <c r="C2064" s="41" t="s">
        <v>2036</v>
      </c>
      <c r="D2064" s="40"/>
      <c r="E2064" s="40"/>
    </row>
    <row r="2065" spans="1:5" ht="12.75" x14ac:dyDescent="0.2">
      <c r="A2065" s="41" t="s">
        <v>2037</v>
      </c>
      <c r="B2065" s="41"/>
      <c r="C2065" s="40"/>
      <c r="D2065" s="40"/>
      <c r="E2065" s="40"/>
    </row>
    <row r="2066" spans="1:5" ht="12.75" x14ac:dyDescent="0.2">
      <c r="A2066" s="41" t="s">
        <v>2038</v>
      </c>
      <c r="B2066" s="40"/>
      <c r="C2066" s="40"/>
      <c r="D2066" s="40"/>
      <c r="E2066" s="40"/>
    </row>
    <row r="2067" spans="1:5" ht="12.75" x14ac:dyDescent="0.2">
      <c r="A2067" s="41" t="s">
        <v>2039</v>
      </c>
      <c r="B2067" s="40"/>
      <c r="C2067" s="40"/>
      <c r="D2067" s="40"/>
      <c r="E2067" s="40"/>
    </row>
    <row r="2068" spans="1:5" ht="12.75" x14ac:dyDescent="0.2">
      <c r="A2068" s="41" t="s">
        <v>2040</v>
      </c>
      <c r="B2068" s="40"/>
      <c r="C2068" s="40"/>
      <c r="D2068" s="40"/>
      <c r="E2068" s="40"/>
    </row>
    <row r="2069" spans="1:5" ht="12.75" x14ac:dyDescent="0.2">
      <c r="A2069" s="41" t="s">
        <v>2041</v>
      </c>
      <c r="B2069" s="40"/>
      <c r="C2069" s="40"/>
      <c r="D2069" s="40"/>
      <c r="E2069" s="40"/>
    </row>
    <row r="2070" spans="1:5" ht="12.75" x14ac:dyDescent="0.2">
      <c r="A2070" s="41" t="s">
        <v>2042</v>
      </c>
      <c r="B2070" s="41"/>
      <c r="C2070" s="40"/>
      <c r="D2070" s="40"/>
      <c r="E2070" s="40"/>
    </row>
    <row r="2071" spans="1:5" ht="12.75" x14ac:dyDescent="0.2">
      <c r="A2071" s="41" t="s">
        <v>2043</v>
      </c>
      <c r="B2071" s="40"/>
      <c r="C2071" s="40"/>
      <c r="D2071" s="40"/>
      <c r="E2071" s="40"/>
    </row>
    <row r="2072" spans="1:5" ht="12.75" x14ac:dyDescent="0.2">
      <c r="A2072" s="41" t="s">
        <v>2044</v>
      </c>
      <c r="B2072" s="40"/>
      <c r="C2072" s="40"/>
      <c r="D2072" s="40"/>
      <c r="E2072" s="40"/>
    </row>
    <row r="2073" spans="1:5" ht="12.75" x14ac:dyDescent="0.2">
      <c r="A2073" s="41" t="s">
        <v>2045</v>
      </c>
      <c r="B2073" s="40"/>
      <c r="C2073" s="40"/>
      <c r="D2073" s="40"/>
      <c r="E2073" s="40"/>
    </row>
    <row r="2074" spans="1:5" ht="12.75" x14ac:dyDescent="0.2">
      <c r="A2074" s="41"/>
      <c r="B2074" s="40"/>
      <c r="C2074" s="40"/>
      <c r="D2074" s="40"/>
      <c r="E2074" s="40"/>
    </row>
    <row r="2075" spans="1:5" ht="12.75" x14ac:dyDescent="0.2">
      <c r="A2075" s="47" t="s">
        <v>2046</v>
      </c>
      <c r="B2075" s="48"/>
      <c r="C2075" s="48"/>
      <c r="D2075" s="48"/>
      <c r="E2075" s="48"/>
    </row>
    <row r="2076" spans="1:5" ht="12.75" x14ac:dyDescent="0.2">
      <c r="A2076" s="41" t="s">
        <v>2047</v>
      </c>
      <c r="B2076" s="41" t="s">
        <v>402</v>
      </c>
      <c r="C2076" s="41" t="s">
        <v>2048</v>
      </c>
      <c r="D2076" s="40"/>
      <c r="E2076" s="40"/>
    </row>
    <row r="2077" spans="1:5" ht="12.75" x14ac:dyDescent="0.2">
      <c r="A2077" s="41" t="s">
        <v>2049</v>
      </c>
      <c r="B2077" s="40"/>
      <c r="C2077" s="40"/>
      <c r="D2077" s="40"/>
      <c r="E2077" s="40"/>
    </row>
    <row r="2078" spans="1:5" ht="12.75" x14ac:dyDescent="0.2">
      <c r="A2078" s="41" t="s">
        <v>2050</v>
      </c>
      <c r="B2078" s="41"/>
      <c r="C2078" s="40"/>
      <c r="D2078" s="40"/>
      <c r="E2078" s="40"/>
    </row>
    <row r="2079" spans="1:5" ht="12.75" x14ac:dyDescent="0.2">
      <c r="A2079" s="41" t="s">
        <v>2051</v>
      </c>
      <c r="B2079" s="40"/>
      <c r="C2079" s="40"/>
      <c r="D2079" s="40"/>
      <c r="E2079" s="40"/>
    </row>
    <row r="2080" spans="1:5" ht="12.75" x14ac:dyDescent="0.2">
      <c r="A2080" s="41" t="s">
        <v>2052</v>
      </c>
      <c r="B2080" s="40"/>
      <c r="C2080" s="40"/>
      <c r="D2080" s="40"/>
      <c r="E2080" s="40"/>
    </row>
    <row r="2081" spans="1:5" ht="12.75" x14ac:dyDescent="0.2">
      <c r="A2081" s="41" t="s">
        <v>2053</v>
      </c>
      <c r="B2081" s="40"/>
      <c r="C2081" s="40"/>
      <c r="D2081" s="40"/>
      <c r="E2081" s="40"/>
    </row>
    <row r="2082" spans="1:5" ht="12.75" x14ac:dyDescent="0.2">
      <c r="A2082" s="41" t="s">
        <v>2054</v>
      </c>
      <c r="B2082" s="40"/>
      <c r="C2082" s="40"/>
      <c r="D2082" s="40"/>
      <c r="E2082" s="40"/>
    </row>
    <row r="2083" spans="1:5" ht="12.75" x14ac:dyDescent="0.2">
      <c r="A2083" s="41" t="s">
        <v>2055</v>
      </c>
      <c r="B2083" s="41"/>
      <c r="C2083" s="41"/>
      <c r="D2083" s="41"/>
      <c r="E2083" s="40"/>
    </row>
    <row r="2084" spans="1:5" ht="12.75" x14ac:dyDescent="0.2">
      <c r="A2084" s="41" t="s">
        <v>2056</v>
      </c>
      <c r="B2084" s="41"/>
      <c r="C2084" s="41"/>
      <c r="D2084" s="41"/>
      <c r="E2084" s="40"/>
    </row>
    <row r="2085" spans="1:5" ht="12.75" x14ac:dyDescent="0.2">
      <c r="A2085" s="41"/>
      <c r="B2085" s="41"/>
      <c r="C2085" s="41"/>
      <c r="D2085" s="41"/>
      <c r="E2085" s="40"/>
    </row>
    <row r="2086" spans="1:5" ht="12.75" x14ac:dyDescent="0.2">
      <c r="A2086" s="47" t="s">
        <v>2057</v>
      </c>
      <c r="B2086" s="48"/>
      <c r="C2086" s="48"/>
      <c r="D2086" s="48"/>
      <c r="E2086" s="48"/>
    </row>
    <row r="2087" spans="1:5" ht="12.75" x14ac:dyDescent="0.2">
      <c r="A2087" s="41" t="s">
        <v>2058</v>
      </c>
      <c r="B2087" s="41" t="s">
        <v>402</v>
      </c>
      <c r="C2087" s="41" t="s">
        <v>2059</v>
      </c>
      <c r="D2087" s="40"/>
      <c r="E2087" s="40"/>
    </row>
    <row r="2088" spans="1:5" ht="12.75" x14ac:dyDescent="0.2">
      <c r="A2088" s="41" t="s">
        <v>2060</v>
      </c>
      <c r="B2088" s="41"/>
      <c r="C2088" s="40"/>
      <c r="D2088" s="40"/>
      <c r="E2088" s="40"/>
    </row>
    <row r="2089" spans="1:5" ht="12.75" x14ac:dyDescent="0.2">
      <c r="A2089" s="41"/>
      <c r="B2089" s="40"/>
      <c r="C2089" s="40"/>
      <c r="D2089" s="40"/>
      <c r="E2089" s="40"/>
    </row>
    <row r="2090" spans="1:5" ht="12.75" x14ac:dyDescent="0.2">
      <c r="A2090" s="47" t="s">
        <v>2061</v>
      </c>
      <c r="B2090" s="48"/>
      <c r="C2090" s="48"/>
      <c r="D2090" s="48"/>
      <c r="E2090" s="48"/>
    </row>
    <row r="2091" spans="1:5" ht="12.75" x14ac:dyDescent="0.2">
      <c r="A2091" s="41" t="s">
        <v>2062</v>
      </c>
      <c r="B2091" s="41" t="s">
        <v>402</v>
      </c>
      <c r="C2091" s="41" t="s">
        <v>2063</v>
      </c>
      <c r="D2091" s="40"/>
      <c r="E2091" s="40"/>
    </row>
    <row r="2092" spans="1:5" ht="12.75" x14ac:dyDescent="0.2">
      <c r="A2092" s="41" t="s">
        <v>2064</v>
      </c>
      <c r="B2092" s="40"/>
      <c r="C2092" s="40"/>
      <c r="D2092" s="40"/>
      <c r="E2092" s="40"/>
    </row>
    <row r="2093" spans="1:5" ht="12.75" x14ac:dyDescent="0.2">
      <c r="A2093" s="41" t="s">
        <v>2065</v>
      </c>
      <c r="B2093" s="40"/>
      <c r="C2093" s="40"/>
      <c r="D2093" s="40"/>
      <c r="E2093" s="40"/>
    </row>
    <row r="2094" spans="1:5" ht="12.75" x14ac:dyDescent="0.2">
      <c r="A2094" s="41" t="s">
        <v>2066</v>
      </c>
      <c r="B2094" s="41"/>
      <c r="C2094" s="40"/>
      <c r="D2094" s="40"/>
      <c r="E2094" s="40"/>
    </row>
    <row r="2095" spans="1:5" ht="12.75" x14ac:dyDescent="0.2">
      <c r="A2095" s="41" t="s">
        <v>2067</v>
      </c>
      <c r="B2095" s="40"/>
      <c r="C2095" s="40"/>
      <c r="D2095" s="40"/>
      <c r="E2095" s="40"/>
    </row>
    <row r="2096" spans="1:5" ht="12.75" x14ac:dyDescent="0.2">
      <c r="A2096" s="41"/>
      <c r="B2096" s="40"/>
      <c r="C2096" s="40"/>
      <c r="D2096" s="40"/>
      <c r="E2096" s="40"/>
    </row>
    <row r="2097" spans="1:5" ht="12.75" x14ac:dyDescent="0.2">
      <c r="A2097" s="47" t="s">
        <v>2068</v>
      </c>
      <c r="B2097" s="48"/>
      <c r="C2097" s="48"/>
      <c r="D2097" s="48"/>
      <c r="E2097" s="48"/>
    </row>
    <row r="2098" spans="1:5" ht="12.75" x14ac:dyDescent="0.2">
      <c r="A2098" s="41" t="s">
        <v>2069</v>
      </c>
      <c r="B2098" s="41" t="s">
        <v>402</v>
      </c>
      <c r="C2098" s="41" t="s">
        <v>2070</v>
      </c>
      <c r="D2098" s="40"/>
      <c r="E2098" s="40"/>
    </row>
    <row r="2099" spans="1:5" ht="12.75" x14ac:dyDescent="0.2">
      <c r="A2099" s="41" t="s">
        <v>2071</v>
      </c>
      <c r="B2099" s="40"/>
      <c r="C2099" s="40"/>
      <c r="D2099" s="40"/>
      <c r="E2099" s="40"/>
    </row>
    <row r="2100" spans="1:5" ht="12.75" x14ac:dyDescent="0.2">
      <c r="A2100" s="41" t="s">
        <v>2072</v>
      </c>
      <c r="B2100" s="41"/>
      <c r="C2100" s="40"/>
      <c r="D2100" s="40"/>
      <c r="E2100" s="40"/>
    </row>
    <row r="2101" spans="1:5" ht="12.75" x14ac:dyDescent="0.2">
      <c r="A2101" s="41" t="s">
        <v>2073</v>
      </c>
      <c r="B2101" s="40"/>
      <c r="C2101" s="40"/>
      <c r="D2101" s="40"/>
      <c r="E2101" s="40"/>
    </row>
    <row r="2102" spans="1:5" ht="12.75" x14ac:dyDescent="0.2">
      <c r="A2102" s="41" t="s">
        <v>2074</v>
      </c>
      <c r="B2102" s="40"/>
      <c r="C2102" s="40"/>
      <c r="D2102" s="40"/>
      <c r="E2102" s="40"/>
    </row>
    <row r="2103" spans="1:5" ht="12.75" x14ac:dyDescent="0.2">
      <c r="A2103" s="41" t="s">
        <v>2075</v>
      </c>
      <c r="B2103" s="40"/>
      <c r="C2103" s="40"/>
      <c r="D2103" s="40"/>
      <c r="E2103" s="40"/>
    </row>
    <row r="2104" spans="1:5" ht="12.75" x14ac:dyDescent="0.2">
      <c r="A2104" s="41" t="s">
        <v>2076</v>
      </c>
      <c r="B2104" s="41"/>
      <c r="C2104" s="41"/>
      <c r="D2104" s="41"/>
      <c r="E2104" s="40"/>
    </row>
    <row r="2105" spans="1:5" ht="12.75" x14ac:dyDescent="0.2">
      <c r="A2105" s="41" t="s">
        <v>2077</v>
      </c>
      <c r="B2105" s="41"/>
      <c r="C2105" s="41"/>
      <c r="D2105" s="41"/>
      <c r="E2105" s="40"/>
    </row>
    <row r="2106" spans="1:5" ht="12.75" x14ac:dyDescent="0.2">
      <c r="A2106" s="40"/>
      <c r="B2106" s="41"/>
      <c r="C2106" s="41"/>
      <c r="D2106" s="41"/>
      <c r="E2106" s="40"/>
    </row>
    <row r="2107" spans="1:5" ht="12.75" x14ac:dyDescent="0.2">
      <c r="A2107" s="47" t="s">
        <v>2078</v>
      </c>
      <c r="B2107" s="48"/>
      <c r="C2107" s="48"/>
      <c r="D2107" s="48"/>
      <c r="E2107" s="48"/>
    </row>
    <row r="2108" spans="1:5" ht="12.75" x14ac:dyDescent="0.2">
      <c r="A2108" s="41" t="s">
        <v>2079</v>
      </c>
      <c r="B2108" s="41" t="s">
        <v>402</v>
      </c>
      <c r="C2108" s="41" t="s">
        <v>2080</v>
      </c>
      <c r="D2108" s="40"/>
      <c r="E2108" s="40"/>
    </row>
    <row r="2109" spans="1:5" ht="12.75" x14ac:dyDescent="0.2">
      <c r="A2109" s="41" t="s">
        <v>2081</v>
      </c>
      <c r="B2109" s="41"/>
      <c r="C2109" s="40"/>
      <c r="D2109" s="40"/>
      <c r="E2109" s="40"/>
    </row>
    <row r="2110" spans="1:5" ht="12.75" x14ac:dyDescent="0.2">
      <c r="A2110" s="41" t="s">
        <v>2082</v>
      </c>
      <c r="B2110" s="40"/>
      <c r="C2110" s="40"/>
      <c r="D2110" s="40"/>
      <c r="E2110" s="40"/>
    </row>
    <row r="2111" spans="1:5" ht="12.75" x14ac:dyDescent="0.2">
      <c r="A2111" s="41" t="s">
        <v>2083</v>
      </c>
      <c r="B2111" s="40"/>
      <c r="C2111" s="40"/>
      <c r="D2111" s="40"/>
      <c r="E2111" s="40"/>
    </row>
    <row r="2112" spans="1:5" ht="12.75" x14ac:dyDescent="0.2">
      <c r="A2112" s="41" t="s">
        <v>2084</v>
      </c>
      <c r="B2112" s="40"/>
      <c r="C2112" s="40"/>
      <c r="D2112" s="40"/>
      <c r="E2112" s="40"/>
    </row>
    <row r="2113" spans="1:5" ht="12.75" x14ac:dyDescent="0.2">
      <c r="A2113" s="41" t="s">
        <v>2085</v>
      </c>
      <c r="B2113" s="40"/>
      <c r="C2113" s="40"/>
      <c r="D2113" s="40"/>
      <c r="E2113" s="40"/>
    </row>
    <row r="2114" spans="1:5" ht="12.75" x14ac:dyDescent="0.2">
      <c r="A2114" s="41"/>
      <c r="B2114" s="40"/>
      <c r="C2114" s="40"/>
      <c r="D2114" s="40"/>
      <c r="E2114" s="40"/>
    </row>
    <row r="2115" spans="1:5" ht="12.75" x14ac:dyDescent="0.2">
      <c r="A2115" s="47" t="s">
        <v>2086</v>
      </c>
      <c r="B2115" s="48"/>
      <c r="C2115" s="48"/>
      <c r="D2115" s="48"/>
      <c r="E2115" s="48"/>
    </row>
    <row r="2116" spans="1:5" ht="12.75" x14ac:dyDescent="0.2">
      <c r="A2116" s="41" t="s">
        <v>2087</v>
      </c>
      <c r="B2116" s="41" t="s">
        <v>402</v>
      </c>
      <c r="C2116" s="41" t="s">
        <v>2088</v>
      </c>
      <c r="D2116" s="40"/>
      <c r="E2116" s="40"/>
    </row>
    <row r="2117" spans="1:5" ht="12.75" x14ac:dyDescent="0.2">
      <c r="A2117" s="41" t="s">
        <v>2089</v>
      </c>
      <c r="B2117" s="40"/>
      <c r="C2117" s="40"/>
      <c r="D2117" s="40"/>
      <c r="E2117" s="40"/>
    </row>
    <row r="2118" spans="1:5" ht="12.75" x14ac:dyDescent="0.2">
      <c r="A2118" s="41" t="s">
        <v>2090</v>
      </c>
      <c r="B2118" s="40"/>
      <c r="C2118" s="40"/>
      <c r="D2118" s="40"/>
      <c r="E2118" s="40"/>
    </row>
    <row r="2119" spans="1:5" ht="12.75" x14ac:dyDescent="0.2">
      <c r="A2119" s="41" t="s">
        <v>2091</v>
      </c>
      <c r="B2119" s="41"/>
      <c r="C2119" s="40"/>
      <c r="D2119" s="40"/>
      <c r="E2119" s="40"/>
    </row>
    <row r="2120" spans="1:5" ht="12.75" x14ac:dyDescent="0.2">
      <c r="A2120" s="41" t="s">
        <v>2092</v>
      </c>
      <c r="B2120" s="40"/>
      <c r="C2120" s="40"/>
      <c r="D2120" s="40"/>
      <c r="E2120" s="40"/>
    </row>
    <row r="2121" spans="1:5" ht="12.75" x14ac:dyDescent="0.2">
      <c r="A2121" s="40"/>
      <c r="B2121" s="41" t="s">
        <v>403</v>
      </c>
      <c r="C2121" s="41" t="s">
        <v>25</v>
      </c>
      <c r="D2121" s="41" t="s">
        <v>27</v>
      </c>
      <c r="E2121" s="40"/>
    </row>
    <row r="2122" spans="1:5" ht="12.75" x14ac:dyDescent="0.2">
      <c r="A2122" s="41"/>
      <c r="B2122" s="41" t="s">
        <v>403</v>
      </c>
      <c r="C2122" s="41" t="s">
        <v>30</v>
      </c>
      <c r="D2122" s="41" t="s">
        <v>31</v>
      </c>
      <c r="E2122" s="40"/>
    </row>
    <row r="2123" spans="1:5" ht="12.75" x14ac:dyDescent="0.2">
      <c r="A2123" s="41"/>
      <c r="B2123" s="41" t="s">
        <v>403</v>
      </c>
      <c r="C2123" s="41" t="s">
        <v>16</v>
      </c>
      <c r="D2123" s="41" t="s">
        <v>10</v>
      </c>
      <c r="E2123" s="40"/>
    </row>
    <row r="2124" spans="1:5" ht="12.75" x14ac:dyDescent="0.2">
      <c r="A2124" s="41"/>
      <c r="B2124" s="41"/>
      <c r="C2124" s="40"/>
      <c r="D2124" s="40"/>
      <c r="E2124" s="40"/>
    </row>
    <row r="2125" spans="1:5" ht="12.75" x14ac:dyDescent="0.2">
      <c r="A2125" s="47" t="s">
        <v>2093</v>
      </c>
      <c r="B2125" s="48"/>
      <c r="C2125" s="48"/>
      <c r="D2125" s="48"/>
      <c r="E2125" s="48"/>
    </row>
    <row r="2126" spans="1:5" ht="12.75" x14ac:dyDescent="0.2">
      <c r="A2126" s="41" t="s">
        <v>2094</v>
      </c>
      <c r="B2126" s="41" t="s">
        <v>402</v>
      </c>
      <c r="C2126" s="41" t="s">
        <v>2095</v>
      </c>
      <c r="D2126" s="40"/>
      <c r="E2126" s="40"/>
    </row>
    <row r="2127" spans="1:5" ht="12.75" x14ac:dyDescent="0.2">
      <c r="A2127" s="41" t="s">
        <v>2096</v>
      </c>
      <c r="B2127" s="40"/>
      <c r="C2127" s="40"/>
      <c r="D2127" s="40"/>
      <c r="E2127" s="40"/>
    </row>
    <row r="2128" spans="1:5" ht="12.75" x14ac:dyDescent="0.2">
      <c r="A2128" s="41" t="s">
        <v>2097</v>
      </c>
      <c r="B2128" s="41"/>
      <c r="C2128" s="40"/>
      <c r="D2128" s="40"/>
      <c r="E2128" s="40"/>
    </row>
    <row r="2129" spans="1:5" ht="12.75" x14ac:dyDescent="0.2">
      <c r="A2129" s="41" t="s">
        <v>2098</v>
      </c>
      <c r="B2129" s="40"/>
      <c r="C2129" s="40"/>
      <c r="D2129" s="40"/>
      <c r="E2129" s="40"/>
    </row>
    <row r="2130" spans="1:5" ht="12.75" x14ac:dyDescent="0.2">
      <c r="A2130" s="41"/>
      <c r="B2130" s="40"/>
      <c r="C2130" s="40"/>
      <c r="D2130" s="40"/>
      <c r="E2130" s="40"/>
    </row>
    <row r="2131" spans="1:5" ht="12.75" x14ac:dyDescent="0.2">
      <c r="A2131" s="47" t="s">
        <v>2099</v>
      </c>
      <c r="B2131" s="48"/>
      <c r="C2131" s="48"/>
      <c r="D2131" s="48"/>
      <c r="E2131" s="48"/>
    </row>
    <row r="2132" spans="1:5" ht="12.75" x14ac:dyDescent="0.2">
      <c r="A2132" s="41" t="s">
        <v>2100</v>
      </c>
      <c r="B2132" s="41" t="s">
        <v>402</v>
      </c>
      <c r="C2132" s="41" t="s">
        <v>2101</v>
      </c>
      <c r="D2132" s="40"/>
      <c r="E2132" s="40"/>
    </row>
    <row r="2133" spans="1:5" ht="12.75" x14ac:dyDescent="0.2">
      <c r="A2133" s="41" t="s">
        <v>2102</v>
      </c>
      <c r="B2133" s="40"/>
      <c r="C2133" s="40"/>
      <c r="D2133" s="40"/>
      <c r="E2133" s="40"/>
    </row>
    <row r="2134" spans="1:5" ht="12.75" x14ac:dyDescent="0.2">
      <c r="A2134" s="41" t="s">
        <v>2103</v>
      </c>
      <c r="B2134" s="41"/>
      <c r="C2134" s="40"/>
      <c r="D2134" s="40"/>
      <c r="E2134" s="40"/>
    </row>
    <row r="2135" spans="1:5" ht="12.75" x14ac:dyDescent="0.2">
      <c r="A2135" s="41" t="s">
        <v>2104</v>
      </c>
      <c r="B2135" s="40"/>
      <c r="C2135" s="40"/>
      <c r="D2135" s="40"/>
      <c r="E2135" s="40"/>
    </row>
    <row r="2136" spans="1:5" ht="12.75" x14ac:dyDescent="0.2">
      <c r="A2136" s="41" t="s">
        <v>2105</v>
      </c>
      <c r="B2136" s="40"/>
      <c r="C2136" s="40"/>
      <c r="D2136" s="40"/>
      <c r="E2136" s="40"/>
    </row>
    <row r="2137" spans="1:5" ht="12.75" x14ac:dyDescent="0.2">
      <c r="A2137" s="41" t="s">
        <v>1307</v>
      </c>
      <c r="B2137" s="41"/>
      <c r="C2137" s="40"/>
      <c r="D2137" s="40"/>
      <c r="E2137" s="40"/>
    </row>
    <row r="2138" spans="1:5" ht="12.75" x14ac:dyDescent="0.2">
      <c r="A2138" s="41" t="s">
        <v>2106</v>
      </c>
      <c r="B2138" s="40"/>
      <c r="C2138" s="40"/>
      <c r="D2138" s="40"/>
      <c r="E2138" s="40"/>
    </row>
    <row r="2139" spans="1:5" ht="12.75" x14ac:dyDescent="0.2">
      <c r="A2139" s="41" t="s">
        <v>2108</v>
      </c>
      <c r="B2139" s="40"/>
      <c r="C2139" s="40"/>
      <c r="D2139" s="40"/>
      <c r="E2139" s="40"/>
    </row>
    <row r="2140" spans="1:5" ht="12.75" x14ac:dyDescent="0.2">
      <c r="A2140" s="41" t="s">
        <v>2109</v>
      </c>
      <c r="B2140" s="40"/>
      <c r="C2140" s="40"/>
      <c r="D2140" s="40"/>
      <c r="E2140" s="40"/>
    </row>
    <row r="2141" spans="1:5" ht="12.75" x14ac:dyDescent="0.2">
      <c r="A2141" s="41" t="s">
        <v>2110</v>
      </c>
      <c r="B2141" s="40"/>
      <c r="C2141" s="40"/>
      <c r="D2141" s="40"/>
      <c r="E2141" s="40"/>
    </row>
    <row r="2142" spans="1:5" ht="12.75" x14ac:dyDescent="0.2">
      <c r="A2142" s="41"/>
      <c r="B2142" s="41" t="s">
        <v>403</v>
      </c>
      <c r="C2142" s="41" t="s">
        <v>25</v>
      </c>
      <c r="D2142" s="41" t="s">
        <v>27</v>
      </c>
      <c r="E2142" s="40"/>
    </row>
    <row r="2143" spans="1:5" ht="12.75" x14ac:dyDescent="0.2">
      <c r="A2143" s="41"/>
      <c r="B2143" s="41" t="s">
        <v>403</v>
      </c>
      <c r="C2143" s="41" t="s">
        <v>30</v>
      </c>
      <c r="D2143" s="41" t="s">
        <v>31</v>
      </c>
      <c r="E2143" s="40"/>
    </row>
    <row r="2144" spans="1:5" ht="12.75" x14ac:dyDescent="0.2">
      <c r="A2144" s="41"/>
      <c r="B2144" s="41" t="s">
        <v>403</v>
      </c>
      <c r="C2144" s="41" t="s">
        <v>16</v>
      </c>
      <c r="D2144" s="41" t="s">
        <v>10</v>
      </c>
      <c r="E2144" s="40"/>
    </row>
    <row r="2145" spans="1:5" ht="12.75" x14ac:dyDescent="0.2">
      <c r="A2145" s="41"/>
      <c r="B2145" s="40"/>
      <c r="C2145" s="40"/>
      <c r="D2145" s="40"/>
      <c r="E2145" s="40"/>
    </row>
    <row r="2146" spans="1:5" ht="12.75" x14ac:dyDescent="0.2">
      <c r="A2146" s="47" t="s">
        <v>2111</v>
      </c>
      <c r="B2146" s="48"/>
      <c r="C2146" s="48"/>
      <c r="D2146" s="48"/>
      <c r="E2146" s="48"/>
    </row>
    <row r="2147" spans="1:5" ht="12.75" x14ac:dyDescent="0.2">
      <c r="A2147" s="41" t="s">
        <v>2112</v>
      </c>
      <c r="B2147" s="41" t="s">
        <v>402</v>
      </c>
      <c r="C2147" s="41" t="s">
        <v>2113</v>
      </c>
      <c r="D2147" s="40"/>
      <c r="E2147" s="40"/>
    </row>
    <row r="2148" spans="1:5" ht="12.75" x14ac:dyDescent="0.2">
      <c r="A2148" s="41" t="s">
        <v>2114</v>
      </c>
      <c r="B2148" s="41"/>
      <c r="C2148" s="40"/>
      <c r="D2148" s="40"/>
      <c r="E2148" s="40"/>
    </row>
    <row r="2149" spans="1:5" ht="12.75" x14ac:dyDescent="0.2">
      <c r="A2149" s="41" t="s">
        <v>2115</v>
      </c>
      <c r="B2149" s="41"/>
      <c r="C2149" s="40"/>
      <c r="D2149" s="40"/>
      <c r="E2149" s="40"/>
    </row>
    <row r="2150" spans="1:5" ht="12.75" x14ac:dyDescent="0.2">
      <c r="A2150" s="41" t="s">
        <v>2116</v>
      </c>
      <c r="B2150" s="40"/>
      <c r="C2150" s="40"/>
      <c r="D2150" s="40"/>
      <c r="E2150" s="40"/>
    </row>
    <row r="2151" spans="1:5" ht="12.75" x14ac:dyDescent="0.2">
      <c r="A2151" s="41" t="s">
        <v>2117</v>
      </c>
      <c r="B2151" s="40"/>
      <c r="C2151" s="40"/>
      <c r="D2151" s="40"/>
      <c r="E2151" s="40"/>
    </row>
    <row r="2152" spans="1:5" ht="12.75" x14ac:dyDescent="0.2">
      <c r="A2152" s="41"/>
      <c r="B2152" s="40"/>
      <c r="C2152" s="40"/>
      <c r="D2152" s="40"/>
      <c r="E2152" s="40"/>
    </row>
    <row r="2153" spans="1:5" ht="12.75" x14ac:dyDescent="0.2">
      <c r="A2153" s="47" t="s">
        <v>2118</v>
      </c>
      <c r="B2153" s="48"/>
      <c r="C2153" s="48"/>
      <c r="D2153" s="48"/>
      <c r="E2153" s="48"/>
    </row>
    <row r="2154" spans="1:5" ht="12.75" x14ac:dyDescent="0.2">
      <c r="A2154" s="41" t="s">
        <v>2119</v>
      </c>
      <c r="B2154" s="41" t="s">
        <v>402</v>
      </c>
      <c r="C2154" s="41" t="s">
        <v>20</v>
      </c>
      <c r="D2154" s="40"/>
      <c r="E2154" s="40"/>
    </row>
    <row r="2155" spans="1:5" ht="12.75" x14ac:dyDescent="0.2">
      <c r="A2155" s="41" t="s">
        <v>2120</v>
      </c>
      <c r="B2155" s="40"/>
      <c r="C2155" s="40"/>
      <c r="D2155" s="40"/>
      <c r="E2155" s="40"/>
    </row>
    <row r="2156" spans="1:5" ht="12.75" x14ac:dyDescent="0.2">
      <c r="A2156" s="41" t="s">
        <v>2122</v>
      </c>
      <c r="B2156" s="40"/>
      <c r="C2156" s="40"/>
      <c r="D2156" s="40"/>
      <c r="E2156" s="40"/>
    </row>
    <row r="2157" spans="1:5" ht="12.75" x14ac:dyDescent="0.2">
      <c r="A2157" s="41" t="s">
        <v>2123</v>
      </c>
      <c r="B2157" s="40"/>
      <c r="C2157" s="40"/>
      <c r="D2157" s="40"/>
      <c r="E2157" s="40"/>
    </row>
    <row r="2158" spans="1:5" ht="12.75" x14ac:dyDescent="0.2">
      <c r="A2158" s="41" t="s">
        <v>2124</v>
      </c>
      <c r="B2158" s="40"/>
      <c r="C2158" s="40"/>
      <c r="D2158" s="40"/>
      <c r="E2158" s="40"/>
    </row>
    <row r="2159" spans="1:5" ht="12.75" x14ac:dyDescent="0.2">
      <c r="A2159" s="41"/>
      <c r="B2159" s="40"/>
      <c r="C2159" s="40"/>
      <c r="D2159" s="40"/>
      <c r="E2159" s="40"/>
    </row>
    <row r="2160" spans="1:5" ht="12.75" x14ac:dyDescent="0.2">
      <c r="A2160" s="47" t="s">
        <v>2125</v>
      </c>
      <c r="B2160" s="48"/>
      <c r="C2160" s="48"/>
      <c r="D2160" s="48"/>
      <c r="E2160" s="48"/>
    </row>
    <row r="2161" spans="1:5" ht="12.75" x14ac:dyDescent="0.2">
      <c r="A2161" s="41" t="s">
        <v>1571</v>
      </c>
      <c r="B2161" s="40"/>
      <c r="C2161" s="40"/>
      <c r="D2161" s="40"/>
      <c r="E2161" s="40"/>
    </row>
    <row r="2162" spans="1:5" ht="12.75" x14ac:dyDescent="0.2">
      <c r="A2162" s="41" t="s">
        <v>2126</v>
      </c>
      <c r="B2162" s="41"/>
      <c r="C2162" s="40"/>
      <c r="D2162" s="40"/>
      <c r="E2162" s="40"/>
    </row>
    <row r="2163" spans="1:5" ht="12.75" x14ac:dyDescent="0.2">
      <c r="A2163" s="41" t="s">
        <v>2127</v>
      </c>
      <c r="B2163" s="40"/>
      <c r="C2163" s="40"/>
      <c r="D2163" s="40"/>
      <c r="E2163" s="40"/>
    </row>
    <row r="2164" spans="1:5" ht="12.75" x14ac:dyDescent="0.2">
      <c r="A2164" s="41"/>
      <c r="B2164" s="41" t="s">
        <v>422</v>
      </c>
      <c r="C2164" s="41" t="s">
        <v>2128</v>
      </c>
      <c r="D2164" s="41" t="s">
        <v>2129</v>
      </c>
      <c r="E2164" s="40"/>
    </row>
    <row r="2165" spans="1:5" ht="12.75" x14ac:dyDescent="0.2">
      <c r="A2165" s="41"/>
      <c r="B2165" s="40"/>
      <c r="C2165" s="40"/>
      <c r="D2165" s="40"/>
      <c r="E2165" s="40"/>
    </row>
    <row r="2166" spans="1:5" ht="25.5" x14ac:dyDescent="0.2">
      <c r="A2166" s="47" t="s">
        <v>2130</v>
      </c>
      <c r="B2166" s="48"/>
      <c r="C2166" s="48"/>
      <c r="D2166" s="48"/>
      <c r="E2166" s="48"/>
    </row>
    <row r="2167" spans="1:5" ht="12.75" x14ac:dyDescent="0.2">
      <c r="A2167" s="41" t="s">
        <v>2131</v>
      </c>
      <c r="B2167" s="40"/>
      <c r="C2167" s="40"/>
      <c r="D2167" s="40"/>
      <c r="E2167" s="40"/>
    </row>
    <row r="2168" spans="1:5" ht="12.75" x14ac:dyDescent="0.2">
      <c r="A2168" s="41" t="s">
        <v>2132</v>
      </c>
      <c r="B2168" s="40"/>
      <c r="C2168" s="40"/>
      <c r="D2168" s="40"/>
      <c r="E2168" s="40"/>
    </row>
    <row r="2169" spans="1:5" ht="12.75" x14ac:dyDescent="0.2">
      <c r="A2169" s="41" t="s">
        <v>2133</v>
      </c>
      <c r="B2169" s="41"/>
      <c r="C2169" s="40"/>
      <c r="D2169" s="40"/>
      <c r="E2169" s="40"/>
    </row>
    <row r="2170" spans="1:5" ht="12.75" x14ac:dyDescent="0.2">
      <c r="A2170" s="41" t="s">
        <v>2134</v>
      </c>
      <c r="B2170" s="40"/>
      <c r="C2170" s="40"/>
      <c r="D2170" s="40"/>
      <c r="E2170" s="40"/>
    </row>
    <row r="2171" spans="1:5" ht="12.75" x14ac:dyDescent="0.2">
      <c r="A2171" s="41"/>
      <c r="B2171" s="41" t="s">
        <v>422</v>
      </c>
      <c r="C2171" s="41" t="s">
        <v>2135</v>
      </c>
      <c r="D2171" s="41" t="s">
        <v>808</v>
      </c>
      <c r="E2171" s="40"/>
    </row>
    <row r="2172" spans="1:5" ht="12.75" x14ac:dyDescent="0.2">
      <c r="A2172" s="41"/>
      <c r="B2172" s="41" t="s">
        <v>422</v>
      </c>
      <c r="C2172" s="41" t="s">
        <v>2136</v>
      </c>
      <c r="D2172" s="41" t="s">
        <v>2137</v>
      </c>
      <c r="E2172" s="40"/>
    </row>
    <row r="2173" spans="1:5" ht="12.75" x14ac:dyDescent="0.2">
      <c r="A2173" s="41"/>
      <c r="B2173" s="41"/>
      <c r="C2173" s="40"/>
      <c r="D2173" s="40"/>
      <c r="E2173" s="40"/>
    </row>
    <row r="2174" spans="1:5" ht="12.75" x14ac:dyDescent="0.2">
      <c r="A2174" s="47" t="s">
        <v>2138</v>
      </c>
      <c r="B2174" s="48"/>
      <c r="C2174" s="48"/>
      <c r="D2174" s="48"/>
      <c r="E2174" s="48"/>
    </row>
    <row r="2175" spans="1:5" ht="12.75" x14ac:dyDescent="0.2">
      <c r="A2175" s="41" t="s">
        <v>2139</v>
      </c>
      <c r="B2175" s="40"/>
      <c r="C2175" s="40"/>
      <c r="D2175" s="40"/>
      <c r="E2175" s="40"/>
    </row>
    <row r="2176" spans="1:5" ht="12.75" x14ac:dyDescent="0.2">
      <c r="A2176" s="41" t="s">
        <v>2140</v>
      </c>
      <c r="B2176" s="40"/>
      <c r="C2176" s="40"/>
      <c r="D2176" s="40"/>
      <c r="E2176" s="40"/>
    </row>
    <row r="2177" spans="1:5" ht="12.75" x14ac:dyDescent="0.2">
      <c r="A2177" s="41" t="s">
        <v>2141</v>
      </c>
      <c r="B2177" s="40"/>
      <c r="C2177" s="40"/>
      <c r="D2177" s="40"/>
      <c r="E2177" s="40"/>
    </row>
    <row r="2178" spans="1:5" ht="12.75" x14ac:dyDescent="0.2">
      <c r="A2178" s="41" t="s">
        <v>2142</v>
      </c>
      <c r="B2178" s="40"/>
      <c r="C2178" s="40"/>
      <c r="D2178" s="40"/>
      <c r="E2178" s="40"/>
    </row>
    <row r="2179" spans="1:5" ht="12.75" x14ac:dyDescent="0.2">
      <c r="A2179" s="41" t="s">
        <v>2143</v>
      </c>
      <c r="B2179" s="40"/>
      <c r="C2179" s="40"/>
      <c r="D2179" s="40"/>
      <c r="E2179" s="40"/>
    </row>
    <row r="2180" spans="1:5" ht="12.75" x14ac:dyDescent="0.2">
      <c r="A2180" s="41" t="s">
        <v>2144</v>
      </c>
      <c r="B2180" s="40"/>
      <c r="C2180" s="40"/>
      <c r="D2180" s="40"/>
      <c r="E2180" s="40"/>
    </row>
    <row r="2181" spans="1:5" ht="12.75" x14ac:dyDescent="0.2">
      <c r="A2181" s="41" t="s">
        <v>2145</v>
      </c>
      <c r="B2181" s="41"/>
      <c r="C2181" s="40"/>
      <c r="D2181" s="40"/>
      <c r="E2181" s="40"/>
    </row>
    <row r="2182" spans="1:5" ht="12.75" x14ac:dyDescent="0.2">
      <c r="A2182" s="41" t="s">
        <v>2146</v>
      </c>
      <c r="B2182" s="41"/>
      <c r="C2182" s="40"/>
      <c r="D2182" s="40"/>
      <c r="E2182" s="40"/>
    </row>
    <row r="2183" spans="1:5" ht="12.75" x14ac:dyDescent="0.2">
      <c r="A2183" s="41"/>
      <c r="B2183" s="41" t="s">
        <v>422</v>
      </c>
      <c r="C2183" s="41" t="s">
        <v>2135</v>
      </c>
      <c r="D2183" s="41" t="s">
        <v>808</v>
      </c>
      <c r="E2183" s="40"/>
    </row>
    <row r="2184" spans="1:5" ht="12.75" x14ac:dyDescent="0.2">
      <c r="A2184" s="41"/>
      <c r="B2184" s="40"/>
      <c r="C2184" s="40"/>
      <c r="D2184" s="40"/>
      <c r="E2184" s="40"/>
    </row>
    <row r="2185" spans="1:5" ht="12.75" x14ac:dyDescent="0.2">
      <c r="A2185" s="47" t="s">
        <v>2147</v>
      </c>
      <c r="B2185" s="48"/>
      <c r="C2185" s="48"/>
      <c r="D2185" s="48"/>
      <c r="E2185" s="48"/>
    </row>
    <row r="2186" spans="1:5" ht="12.75" x14ac:dyDescent="0.2">
      <c r="A2186" s="41" t="s">
        <v>2148</v>
      </c>
      <c r="B2186" s="40"/>
      <c r="C2186" s="40"/>
      <c r="D2186" s="40"/>
      <c r="E2186" s="40"/>
    </row>
    <row r="2187" spans="1:5" ht="12.75" x14ac:dyDescent="0.2">
      <c r="A2187" s="41" t="s">
        <v>2149</v>
      </c>
      <c r="B2187" s="41"/>
      <c r="C2187" s="41"/>
      <c r="D2187" s="41"/>
      <c r="E2187" s="40"/>
    </row>
    <row r="2188" spans="1:5" ht="12.75" x14ac:dyDescent="0.2">
      <c r="A2188" s="41"/>
      <c r="B2188" s="41" t="s">
        <v>422</v>
      </c>
      <c r="C2188" s="41" t="s">
        <v>2150</v>
      </c>
      <c r="D2188" s="41" t="s">
        <v>2151</v>
      </c>
      <c r="E2188" s="40"/>
    </row>
    <row r="2189" spans="1:5" ht="12.75" x14ac:dyDescent="0.2">
      <c r="A2189" s="41"/>
      <c r="B2189" s="41"/>
      <c r="C2189" s="41"/>
      <c r="D2189" s="41"/>
      <c r="E2189" s="40"/>
    </row>
    <row r="2190" spans="1:5" ht="12.75" x14ac:dyDescent="0.2">
      <c r="A2190" s="47" t="s">
        <v>2152</v>
      </c>
      <c r="B2190" s="48"/>
      <c r="C2190" s="48"/>
      <c r="D2190" s="48"/>
      <c r="E2190" s="48"/>
    </row>
    <row r="2191" spans="1:5" ht="12.75" x14ac:dyDescent="0.2">
      <c r="A2191" s="41" t="s">
        <v>2153</v>
      </c>
      <c r="B2191" s="40"/>
      <c r="C2191" s="40"/>
      <c r="D2191" s="40"/>
      <c r="E2191" s="40"/>
    </row>
    <row r="2192" spans="1:5" ht="12.75" x14ac:dyDescent="0.2">
      <c r="A2192" s="41" t="s">
        <v>2154</v>
      </c>
      <c r="B2192" s="41"/>
      <c r="C2192" s="40"/>
      <c r="D2192" s="40"/>
      <c r="E2192" s="40"/>
    </row>
    <row r="2193" spans="1:5" ht="12.75" x14ac:dyDescent="0.2">
      <c r="A2193" s="41" t="s">
        <v>2155</v>
      </c>
      <c r="B2193" s="40"/>
      <c r="C2193" s="40"/>
      <c r="D2193" s="40"/>
      <c r="E2193" s="40"/>
    </row>
    <row r="2194" spans="1:5" ht="12.75" x14ac:dyDescent="0.2">
      <c r="A2194" s="41" t="s">
        <v>2156</v>
      </c>
      <c r="B2194" s="40"/>
      <c r="C2194" s="40"/>
      <c r="D2194" s="40"/>
      <c r="E2194" s="40"/>
    </row>
    <row r="2195" spans="1:5" ht="12.75" x14ac:dyDescent="0.2">
      <c r="A2195" s="41" t="s">
        <v>2157</v>
      </c>
      <c r="B2195" s="41"/>
      <c r="C2195" s="40"/>
      <c r="D2195" s="40"/>
      <c r="E2195" s="40"/>
    </row>
    <row r="2196" spans="1:5" ht="12.75" x14ac:dyDescent="0.2">
      <c r="A2196" s="41" t="s">
        <v>2158</v>
      </c>
      <c r="B2196" s="40"/>
      <c r="C2196" s="40"/>
      <c r="D2196" s="40"/>
      <c r="E2196" s="40"/>
    </row>
    <row r="2197" spans="1:5" ht="12.75" x14ac:dyDescent="0.2">
      <c r="A2197" s="41" t="s">
        <v>2159</v>
      </c>
      <c r="B2197" s="40"/>
      <c r="C2197" s="40"/>
      <c r="D2197" s="40"/>
      <c r="E2197" s="40"/>
    </row>
    <row r="2198" spans="1:5" ht="12.75" x14ac:dyDescent="0.2">
      <c r="A2198" s="41" t="s">
        <v>2160</v>
      </c>
      <c r="B2198" s="40"/>
      <c r="C2198" s="40"/>
      <c r="D2198" s="40"/>
      <c r="E2198" s="40"/>
    </row>
    <row r="2199" spans="1:5" ht="12.75" x14ac:dyDescent="0.2">
      <c r="A2199" s="41" t="s">
        <v>2161</v>
      </c>
      <c r="B2199" s="41"/>
      <c r="C2199" s="40"/>
      <c r="D2199" s="40"/>
      <c r="E2199" s="40"/>
    </row>
    <row r="2200" spans="1:5" ht="12.75" x14ac:dyDescent="0.2">
      <c r="A2200" s="41" t="s">
        <v>2162</v>
      </c>
      <c r="B2200" s="40"/>
      <c r="C2200" s="40"/>
      <c r="D2200" s="40"/>
      <c r="E2200" s="40"/>
    </row>
    <row r="2201" spans="1:5" ht="12.75" x14ac:dyDescent="0.2">
      <c r="A2201" s="41"/>
      <c r="B2201" s="41" t="s">
        <v>422</v>
      </c>
      <c r="C2201" s="41" t="s">
        <v>2136</v>
      </c>
      <c r="D2201" s="41" t="s">
        <v>2137</v>
      </c>
      <c r="E2201" s="40"/>
    </row>
    <row r="2202" spans="1:5" ht="12.75" x14ac:dyDescent="0.2">
      <c r="A2202" s="41"/>
      <c r="B2202" s="40"/>
      <c r="C2202" s="40"/>
      <c r="D2202" s="40"/>
      <c r="E2202" s="40"/>
    </row>
    <row r="2203" spans="1:5" ht="12.75" x14ac:dyDescent="0.2">
      <c r="A2203" s="47" t="s">
        <v>2163</v>
      </c>
      <c r="B2203" s="48"/>
      <c r="C2203" s="48"/>
      <c r="D2203" s="48"/>
      <c r="E2203" s="48"/>
    </row>
    <row r="2204" spans="1:5" ht="12.75" x14ac:dyDescent="0.2">
      <c r="A2204" s="41" t="s">
        <v>2164</v>
      </c>
      <c r="B2204" s="40"/>
      <c r="C2204" s="40"/>
      <c r="D2204" s="40"/>
      <c r="E2204" s="40"/>
    </row>
    <row r="2205" spans="1:5" ht="12.75" x14ac:dyDescent="0.2">
      <c r="A2205" s="41" t="s">
        <v>2165</v>
      </c>
      <c r="B2205" s="40"/>
      <c r="C2205" s="40"/>
      <c r="D2205" s="40"/>
      <c r="E2205" s="40"/>
    </row>
    <row r="2206" spans="1:5" ht="12.75" x14ac:dyDescent="0.2">
      <c r="A2206" s="41" t="s">
        <v>2166</v>
      </c>
      <c r="B2206" s="40"/>
      <c r="C2206" s="40"/>
      <c r="D2206" s="40"/>
      <c r="E2206" s="40"/>
    </row>
    <row r="2207" spans="1:5" ht="12.75" x14ac:dyDescent="0.2">
      <c r="A2207" s="41" t="s">
        <v>2167</v>
      </c>
      <c r="B2207" s="40"/>
      <c r="C2207" s="40"/>
      <c r="D2207" s="40"/>
      <c r="E2207" s="40"/>
    </row>
    <row r="2208" spans="1:5" ht="12.75" x14ac:dyDescent="0.2">
      <c r="A2208" s="41" t="s">
        <v>2168</v>
      </c>
      <c r="B2208" s="40"/>
      <c r="C2208" s="40"/>
      <c r="D2208" s="40"/>
      <c r="E2208" s="40"/>
    </row>
    <row r="2209" spans="1:5" ht="12.75" x14ac:dyDescent="0.2">
      <c r="A2209" s="41" t="s">
        <v>2169</v>
      </c>
      <c r="B2209" s="41"/>
      <c r="C2209" s="41"/>
      <c r="D2209" s="41"/>
      <c r="E2209" s="40"/>
    </row>
    <row r="2210" spans="1:5" ht="12.75" x14ac:dyDescent="0.2">
      <c r="A2210" s="41" t="s">
        <v>2170</v>
      </c>
      <c r="B2210" s="41"/>
      <c r="C2210" s="41"/>
      <c r="D2210" s="41"/>
      <c r="E2210" s="40"/>
    </row>
    <row r="2211" spans="1:5" ht="12.75" x14ac:dyDescent="0.2">
      <c r="A2211" s="41"/>
      <c r="B2211" s="41" t="s">
        <v>422</v>
      </c>
      <c r="C2211" s="41" t="s">
        <v>2171</v>
      </c>
      <c r="D2211" s="41" t="s">
        <v>2172</v>
      </c>
      <c r="E2211" s="40"/>
    </row>
    <row r="2212" spans="1:5" ht="12.75" x14ac:dyDescent="0.2">
      <c r="A2212" s="41"/>
      <c r="B2212" s="40"/>
      <c r="C2212" s="40"/>
      <c r="D2212" s="40"/>
      <c r="E2212" s="40"/>
    </row>
    <row r="2213" spans="1:5" ht="12.75" x14ac:dyDescent="0.2">
      <c r="A2213" s="47" t="s">
        <v>2173</v>
      </c>
      <c r="B2213" s="48"/>
      <c r="C2213" s="48"/>
      <c r="D2213" s="48"/>
      <c r="E2213" s="48"/>
    </row>
    <row r="2214" spans="1:5" ht="12.75" x14ac:dyDescent="0.2">
      <c r="A2214" s="41" t="s">
        <v>2174</v>
      </c>
      <c r="B2214" s="41"/>
      <c r="C2214" s="40"/>
      <c r="D2214" s="40"/>
      <c r="E2214" s="40"/>
    </row>
    <row r="2215" spans="1:5" ht="12.75" x14ac:dyDescent="0.2">
      <c r="A2215" s="41" t="s">
        <v>2175</v>
      </c>
      <c r="B2215" s="41"/>
      <c r="C2215" s="40"/>
      <c r="D2215" s="40"/>
      <c r="E2215" s="40"/>
    </row>
    <row r="2216" spans="1:5" ht="12.75" x14ac:dyDescent="0.2">
      <c r="A2216" s="41" t="s">
        <v>2176</v>
      </c>
      <c r="B2216" s="40"/>
      <c r="C2216" s="40"/>
      <c r="D2216" s="40"/>
      <c r="E2216" s="40"/>
    </row>
    <row r="2217" spans="1:5" ht="12.75" x14ac:dyDescent="0.2">
      <c r="A2217" s="41" t="s">
        <v>2177</v>
      </c>
      <c r="B2217" s="40"/>
      <c r="C2217" s="40"/>
      <c r="D2217" s="40"/>
      <c r="E2217" s="40"/>
    </row>
    <row r="2218" spans="1:5" ht="12.75" x14ac:dyDescent="0.2">
      <c r="A2218" s="41" t="s">
        <v>2178</v>
      </c>
      <c r="B2218" s="40"/>
      <c r="C2218" s="40"/>
      <c r="D2218" s="40"/>
      <c r="E2218" s="40"/>
    </row>
    <row r="2219" spans="1:5" ht="12.75" x14ac:dyDescent="0.2">
      <c r="A2219" s="41" t="s">
        <v>2179</v>
      </c>
      <c r="B2219" s="40"/>
      <c r="C2219" s="40"/>
      <c r="D2219" s="40"/>
      <c r="E2219" s="40"/>
    </row>
    <row r="2220" spans="1:5" ht="12.75" x14ac:dyDescent="0.2">
      <c r="A2220" s="41" t="s">
        <v>2180</v>
      </c>
      <c r="B2220" s="40"/>
      <c r="C2220" s="40"/>
      <c r="D2220" s="40"/>
      <c r="E2220" s="40"/>
    </row>
    <row r="2221" spans="1:5" ht="12.75" x14ac:dyDescent="0.2">
      <c r="A2221" s="41" t="s">
        <v>2181</v>
      </c>
      <c r="B2221" s="40"/>
      <c r="C2221" s="40"/>
      <c r="D2221" s="40"/>
      <c r="E2221" s="40"/>
    </row>
    <row r="2222" spans="1:5" ht="12.75" x14ac:dyDescent="0.2">
      <c r="A2222" s="41" t="s">
        <v>2182</v>
      </c>
      <c r="B2222" s="41"/>
      <c r="C2222" s="40"/>
      <c r="D2222" s="40"/>
      <c r="E2222" s="40"/>
    </row>
    <row r="2223" spans="1:5" ht="12.75" x14ac:dyDescent="0.2">
      <c r="A2223" s="41" t="s">
        <v>2183</v>
      </c>
      <c r="B2223" s="40"/>
      <c r="C2223" s="40"/>
      <c r="D2223" s="40"/>
      <c r="E2223" s="40"/>
    </row>
    <row r="2224" spans="1:5" ht="12.75" x14ac:dyDescent="0.2">
      <c r="A2224" s="41"/>
      <c r="B2224" s="41" t="s">
        <v>422</v>
      </c>
      <c r="C2224" s="41" t="s">
        <v>2128</v>
      </c>
      <c r="D2224" s="41" t="s">
        <v>2129</v>
      </c>
      <c r="E2224" s="40"/>
    </row>
    <row r="2225" spans="1:5" ht="12.75" x14ac:dyDescent="0.2">
      <c r="A2225" s="41"/>
      <c r="B2225" s="41" t="s">
        <v>422</v>
      </c>
      <c r="C2225" s="41" t="s">
        <v>2136</v>
      </c>
      <c r="D2225" s="41" t="s">
        <v>2137</v>
      </c>
      <c r="E2225" s="40"/>
    </row>
    <row r="2226" spans="1:5" ht="12.75" x14ac:dyDescent="0.2">
      <c r="A2226" s="41"/>
      <c r="B2226" s="41" t="s">
        <v>422</v>
      </c>
      <c r="C2226" s="41" t="s">
        <v>2135</v>
      </c>
      <c r="D2226" s="41" t="s">
        <v>808</v>
      </c>
      <c r="E2226" s="40"/>
    </row>
    <row r="2227" spans="1:5" ht="12.75" x14ac:dyDescent="0.2">
      <c r="A2227" s="41"/>
      <c r="B2227" s="40"/>
      <c r="C2227" s="40"/>
      <c r="D2227" s="40"/>
      <c r="E2227" s="40"/>
    </row>
    <row r="2228" spans="1:5" ht="12.75" x14ac:dyDescent="0.2">
      <c r="A2228" s="47" t="s">
        <v>2184</v>
      </c>
      <c r="B2228" s="48"/>
      <c r="C2228" s="48"/>
      <c r="D2228" s="48"/>
      <c r="E2228" s="48"/>
    </row>
    <row r="2229" spans="1:5" ht="12.75" x14ac:dyDescent="0.2">
      <c r="A2229" s="41" t="s">
        <v>2185</v>
      </c>
      <c r="B2229" s="40"/>
      <c r="C2229" s="40"/>
      <c r="D2229" s="40"/>
      <c r="E2229" s="40"/>
    </row>
    <row r="2230" spans="1:5" ht="12.75" x14ac:dyDescent="0.2">
      <c r="A2230" s="41" t="s">
        <v>2186</v>
      </c>
      <c r="B2230" s="41"/>
      <c r="C2230" s="40"/>
      <c r="D2230" s="40"/>
      <c r="E2230" s="40"/>
    </row>
    <row r="2231" spans="1:5" ht="12.75" x14ac:dyDescent="0.2">
      <c r="A2231" s="41" t="s">
        <v>2187</v>
      </c>
      <c r="B2231" s="40"/>
      <c r="C2231" s="40"/>
      <c r="D2231" s="40"/>
      <c r="E2231" s="40"/>
    </row>
    <row r="2232" spans="1:5" ht="12.75" x14ac:dyDescent="0.2">
      <c r="A2232" s="41" t="s">
        <v>2188</v>
      </c>
      <c r="B2232" s="40"/>
      <c r="C2232" s="40"/>
      <c r="D2232" s="40"/>
      <c r="E2232" s="40"/>
    </row>
    <row r="2233" spans="1:5" ht="12.75" x14ac:dyDescent="0.2">
      <c r="A2233" s="41" t="s">
        <v>2189</v>
      </c>
      <c r="B2233" s="40"/>
      <c r="C2233" s="40"/>
      <c r="D2233" s="40"/>
      <c r="E2233" s="40"/>
    </row>
    <row r="2234" spans="1:5" ht="12.75" x14ac:dyDescent="0.2">
      <c r="A2234" s="41" t="s">
        <v>2190</v>
      </c>
      <c r="B2234" s="40"/>
      <c r="C2234" s="40"/>
      <c r="D2234" s="40"/>
      <c r="E2234" s="40"/>
    </row>
    <row r="2235" spans="1:5" ht="12.75" x14ac:dyDescent="0.2">
      <c r="A2235" s="41" t="s">
        <v>2191</v>
      </c>
      <c r="B2235" s="40"/>
      <c r="C2235" s="40"/>
      <c r="D2235" s="40"/>
      <c r="E2235" s="40"/>
    </row>
    <row r="2236" spans="1:5" ht="12.75" x14ac:dyDescent="0.2">
      <c r="A2236" s="41" t="s">
        <v>2192</v>
      </c>
      <c r="B2236" s="41"/>
      <c r="C2236" s="40"/>
      <c r="D2236" s="40"/>
      <c r="E2236" s="40"/>
    </row>
    <row r="2237" spans="1:5" ht="12.75" x14ac:dyDescent="0.2">
      <c r="A2237" s="41" t="s">
        <v>2193</v>
      </c>
      <c r="B2237" s="40"/>
      <c r="C2237" s="40"/>
      <c r="D2237" s="40"/>
      <c r="E2237" s="40"/>
    </row>
    <row r="2238" spans="1:5" ht="12.75" x14ac:dyDescent="0.2">
      <c r="A2238" s="41" t="s">
        <v>2194</v>
      </c>
      <c r="B2238" s="40"/>
      <c r="C2238" s="40"/>
      <c r="D2238" s="40"/>
      <c r="E2238" s="40"/>
    </row>
    <row r="2239" spans="1:5" ht="12.75" x14ac:dyDescent="0.2">
      <c r="A2239" s="41" t="s">
        <v>2195</v>
      </c>
      <c r="B2239" s="40"/>
      <c r="C2239" s="40"/>
      <c r="D2239" s="40"/>
      <c r="E2239" s="40"/>
    </row>
    <row r="2240" spans="1:5" ht="12.75" x14ac:dyDescent="0.2">
      <c r="A2240" s="41" t="s">
        <v>2196</v>
      </c>
      <c r="B2240" s="40"/>
      <c r="C2240" s="40"/>
      <c r="D2240" s="40"/>
      <c r="E2240" s="40"/>
    </row>
    <row r="2241" spans="1:5" ht="12.75" x14ac:dyDescent="0.2">
      <c r="A2241" s="40"/>
      <c r="B2241" s="41" t="s">
        <v>422</v>
      </c>
      <c r="C2241" s="41" t="s">
        <v>2136</v>
      </c>
      <c r="D2241" s="41" t="s">
        <v>2137</v>
      </c>
      <c r="E2241" s="40"/>
    </row>
    <row r="2242" spans="1:5" ht="12.75" x14ac:dyDescent="0.2">
      <c r="A2242" s="41"/>
      <c r="B2242" s="41" t="s">
        <v>422</v>
      </c>
      <c r="C2242" s="41" t="s">
        <v>2197</v>
      </c>
      <c r="D2242" s="41" t="s">
        <v>2151</v>
      </c>
      <c r="E2242" s="40"/>
    </row>
    <row r="2243" spans="1:5" ht="12.75" x14ac:dyDescent="0.2">
      <c r="A2243" s="41"/>
      <c r="B2243" s="41" t="s">
        <v>422</v>
      </c>
      <c r="C2243" s="41" t="s">
        <v>2135</v>
      </c>
      <c r="D2243" s="41" t="s">
        <v>808</v>
      </c>
      <c r="E2243" s="40"/>
    </row>
    <row r="2244" spans="1:5" ht="12.75" x14ac:dyDescent="0.2">
      <c r="A2244" s="41"/>
      <c r="B2244" s="40"/>
      <c r="C2244" s="40"/>
      <c r="D2244" s="40"/>
      <c r="E2244" s="40"/>
    </row>
    <row r="2245" spans="1:5" ht="12.75" x14ac:dyDescent="0.2">
      <c r="A2245" s="47" t="s">
        <v>2198</v>
      </c>
      <c r="B2245" s="48"/>
      <c r="C2245" s="48"/>
      <c r="D2245" s="48"/>
      <c r="E2245" s="48"/>
    </row>
    <row r="2246" spans="1:5" ht="12.75" x14ac:dyDescent="0.2">
      <c r="A2246" s="41" t="s">
        <v>2199</v>
      </c>
      <c r="B2246" s="40"/>
      <c r="C2246" s="40"/>
      <c r="D2246" s="40"/>
      <c r="E2246" s="40"/>
    </row>
    <row r="2247" spans="1:5" ht="12.75" x14ac:dyDescent="0.2">
      <c r="A2247" s="41" t="s">
        <v>2200</v>
      </c>
      <c r="B2247" s="40"/>
      <c r="C2247" s="40"/>
      <c r="D2247" s="40"/>
      <c r="E2247" s="40"/>
    </row>
    <row r="2248" spans="1:5" ht="12.75" x14ac:dyDescent="0.2">
      <c r="A2248" s="41" t="s">
        <v>2201</v>
      </c>
      <c r="B2248" s="40"/>
      <c r="C2248" s="40"/>
      <c r="D2248" s="40"/>
      <c r="E2248" s="40"/>
    </row>
    <row r="2249" spans="1:5" ht="12.75" x14ac:dyDescent="0.2">
      <c r="A2249" s="41" t="s">
        <v>2202</v>
      </c>
      <c r="B2249" s="40"/>
      <c r="C2249" s="40"/>
      <c r="D2249" s="40"/>
      <c r="E2249" s="40"/>
    </row>
    <row r="2250" spans="1:5" ht="12.75" x14ac:dyDescent="0.2">
      <c r="A2250" s="41" t="s">
        <v>2203</v>
      </c>
      <c r="B2250" s="40"/>
      <c r="C2250" s="40"/>
      <c r="D2250" s="40"/>
      <c r="E2250" s="40"/>
    </row>
    <row r="2251" spans="1:5" ht="12.75" x14ac:dyDescent="0.2">
      <c r="A2251" s="41" t="s">
        <v>2204</v>
      </c>
      <c r="B2251" s="40"/>
      <c r="C2251" s="40"/>
      <c r="D2251" s="40"/>
      <c r="E2251" s="40"/>
    </row>
    <row r="2252" spans="1:5" ht="12.75" x14ac:dyDescent="0.2">
      <c r="A2252" s="41" t="s">
        <v>2205</v>
      </c>
      <c r="B2252" s="40"/>
      <c r="C2252" s="40"/>
      <c r="D2252" s="40"/>
      <c r="E2252" s="40"/>
    </row>
    <row r="2253" spans="1:5" ht="12.75" x14ac:dyDescent="0.2">
      <c r="A2253" s="41" t="s">
        <v>2206</v>
      </c>
      <c r="B2253" s="40"/>
      <c r="C2253" s="40"/>
      <c r="D2253" s="40"/>
      <c r="E2253" s="40"/>
    </row>
    <row r="2254" spans="1:5" ht="12.75" x14ac:dyDescent="0.2">
      <c r="A2254" s="41" t="s">
        <v>2207</v>
      </c>
      <c r="B2254" s="41"/>
      <c r="C2254" s="40"/>
      <c r="D2254" s="40"/>
      <c r="E2254" s="40"/>
    </row>
    <row r="2255" spans="1:5" ht="12.75" x14ac:dyDescent="0.2">
      <c r="A2255" s="41" t="s">
        <v>2208</v>
      </c>
      <c r="B2255" s="40"/>
      <c r="C2255" s="40"/>
      <c r="D2255" s="40"/>
      <c r="E2255" s="40"/>
    </row>
    <row r="2256" spans="1:5" ht="12.75" x14ac:dyDescent="0.2">
      <c r="A2256" s="41" t="s">
        <v>2209</v>
      </c>
      <c r="B2256" s="40"/>
      <c r="C2256" s="40"/>
      <c r="D2256" s="40"/>
      <c r="E2256" s="40"/>
    </row>
    <row r="2257" spans="1:5" ht="12.75" x14ac:dyDescent="0.2">
      <c r="A2257" s="41" t="s">
        <v>2210</v>
      </c>
      <c r="B2257" s="40"/>
      <c r="C2257" s="40"/>
      <c r="D2257" s="40"/>
      <c r="E2257" s="40"/>
    </row>
    <row r="2258" spans="1:5" ht="12.75" x14ac:dyDescent="0.2">
      <c r="A2258" s="41" t="s">
        <v>2211</v>
      </c>
      <c r="B2258" s="40"/>
      <c r="C2258" s="40"/>
      <c r="D2258" s="40"/>
      <c r="E2258" s="40"/>
    </row>
    <row r="2259" spans="1:5" ht="12.75" x14ac:dyDescent="0.2">
      <c r="A2259" s="41" t="s">
        <v>2212</v>
      </c>
      <c r="B2259" s="41"/>
      <c r="C2259" s="40"/>
      <c r="D2259" s="40"/>
      <c r="E2259" s="40"/>
    </row>
    <row r="2260" spans="1:5" ht="12.75" x14ac:dyDescent="0.2">
      <c r="A2260" s="41" t="s">
        <v>2213</v>
      </c>
      <c r="B2260" s="40"/>
      <c r="C2260" s="40"/>
      <c r="D2260" s="40"/>
      <c r="E2260" s="40"/>
    </row>
    <row r="2261" spans="1:5" ht="12.75" x14ac:dyDescent="0.2">
      <c r="A2261" s="41" t="s">
        <v>2214</v>
      </c>
      <c r="B2261" s="40"/>
      <c r="C2261" s="40"/>
      <c r="D2261" s="40"/>
      <c r="E2261" s="40"/>
    </row>
    <row r="2262" spans="1:5" ht="12.75" x14ac:dyDescent="0.2">
      <c r="A2262" s="41" t="s">
        <v>2215</v>
      </c>
      <c r="B2262" s="40"/>
      <c r="C2262" s="40"/>
      <c r="D2262" s="40"/>
      <c r="E2262" s="40"/>
    </row>
    <row r="2263" spans="1:5" ht="12.75" x14ac:dyDescent="0.2">
      <c r="A2263" s="41" t="s">
        <v>2216</v>
      </c>
      <c r="B2263" s="40"/>
      <c r="C2263" s="40"/>
      <c r="D2263" s="40"/>
      <c r="E2263" s="40"/>
    </row>
    <row r="2264" spans="1:5" ht="12.75" x14ac:dyDescent="0.2">
      <c r="A2264" s="41"/>
      <c r="B2264" s="41" t="s">
        <v>422</v>
      </c>
      <c r="C2264" s="41" t="s">
        <v>2136</v>
      </c>
      <c r="D2264" s="41" t="s">
        <v>2137</v>
      </c>
      <c r="E2264" s="40"/>
    </row>
    <row r="2265" spans="1:5" ht="12.75" x14ac:dyDescent="0.2">
      <c r="A2265" s="41"/>
      <c r="B2265" s="41" t="s">
        <v>422</v>
      </c>
      <c r="C2265" s="41" t="s">
        <v>2217</v>
      </c>
      <c r="D2265" s="41" t="s">
        <v>2218</v>
      </c>
      <c r="E2265" s="40"/>
    </row>
    <row r="2266" spans="1:5" ht="12.75" x14ac:dyDescent="0.2">
      <c r="A2266" s="41"/>
      <c r="B2266" s="41" t="s">
        <v>422</v>
      </c>
      <c r="C2266" s="41" t="s">
        <v>2135</v>
      </c>
      <c r="D2266" s="41" t="s">
        <v>808</v>
      </c>
      <c r="E2266" s="40"/>
    </row>
    <row r="2267" spans="1:5" ht="12.75" x14ac:dyDescent="0.2">
      <c r="A2267" s="41"/>
      <c r="B2267" s="40"/>
      <c r="C2267" s="40"/>
      <c r="D2267" s="40"/>
      <c r="E2267" s="40"/>
    </row>
    <row r="2268" spans="1:5" ht="12.75" x14ac:dyDescent="0.2">
      <c r="A2268" s="47" t="s">
        <v>2219</v>
      </c>
      <c r="B2268" s="48"/>
      <c r="C2268" s="48"/>
      <c r="D2268" s="48"/>
      <c r="E2268" s="48"/>
    </row>
    <row r="2269" spans="1:5" ht="12.75" x14ac:dyDescent="0.2">
      <c r="A2269" s="41" t="s">
        <v>2220</v>
      </c>
      <c r="B2269" s="40"/>
      <c r="C2269" s="40"/>
      <c r="D2269" s="40"/>
      <c r="E2269" s="40"/>
    </row>
    <row r="2270" spans="1:5" ht="12.75" x14ac:dyDescent="0.2">
      <c r="A2270" s="41" t="s">
        <v>2221</v>
      </c>
      <c r="B2270" s="40"/>
      <c r="C2270" s="40"/>
      <c r="D2270" s="40"/>
      <c r="E2270" s="40"/>
    </row>
    <row r="2271" spans="1:5" ht="12.75" x14ac:dyDescent="0.2">
      <c r="A2271" s="41" t="s">
        <v>2222</v>
      </c>
      <c r="B2271" s="40"/>
      <c r="C2271" s="40"/>
      <c r="D2271" s="40"/>
      <c r="E2271" s="40"/>
    </row>
    <row r="2272" spans="1:5" ht="12.75" x14ac:dyDescent="0.2">
      <c r="A2272" s="41" t="s">
        <v>2223</v>
      </c>
      <c r="B2272" s="41"/>
      <c r="C2272" s="40"/>
      <c r="D2272" s="40"/>
      <c r="E2272" s="40"/>
    </row>
    <row r="2273" spans="1:5" ht="12.75" x14ac:dyDescent="0.2">
      <c r="A2273" s="41" t="s">
        <v>2224</v>
      </c>
      <c r="B2273" s="40"/>
      <c r="C2273" s="40"/>
      <c r="D2273" s="40"/>
      <c r="E2273" s="40"/>
    </row>
    <row r="2274" spans="1:5" ht="12.75" x14ac:dyDescent="0.2">
      <c r="A2274" s="41" t="s">
        <v>2225</v>
      </c>
      <c r="B2274" s="40"/>
      <c r="C2274" s="40"/>
      <c r="D2274" s="40"/>
      <c r="E2274" s="40"/>
    </row>
    <row r="2275" spans="1:5" ht="12.75" x14ac:dyDescent="0.2">
      <c r="A2275" s="41" t="s">
        <v>2226</v>
      </c>
      <c r="B2275" s="40"/>
      <c r="C2275" s="40"/>
      <c r="D2275" s="40"/>
      <c r="E2275" s="40"/>
    </row>
    <row r="2276" spans="1:5" ht="12.75" x14ac:dyDescent="0.2">
      <c r="A2276" s="41" t="s">
        <v>2227</v>
      </c>
      <c r="B2276" s="40"/>
      <c r="C2276" s="40"/>
      <c r="D2276" s="40"/>
      <c r="E2276" s="40"/>
    </row>
    <row r="2277" spans="1:5" ht="12.75" x14ac:dyDescent="0.2">
      <c r="A2277" s="41" t="s">
        <v>2228</v>
      </c>
      <c r="B2277" s="40"/>
      <c r="C2277" s="40"/>
      <c r="D2277" s="40"/>
      <c r="E2277" s="40"/>
    </row>
    <row r="2278" spans="1:5" ht="12.75" x14ac:dyDescent="0.2">
      <c r="A2278" s="41" t="s">
        <v>2229</v>
      </c>
      <c r="B2278" s="40"/>
      <c r="C2278" s="40"/>
      <c r="D2278" s="40"/>
      <c r="E2278" s="40"/>
    </row>
    <row r="2279" spans="1:5" ht="12.75" x14ac:dyDescent="0.2">
      <c r="A2279" s="41" t="s">
        <v>2230</v>
      </c>
      <c r="B2279" s="40"/>
      <c r="C2279" s="40"/>
      <c r="D2279" s="40"/>
      <c r="E2279" s="40"/>
    </row>
    <row r="2280" spans="1:5" ht="12.75" x14ac:dyDescent="0.2">
      <c r="A2280" s="40"/>
      <c r="B2280" s="41" t="s">
        <v>422</v>
      </c>
      <c r="C2280" s="41" t="s">
        <v>2171</v>
      </c>
      <c r="D2280" s="41" t="s">
        <v>2172</v>
      </c>
      <c r="E2280" s="40"/>
    </row>
    <row r="2281" spans="1:5" ht="12.75" x14ac:dyDescent="0.2">
      <c r="A2281" s="41"/>
      <c r="B2281" s="41" t="s">
        <v>422</v>
      </c>
      <c r="C2281" s="41" t="s">
        <v>2135</v>
      </c>
      <c r="D2281" s="41" t="s">
        <v>808</v>
      </c>
      <c r="E2281" s="40"/>
    </row>
    <row r="2282" spans="1:5" ht="12.75" x14ac:dyDescent="0.2">
      <c r="A2282" s="41"/>
      <c r="B2282" s="41" t="s">
        <v>422</v>
      </c>
      <c r="C2282" s="41" t="s">
        <v>2136</v>
      </c>
      <c r="D2282" s="41" t="s">
        <v>2137</v>
      </c>
      <c r="E2282" s="40"/>
    </row>
    <row r="2283" spans="1:5" ht="12.75" x14ac:dyDescent="0.2">
      <c r="A2283" s="41"/>
      <c r="B2283" s="40"/>
      <c r="C2283" s="40"/>
      <c r="D2283" s="40"/>
      <c r="E2283" s="40"/>
    </row>
    <row r="2284" spans="1:5" ht="12.75" x14ac:dyDescent="0.2">
      <c r="A2284" s="47" t="s">
        <v>2231</v>
      </c>
      <c r="B2284" s="48"/>
      <c r="C2284" s="48"/>
      <c r="D2284" s="48"/>
      <c r="E2284" s="48"/>
    </row>
    <row r="2285" spans="1:5" ht="12.75" x14ac:dyDescent="0.2">
      <c r="A2285" s="41" t="s">
        <v>2232</v>
      </c>
      <c r="B2285" s="40"/>
      <c r="C2285" s="40"/>
      <c r="D2285" s="40"/>
      <c r="E2285" s="40"/>
    </row>
    <row r="2286" spans="1:5" ht="12.75" x14ac:dyDescent="0.2">
      <c r="A2286" s="41" t="s">
        <v>2233</v>
      </c>
      <c r="B2286" s="40"/>
      <c r="C2286" s="40"/>
      <c r="D2286" s="40"/>
      <c r="E2286" s="40"/>
    </row>
    <row r="2287" spans="1:5" ht="12.75" x14ac:dyDescent="0.2">
      <c r="A2287" s="41" t="s">
        <v>2234</v>
      </c>
      <c r="B2287" s="40"/>
      <c r="C2287" s="40"/>
      <c r="D2287" s="40"/>
      <c r="E2287" s="40"/>
    </row>
    <row r="2288" spans="1:5" ht="12.75" x14ac:dyDescent="0.2">
      <c r="A2288" s="41" t="s">
        <v>2235</v>
      </c>
      <c r="B2288" s="40"/>
      <c r="C2288" s="40"/>
      <c r="D2288" s="40"/>
      <c r="E2288" s="40"/>
    </row>
    <row r="2289" spans="1:5" ht="12.75" x14ac:dyDescent="0.2">
      <c r="A2289" s="41" t="s">
        <v>2236</v>
      </c>
      <c r="B2289" s="40"/>
      <c r="C2289" s="40"/>
      <c r="D2289" s="40"/>
      <c r="E2289" s="40"/>
    </row>
    <row r="2290" spans="1:5" ht="12.75" x14ac:dyDescent="0.2">
      <c r="A2290" s="41" t="s">
        <v>2237</v>
      </c>
      <c r="B2290" s="40"/>
      <c r="C2290" s="40"/>
      <c r="D2290" s="40"/>
      <c r="E2290" s="40"/>
    </row>
    <row r="2291" spans="1:5" ht="12.75" x14ac:dyDescent="0.2">
      <c r="A2291" s="41" t="s">
        <v>2238</v>
      </c>
      <c r="B2291" s="40"/>
      <c r="C2291" s="40"/>
      <c r="D2291" s="40"/>
      <c r="E2291" s="40"/>
    </row>
    <row r="2292" spans="1:5" ht="12.75" x14ac:dyDescent="0.2">
      <c r="A2292" s="41" t="s">
        <v>2239</v>
      </c>
      <c r="B2292" s="40"/>
      <c r="C2292" s="40"/>
      <c r="D2292" s="40"/>
      <c r="E2292" s="40"/>
    </row>
    <row r="2293" spans="1:5" ht="12.75" x14ac:dyDescent="0.2">
      <c r="A2293" s="41" t="s">
        <v>2240</v>
      </c>
      <c r="B2293" s="40"/>
      <c r="C2293" s="40"/>
      <c r="D2293" s="40"/>
      <c r="E2293" s="40"/>
    </row>
    <row r="2294" spans="1:5" ht="12.75" x14ac:dyDescent="0.2">
      <c r="A2294" s="41" t="s">
        <v>2241</v>
      </c>
      <c r="B2294" s="40"/>
      <c r="C2294" s="40"/>
      <c r="D2294" s="40"/>
      <c r="E2294" s="40"/>
    </row>
    <row r="2295" spans="1:5" ht="12.75" x14ac:dyDescent="0.2">
      <c r="A2295" s="41" t="s">
        <v>2242</v>
      </c>
      <c r="B2295" s="41"/>
      <c r="C2295" s="40"/>
      <c r="D2295" s="40"/>
      <c r="E2295" s="40"/>
    </row>
    <row r="2296" spans="1:5" ht="12.75" x14ac:dyDescent="0.2">
      <c r="A2296" s="41" t="s">
        <v>2243</v>
      </c>
      <c r="B2296" s="40"/>
      <c r="C2296" s="40"/>
      <c r="D2296" s="40"/>
      <c r="E2296" s="40"/>
    </row>
    <row r="2297" spans="1:5" ht="12.75" x14ac:dyDescent="0.2">
      <c r="A2297" s="41"/>
      <c r="B2297" s="41" t="s">
        <v>422</v>
      </c>
      <c r="C2297" s="41" t="s">
        <v>2135</v>
      </c>
      <c r="D2297" s="41" t="s">
        <v>808</v>
      </c>
      <c r="E2297" s="40"/>
    </row>
    <row r="2298" spans="1:5" ht="12.75" x14ac:dyDescent="0.2">
      <c r="A2298" s="41"/>
      <c r="B2298" s="41" t="s">
        <v>422</v>
      </c>
      <c r="C2298" s="41" t="s">
        <v>836</v>
      </c>
      <c r="D2298" s="41" t="s">
        <v>837</v>
      </c>
      <c r="E2298" s="40"/>
    </row>
    <row r="2299" spans="1:5" ht="12.75" x14ac:dyDescent="0.2">
      <c r="A2299" s="41"/>
      <c r="B2299" s="41" t="s">
        <v>422</v>
      </c>
      <c r="C2299" s="41" t="s">
        <v>2136</v>
      </c>
      <c r="D2299" s="41" t="s">
        <v>2137</v>
      </c>
      <c r="E2299" s="40"/>
    </row>
    <row r="2300" spans="1:5" ht="12.75" x14ac:dyDescent="0.2">
      <c r="A2300" s="41"/>
      <c r="B2300" s="41" t="s">
        <v>422</v>
      </c>
      <c r="C2300" s="41" t="s">
        <v>2217</v>
      </c>
      <c r="D2300" s="41" t="s">
        <v>2218</v>
      </c>
      <c r="E2300" s="40"/>
    </row>
    <row r="2301" spans="1:5" ht="12.75" x14ac:dyDescent="0.2">
      <c r="A2301" s="41"/>
      <c r="B2301" s="40"/>
      <c r="C2301" s="40"/>
      <c r="D2301" s="40"/>
      <c r="E2301" s="40"/>
    </row>
    <row r="2302" spans="1:5" ht="12.75" x14ac:dyDescent="0.2">
      <c r="A2302" s="47"/>
      <c r="B2302" s="48"/>
      <c r="C2302" s="48"/>
      <c r="D2302" s="48"/>
      <c r="E2302" s="48"/>
    </row>
    <row r="2303" spans="1:5" ht="12.75" x14ac:dyDescent="0.2">
      <c r="A2303" s="41"/>
      <c r="B2303" s="40"/>
      <c r="C2303" s="40"/>
      <c r="D2303" s="40"/>
      <c r="E2303" s="40"/>
    </row>
    <row r="2304" spans="1:5" ht="12.75" x14ac:dyDescent="0.2">
      <c r="A2304" s="41"/>
      <c r="B2304" s="40"/>
      <c r="C2304" s="40"/>
      <c r="D2304" s="40"/>
      <c r="E2304" s="40"/>
    </row>
    <row r="2305" spans="1:5" ht="12.75" x14ac:dyDescent="0.2">
      <c r="A2305" s="41"/>
      <c r="B2305" s="40"/>
      <c r="C2305" s="40"/>
      <c r="D2305" s="40"/>
      <c r="E2305" s="40"/>
    </row>
    <row r="2306" spans="1:5" ht="12.75" x14ac:dyDescent="0.2">
      <c r="A2306" s="41"/>
      <c r="B2306" s="40"/>
      <c r="C2306" s="40"/>
      <c r="D2306" s="40"/>
      <c r="E2306" s="40"/>
    </row>
    <row r="2307" spans="1:5" ht="12.75" x14ac:dyDescent="0.2">
      <c r="A2307" s="40"/>
      <c r="B2307" s="40"/>
      <c r="C2307" s="40"/>
      <c r="D2307" s="40"/>
      <c r="E2307" s="40"/>
    </row>
    <row r="2308" spans="1:5" ht="12.75" x14ac:dyDescent="0.2">
      <c r="A2308" s="40"/>
      <c r="B2308" s="40"/>
      <c r="C2308" s="40"/>
      <c r="D2308" s="40"/>
      <c r="E2308" s="40"/>
    </row>
    <row r="2309" spans="1:5" ht="12.75" x14ac:dyDescent="0.2">
      <c r="A2309" s="41"/>
      <c r="B2309" s="40"/>
      <c r="C2309" s="40"/>
      <c r="D2309" s="40"/>
      <c r="E2309" s="40"/>
    </row>
    <row r="2310" spans="1:5" ht="12.75" x14ac:dyDescent="0.2">
      <c r="A2310" s="41"/>
      <c r="B2310" s="41"/>
      <c r="C2310" s="40"/>
      <c r="D2310" s="40"/>
      <c r="E2310" s="40"/>
    </row>
    <row r="2311" spans="1:5" ht="12.75" x14ac:dyDescent="0.2">
      <c r="A2311" s="41"/>
      <c r="B2311" s="40"/>
      <c r="C2311" s="40"/>
      <c r="D2311" s="40"/>
      <c r="E2311" s="40"/>
    </row>
    <row r="2312" spans="1:5" ht="12.75" x14ac:dyDescent="0.2">
      <c r="A2312" s="41"/>
      <c r="B2312" s="40"/>
      <c r="C2312" s="40"/>
      <c r="D2312" s="40"/>
      <c r="E2312" s="40"/>
    </row>
    <row r="2313" spans="1:5" ht="12.75" x14ac:dyDescent="0.2">
      <c r="A2313" s="41"/>
      <c r="B2313" s="40"/>
      <c r="C2313" s="40"/>
      <c r="D2313" s="40"/>
      <c r="E2313" s="40"/>
    </row>
    <row r="2314" spans="1:5" ht="12.75" x14ac:dyDescent="0.2">
      <c r="A2314" s="41"/>
      <c r="B2314" s="40"/>
      <c r="C2314" s="40"/>
      <c r="D2314" s="40"/>
      <c r="E2314" s="40"/>
    </row>
    <row r="2315" spans="1:5" ht="12.75" x14ac:dyDescent="0.2">
      <c r="A2315" s="41"/>
      <c r="B2315" s="40"/>
      <c r="C2315" s="40"/>
      <c r="D2315" s="40"/>
      <c r="E2315" s="40"/>
    </row>
    <row r="2316" spans="1:5" ht="12.75" x14ac:dyDescent="0.2">
      <c r="A2316" s="41"/>
      <c r="B2316" s="40"/>
      <c r="C2316" s="40"/>
      <c r="D2316" s="40"/>
      <c r="E2316" s="40"/>
    </row>
    <row r="2317" spans="1:5" ht="12.75" x14ac:dyDescent="0.2">
      <c r="A2317" s="41"/>
      <c r="B2317" s="40"/>
      <c r="C2317" s="40"/>
      <c r="D2317" s="40"/>
      <c r="E2317" s="40"/>
    </row>
    <row r="2318" spans="1:5" ht="12.75" x14ac:dyDescent="0.2">
      <c r="A2318" s="41"/>
      <c r="B2318" s="40"/>
      <c r="C2318" s="40"/>
      <c r="D2318" s="40"/>
      <c r="E2318" s="40"/>
    </row>
    <row r="2319" spans="1:5" ht="12.75" x14ac:dyDescent="0.2">
      <c r="A2319" s="41"/>
      <c r="B2319" s="40"/>
      <c r="C2319" s="40"/>
      <c r="D2319" s="40"/>
      <c r="E2319" s="40"/>
    </row>
    <row r="2320" spans="1:5" ht="12.75" x14ac:dyDescent="0.2">
      <c r="A2320" s="41"/>
      <c r="B2320" s="40"/>
      <c r="C2320" s="40"/>
      <c r="D2320" s="40"/>
      <c r="E2320" s="40"/>
    </row>
    <row r="2321" spans="1:5" ht="12.75" x14ac:dyDescent="0.2">
      <c r="A2321" s="41"/>
      <c r="B2321" s="40"/>
      <c r="C2321" s="40"/>
      <c r="D2321" s="40"/>
      <c r="E2321" s="40"/>
    </row>
    <row r="2322" spans="1:5" ht="12.75" x14ac:dyDescent="0.2">
      <c r="A2322" s="41"/>
      <c r="B2322" s="40"/>
      <c r="C2322" s="40"/>
      <c r="D2322" s="40"/>
      <c r="E2322" s="40"/>
    </row>
    <row r="2323" spans="1:5" ht="12.75" x14ac:dyDescent="0.2">
      <c r="A2323" s="41"/>
      <c r="B2323" s="40"/>
      <c r="C2323" s="40"/>
      <c r="D2323" s="40"/>
      <c r="E2323" s="40"/>
    </row>
    <row r="2324" spans="1:5" ht="12.75" x14ac:dyDescent="0.2">
      <c r="A2324" s="41"/>
      <c r="B2324" s="40"/>
      <c r="C2324" s="40"/>
      <c r="D2324" s="40"/>
      <c r="E2324" s="40"/>
    </row>
    <row r="2325" spans="1:5" ht="12.75" x14ac:dyDescent="0.2">
      <c r="A2325" s="41"/>
      <c r="B2325" s="40"/>
      <c r="C2325" s="40"/>
      <c r="D2325" s="40"/>
      <c r="E2325" s="40"/>
    </row>
    <row r="2326" spans="1:5" ht="12.75" x14ac:dyDescent="0.2">
      <c r="A2326" s="41"/>
      <c r="B2326" s="40"/>
      <c r="C2326" s="40"/>
      <c r="D2326" s="40"/>
      <c r="E2326" s="40"/>
    </row>
    <row r="2327" spans="1:5" ht="12.75" x14ac:dyDescent="0.2">
      <c r="A2327" s="41"/>
      <c r="B2327" s="40"/>
      <c r="C2327" s="40"/>
      <c r="D2327" s="40"/>
      <c r="E2327" s="40"/>
    </row>
    <row r="2328" spans="1:5" ht="12.75" x14ac:dyDescent="0.2">
      <c r="A2328" s="40"/>
      <c r="B2328" s="40"/>
      <c r="C2328" s="40"/>
      <c r="D2328" s="40"/>
      <c r="E2328" s="40"/>
    </row>
    <row r="2329" spans="1:5" ht="12.75" x14ac:dyDescent="0.2">
      <c r="A2329" s="40"/>
      <c r="B2329" s="40"/>
      <c r="C2329" s="40"/>
      <c r="D2329" s="40"/>
      <c r="E2329" s="40"/>
    </row>
    <row r="2330" spans="1:5" ht="12.75" x14ac:dyDescent="0.2">
      <c r="A2330" s="41"/>
      <c r="B2330" s="40"/>
      <c r="C2330" s="40"/>
      <c r="D2330" s="40"/>
      <c r="E2330" s="40"/>
    </row>
    <row r="2331" spans="1:5" ht="12.75" x14ac:dyDescent="0.2">
      <c r="A2331" s="41"/>
      <c r="B2331" s="41"/>
      <c r="C2331" s="40"/>
      <c r="D2331" s="40"/>
      <c r="E2331" s="40"/>
    </row>
    <row r="2332" spans="1:5" ht="12.75" x14ac:dyDescent="0.2">
      <c r="A2332" s="41"/>
      <c r="B2332" s="40"/>
      <c r="C2332" s="40"/>
      <c r="D2332" s="40"/>
      <c r="E2332" s="40"/>
    </row>
    <row r="2333" spans="1:5" ht="12.75" x14ac:dyDescent="0.2">
      <c r="A2333" s="41"/>
      <c r="B2333" s="40"/>
      <c r="C2333" s="40"/>
      <c r="D2333" s="40"/>
      <c r="E2333" s="40"/>
    </row>
    <row r="2334" spans="1:5" ht="12.75" x14ac:dyDescent="0.2">
      <c r="A2334" s="41"/>
      <c r="B2334" s="40"/>
      <c r="C2334" s="40"/>
      <c r="D2334" s="40"/>
      <c r="E2334" s="40"/>
    </row>
    <row r="2335" spans="1:5" ht="12.75" x14ac:dyDescent="0.2">
      <c r="A2335" s="41"/>
      <c r="B2335" s="40"/>
      <c r="C2335" s="40"/>
      <c r="D2335" s="40"/>
      <c r="E2335" s="40"/>
    </row>
    <row r="2336" spans="1:5" ht="12.75" x14ac:dyDescent="0.2">
      <c r="A2336" s="41"/>
      <c r="B2336" s="40"/>
      <c r="C2336" s="40"/>
      <c r="D2336" s="40"/>
      <c r="E2336" s="40"/>
    </row>
    <row r="2337" spans="1:5" ht="12.75" x14ac:dyDescent="0.2">
      <c r="A2337" s="41"/>
      <c r="B2337" s="40"/>
      <c r="C2337" s="40"/>
      <c r="D2337" s="40"/>
      <c r="E2337" s="40"/>
    </row>
    <row r="2338" spans="1:5" ht="12.75" x14ac:dyDescent="0.2">
      <c r="A2338" s="41"/>
      <c r="B2338" s="40"/>
      <c r="C2338" s="40"/>
      <c r="D2338" s="40"/>
      <c r="E2338" s="40"/>
    </row>
    <row r="2339" spans="1:5" ht="12.75" x14ac:dyDescent="0.2">
      <c r="A2339" s="41"/>
      <c r="B2339" s="40"/>
      <c r="C2339" s="40"/>
      <c r="D2339" s="40"/>
      <c r="E2339" s="40"/>
    </row>
    <row r="2340" spans="1:5" ht="12.75" x14ac:dyDescent="0.2">
      <c r="A2340" s="41"/>
      <c r="B2340" s="40"/>
      <c r="C2340" s="40"/>
      <c r="D2340" s="40"/>
      <c r="E2340" s="40"/>
    </row>
    <row r="2341" spans="1:5" ht="12.75" x14ac:dyDescent="0.2">
      <c r="A2341" s="41"/>
      <c r="B2341" s="40"/>
      <c r="C2341" s="40"/>
      <c r="D2341" s="40"/>
      <c r="E2341" s="40"/>
    </row>
    <row r="2342" spans="1:5" ht="12.75" x14ac:dyDescent="0.2">
      <c r="A2342" s="40"/>
      <c r="B2342" s="40"/>
      <c r="C2342" s="40"/>
      <c r="D2342" s="40"/>
      <c r="E2342" s="40"/>
    </row>
    <row r="2343" spans="1:5" ht="12.75" x14ac:dyDescent="0.2">
      <c r="A2343" s="40"/>
      <c r="B2343" s="40"/>
      <c r="C2343" s="40"/>
      <c r="D2343" s="40"/>
      <c r="E2343" s="40"/>
    </row>
    <row r="2344" spans="1:5" ht="12.75" x14ac:dyDescent="0.2">
      <c r="A2344" s="41"/>
      <c r="B2344" s="40"/>
      <c r="C2344" s="40"/>
      <c r="D2344" s="40"/>
      <c r="E2344" s="40"/>
    </row>
    <row r="2345" spans="1:5" ht="12.75" x14ac:dyDescent="0.2">
      <c r="A2345" s="41"/>
      <c r="B2345" s="41"/>
      <c r="C2345" s="40"/>
      <c r="D2345" s="40"/>
      <c r="E2345" s="40"/>
    </row>
    <row r="2346" spans="1:5" ht="12.75" x14ac:dyDescent="0.2">
      <c r="A2346" s="41"/>
      <c r="B2346" s="40"/>
      <c r="C2346" s="40"/>
      <c r="D2346" s="40"/>
      <c r="E2346" s="40"/>
    </row>
    <row r="2347" spans="1:5" ht="12.75" x14ac:dyDescent="0.2">
      <c r="A2347" s="41"/>
      <c r="B2347" s="40"/>
      <c r="C2347" s="40"/>
      <c r="D2347" s="40"/>
      <c r="E2347" s="40"/>
    </row>
    <row r="2348" spans="1:5" ht="12.75" x14ac:dyDescent="0.2">
      <c r="A2348" s="41"/>
      <c r="B2348" s="40"/>
      <c r="C2348" s="40"/>
      <c r="D2348" s="40"/>
      <c r="E2348" s="40"/>
    </row>
    <row r="2349" spans="1:5" ht="12.75" x14ac:dyDescent="0.2">
      <c r="A2349" s="41"/>
      <c r="B2349" s="40"/>
      <c r="C2349" s="40"/>
      <c r="D2349" s="40"/>
      <c r="E2349" s="40"/>
    </row>
    <row r="2350" spans="1:5" ht="12.75" x14ac:dyDescent="0.2">
      <c r="A2350" s="41"/>
      <c r="B2350" s="40"/>
      <c r="C2350" s="40"/>
      <c r="D2350" s="40"/>
      <c r="E2350" s="40"/>
    </row>
    <row r="2351" spans="1:5" ht="12.75" x14ac:dyDescent="0.2">
      <c r="A2351" s="41"/>
      <c r="B2351" s="40"/>
      <c r="C2351" s="40"/>
      <c r="D2351" s="40"/>
      <c r="E2351" s="40"/>
    </row>
    <row r="2352" spans="1:5" ht="12.75" x14ac:dyDescent="0.2">
      <c r="A2352" s="41"/>
      <c r="B2352" s="40"/>
      <c r="C2352" s="40"/>
      <c r="D2352" s="40"/>
      <c r="E2352" s="40"/>
    </row>
    <row r="2353" spans="1:5" ht="12.75" x14ac:dyDescent="0.2">
      <c r="A2353" s="41"/>
      <c r="B2353" s="40"/>
      <c r="C2353" s="40"/>
      <c r="D2353" s="40"/>
      <c r="E2353" s="40"/>
    </row>
    <row r="2354" spans="1:5" ht="12.75" x14ac:dyDescent="0.2">
      <c r="A2354" s="41"/>
      <c r="B2354" s="40"/>
      <c r="C2354" s="40"/>
      <c r="D2354" s="40"/>
      <c r="E2354" s="40"/>
    </row>
    <row r="2355" spans="1:5" ht="12.75" x14ac:dyDescent="0.2">
      <c r="A2355" s="41"/>
      <c r="B2355" s="40"/>
      <c r="C2355" s="40"/>
      <c r="D2355" s="40"/>
      <c r="E2355" s="40"/>
    </row>
    <row r="2356" spans="1:5" ht="12.75" x14ac:dyDescent="0.2">
      <c r="A2356" s="41"/>
      <c r="B2356" s="40"/>
      <c r="C2356" s="40"/>
      <c r="D2356" s="40"/>
      <c r="E2356" s="40"/>
    </row>
    <row r="2357" spans="1:5" ht="12.75" x14ac:dyDescent="0.2">
      <c r="A2357" s="40"/>
      <c r="B2357" s="40"/>
      <c r="C2357" s="40"/>
      <c r="D2357" s="40"/>
      <c r="E2357" s="40"/>
    </row>
    <row r="2358" spans="1:5" ht="12.75" x14ac:dyDescent="0.2">
      <c r="A2358" s="40"/>
      <c r="B2358" s="40"/>
      <c r="C2358" s="40"/>
      <c r="D2358" s="40"/>
      <c r="E2358" s="40"/>
    </row>
  </sheetData>
  <conditionalFormatting sqref="B1:B2358">
    <cfRule type="cellIs" dxfId="17" priority="1" operator="equal">
      <formula>"parameter"</formula>
    </cfRule>
  </conditionalFormatting>
  <conditionalFormatting sqref="B1:B2358">
    <cfRule type="cellIs" dxfId="16" priority="2" operator="equal">
      <formula>"quick_reply"</formula>
    </cfRule>
  </conditionalFormatting>
  <conditionalFormatting sqref="D1:D2358">
    <cfRule type="cellIs" dxfId="15" priority="3" operator="equal">
      <formula>"not-yet"</formula>
    </cfRule>
  </conditionalFormatting>
  <conditionalFormatting sqref="D1:D2358">
    <cfRule type="cellIs" dxfId="14" priority="4" operator="equal">
      <formula>"not yet"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D138"/>
  <sheetViews>
    <sheetView showGridLines="0" workbookViewId="0"/>
  </sheetViews>
  <sheetFormatPr defaultColWidth="14.42578125" defaultRowHeight="15.75" customHeight="1" x14ac:dyDescent="0.2"/>
  <cols>
    <col min="1" max="1" width="15.85546875" customWidth="1"/>
    <col min="2" max="2" width="17.85546875" customWidth="1"/>
    <col min="3" max="3" width="116.85546875" customWidth="1"/>
  </cols>
  <sheetData>
    <row r="1" spans="1:4" ht="15.75" customHeight="1" x14ac:dyDescent="0.2">
      <c r="A1" s="42" t="s">
        <v>1527</v>
      </c>
      <c r="B1" s="43"/>
      <c r="C1" s="43"/>
      <c r="D1" s="44"/>
    </row>
    <row r="2" spans="1:4" ht="15.75" customHeight="1" x14ac:dyDescent="0.2">
      <c r="A2" s="45"/>
      <c r="B2" s="46" t="s">
        <v>1543</v>
      </c>
      <c r="C2" s="46" t="s">
        <v>1548</v>
      </c>
    </row>
    <row r="3" spans="1:4" ht="15.75" customHeight="1" x14ac:dyDescent="0.2">
      <c r="A3" s="45"/>
      <c r="B3" s="46" t="s">
        <v>1543</v>
      </c>
      <c r="C3" s="46" t="s">
        <v>1543</v>
      </c>
    </row>
    <row r="4" spans="1:4" ht="15.75" customHeight="1" x14ac:dyDescent="0.2">
      <c r="A4" s="45"/>
      <c r="B4" s="45"/>
      <c r="C4" s="45"/>
    </row>
    <row r="5" spans="1:4" ht="15.75" customHeight="1" x14ac:dyDescent="0.2">
      <c r="A5" s="42" t="s">
        <v>1550</v>
      </c>
      <c r="B5" s="43"/>
      <c r="C5" s="43"/>
      <c r="D5" s="44"/>
    </row>
    <row r="6" spans="1:4" ht="15.75" customHeight="1" x14ac:dyDescent="0.2">
      <c r="A6" s="45"/>
      <c r="B6" s="46" t="s">
        <v>1552</v>
      </c>
      <c r="C6" s="46" t="s">
        <v>1553</v>
      </c>
    </row>
    <row r="7" spans="1:4" ht="15.75" customHeight="1" x14ac:dyDescent="0.2">
      <c r="A7" s="45"/>
      <c r="B7" s="46" t="s">
        <v>1552</v>
      </c>
      <c r="C7" s="46" t="s">
        <v>1552</v>
      </c>
    </row>
    <row r="8" spans="1:4" ht="15.75" customHeight="1" x14ac:dyDescent="0.2">
      <c r="A8" s="45"/>
      <c r="B8" s="45"/>
      <c r="C8" s="45"/>
    </row>
    <row r="9" spans="1:4" ht="15.75" customHeight="1" x14ac:dyDescent="0.2">
      <c r="A9" s="42" t="s">
        <v>1554</v>
      </c>
      <c r="B9" s="43"/>
      <c r="C9" s="43"/>
      <c r="D9" s="44"/>
    </row>
    <row r="10" spans="1:4" ht="15.75" customHeight="1" x14ac:dyDescent="0.2">
      <c r="A10" s="45"/>
      <c r="B10" s="46" t="s">
        <v>1555</v>
      </c>
      <c r="C10" s="46" t="s">
        <v>1556</v>
      </c>
    </row>
    <row r="11" spans="1:4" ht="15.75" customHeight="1" x14ac:dyDescent="0.2">
      <c r="A11" s="45"/>
      <c r="B11" s="46" t="s">
        <v>1555</v>
      </c>
      <c r="C11" s="46" t="s">
        <v>1555</v>
      </c>
    </row>
    <row r="12" spans="1:4" ht="15.75" customHeight="1" x14ac:dyDescent="0.2">
      <c r="A12" s="45"/>
      <c r="B12" s="46" t="s">
        <v>1557</v>
      </c>
      <c r="C12" s="46" t="s">
        <v>1557</v>
      </c>
    </row>
    <row r="13" spans="1:4" ht="15.75" customHeight="1" x14ac:dyDescent="0.2">
      <c r="A13" s="45"/>
      <c r="B13" s="46" t="s">
        <v>1558</v>
      </c>
      <c r="C13" s="46" t="s">
        <v>1558</v>
      </c>
    </row>
    <row r="14" spans="1:4" ht="15.75" customHeight="1" x14ac:dyDescent="0.2">
      <c r="A14" s="45"/>
      <c r="B14" s="46" t="s">
        <v>1559</v>
      </c>
      <c r="C14" s="46" t="s">
        <v>1559</v>
      </c>
    </row>
    <row r="15" spans="1:4" ht="15.75" customHeight="1" x14ac:dyDescent="0.2">
      <c r="A15" s="45"/>
      <c r="B15" s="45"/>
      <c r="C15" s="45"/>
    </row>
    <row r="16" spans="1:4" ht="15.75" customHeight="1" x14ac:dyDescent="0.2">
      <c r="A16" s="42" t="s">
        <v>1560</v>
      </c>
      <c r="B16" s="43"/>
      <c r="C16" s="43"/>
      <c r="D16" s="44"/>
    </row>
    <row r="17" spans="1:4" ht="15.75" customHeight="1" x14ac:dyDescent="0.2">
      <c r="A17" s="45"/>
      <c r="B17" s="46" t="s">
        <v>1561</v>
      </c>
      <c r="C17" s="46" t="s">
        <v>1562</v>
      </c>
    </row>
    <row r="18" spans="1:4" ht="15.75" customHeight="1" x14ac:dyDescent="0.2">
      <c r="A18" s="45"/>
      <c r="B18" s="46" t="s">
        <v>1561</v>
      </c>
      <c r="C18" s="46" t="s">
        <v>1561</v>
      </c>
    </row>
    <row r="19" spans="1:4" ht="15.75" customHeight="1" x14ac:dyDescent="0.2">
      <c r="A19" s="45"/>
      <c r="B19" s="45"/>
      <c r="C19" s="45"/>
    </row>
    <row r="20" spans="1:4" ht="15.75" customHeight="1" x14ac:dyDescent="0.2">
      <c r="A20" s="42" t="s">
        <v>1563</v>
      </c>
      <c r="B20" s="43"/>
      <c r="C20" s="43"/>
      <c r="D20" s="44"/>
    </row>
    <row r="21" spans="1:4" ht="15.75" customHeight="1" x14ac:dyDescent="0.2">
      <c r="A21" s="45"/>
      <c r="B21" s="46" t="s">
        <v>1564</v>
      </c>
      <c r="C21" s="46" t="s">
        <v>1565</v>
      </c>
    </row>
    <row r="22" spans="1:4" ht="15.75" customHeight="1" x14ac:dyDescent="0.2">
      <c r="A22" s="45"/>
      <c r="B22" s="46" t="s">
        <v>1566</v>
      </c>
      <c r="C22" s="46" t="s">
        <v>1567</v>
      </c>
    </row>
    <row r="23" spans="1:4" ht="15.75" customHeight="1" x14ac:dyDescent="0.2">
      <c r="A23" s="45"/>
      <c r="B23" s="46" t="s">
        <v>1568</v>
      </c>
      <c r="C23" s="46" t="s">
        <v>1569</v>
      </c>
    </row>
    <row r="24" spans="1:4" ht="15.75" customHeight="1" x14ac:dyDescent="0.2">
      <c r="A24" s="45"/>
      <c r="B24" s="46" t="s">
        <v>1570</v>
      </c>
      <c r="C24" s="46" t="s">
        <v>1571</v>
      </c>
    </row>
    <row r="25" spans="1:4" ht="15.75" customHeight="1" x14ac:dyDescent="0.2">
      <c r="A25" s="45"/>
      <c r="B25" s="46" t="s">
        <v>1572</v>
      </c>
      <c r="C25" s="46" t="s">
        <v>1573</v>
      </c>
    </row>
    <row r="26" spans="1:4" ht="15.75" customHeight="1" x14ac:dyDescent="0.2">
      <c r="A26" s="45"/>
      <c r="B26" s="46" t="s">
        <v>1574</v>
      </c>
      <c r="C26" s="46" t="s">
        <v>1575</v>
      </c>
    </row>
    <row r="27" spans="1:4" ht="15.75" customHeight="1" x14ac:dyDescent="0.2">
      <c r="A27" s="45"/>
      <c r="B27" s="46" t="s">
        <v>1576</v>
      </c>
      <c r="C27" s="46" t="s">
        <v>1577</v>
      </c>
    </row>
    <row r="28" spans="1:4" ht="15.75" customHeight="1" x14ac:dyDescent="0.2">
      <c r="A28" s="45"/>
      <c r="B28" s="46" t="s">
        <v>1578</v>
      </c>
      <c r="C28" s="46" t="s">
        <v>1579</v>
      </c>
    </row>
    <row r="29" spans="1:4" ht="15.75" customHeight="1" x14ac:dyDescent="0.2">
      <c r="A29" s="45"/>
      <c r="B29" s="46" t="s">
        <v>1580</v>
      </c>
      <c r="C29" s="46" t="s">
        <v>1581</v>
      </c>
    </row>
    <row r="30" spans="1:4" ht="12.75" x14ac:dyDescent="0.2">
      <c r="A30" s="45"/>
      <c r="B30" s="46" t="s">
        <v>1582</v>
      </c>
      <c r="C30" s="46" t="s">
        <v>1583</v>
      </c>
    </row>
    <row r="31" spans="1:4" ht="12.75" x14ac:dyDescent="0.2">
      <c r="A31" s="45"/>
      <c r="B31" s="46" t="s">
        <v>1584</v>
      </c>
      <c r="C31" s="46" t="s">
        <v>1585</v>
      </c>
    </row>
    <row r="32" spans="1:4" ht="12.75" x14ac:dyDescent="0.2">
      <c r="A32" s="45"/>
      <c r="B32" s="46" t="s">
        <v>1586</v>
      </c>
      <c r="C32" s="46" t="s">
        <v>1587</v>
      </c>
    </row>
    <row r="33" spans="1:4" ht="12.75" x14ac:dyDescent="0.2">
      <c r="A33" s="45"/>
      <c r="B33" s="46" t="s">
        <v>1588</v>
      </c>
      <c r="C33" s="46" t="s">
        <v>1589</v>
      </c>
    </row>
    <row r="34" spans="1:4" ht="12.75" x14ac:dyDescent="0.2">
      <c r="A34" s="45"/>
      <c r="B34" s="46" t="s">
        <v>1590</v>
      </c>
      <c r="C34" s="46" t="s">
        <v>1591</v>
      </c>
    </row>
    <row r="35" spans="1:4" ht="12.75" x14ac:dyDescent="0.2">
      <c r="A35" s="45"/>
      <c r="B35" s="46" t="s">
        <v>1592</v>
      </c>
      <c r="C35" s="46" t="s">
        <v>1593</v>
      </c>
    </row>
    <row r="36" spans="1:4" ht="12.75" x14ac:dyDescent="0.2">
      <c r="A36" s="45"/>
      <c r="B36" s="46" t="s">
        <v>1594</v>
      </c>
      <c r="C36" s="46" t="s">
        <v>1595</v>
      </c>
    </row>
    <row r="37" spans="1:4" ht="12.75" x14ac:dyDescent="0.2">
      <c r="A37" s="45"/>
      <c r="B37" s="46" t="s">
        <v>1596</v>
      </c>
      <c r="C37" s="46" t="s">
        <v>1597</v>
      </c>
    </row>
    <row r="38" spans="1:4" ht="12.75" x14ac:dyDescent="0.2">
      <c r="A38" s="45"/>
      <c r="B38" s="46" t="s">
        <v>1598</v>
      </c>
      <c r="C38" s="46" t="s">
        <v>1599</v>
      </c>
    </row>
    <row r="39" spans="1:4" ht="12.75" x14ac:dyDescent="0.2">
      <c r="A39" s="45"/>
      <c r="B39" s="46" t="s">
        <v>1600</v>
      </c>
      <c r="C39" s="46" t="s">
        <v>1601</v>
      </c>
    </row>
    <row r="40" spans="1:4" ht="12.75" x14ac:dyDescent="0.2">
      <c r="A40" s="45"/>
      <c r="B40" s="46" t="s">
        <v>1602</v>
      </c>
      <c r="C40" s="46" t="s">
        <v>1603</v>
      </c>
    </row>
    <row r="41" spans="1:4" ht="12.75" x14ac:dyDescent="0.2">
      <c r="A41" s="45"/>
      <c r="B41" s="46" t="s">
        <v>1604</v>
      </c>
      <c r="C41" s="46" t="s">
        <v>1605</v>
      </c>
    </row>
    <row r="42" spans="1:4" ht="12.75" x14ac:dyDescent="0.2">
      <c r="A42" s="45"/>
      <c r="B42" s="46" t="s">
        <v>1606</v>
      </c>
      <c r="C42" s="46" t="s">
        <v>1607</v>
      </c>
    </row>
    <row r="43" spans="1:4" ht="12.75" x14ac:dyDescent="0.2">
      <c r="A43" s="45"/>
      <c r="B43" s="45"/>
      <c r="C43" s="45"/>
    </row>
    <row r="44" spans="1:4" ht="12.75" x14ac:dyDescent="0.2">
      <c r="A44" s="42" t="s">
        <v>1609</v>
      </c>
      <c r="B44" s="43"/>
      <c r="C44" s="43"/>
      <c r="D44" s="44"/>
    </row>
    <row r="45" spans="1:4" ht="12.75" x14ac:dyDescent="0.2">
      <c r="A45" s="45"/>
      <c r="B45" s="46" t="s">
        <v>1610</v>
      </c>
      <c r="C45" s="46" t="s">
        <v>1612</v>
      </c>
    </row>
    <row r="46" spans="1:4" ht="12.75" x14ac:dyDescent="0.2">
      <c r="A46" s="45"/>
      <c r="B46" s="46" t="s">
        <v>1614</v>
      </c>
      <c r="C46" s="46" t="s">
        <v>1614</v>
      </c>
    </row>
    <row r="47" spans="1:4" ht="12.75" x14ac:dyDescent="0.2">
      <c r="A47" s="45"/>
      <c r="B47" s="46" t="s">
        <v>1610</v>
      </c>
      <c r="C47" s="46" t="s">
        <v>1610</v>
      </c>
    </row>
    <row r="48" spans="1:4" ht="12.75" x14ac:dyDescent="0.2">
      <c r="A48" s="45"/>
      <c r="B48" s="46" t="s">
        <v>1617</v>
      </c>
      <c r="C48" s="46" t="s">
        <v>1617</v>
      </c>
    </row>
    <row r="49" spans="1:4" ht="12.75" x14ac:dyDescent="0.2">
      <c r="A49" s="45"/>
      <c r="B49" s="45"/>
      <c r="C49" s="45"/>
    </row>
    <row r="50" spans="1:4" ht="12.75" x14ac:dyDescent="0.2">
      <c r="A50" s="42" t="s">
        <v>1619</v>
      </c>
      <c r="B50" s="43"/>
      <c r="C50" s="43"/>
      <c r="D50" s="44"/>
    </row>
    <row r="51" spans="1:4" ht="12.75" x14ac:dyDescent="0.2">
      <c r="A51" s="45"/>
      <c r="B51" s="46" t="s">
        <v>1622</v>
      </c>
      <c r="C51" s="46" t="s">
        <v>1624</v>
      </c>
    </row>
    <row r="52" spans="1:4" ht="12.75" x14ac:dyDescent="0.2">
      <c r="A52" s="45"/>
      <c r="B52" s="45"/>
      <c r="C52" s="45"/>
    </row>
    <row r="53" spans="1:4" ht="12.75" x14ac:dyDescent="0.2">
      <c r="A53" s="42" t="s">
        <v>1625</v>
      </c>
      <c r="B53" s="43"/>
      <c r="C53" s="43"/>
      <c r="D53" s="44"/>
    </row>
    <row r="54" spans="1:4" ht="12.75" x14ac:dyDescent="0.2">
      <c r="A54" s="45"/>
      <c r="B54" s="46" t="s">
        <v>1632</v>
      </c>
      <c r="C54" s="46" t="s">
        <v>1634</v>
      </c>
    </row>
    <row r="55" spans="1:4" ht="12.75" x14ac:dyDescent="0.2">
      <c r="A55" s="45"/>
      <c r="B55" s="46" t="s">
        <v>1635</v>
      </c>
      <c r="C55" s="46" t="s">
        <v>1636</v>
      </c>
    </row>
    <row r="56" spans="1:4" ht="12.75" x14ac:dyDescent="0.2">
      <c r="A56" s="45"/>
      <c r="B56" s="46" t="s">
        <v>1637</v>
      </c>
      <c r="C56" s="46" t="s">
        <v>1639</v>
      </c>
    </row>
    <row r="57" spans="1:4" ht="12.75" x14ac:dyDescent="0.2">
      <c r="A57" s="45"/>
      <c r="B57" s="46" t="s">
        <v>1640</v>
      </c>
      <c r="C57" s="46" t="s">
        <v>1641</v>
      </c>
    </row>
    <row r="58" spans="1:4" ht="12.75" x14ac:dyDescent="0.2">
      <c r="A58" s="45"/>
      <c r="B58" s="46" t="s">
        <v>1642</v>
      </c>
      <c r="C58" s="46" t="s">
        <v>1643</v>
      </c>
    </row>
    <row r="59" spans="1:4" ht="12.75" x14ac:dyDescent="0.2">
      <c r="A59" s="45"/>
      <c r="B59" s="46" t="s">
        <v>1645</v>
      </c>
      <c r="C59" s="46" t="s">
        <v>1646</v>
      </c>
    </row>
    <row r="60" spans="1:4" ht="12.75" x14ac:dyDescent="0.2">
      <c r="A60" s="45"/>
      <c r="B60" s="46" t="s">
        <v>1647</v>
      </c>
      <c r="C60" s="46" t="s">
        <v>1649</v>
      </c>
    </row>
    <row r="61" spans="1:4" ht="12.75" x14ac:dyDescent="0.2">
      <c r="A61" s="45"/>
      <c r="B61" s="46" t="s">
        <v>1650</v>
      </c>
      <c r="C61" s="46" t="s">
        <v>1651</v>
      </c>
    </row>
    <row r="62" spans="1:4" ht="12.75" x14ac:dyDescent="0.2">
      <c r="A62" s="45"/>
      <c r="B62" s="46" t="s">
        <v>1653</v>
      </c>
      <c r="C62" s="46" t="s">
        <v>1654</v>
      </c>
    </row>
    <row r="63" spans="1:4" ht="12.75" x14ac:dyDescent="0.2">
      <c r="A63" s="45"/>
      <c r="B63" s="46" t="s">
        <v>1655</v>
      </c>
      <c r="C63" s="46" t="s">
        <v>1656</v>
      </c>
    </row>
    <row r="64" spans="1:4" ht="12.75" x14ac:dyDescent="0.2">
      <c r="A64" s="45"/>
      <c r="B64" s="46" t="s">
        <v>1658</v>
      </c>
      <c r="C64" s="46" t="s">
        <v>1659</v>
      </c>
    </row>
    <row r="65" spans="1:3" ht="12.75" x14ac:dyDescent="0.2">
      <c r="A65" s="45"/>
      <c r="B65" s="46" t="s">
        <v>1660</v>
      </c>
      <c r="C65" s="46" t="s">
        <v>1661</v>
      </c>
    </row>
    <row r="66" spans="1:3" ht="12.75" x14ac:dyDescent="0.2">
      <c r="A66" s="45"/>
      <c r="B66" s="46" t="s">
        <v>1662</v>
      </c>
      <c r="C66" s="46" t="s">
        <v>1664</v>
      </c>
    </row>
    <row r="67" spans="1:3" ht="12.75" x14ac:dyDescent="0.2">
      <c r="A67" s="45"/>
      <c r="B67" s="46" t="s">
        <v>1665</v>
      </c>
      <c r="C67" s="46" t="s">
        <v>1666</v>
      </c>
    </row>
    <row r="68" spans="1:3" ht="12.75" x14ac:dyDescent="0.2">
      <c r="A68" s="45"/>
      <c r="B68" s="46" t="s">
        <v>1668</v>
      </c>
      <c r="C68" s="46" t="s">
        <v>1669</v>
      </c>
    </row>
    <row r="69" spans="1:3" ht="12.75" x14ac:dyDescent="0.2">
      <c r="A69" s="45"/>
      <c r="B69" s="46" t="s">
        <v>1670</v>
      </c>
      <c r="C69" s="46" t="s">
        <v>1672</v>
      </c>
    </row>
    <row r="70" spans="1:3" ht="12.75" x14ac:dyDescent="0.2">
      <c r="A70" s="45"/>
      <c r="B70" s="46" t="s">
        <v>1673</v>
      </c>
      <c r="C70" s="46" t="s">
        <v>1674</v>
      </c>
    </row>
    <row r="71" spans="1:3" ht="12.75" x14ac:dyDescent="0.2">
      <c r="A71" s="45"/>
      <c r="B71" s="46" t="s">
        <v>1675</v>
      </c>
      <c r="C71" s="46" t="s">
        <v>1676</v>
      </c>
    </row>
    <row r="72" spans="1:3" ht="12.75" x14ac:dyDescent="0.2">
      <c r="A72" s="45"/>
      <c r="B72" s="46" t="s">
        <v>1678</v>
      </c>
      <c r="C72" s="46" t="s">
        <v>1679</v>
      </c>
    </row>
    <row r="73" spans="1:3" ht="12.75" x14ac:dyDescent="0.2">
      <c r="A73" s="45"/>
      <c r="B73" s="46" t="s">
        <v>1681</v>
      </c>
      <c r="C73" s="46" t="s">
        <v>1682</v>
      </c>
    </row>
    <row r="74" spans="1:3" ht="12.75" x14ac:dyDescent="0.2">
      <c r="A74" s="45"/>
      <c r="B74" s="46" t="s">
        <v>1693</v>
      </c>
      <c r="C74" s="46" t="s">
        <v>1694</v>
      </c>
    </row>
    <row r="75" spans="1:3" ht="12.75" x14ac:dyDescent="0.2">
      <c r="A75" s="45"/>
      <c r="B75" s="46" t="s">
        <v>1695</v>
      </c>
      <c r="C75" s="46" t="s">
        <v>1697</v>
      </c>
    </row>
    <row r="76" spans="1:3" ht="12.75" x14ac:dyDescent="0.2">
      <c r="A76" s="45"/>
      <c r="B76" s="46" t="s">
        <v>1699</v>
      </c>
      <c r="C76" s="46" t="s">
        <v>1700</v>
      </c>
    </row>
    <row r="77" spans="1:3" ht="12.75" x14ac:dyDescent="0.2">
      <c r="A77" s="45"/>
      <c r="B77" s="46" t="s">
        <v>1702</v>
      </c>
      <c r="C77" s="46" t="s">
        <v>1703</v>
      </c>
    </row>
    <row r="78" spans="1:3" ht="12.75" x14ac:dyDescent="0.2">
      <c r="A78" s="45"/>
      <c r="B78" s="46" t="s">
        <v>1705</v>
      </c>
      <c r="C78" s="46" t="s">
        <v>1706</v>
      </c>
    </row>
    <row r="79" spans="1:3" ht="12.75" x14ac:dyDescent="0.2">
      <c r="A79" s="45"/>
      <c r="B79" s="46" t="s">
        <v>1708</v>
      </c>
      <c r="C79" s="46" t="s">
        <v>1709</v>
      </c>
    </row>
    <row r="80" spans="1:3" ht="12.75" x14ac:dyDescent="0.2">
      <c r="A80" s="45"/>
      <c r="B80" s="46" t="s">
        <v>1711</v>
      </c>
      <c r="C80" s="46" t="s">
        <v>1713</v>
      </c>
    </row>
    <row r="81" spans="1:3" ht="12.75" x14ac:dyDescent="0.2">
      <c r="A81" s="45"/>
      <c r="B81" s="46" t="s">
        <v>1714</v>
      </c>
      <c r="C81" s="46" t="s">
        <v>1715</v>
      </c>
    </row>
    <row r="82" spans="1:3" ht="12.75" x14ac:dyDescent="0.2">
      <c r="A82" s="45"/>
      <c r="B82" s="46" t="s">
        <v>1717</v>
      </c>
      <c r="C82" s="46" t="s">
        <v>1718</v>
      </c>
    </row>
    <row r="83" spans="1:3" ht="12.75" x14ac:dyDescent="0.2">
      <c r="A83" s="45"/>
      <c r="B83" s="46" t="s">
        <v>1719</v>
      </c>
      <c r="C83" s="46" t="s">
        <v>1720</v>
      </c>
    </row>
    <row r="84" spans="1:3" ht="12.75" x14ac:dyDescent="0.2">
      <c r="A84" s="45"/>
      <c r="B84" s="46" t="s">
        <v>1723</v>
      </c>
      <c r="C84" s="46" t="s">
        <v>1725</v>
      </c>
    </row>
    <row r="85" spans="1:3" ht="12.75" x14ac:dyDescent="0.2">
      <c r="A85" s="45"/>
      <c r="B85" s="46" t="s">
        <v>1726</v>
      </c>
      <c r="C85" s="46" t="s">
        <v>1727</v>
      </c>
    </row>
    <row r="86" spans="1:3" ht="12.75" x14ac:dyDescent="0.2">
      <c r="A86" s="45"/>
      <c r="B86" s="46" t="s">
        <v>1729</v>
      </c>
      <c r="C86" s="46" t="s">
        <v>1730</v>
      </c>
    </row>
    <row r="87" spans="1:3" ht="12.75" x14ac:dyDescent="0.2">
      <c r="A87" s="45"/>
      <c r="B87" s="46" t="s">
        <v>1732</v>
      </c>
      <c r="C87" s="46" t="s">
        <v>1733</v>
      </c>
    </row>
    <row r="88" spans="1:3" ht="12.75" x14ac:dyDescent="0.2">
      <c r="A88" s="45"/>
      <c r="B88" s="46" t="s">
        <v>1734</v>
      </c>
      <c r="C88" s="46" t="s">
        <v>1735</v>
      </c>
    </row>
    <row r="89" spans="1:3" ht="12.75" x14ac:dyDescent="0.2">
      <c r="A89" s="45"/>
      <c r="B89" s="46" t="s">
        <v>1736</v>
      </c>
      <c r="C89" s="46" t="s">
        <v>1737</v>
      </c>
    </row>
    <row r="90" spans="1:3" ht="12.75" x14ac:dyDescent="0.2">
      <c r="A90" s="45"/>
      <c r="B90" s="46" t="s">
        <v>1738</v>
      </c>
      <c r="C90" s="46" t="s">
        <v>1739</v>
      </c>
    </row>
    <row r="91" spans="1:3" ht="12.75" x14ac:dyDescent="0.2">
      <c r="A91" s="45"/>
      <c r="B91" s="46" t="s">
        <v>1740</v>
      </c>
      <c r="C91" s="46" t="s">
        <v>1741</v>
      </c>
    </row>
    <row r="92" spans="1:3" ht="12.75" x14ac:dyDescent="0.2">
      <c r="A92" s="45"/>
      <c r="B92" s="46" t="s">
        <v>1742</v>
      </c>
      <c r="C92" s="46" t="s">
        <v>1743</v>
      </c>
    </row>
    <row r="93" spans="1:3" ht="12.75" x14ac:dyDescent="0.2">
      <c r="A93" s="45"/>
      <c r="B93" s="46" t="s">
        <v>1744</v>
      </c>
      <c r="C93" s="46" t="s">
        <v>1745</v>
      </c>
    </row>
    <row r="94" spans="1:3" ht="12.75" x14ac:dyDescent="0.2">
      <c r="A94" s="45"/>
      <c r="B94" s="46" t="s">
        <v>1747</v>
      </c>
      <c r="C94" s="46" t="s">
        <v>1748</v>
      </c>
    </row>
    <row r="95" spans="1:3" ht="12.75" x14ac:dyDescent="0.2">
      <c r="A95" s="45"/>
      <c r="B95" s="46" t="s">
        <v>1749</v>
      </c>
      <c r="C95" s="46" t="s">
        <v>1750</v>
      </c>
    </row>
    <row r="96" spans="1:3" ht="12.75" x14ac:dyDescent="0.2">
      <c r="A96" s="45"/>
      <c r="B96" s="46" t="s">
        <v>1751</v>
      </c>
      <c r="C96" s="46" t="s">
        <v>1753</v>
      </c>
    </row>
    <row r="97" spans="1:4" ht="12.75" x14ac:dyDescent="0.2">
      <c r="A97" s="45"/>
      <c r="B97" s="46" t="s">
        <v>1755</v>
      </c>
      <c r="C97" s="46" t="s">
        <v>1756</v>
      </c>
    </row>
    <row r="98" spans="1:4" ht="12.75" x14ac:dyDescent="0.2">
      <c r="A98" s="45"/>
      <c r="B98" s="46" t="s">
        <v>1758</v>
      </c>
      <c r="C98" s="46" t="s">
        <v>1759</v>
      </c>
    </row>
    <row r="99" spans="1:4" ht="12.75" x14ac:dyDescent="0.2">
      <c r="A99" s="45"/>
      <c r="B99" s="45"/>
      <c r="C99" s="45"/>
    </row>
    <row r="100" spans="1:4" ht="12.75" x14ac:dyDescent="0.2">
      <c r="A100" s="42" t="s">
        <v>1761</v>
      </c>
      <c r="B100" s="43"/>
      <c r="C100" s="43"/>
      <c r="D100" s="44"/>
    </row>
    <row r="101" spans="1:4" ht="12.75" x14ac:dyDescent="0.2">
      <c r="A101" s="45"/>
      <c r="B101" s="46" t="s">
        <v>1763</v>
      </c>
      <c r="C101" s="46" t="s">
        <v>1765</v>
      </c>
    </row>
    <row r="102" spans="1:4" ht="12.75" x14ac:dyDescent="0.2">
      <c r="A102" s="45"/>
      <c r="B102" s="46" t="s">
        <v>833</v>
      </c>
      <c r="C102" s="46" t="s">
        <v>1767</v>
      </c>
    </row>
    <row r="103" spans="1:4" ht="12.75" x14ac:dyDescent="0.2">
      <c r="A103" s="45"/>
      <c r="B103" s="46" t="s">
        <v>1769</v>
      </c>
      <c r="C103" s="46" t="s">
        <v>1770</v>
      </c>
    </row>
    <row r="104" spans="1:4" ht="12.75" x14ac:dyDescent="0.2">
      <c r="A104" s="45"/>
      <c r="B104" s="46" t="s">
        <v>1771</v>
      </c>
      <c r="C104" s="46" t="s">
        <v>1772</v>
      </c>
    </row>
    <row r="105" spans="1:4" ht="12.75" x14ac:dyDescent="0.2">
      <c r="A105" s="45"/>
      <c r="B105" s="46" t="s">
        <v>1774</v>
      </c>
      <c r="C105" s="46" t="s">
        <v>1774</v>
      </c>
    </row>
    <row r="106" spans="1:4" ht="12.75" x14ac:dyDescent="0.2">
      <c r="A106" s="45"/>
      <c r="B106" s="46" t="s">
        <v>1775</v>
      </c>
      <c r="C106" s="46" t="s">
        <v>1775</v>
      </c>
    </row>
    <row r="107" spans="1:4" ht="12.75" x14ac:dyDescent="0.2">
      <c r="A107" s="45"/>
      <c r="B107" s="46" t="s">
        <v>1778</v>
      </c>
      <c r="C107" s="46" t="s">
        <v>1778</v>
      </c>
    </row>
    <row r="108" spans="1:4" ht="12.75" x14ac:dyDescent="0.2">
      <c r="A108" s="45"/>
      <c r="B108" s="46" t="s">
        <v>1780</v>
      </c>
      <c r="C108" s="46" t="s">
        <v>1780</v>
      </c>
    </row>
    <row r="109" spans="1:4" ht="12.75" x14ac:dyDescent="0.2">
      <c r="A109" s="45"/>
      <c r="B109" s="45"/>
      <c r="C109" s="45"/>
    </row>
    <row r="110" spans="1:4" ht="12.75" x14ac:dyDescent="0.2">
      <c r="A110" s="42" t="s">
        <v>1783</v>
      </c>
      <c r="B110" s="43"/>
      <c r="C110" s="43"/>
      <c r="D110" s="44"/>
    </row>
    <row r="111" spans="1:4" ht="12.75" x14ac:dyDescent="0.2">
      <c r="A111" s="45"/>
      <c r="B111" s="46" t="s">
        <v>1785</v>
      </c>
      <c r="C111" s="46" t="s">
        <v>1786</v>
      </c>
    </row>
    <row r="112" spans="1:4" ht="12.75" x14ac:dyDescent="0.2">
      <c r="A112" s="45"/>
      <c r="B112" s="46" t="s">
        <v>1788</v>
      </c>
      <c r="C112" s="46" t="s">
        <v>1790</v>
      </c>
    </row>
    <row r="113" spans="1:4" ht="12.75" x14ac:dyDescent="0.2">
      <c r="A113" s="45"/>
      <c r="B113" s="46" t="s">
        <v>1792</v>
      </c>
      <c r="C113" s="46" t="s">
        <v>1793</v>
      </c>
    </row>
    <row r="114" spans="1:4" ht="12.75" x14ac:dyDescent="0.2">
      <c r="A114" s="45"/>
      <c r="B114" s="46" t="s">
        <v>1794</v>
      </c>
      <c r="C114" s="46" t="s">
        <v>1795</v>
      </c>
    </row>
    <row r="115" spans="1:4" ht="12.75" x14ac:dyDescent="0.2">
      <c r="A115" s="45"/>
      <c r="B115" s="45"/>
      <c r="C115" s="45"/>
    </row>
    <row r="116" spans="1:4" ht="12.75" x14ac:dyDescent="0.2">
      <c r="A116" s="42" t="s">
        <v>1796</v>
      </c>
      <c r="B116" s="43"/>
      <c r="C116" s="43"/>
      <c r="D116" s="44"/>
    </row>
    <row r="117" spans="1:4" ht="12.75" x14ac:dyDescent="0.2">
      <c r="A117" s="45"/>
      <c r="B117" s="46" t="s">
        <v>1797</v>
      </c>
      <c r="C117" s="46" t="s">
        <v>1798</v>
      </c>
    </row>
    <row r="118" spans="1:4" ht="12.75" x14ac:dyDescent="0.2">
      <c r="A118" s="45"/>
      <c r="B118" s="46" t="s">
        <v>1799</v>
      </c>
      <c r="C118" s="46" t="s">
        <v>1800</v>
      </c>
    </row>
    <row r="119" spans="1:4" ht="12.75" x14ac:dyDescent="0.2">
      <c r="A119" s="45"/>
      <c r="B119" s="46" t="s">
        <v>1801</v>
      </c>
      <c r="C119" s="46" t="s">
        <v>1802</v>
      </c>
    </row>
    <row r="120" spans="1:4" ht="12.75" x14ac:dyDescent="0.2">
      <c r="A120" s="45"/>
      <c r="B120" s="46" t="s">
        <v>1803</v>
      </c>
      <c r="C120" s="46" t="s">
        <v>1804</v>
      </c>
    </row>
    <row r="121" spans="1:4" ht="12.75" x14ac:dyDescent="0.2">
      <c r="A121" s="45"/>
      <c r="B121" s="46" t="s">
        <v>1805</v>
      </c>
      <c r="C121" s="46" t="s">
        <v>1807</v>
      </c>
    </row>
    <row r="122" spans="1:4" ht="12.75" x14ac:dyDescent="0.2">
      <c r="A122" s="45"/>
      <c r="B122" s="46" t="s">
        <v>1808</v>
      </c>
      <c r="C122" s="46" t="s">
        <v>1810</v>
      </c>
    </row>
    <row r="123" spans="1:4" ht="12.75" x14ac:dyDescent="0.2">
      <c r="A123" s="45"/>
      <c r="B123" s="46" t="s">
        <v>1811</v>
      </c>
      <c r="C123" s="46" t="s">
        <v>1813</v>
      </c>
    </row>
    <row r="124" spans="1:4" ht="12.75" x14ac:dyDescent="0.2">
      <c r="A124" s="45"/>
      <c r="B124" s="46" t="s">
        <v>1815</v>
      </c>
      <c r="C124" s="46" t="s">
        <v>1817</v>
      </c>
    </row>
    <row r="125" spans="1:4" ht="12.75" x14ac:dyDescent="0.2">
      <c r="A125" s="45"/>
      <c r="B125" s="46" t="s">
        <v>1818</v>
      </c>
      <c r="C125" s="46" t="s">
        <v>1820</v>
      </c>
    </row>
    <row r="126" spans="1:4" ht="12.75" x14ac:dyDescent="0.2">
      <c r="A126" s="45"/>
      <c r="B126" s="46" t="s">
        <v>1823</v>
      </c>
      <c r="C126" s="46" t="s">
        <v>1825</v>
      </c>
    </row>
    <row r="127" spans="1:4" ht="12.75" x14ac:dyDescent="0.2">
      <c r="A127" s="45"/>
      <c r="B127" s="46" t="s">
        <v>1827</v>
      </c>
      <c r="C127" s="46" t="s">
        <v>1829</v>
      </c>
    </row>
    <row r="128" spans="1:4" ht="12.75" x14ac:dyDescent="0.2">
      <c r="A128" s="45"/>
      <c r="B128" s="46" t="s">
        <v>1830</v>
      </c>
      <c r="C128" s="46" t="s">
        <v>1831</v>
      </c>
    </row>
    <row r="129" spans="1:3" ht="12.75" x14ac:dyDescent="0.2">
      <c r="A129" s="45"/>
      <c r="B129" s="46" t="s">
        <v>1833</v>
      </c>
      <c r="C129" s="46" t="s">
        <v>1835</v>
      </c>
    </row>
    <row r="130" spans="1:3" ht="12.75" x14ac:dyDescent="0.2">
      <c r="A130" s="45"/>
      <c r="B130" s="46" t="s">
        <v>1837</v>
      </c>
      <c r="C130" s="46" t="s">
        <v>1839</v>
      </c>
    </row>
    <row r="131" spans="1:3" ht="12.75" x14ac:dyDescent="0.2">
      <c r="A131" s="45"/>
      <c r="B131" s="46" t="s">
        <v>1841</v>
      </c>
      <c r="C131" s="46" t="s">
        <v>1843</v>
      </c>
    </row>
    <row r="132" spans="1:3" ht="12.75" x14ac:dyDescent="0.2">
      <c r="A132" s="45"/>
      <c r="B132" s="46" t="s">
        <v>1845</v>
      </c>
      <c r="C132" s="46" t="s">
        <v>1847</v>
      </c>
    </row>
    <row r="133" spans="1:3" ht="12.75" x14ac:dyDescent="0.2">
      <c r="A133" s="45"/>
      <c r="B133" s="46" t="s">
        <v>1849</v>
      </c>
      <c r="C133" s="46" t="s">
        <v>1850</v>
      </c>
    </row>
    <row r="134" spans="1:3" ht="12.75" x14ac:dyDescent="0.2">
      <c r="A134" s="45"/>
      <c r="B134" s="46" t="s">
        <v>1852</v>
      </c>
      <c r="C134" s="46" t="s">
        <v>1854</v>
      </c>
    </row>
    <row r="135" spans="1:3" ht="12.75" x14ac:dyDescent="0.2">
      <c r="A135" s="45"/>
      <c r="B135" s="46" t="s">
        <v>1855</v>
      </c>
      <c r="C135" s="46" t="s">
        <v>1857</v>
      </c>
    </row>
    <row r="136" spans="1:3" ht="12.75" x14ac:dyDescent="0.2">
      <c r="A136" s="45"/>
      <c r="B136" s="45"/>
      <c r="C136" s="45"/>
    </row>
    <row r="137" spans="1:3" ht="12.75" x14ac:dyDescent="0.2">
      <c r="A137" s="45"/>
      <c r="B137" s="45"/>
      <c r="C137" s="45"/>
    </row>
    <row r="138" spans="1:3" ht="12.75" x14ac:dyDescent="0.2">
      <c r="A138" s="45"/>
      <c r="B138" s="45"/>
      <c r="C138" s="4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C138"/>
  <sheetViews>
    <sheetView showGridLines="0" workbookViewId="0"/>
  </sheetViews>
  <sheetFormatPr defaultColWidth="14.42578125" defaultRowHeight="15.75" customHeight="1" x14ac:dyDescent="0.2"/>
  <cols>
    <col min="1" max="1" width="15.85546875" customWidth="1"/>
    <col min="2" max="2" width="18.5703125" customWidth="1"/>
    <col min="3" max="3" width="116.85546875" customWidth="1"/>
  </cols>
  <sheetData>
    <row r="1" spans="1:3" ht="15.75" customHeight="1" x14ac:dyDescent="0.2">
      <c r="A1" s="42" t="s">
        <v>1527</v>
      </c>
      <c r="B1" s="44"/>
      <c r="C1" s="44"/>
    </row>
    <row r="2" spans="1:3" ht="15.75" customHeight="1" x14ac:dyDescent="0.2">
      <c r="B2" s="46" t="s">
        <v>1543</v>
      </c>
      <c r="C2" s="46" t="s">
        <v>1548</v>
      </c>
    </row>
    <row r="3" spans="1:3" ht="15.75" customHeight="1" x14ac:dyDescent="0.2">
      <c r="B3" s="46" t="s">
        <v>1543</v>
      </c>
      <c r="C3" s="46" t="s">
        <v>1543</v>
      </c>
    </row>
    <row r="5" spans="1:3" ht="15.75" customHeight="1" x14ac:dyDescent="0.2">
      <c r="A5" s="42" t="s">
        <v>1550</v>
      </c>
      <c r="B5" s="44"/>
      <c r="C5" s="44"/>
    </row>
    <row r="6" spans="1:3" ht="15.75" customHeight="1" x14ac:dyDescent="0.2">
      <c r="B6" s="46" t="s">
        <v>1552</v>
      </c>
      <c r="C6" s="46" t="s">
        <v>1553</v>
      </c>
    </row>
    <row r="7" spans="1:3" ht="15.75" customHeight="1" x14ac:dyDescent="0.2">
      <c r="B7" s="46" t="s">
        <v>1552</v>
      </c>
      <c r="C7" s="46" t="s">
        <v>1552</v>
      </c>
    </row>
    <row r="9" spans="1:3" ht="15.75" customHeight="1" x14ac:dyDescent="0.2">
      <c r="A9" s="42" t="s">
        <v>1554</v>
      </c>
      <c r="B9" s="44"/>
      <c r="C9" s="44"/>
    </row>
    <row r="10" spans="1:3" ht="15.75" customHeight="1" x14ac:dyDescent="0.2">
      <c r="B10" s="46" t="s">
        <v>1555</v>
      </c>
      <c r="C10" s="46" t="s">
        <v>1556</v>
      </c>
    </row>
    <row r="11" spans="1:3" ht="15.75" customHeight="1" x14ac:dyDescent="0.2">
      <c r="B11" s="46" t="s">
        <v>1555</v>
      </c>
      <c r="C11" s="46" t="s">
        <v>1555</v>
      </c>
    </row>
    <row r="12" spans="1:3" ht="15.75" customHeight="1" x14ac:dyDescent="0.2">
      <c r="B12" s="46" t="s">
        <v>1557</v>
      </c>
      <c r="C12" s="46" t="s">
        <v>1557</v>
      </c>
    </row>
    <row r="13" spans="1:3" ht="15.75" customHeight="1" x14ac:dyDescent="0.2">
      <c r="B13" s="46" t="s">
        <v>1558</v>
      </c>
      <c r="C13" s="46" t="s">
        <v>1558</v>
      </c>
    </row>
    <row r="14" spans="1:3" ht="15.75" customHeight="1" x14ac:dyDescent="0.2">
      <c r="B14" s="46" t="s">
        <v>1559</v>
      </c>
      <c r="C14" s="46" t="s">
        <v>1559</v>
      </c>
    </row>
    <row r="16" spans="1:3" ht="15.75" customHeight="1" x14ac:dyDescent="0.2">
      <c r="A16" s="42" t="s">
        <v>1560</v>
      </c>
      <c r="B16" s="44"/>
      <c r="C16" s="44"/>
    </row>
    <row r="17" spans="1:3" ht="15.75" customHeight="1" x14ac:dyDescent="0.2">
      <c r="B17" s="46" t="s">
        <v>1561</v>
      </c>
      <c r="C17" s="46" t="s">
        <v>1562</v>
      </c>
    </row>
    <row r="18" spans="1:3" ht="15.75" customHeight="1" x14ac:dyDescent="0.2">
      <c r="B18" s="46" t="s">
        <v>1561</v>
      </c>
      <c r="C18" s="46" t="s">
        <v>1561</v>
      </c>
    </row>
    <row r="20" spans="1:3" ht="15.75" customHeight="1" x14ac:dyDescent="0.2">
      <c r="A20" s="42" t="s">
        <v>1563</v>
      </c>
      <c r="B20" s="44"/>
      <c r="C20" s="44"/>
    </row>
    <row r="21" spans="1:3" ht="15.75" customHeight="1" x14ac:dyDescent="0.2">
      <c r="B21" s="46" t="s">
        <v>1564</v>
      </c>
      <c r="C21" s="46" t="s">
        <v>1565</v>
      </c>
    </row>
    <row r="22" spans="1:3" ht="15.75" customHeight="1" x14ac:dyDescent="0.2">
      <c r="B22" s="46" t="s">
        <v>1566</v>
      </c>
      <c r="C22" s="46" t="s">
        <v>1567</v>
      </c>
    </row>
    <row r="23" spans="1:3" ht="15.75" customHeight="1" x14ac:dyDescent="0.2">
      <c r="B23" s="46" t="s">
        <v>1568</v>
      </c>
      <c r="C23" s="46" t="s">
        <v>1569</v>
      </c>
    </row>
    <row r="24" spans="1:3" ht="15.75" customHeight="1" x14ac:dyDescent="0.2">
      <c r="B24" s="46" t="s">
        <v>1570</v>
      </c>
      <c r="C24" s="46" t="s">
        <v>1571</v>
      </c>
    </row>
    <row r="25" spans="1:3" ht="15.75" customHeight="1" x14ac:dyDescent="0.2">
      <c r="B25" s="46" t="s">
        <v>1572</v>
      </c>
      <c r="C25" s="46" t="s">
        <v>1573</v>
      </c>
    </row>
    <row r="26" spans="1:3" ht="15.75" customHeight="1" x14ac:dyDescent="0.2">
      <c r="B26" s="46" t="s">
        <v>1574</v>
      </c>
      <c r="C26" s="46" t="s">
        <v>1575</v>
      </c>
    </row>
    <row r="27" spans="1:3" ht="15.75" customHeight="1" x14ac:dyDescent="0.2">
      <c r="B27" s="46" t="s">
        <v>1576</v>
      </c>
      <c r="C27" s="46" t="s">
        <v>1577</v>
      </c>
    </row>
    <row r="28" spans="1:3" ht="15.75" customHeight="1" x14ac:dyDescent="0.2">
      <c r="B28" s="46" t="s">
        <v>1578</v>
      </c>
      <c r="C28" s="46" t="s">
        <v>1579</v>
      </c>
    </row>
    <row r="29" spans="1:3" ht="15.75" customHeight="1" x14ac:dyDescent="0.2">
      <c r="B29" s="46" t="s">
        <v>1580</v>
      </c>
      <c r="C29" s="46" t="s">
        <v>1581</v>
      </c>
    </row>
    <row r="30" spans="1:3" ht="12.75" x14ac:dyDescent="0.2">
      <c r="B30" s="46" t="s">
        <v>1582</v>
      </c>
      <c r="C30" s="46" t="s">
        <v>1583</v>
      </c>
    </row>
    <row r="31" spans="1:3" ht="12.75" x14ac:dyDescent="0.2">
      <c r="B31" s="46" t="s">
        <v>1584</v>
      </c>
      <c r="C31" s="46" t="s">
        <v>1585</v>
      </c>
    </row>
    <row r="32" spans="1:3" ht="12.75" x14ac:dyDescent="0.2">
      <c r="B32" s="46" t="s">
        <v>1586</v>
      </c>
      <c r="C32" s="46" t="s">
        <v>1587</v>
      </c>
    </row>
    <row r="33" spans="1:3" ht="12.75" x14ac:dyDescent="0.2">
      <c r="B33" s="46" t="s">
        <v>1588</v>
      </c>
      <c r="C33" s="46" t="s">
        <v>1589</v>
      </c>
    </row>
    <row r="34" spans="1:3" ht="12.75" x14ac:dyDescent="0.2">
      <c r="B34" s="46" t="s">
        <v>1590</v>
      </c>
      <c r="C34" s="46" t="s">
        <v>1591</v>
      </c>
    </row>
    <row r="35" spans="1:3" ht="12.75" x14ac:dyDescent="0.2">
      <c r="B35" s="46" t="s">
        <v>1592</v>
      </c>
      <c r="C35" s="46" t="s">
        <v>1593</v>
      </c>
    </row>
    <row r="36" spans="1:3" ht="12.75" x14ac:dyDescent="0.2">
      <c r="B36" s="46" t="s">
        <v>1594</v>
      </c>
      <c r="C36" s="46" t="s">
        <v>1595</v>
      </c>
    </row>
    <row r="37" spans="1:3" ht="12.75" x14ac:dyDescent="0.2">
      <c r="B37" s="46" t="s">
        <v>1596</v>
      </c>
      <c r="C37" s="46" t="s">
        <v>1597</v>
      </c>
    </row>
    <row r="38" spans="1:3" ht="12.75" x14ac:dyDescent="0.2">
      <c r="B38" s="46" t="s">
        <v>1598</v>
      </c>
      <c r="C38" s="46" t="s">
        <v>1599</v>
      </c>
    </row>
    <row r="39" spans="1:3" ht="12.75" x14ac:dyDescent="0.2">
      <c r="B39" s="46" t="s">
        <v>1600</v>
      </c>
      <c r="C39" s="46" t="s">
        <v>1601</v>
      </c>
    </row>
    <row r="40" spans="1:3" ht="12.75" x14ac:dyDescent="0.2">
      <c r="B40" s="46" t="s">
        <v>1602</v>
      </c>
      <c r="C40" s="46" t="s">
        <v>1603</v>
      </c>
    </row>
    <row r="41" spans="1:3" ht="12.75" x14ac:dyDescent="0.2">
      <c r="B41" s="46" t="s">
        <v>1604</v>
      </c>
      <c r="C41" s="46" t="s">
        <v>1605</v>
      </c>
    </row>
    <row r="42" spans="1:3" ht="12.75" x14ac:dyDescent="0.2">
      <c r="B42" s="46" t="s">
        <v>1606</v>
      </c>
      <c r="C42" s="46" t="s">
        <v>1607</v>
      </c>
    </row>
    <row r="44" spans="1:3" ht="12.75" x14ac:dyDescent="0.2">
      <c r="A44" s="42" t="s">
        <v>1609</v>
      </c>
      <c r="B44" s="44"/>
      <c r="C44" s="44"/>
    </row>
    <row r="45" spans="1:3" ht="12.75" x14ac:dyDescent="0.2">
      <c r="B45" s="46" t="s">
        <v>1610</v>
      </c>
      <c r="C45" s="46" t="s">
        <v>1612</v>
      </c>
    </row>
    <row r="46" spans="1:3" ht="12.75" x14ac:dyDescent="0.2">
      <c r="B46" s="46" t="s">
        <v>1614</v>
      </c>
      <c r="C46" s="46" t="s">
        <v>1614</v>
      </c>
    </row>
    <row r="47" spans="1:3" ht="12.75" x14ac:dyDescent="0.2">
      <c r="B47" s="46" t="s">
        <v>1610</v>
      </c>
      <c r="C47" s="46" t="s">
        <v>1610</v>
      </c>
    </row>
    <row r="48" spans="1:3" ht="12.75" x14ac:dyDescent="0.2">
      <c r="B48" s="46" t="s">
        <v>1617</v>
      </c>
      <c r="C48" s="46" t="s">
        <v>1617</v>
      </c>
    </row>
    <row r="50" spans="1:3" ht="12.75" x14ac:dyDescent="0.2">
      <c r="A50" s="42" t="s">
        <v>1619</v>
      </c>
      <c r="B50" s="44"/>
      <c r="C50" s="44"/>
    </row>
    <row r="51" spans="1:3" ht="12.75" x14ac:dyDescent="0.2">
      <c r="B51" s="46" t="s">
        <v>1622</v>
      </c>
      <c r="C51" s="46" t="s">
        <v>1624</v>
      </c>
    </row>
    <row r="53" spans="1:3" ht="12.75" x14ac:dyDescent="0.2">
      <c r="A53" s="42" t="s">
        <v>1969</v>
      </c>
      <c r="B53" s="44"/>
      <c r="C53" s="44"/>
    </row>
    <row r="54" spans="1:3" ht="12.75" x14ac:dyDescent="0.2">
      <c r="B54" s="46" t="s">
        <v>1971</v>
      </c>
      <c r="C54" s="46" t="s">
        <v>1971</v>
      </c>
    </row>
    <row r="56" spans="1:3" ht="12.75" x14ac:dyDescent="0.2">
      <c r="A56" s="42" t="s">
        <v>1625</v>
      </c>
      <c r="B56" s="44"/>
      <c r="C56" s="44"/>
    </row>
    <row r="57" spans="1:3" ht="12.75" x14ac:dyDescent="0.2">
      <c r="B57" s="46" t="s">
        <v>1632</v>
      </c>
      <c r="C57" s="46" t="s">
        <v>1634</v>
      </c>
    </row>
    <row r="58" spans="1:3" ht="12.75" x14ac:dyDescent="0.2">
      <c r="B58" s="46" t="s">
        <v>1635</v>
      </c>
      <c r="C58" s="46" t="s">
        <v>1636</v>
      </c>
    </row>
    <row r="59" spans="1:3" ht="12.75" x14ac:dyDescent="0.2">
      <c r="B59" s="46" t="s">
        <v>1637</v>
      </c>
      <c r="C59" s="46" t="s">
        <v>1639</v>
      </c>
    </row>
    <row r="60" spans="1:3" ht="12.75" x14ac:dyDescent="0.2">
      <c r="B60" s="46" t="s">
        <v>1640</v>
      </c>
      <c r="C60" s="46" t="s">
        <v>1641</v>
      </c>
    </row>
    <row r="61" spans="1:3" ht="12.75" x14ac:dyDescent="0.2">
      <c r="B61" s="46" t="s">
        <v>1642</v>
      </c>
      <c r="C61" s="46" t="s">
        <v>1643</v>
      </c>
    </row>
    <row r="62" spans="1:3" ht="12.75" x14ac:dyDescent="0.2">
      <c r="B62" s="46" t="s">
        <v>1645</v>
      </c>
      <c r="C62" s="46" t="s">
        <v>1646</v>
      </c>
    </row>
    <row r="63" spans="1:3" ht="12.75" x14ac:dyDescent="0.2">
      <c r="B63" s="46" t="s">
        <v>1647</v>
      </c>
      <c r="C63" s="46" t="s">
        <v>1649</v>
      </c>
    </row>
    <row r="64" spans="1:3" ht="12.75" x14ac:dyDescent="0.2">
      <c r="B64" s="46" t="s">
        <v>1650</v>
      </c>
      <c r="C64" s="46" t="s">
        <v>1651</v>
      </c>
    </row>
    <row r="65" spans="2:3" ht="12.75" x14ac:dyDescent="0.2">
      <c r="B65" s="46" t="s">
        <v>1653</v>
      </c>
      <c r="C65" s="46" t="s">
        <v>1654</v>
      </c>
    </row>
    <row r="66" spans="2:3" ht="12.75" x14ac:dyDescent="0.2">
      <c r="B66" s="46" t="s">
        <v>1655</v>
      </c>
      <c r="C66" s="46" t="s">
        <v>1656</v>
      </c>
    </row>
    <row r="67" spans="2:3" ht="12.75" x14ac:dyDescent="0.2">
      <c r="B67" s="46" t="s">
        <v>1658</v>
      </c>
      <c r="C67" s="46" t="s">
        <v>1659</v>
      </c>
    </row>
    <row r="68" spans="2:3" ht="12.75" x14ac:dyDescent="0.2">
      <c r="B68" s="46" t="s">
        <v>1660</v>
      </c>
      <c r="C68" s="46" t="s">
        <v>1661</v>
      </c>
    </row>
    <row r="69" spans="2:3" ht="12.75" x14ac:dyDescent="0.2">
      <c r="B69" s="46" t="s">
        <v>1662</v>
      </c>
      <c r="C69" s="46" t="s">
        <v>1664</v>
      </c>
    </row>
    <row r="70" spans="2:3" ht="12.75" x14ac:dyDescent="0.2">
      <c r="B70" s="46" t="s">
        <v>1665</v>
      </c>
      <c r="C70" s="46" t="s">
        <v>1666</v>
      </c>
    </row>
    <row r="71" spans="2:3" ht="12.75" x14ac:dyDescent="0.2">
      <c r="B71" s="46" t="s">
        <v>1668</v>
      </c>
      <c r="C71" s="46" t="s">
        <v>1669</v>
      </c>
    </row>
    <row r="72" spans="2:3" ht="12.75" x14ac:dyDescent="0.2">
      <c r="B72" s="46" t="s">
        <v>1670</v>
      </c>
      <c r="C72" s="46" t="s">
        <v>1672</v>
      </c>
    </row>
    <row r="73" spans="2:3" ht="12.75" x14ac:dyDescent="0.2">
      <c r="B73" s="46" t="s">
        <v>1673</v>
      </c>
      <c r="C73" s="46" t="s">
        <v>1674</v>
      </c>
    </row>
    <row r="74" spans="2:3" ht="12.75" x14ac:dyDescent="0.2">
      <c r="B74" s="46" t="s">
        <v>1675</v>
      </c>
      <c r="C74" s="46" t="s">
        <v>1676</v>
      </c>
    </row>
    <row r="75" spans="2:3" ht="12.75" x14ac:dyDescent="0.2">
      <c r="B75" s="46" t="s">
        <v>1678</v>
      </c>
      <c r="C75" s="46" t="s">
        <v>1679</v>
      </c>
    </row>
    <row r="76" spans="2:3" ht="12.75" x14ac:dyDescent="0.2">
      <c r="B76" s="46" t="s">
        <v>1681</v>
      </c>
      <c r="C76" s="46" t="s">
        <v>1682</v>
      </c>
    </row>
    <row r="77" spans="2:3" ht="12.75" x14ac:dyDescent="0.2">
      <c r="B77" s="46" t="s">
        <v>1693</v>
      </c>
      <c r="C77" s="46" t="s">
        <v>1694</v>
      </c>
    </row>
    <row r="78" spans="2:3" ht="12.75" x14ac:dyDescent="0.2">
      <c r="B78" s="46" t="s">
        <v>1695</v>
      </c>
      <c r="C78" s="46" t="s">
        <v>1697</v>
      </c>
    </row>
    <row r="79" spans="2:3" ht="12.75" x14ac:dyDescent="0.2">
      <c r="B79" s="46" t="s">
        <v>1699</v>
      </c>
      <c r="C79" s="46" t="s">
        <v>1700</v>
      </c>
    </row>
    <row r="80" spans="2:3" ht="12.75" x14ac:dyDescent="0.2">
      <c r="B80" s="46" t="s">
        <v>1702</v>
      </c>
      <c r="C80" s="46" t="s">
        <v>1703</v>
      </c>
    </row>
    <row r="81" spans="2:3" ht="12.75" x14ac:dyDescent="0.2">
      <c r="B81" s="46" t="s">
        <v>1705</v>
      </c>
      <c r="C81" s="46" t="s">
        <v>1706</v>
      </c>
    </row>
    <row r="82" spans="2:3" ht="12.75" x14ac:dyDescent="0.2">
      <c r="B82" s="46" t="s">
        <v>1708</v>
      </c>
      <c r="C82" s="46" t="s">
        <v>1709</v>
      </c>
    </row>
    <row r="83" spans="2:3" ht="12.75" x14ac:dyDescent="0.2">
      <c r="B83" s="46" t="s">
        <v>1711</v>
      </c>
      <c r="C83" s="46" t="s">
        <v>1713</v>
      </c>
    </row>
    <row r="84" spans="2:3" ht="12.75" x14ac:dyDescent="0.2">
      <c r="B84" s="46" t="s">
        <v>1714</v>
      </c>
      <c r="C84" s="46" t="s">
        <v>1715</v>
      </c>
    </row>
    <row r="85" spans="2:3" ht="12.75" x14ac:dyDescent="0.2">
      <c r="B85" s="46" t="s">
        <v>1717</v>
      </c>
      <c r="C85" s="46" t="s">
        <v>1718</v>
      </c>
    </row>
    <row r="86" spans="2:3" ht="12.75" x14ac:dyDescent="0.2">
      <c r="B86" s="46" t="s">
        <v>1719</v>
      </c>
      <c r="C86" s="46" t="s">
        <v>1720</v>
      </c>
    </row>
    <row r="87" spans="2:3" ht="12.75" x14ac:dyDescent="0.2">
      <c r="B87" s="46" t="s">
        <v>1723</v>
      </c>
      <c r="C87" s="46" t="s">
        <v>1725</v>
      </c>
    </row>
    <row r="88" spans="2:3" ht="12.75" x14ac:dyDescent="0.2">
      <c r="B88" s="46" t="s">
        <v>1726</v>
      </c>
      <c r="C88" s="46" t="s">
        <v>1727</v>
      </c>
    </row>
    <row r="89" spans="2:3" ht="12.75" x14ac:dyDescent="0.2">
      <c r="B89" s="46" t="s">
        <v>1729</v>
      </c>
      <c r="C89" s="46" t="s">
        <v>1730</v>
      </c>
    </row>
    <row r="90" spans="2:3" ht="12.75" x14ac:dyDescent="0.2">
      <c r="B90" s="46" t="s">
        <v>1732</v>
      </c>
      <c r="C90" s="46" t="s">
        <v>1733</v>
      </c>
    </row>
    <row r="91" spans="2:3" ht="12.75" x14ac:dyDescent="0.2">
      <c r="B91" s="46" t="s">
        <v>1734</v>
      </c>
      <c r="C91" s="46" t="s">
        <v>1735</v>
      </c>
    </row>
    <row r="92" spans="2:3" ht="12.75" x14ac:dyDescent="0.2">
      <c r="B92" s="46" t="s">
        <v>1736</v>
      </c>
      <c r="C92" s="46" t="s">
        <v>1737</v>
      </c>
    </row>
    <row r="93" spans="2:3" ht="12.75" x14ac:dyDescent="0.2">
      <c r="B93" s="46" t="s">
        <v>1738</v>
      </c>
      <c r="C93" s="46" t="s">
        <v>1739</v>
      </c>
    </row>
    <row r="94" spans="2:3" ht="12.75" x14ac:dyDescent="0.2">
      <c r="B94" s="46" t="s">
        <v>1740</v>
      </c>
      <c r="C94" s="46" t="s">
        <v>1741</v>
      </c>
    </row>
    <row r="95" spans="2:3" ht="12.75" x14ac:dyDescent="0.2">
      <c r="B95" s="46" t="s">
        <v>1742</v>
      </c>
      <c r="C95" s="46" t="s">
        <v>1743</v>
      </c>
    </row>
    <row r="96" spans="2:3" ht="12.75" x14ac:dyDescent="0.2">
      <c r="B96" s="46" t="s">
        <v>1744</v>
      </c>
      <c r="C96" s="46" t="s">
        <v>1745</v>
      </c>
    </row>
    <row r="97" spans="1:3" ht="12.75" x14ac:dyDescent="0.2">
      <c r="B97" s="46" t="s">
        <v>1747</v>
      </c>
      <c r="C97" s="46" t="s">
        <v>1748</v>
      </c>
    </row>
    <row r="98" spans="1:3" ht="12.75" x14ac:dyDescent="0.2">
      <c r="B98" s="46" t="s">
        <v>1749</v>
      </c>
      <c r="C98" s="46" t="s">
        <v>1750</v>
      </c>
    </row>
    <row r="99" spans="1:3" ht="12.75" x14ac:dyDescent="0.2">
      <c r="B99" s="46" t="s">
        <v>1751</v>
      </c>
      <c r="C99" s="46" t="s">
        <v>1753</v>
      </c>
    </row>
    <row r="100" spans="1:3" ht="12.75" x14ac:dyDescent="0.2">
      <c r="B100" s="46" t="s">
        <v>1755</v>
      </c>
      <c r="C100" s="46" t="s">
        <v>1756</v>
      </c>
    </row>
    <row r="101" spans="1:3" ht="12.75" x14ac:dyDescent="0.2">
      <c r="B101" s="46" t="s">
        <v>1758</v>
      </c>
      <c r="C101" s="46" t="s">
        <v>1759</v>
      </c>
    </row>
    <row r="103" spans="1:3" ht="12.75" x14ac:dyDescent="0.2">
      <c r="A103" s="42" t="s">
        <v>1761</v>
      </c>
      <c r="B103" s="44"/>
      <c r="C103" s="44"/>
    </row>
    <row r="104" spans="1:3" ht="12.75" x14ac:dyDescent="0.2">
      <c r="B104" s="46" t="s">
        <v>1763</v>
      </c>
      <c r="C104" s="46" t="s">
        <v>1765</v>
      </c>
    </row>
    <row r="105" spans="1:3" ht="12.75" x14ac:dyDescent="0.2">
      <c r="B105" s="46" t="s">
        <v>833</v>
      </c>
      <c r="C105" s="46" t="s">
        <v>1767</v>
      </c>
    </row>
    <row r="106" spans="1:3" ht="12.75" x14ac:dyDescent="0.2">
      <c r="B106" s="46" t="s">
        <v>1769</v>
      </c>
      <c r="C106" s="46" t="s">
        <v>1770</v>
      </c>
    </row>
    <row r="107" spans="1:3" ht="12.75" x14ac:dyDescent="0.2">
      <c r="B107" s="46" t="s">
        <v>1771</v>
      </c>
      <c r="C107" s="46" t="s">
        <v>1772</v>
      </c>
    </row>
    <row r="108" spans="1:3" ht="12.75" x14ac:dyDescent="0.2">
      <c r="B108" s="46" t="s">
        <v>1774</v>
      </c>
      <c r="C108" s="46" t="s">
        <v>1774</v>
      </c>
    </row>
    <row r="109" spans="1:3" ht="12.75" x14ac:dyDescent="0.2">
      <c r="B109" s="46" t="s">
        <v>1775</v>
      </c>
      <c r="C109" s="46" t="s">
        <v>1775</v>
      </c>
    </row>
    <row r="110" spans="1:3" ht="12.75" x14ac:dyDescent="0.2">
      <c r="B110" s="46" t="s">
        <v>1778</v>
      </c>
      <c r="C110" s="46" t="s">
        <v>1778</v>
      </c>
    </row>
    <row r="111" spans="1:3" ht="12.75" x14ac:dyDescent="0.2">
      <c r="B111" s="46" t="s">
        <v>1780</v>
      </c>
      <c r="C111" s="46" t="s">
        <v>1780</v>
      </c>
    </row>
    <row r="113" spans="1:3" ht="12.75" x14ac:dyDescent="0.2">
      <c r="A113" s="42" t="s">
        <v>1783</v>
      </c>
      <c r="B113" s="44"/>
      <c r="C113" s="44"/>
    </row>
    <row r="114" spans="1:3" ht="12.75" x14ac:dyDescent="0.2">
      <c r="B114" s="46" t="s">
        <v>1785</v>
      </c>
      <c r="C114" s="46" t="s">
        <v>1786</v>
      </c>
    </row>
    <row r="115" spans="1:3" ht="12.75" x14ac:dyDescent="0.2">
      <c r="B115" s="46" t="s">
        <v>1788</v>
      </c>
      <c r="C115" s="46" t="s">
        <v>1790</v>
      </c>
    </row>
    <row r="116" spans="1:3" ht="12.75" x14ac:dyDescent="0.2">
      <c r="B116" s="46" t="s">
        <v>1792</v>
      </c>
      <c r="C116" s="46" t="s">
        <v>1793</v>
      </c>
    </row>
    <row r="117" spans="1:3" ht="12.75" x14ac:dyDescent="0.2">
      <c r="B117" s="46" t="s">
        <v>1794</v>
      </c>
      <c r="C117" s="46" t="s">
        <v>1795</v>
      </c>
    </row>
    <row r="119" spans="1:3" ht="12.75" x14ac:dyDescent="0.2">
      <c r="A119" s="42" t="s">
        <v>1796</v>
      </c>
      <c r="B119" s="44"/>
      <c r="C119" s="44"/>
    </row>
    <row r="120" spans="1:3" ht="12.75" x14ac:dyDescent="0.2">
      <c r="B120" s="46" t="s">
        <v>1797</v>
      </c>
      <c r="C120" s="46" t="s">
        <v>1798</v>
      </c>
    </row>
    <row r="121" spans="1:3" ht="12.75" x14ac:dyDescent="0.2">
      <c r="B121" s="46" t="s">
        <v>1799</v>
      </c>
      <c r="C121" s="46" t="s">
        <v>1800</v>
      </c>
    </row>
    <row r="122" spans="1:3" ht="12.75" x14ac:dyDescent="0.2">
      <c r="B122" s="46" t="s">
        <v>1801</v>
      </c>
      <c r="C122" s="46" t="s">
        <v>1802</v>
      </c>
    </row>
    <row r="123" spans="1:3" ht="12.75" x14ac:dyDescent="0.2">
      <c r="B123" s="46" t="s">
        <v>1803</v>
      </c>
      <c r="C123" s="46" t="s">
        <v>1804</v>
      </c>
    </row>
    <row r="124" spans="1:3" ht="12.75" x14ac:dyDescent="0.2">
      <c r="B124" s="46" t="s">
        <v>1805</v>
      </c>
      <c r="C124" s="46" t="s">
        <v>1807</v>
      </c>
    </row>
    <row r="125" spans="1:3" ht="12.75" x14ac:dyDescent="0.2">
      <c r="B125" s="46" t="s">
        <v>1808</v>
      </c>
      <c r="C125" s="46" t="s">
        <v>1810</v>
      </c>
    </row>
    <row r="126" spans="1:3" ht="12.75" x14ac:dyDescent="0.2">
      <c r="B126" s="46" t="s">
        <v>1811</v>
      </c>
      <c r="C126" s="46" t="s">
        <v>1813</v>
      </c>
    </row>
    <row r="127" spans="1:3" ht="12.75" x14ac:dyDescent="0.2">
      <c r="B127" s="46" t="s">
        <v>1815</v>
      </c>
      <c r="C127" s="46" t="s">
        <v>1817</v>
      </c>
    </row>
    <row r="128" spans="1:3" ht="12.75" x14ac:dyDescent="0.2">
      <c r="B128" s="46" t="s">
        <v>1818</v>
      </c>
      <c r="C128" s="46" t="s">
        <v>1820</v>
      </c>
    </row>
    <row r="129" spans="2:3" ht="12.75" x14ac:dyDescent="0.2">
      <c r="B129" s="46" t="s">
        <v>1823</v>
      </c>
      <c r="C129" s="46" t="s">
        <v>1825</v>
      </c>
    </row>
    <row r="130" spans="2:3" ht="12.75" x14ac:dyDescent="0.2">
      <c r="B130" s="46" t="s">
        <v>1827</v>
      </c>
      <c r="C130" s="46" t="s">
        <v>1829</v>
      </c>
    </row>
    <row r="131" spans="2:3" ht="12.75" x14ac:dyDescent="0.2">
      <c r="B131" s="46" t="s">
        <v>1830</v>
      </c>
      <c r="C131" s="46" t="s">
        <v>1831</v>
      </c>
    </row>
    <row r="132" spans="2:3" ht="12.75" x14ac:dyDescent="0.2">
      <c r="B132" s="46" t="s">
        <v>1833</v>
      </c>
      <c r="C132" s="46" t="s">
        <v>1835</v>
      </c>
    </row>
    <row r="133" spans="2:3" ht="12.75" x14ac:dyDescent="0.2">
      <c r="B133" s="46" t="s">
        <v>1837</v>
      </c>
      <c r="C133" s="46" t="s">
        <v>1839</v>
      </c>
    </row>
    <row r="134" spans="2:3" ht="12.75" x14ac:dyDescent="0.2">
      <c r="B134" s="46" t="s">
        <v>1841</v>
      </c>
      <c r="C134" s="46" t="s">
        <v>1843</v>
      </c>
    </row>
    <row r="135" spans="2:3" ht="12.75" x14ac:dyDescent="0.2">
      <c r="B135" s="46" t="s">
        <v>1845</v>
      </c>
      <c r="C135" s="46" t="s">
        <v>1847</v>
      </c>
    </row>
    <row r="136" spans="2:3" ht="12.75" x14ac:dyDescent="0.2">
      <c r="B136" s="46" t="s">
        <v>1849</v>
      </c>
      <c r="C136" s="46" t="s">
        <v>1850</v>
      </c>
    </row>
    <row r="137" spans="2:3" ht="12.75" x14ac:dyDescent="0.2">
      <c r="B137" s="46" t="s">
        <v>1852</v>
      </c>
      <c r="C137" s="46" t="s">
        <v>1854</v>
      </c>
    </row>
    <row r="138" spans="2:3" ht="12.75" x14ac:dyDescent="0.2">
      <c r="B138" s="46" t="s">
        <v>1855</v>
      </c>
      <c r="C138" s="46" t="s">
        <v>1857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J3166"/>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39" customWidth="1"/>
    <col min="2" max="2" width="12.85546875" customWidth="1"/>
    <col min="3" max="3" width="34.42578125" customWidth="1"/>
    <col min="4" max="4" width="17.7109375" customWidth="1"/>
    <col min="5" max="5" width="24.5703125" customWidth="1"/>
    <col min="6" max="6" width="33.140625" customWidth="1"/>
    <col min="7" max="7" width="12.85546875" customWidth="1"/>
    <col min="8" max="8" width="24.140625" customWidth="1"/>
    <col min="9" max="9" width="18.7109375" customWidth="1"/>
    <col min="10" max="10" width="23.28515625" customWidth="1"/>
  </cols>
  <sheetData>
    <row r="1" spans="1:10" ht="15.75" customHeight="1" x14ac:dyDescent="0.2">
      <c r="A1" s="91" t="s">
        <v>2107</v>
      </c>
      <c r="B1" s="90"/>
      <c r="C1" s="90"/>
      <c r="D1" s="90"/>
      <c r="E1" s="90"/>
      <c r="F1" s="89" t="s">
        <v>2121</v>
      </c>
      <c r="G1" s="90"/>
      <c r="H1" s="90"/>
      <c r="I1" s="90"/>
      <c r="J1" s="90"/>
    </row>
    <row r="2" spans="1:10" ht="15.75" customHeight="1" x14ac:dyDescent="0.2">
      <c r="A2" s="41" t="s">
        <v>33</v>
      </c>
      <c r="B2" s="40"/>
      <c r="C2" s="40"/>
      <c r="D2" s="40"/>
      <c r="E2" s="40"/>
      <c r="F2" s="49" t="str">
        <f t="shared" ref="F2:J2" ca="1" si="0">IFERROR(__xludf.DUMMYFUNCTION("if (A2 &lt;&gt; """", GOOGLETRANSLATE(A2, ""auto"", ""en""), """")"),"Event-Welcome-Back")</f>
        <v>Event-Welcome-Back</v>
      </c>
      <c r="G2" s="49" t="str">
        <f t="shared" ca="1" si="0"/>
        <v>Event-Welcome-Back</v>
      </c>
      <c r="H2" s="49" t="str">
        <f t="shared" ca="1" si="0"/>
        <v>Event-Welcome-Back</v>
      </c>
      <c r="I2" s="49" t="str">
        <f t="shared" ca="1" si="0"/>
        <v>Event-Welcome-Back</v>
      </c>
      <c r="J2" s="49" t="str">
        <f t="shared" ca="1" si="0"/>
        <v>Event-Welcome-Back</v>
      </c>
    </row>
    <row r="3" spans="1:10" ht="15.75" customHeight="1" x14ac:dyDescent="0.2">
      <c r="A3" s="40"/>
      <c r="B3" s="41" t="s">
        <v>398</v>
      </c>
      <c r="C3" s="40"/>
      <c r="D3" s="40"/>
      <c r="E3" s="40"/>
      <c r="F3" s="49" t="str">
        <f t="shared" ref="F3:J3" ca="1" si="1">IFERROR(__xludf.DUMMYFUNCTION("if (A3 &lt;&gt; """", GOOGLETRANSLATE(A3, ""auto"", ""en""), """")"),"")</f>
        <v/>
      </c>
      <c r="G3" s="49" t="str">
        <f t="shared" ca="1" si="1"/>
        <v/>
      </c>
      <c r="H3" s="49" t="str">
        <f t="shared" ca="1" si="1"/>
        <v/>
      </c>
      <c r="I3" s="49" t="str">
        <f t="shared" ca="1" si="1"/>
        <v/>
      </c>
      <c r="J3" s="49" t="str">
        <f t="shared" ca="1" si="1"/>
        <v/>
      </c>
    </row>
    <row r="4" spans="1:10" ht="15.75" customHeight="1" x14ac:dyDescent="0.2">
      <c r="A4" s="40"/>
      <c r="B4" s="41" t="s">
        <v>399</v>
      </c>
      <c r="C4" s="40"/>
      <c r="D4" s="40"/>
      <c r="E4" s="40"/>
      <c r="F4" s="49" t="str">
        <f t="shared" ref="F4:J4" ca="1" si="2">IFERROR(__xludf.DUMMYFUNCTION("if (A4 &lt;&gt; """", GOOGLETRANSLATE(A4, ""auto"", ""en""), """")"),"")</f>
        <v/>
      </c>
      <c r="G4" s="49" t="str">
        <f t="shared" ca="1" si="2"/>
        <v/>
      </c>
      <c r="H4" s="49" t="str">
        <f t="shared" ca="1" si="2"/>
        <v/>
      </c>
      <c r="I4" s="49" t="str">
        <f t="shared" ca="1" si="2"/>
        <v/>
      </c>
      <c r="J4" s="49" t="str">
        <f t="shared" ca="1" si="2"/>
        <v/>
      </c>
    </row>
    <row r="5" spans="1:10" ht="15.75" customHeight="1" x14ac:dyDescent="0.2">
      <c r="A5" s="40"/>
      <c r="B5" s="41" t="s">
        <v>400</v>
      </c>
      <c r="C5" s="40"/>
      <c r="D5" s="40"/>
      <c r="E5" s="40"/>
      <c r="F5" s="49" t="str">
        <f t="shared" ref="F5:J5" ca="1" si="3">IFERROR(__xludf.DUMMYFUNCTION("if (A5 &lt;&gt; """", GOOGLETRANSLATE(A5, ""auto"", ""en""), """")"),"")</f>
        <v/>
      </c>
      <c r="G5" s="49" t="str">
        <f t="shared" ca="1" si="3"/>
        <v/>
      </c>
      <c r="H5" s="49" t="str">
        <f t="shared" ca="1" si="3"/>
        <v/>
      </c>
      <c r="I5" s="49" t="str">
        <f t="shared" ca="1" si="3"/>
        <v/>
      </c>
      <c r="J5" s="49" t="str">
        <f t="shared" ca="1" si="3"/>
        <v/>
      </c>
    </row>
    <row r="6" spans="1:10" ht="15.75" customHeight="1" x14ac:dyDescent="0.2">
      <c r="A6" s="40"/>
      <c r="B6" s="41" t="s">
        <v>401</v>
      </c>
      <c r="C6" s="41" t="s">
        <v>33</v>
      </c>
      <c r="D6" s="40"/>
      <c r="E6" s="40"/>
      <c r="F6" s="49" t="str">
        <f t="shared" ref="F6:J6" ca="1" si="4">IFERROR(__xludf.DUMMYFUNCTION("if (A6 &lt;&gt; """", GOOGLETRANSLATE(A6, ""auto"", ""en""), """")"),"")</f>
        <v/>
      </c>
      <c r="G6" s="49" t="str">
        <f t="shared" ca="1" si="4"/>
        <v/>
      </c>
      <c r="H6" s="49" t="str">
        <f t="shared" ca="1" si="4"/>
        <v/>
      </c>
      <c r="I6" s="49" t="str">
        <f t="shared" ca="1" si="4"/>
        <v/>
      </c>
      <c r="J6" s="49" t="str">
        <f t="shared" ca="1" si="4"/>
        <v/>
      </c>
    </row>
    <row r="7" spans="1:10" ht="15.75" customHeight="1" x14ac:dyDescent="0.2">
      <c r="A7" s="40"/>
      <c r="B7" s="41" t="s">
        <v>402</v>
      </c>
      <c r="C7" s="41" t="s">
        <v>35</v>
      </c>
      <c r="D7" s="40"/>
      <c r="E7" s="40"/>
      <c r="F7" s="49" t="str">
        <f t="shared" ref="F7:J7" ca="1" si="5">IFERROR(__xludf.DUMMYFUNCTION("if (A7 &lt;&gt; """", GOOGLETRANSLATE(A7, ""auto"", ""en""), """")"),"")</f>
        <v/>
      </c>
      <c r="G7" s="49" t="str">
        <f t="shared" ca="1" si="5"/>
        <v/>
      </c>
      <c r="H7" s="49" t="str">
        <f t="shared" ca="1" si="5"/>
        <v/>
      </c>
      <c r="I7" s="49" t="str">
        <f t="shared" ca="1" si="5"/>
        <v/>
      </c>
      <c r="J7" s="49" t="str">
        <f t="shared" ca="1" si="5"/>
        <v/>
      </c>
    </row>
    <row r="8" spans="1:10" ht="15.75" customHeight="1" x14ac:dyDescent="0.2">
      <c r="A8" s="40"/>
      <c r="B8" s="41" t="s">
        <v>402</v>
      </c>
      <c r="C8" s="41" t="s">
        <v>22</v>
      </c>
      <c r="D8" s="40"/>
      <c r="E8" s="40"/>
      <c r="F8" s="49" t="str">
        <f t="shared" ref="F8:J8" ca="1" si="6">IFERROR(__xludf.DUMMYFUNCTION("if (A8 &lt;&gt; """", GOOGLETRANSLATE(A8, ""auto"", ""en""), """")"),"")</f>
        <v/>
      </c>
      <c r="G8" s="49" t="str">
        <f t="shared" ca="1" si="6"/>
        <v/>
      </c>
      <c r="H8" s="49" t="str">
        <f t="shared" ca="1" si="6"/>
        <v/>
      </c>
      <c r="I8" s="49" t="str">
        <f t="shared" ca="1" si="6"/>
        <v/>
      </c>
      <c r="J8" s="49" t="str">
        <f t="shared" ca="1" si="6"/>
        <v/>
      </c>
    </row>
    <row r="9" spans="1:10" ht="15.75" customHeight="1" x14ac:dyDescent="0.2">
      <c r="A9" s="40"/>
      <c r="B9" s="41" t="s">
        <v>403</v>
      </c>
      <c r="C9" s="41" t="s">
        <v>25</v>
      </c>
      <c r="D9" s="41" t="s">
        <v>27</v>
      </c>
      <c r="E9" s="40"/>
      <c r="F9" s="49" t="str">
        <f t="shared" ref="F9:J9" ca="1" si="7">IFERROR(__xludf.DUMMYFUNCTION("if (A9 &lt;&gt; """", GOOGLETRANSLATE(A9, ""auto"", ""en""), """")"),"")</f>
        <v/>
      </c>
      <c r="G9" s="49" t="str">
        <f t="shared" ca="1" si="7"/>
        <v/>
      </c>
      <c r="H9" s="49" t="str">
        <f t="shared" ca="1" si="7"/>
        <v/>
      </c>
      <c r="I9" s="49" t="str">
        <f t="shared" ca="1" si="7"/>
        <v/>
      </c>
      <c r="J9" s="49" t="str">
        <f t="shared" ca="1" si="7"/>
        <v/>
      </c>
    </row>
    <row r="10" spans="1:10" ht="15.75" customHeight="1" x14ac:dyDescent="0.2">
      <c r="A10" s="40"/>
      <c r="B10" s="41" t="s">
        <v>403</v>
      </c>
      <c r="C10" s="41" t="s">
        <v>30</v>
      </c>
      <c r="D10" s="41" t="s">
        <v>31</v>
      </c>
      <c r="E10" s="40"/>
      <c r="F10" s="49" t="str">
        <f t="shared" ref="F10:J10" ca="1" si="8">IFERROR(__xludf.DUMMYFUNCTION("if (A10 &lt;&gt; """", GOOGLETRANSLATE(A10, ""auto"", ""en""), """")"),"")</f>
        <v/>
      </c>
      <c r="G10" s="49" t="str">
        <f t="shared" ca="1" si="8"/>
        <v/>
      </c>
      <c r="H10" s="49" t="str">
        <f t="shared" ca="1" si="8"/>
        <v/>
      </c>
      <c r="I10" s="49" t="str">
        <f t="shared" ca="1" si="8"/>
        <v/>
      </c>
      <c r="J10" s="49" t="str">
        <f t="shared" ca="1" si="8"/>
        <v/>
      </c>
    </row>
    <row r="11" spans="1:10" ht="15.75" customHeight="1" x14ac:dyDescent="0.2">
      <c r="A11" s="40"/>
      <c r="B11" s="41" t="s">
        <v>403</v>
      </c>
      <c r="C11" s="41" t="s">
        <v>41</v>
      </c>
      <c r="D11" s="41" t="s">
        <v>10</v>
      </c>
      <c r="E11" s="40"/>
      <c r="F11" s="49" t="str">
        <f t="shared" ref="F11:J11" ca="1" si="9">IFERROR(__xludf.DUMMYFUNCTION("if (A11 &lt;&gt; """", GOOGLETRANSLATE(A11, ""auto"", ""en""), """")"),"")</f>
        <v/>
      </c>
      <c r="G11" s="49" t="str">
        <f t="shared" ca="1" si="9"/>
        <v/>
      </c>
      <c r="H11" s="49" t="str">
        <f t="shared" ca="1" si="9"/>
        <v/>
      </c>
      <c r="I11" s="49" t="str">
        <f t="shared" ca="1" si="9"/>
        <v/>
      </c>
      <c r="J11" s="49" t="str">
        <f t="shared" ca="1" si="9"/>
        <v/>
      </c>
    </row>
    <row r="12" spans="1:10" ht="15.75" customHeight="1" x14ac:dyDescent="0.2">
      <c r="A12" s="40"/>
      <c r="B12" s="40"/>
      <c r="C12" s="40"/>
      <c r="D12" s="40"/>
      <c r="E12" s="40"/>
      <c r="F12" s="49" t="str">
        <f t="shared" ref="F12:J12" ca="1" si="10">IFERROR(__xludf.DUMMYFUNCTION("if (A12 &lt;&gt; """", GOOGLETRANSLATE(A12, ""auto"", ""en""), """")"),"")</f>
        <v/>
      </c>
      <c r="G12" s="49" t="str">
        <f t="shared" ca="1" si="10"/>
        <v/>
      </c>
      <c r="H12" s="49" t="str">
        <f t="shared" ca="1" si="10"/>
        <v/>
      </c>
      <c r="I12" s="49" t="str">
        <f t="shared" ca="1" si="10"/>
        <v/>
      </c>
      <c r="J12" s="49" t="str">
        <f t="shared" ca="1" si="10"/>
        <v/>
      </c>
    </row>
    <row r="13" spans="1:10" ht="15.75" customHeight="1" x14ac:dyDescent="0.2">
      <c r="A13" s="41" t="s">
        <v>9</v>
      </c>
      <c r="B13" s="40"/>
      <c r="C13" s="40"/>
      <c r="D13" s="40"/>
      <c r="E13" s="40"/>
      <c r="F13" s="49" t="str">
        <f t="shared" ref="F13:J13" ca="1" si="11">IFERROR(__xludf.DUMMYFUNCTION("if (A13 &lt;&gt; """", GOOGLETRANSLATE(A13, ""auto"", ""en""), """")"),"Event-Welcome")</f>
        <v>Event-Welcome</v>
      </c>
      <c r="G13" s="49" t="str">
        <f t="shared" ca="1" si="11"/>
        <v>Event-Welcome</v>
      </c>
      <c r="H13" s="49" t="str">
        <f t="shared" ca="1" si="11"/>
        <v>Event-Welcome</v>
      </c>
      <c r="I13" s="49" t="str">
        <f t="shared" ca="1" si="11"/>
        <v>Event-Welcome</v>
      </c>
      <c r="J13" s="49" t="str">
        <f t="shared" ca="1" si="11"/>
        <v>Event-Welcome</v>
      </c>
    </row>
    <row r="14" spans="1:10" ht="15.75" customHeight="1" x14ac:dyDescent="0.2">
      <c r="A14" s="40"/>
      <c r="B14" s="41" t="s">
        <v>398</v>
      </c>
      <c r="C14" s="40"/>
      <c r="D14" s="40"/>
      <c r="E14" s="40"/>
      <c r="F14" s="49" t="str">
        <f t="shared" ref="F14:J14" ca="1" si="12">IFERROR(__xludf.DUMMYFUNCTION("if (A14 &lt;&gt; """", GOOGLETRANSLATE(A14, ""auto"", ""en""), """")"),"")</f>
        <v/>
      </c>
      <c r="G14" s="49" t="str">
        <f t="shared" ca="1" si="12"/>
        <v/>
      </c>
      <c r="H14" s="49" t="str">
        <f t="shared" ca="1" si="12"/>
        <v/>
      </c>
      <c r="I14" s="49" t="str">
        <f t="shared" ca="1" si="12"/>
        <v/>
      </c>
      <c r="J14" s="49" t="str">
        <f t="shared" ca="1" si="12"/>
        <v/>
      </c>
    </row>
    <row r="15" spans="1:10" ht="15.75" customHeight="1" x14ac:dyDescent="0.2">
      <c r="A15" s="40"/>
      <c r="B15" s="41" t="s">
        <v>399</v>
      </c>
      <c r="C15" s="40"/>
      <c r="D15" s="40"/>
      <c r="E15" s="40"/>
      <c r="F15" s="49" t="str">
        <f t="shared" ref="F15:J15" ca="1" si="13">IFERROR(__xludf.DUMMYFUNCTION("if (A15 &lt;&gt; """", GOOGLETRANSLATE(A15, ""auto"", ""en""), """")"),"")</f>
        <v/>
      </c>
      <c r="G15" s="49" t="str">
        <f t="shared" ca="1" si="13"/>
        <v/>
      </c>
      <c r="H15" s="49" t="str">
        <f t="shared" ca="1" si="13"/>
        <v/>
      </c>
      <c r="I15" s="49" t="str">
        <f t="shared" ca="1" si="13"/>
        <v/>
      </c>
      <c r="J15" s="49" t="str">
        <f t="shared" ca="1" si="13"/>
        <v/>
      </c>
    </row>
    <row r="16" spans="1:10" ht="15.75" customHeight="1" x14ac:dyDescent="0.2">
      <c r="A16" s="40"/>
      <c r="B16" s="41" t="s">
        <v>400</v>
      </c>
      <c r="C16" s="40"/>
      <c r="D16" s="40"/>
      <c r="E16" s="40"/>
      <c r="F16" s="49" t="str">
        <f t="shared" ref="F16:J16" ca="1" si="14">IFERROR(__xludf.DUMMYFUNCTION("if (A16 &lt;&gt; """", GOOGLETRANSLATE(A16, ""auto"", ""en""), """")"),"")</f>
        <v/>
      </c>
      <c r="G16" s="49" t="str">
        <f t="shared" ca="1" si="14"/>
        <v/>
      </c>
      <c r="H16" s="49" t="str">
        <f t="shared" ca="1" si="14"/>
        <v/>
      </c>
      <c r="I16" s="49" t="str">
        <f t="shared" ca="1" si="14"/>
        <v/>
      </c>
      <c r="J16" s="49" t="str">
        <f t="shared" ca="1" si="14"/>
        <v/>
      </c>
    </row>
    <row r="17" spans="1:10" ht="15.75" customHeight="1" x14ac:dyDescent="0.2">
      <c r="A17" s="40"/>
      <c r="B17" s="41" t="s">
        <v>401</v>
      </c>
      <c r="C17" s="41" t="s">
        <v>9</v>
      </c>
      <c r="D17" s="40"/>
      <c r="E17" s="40"/>
      <c r="F17" s="49" t="str">
        <f t="shared" ref="F17:J17" ca="1" si="15">IFERROR(__xludf.DUMMYFUNCTION("if (A17 &lt;&gt; """", GOOGLETRANSLATE(A17, ""auto"", ""en""), """")"),"")</f>
        <v/>
      </c>
      <c r="G17" s="49" t="str">
        <f t="shared" ca="1" si="15"/>
        <v/>
      </c>
      <c r="H17" s="49" t="str">
        <f t="shared" ca="1" si="15"/>
        <v/>
      </c>
      <c r="I17" s="49" t="str">
        <f t="shared" ca="1" si="15"/>
        <v/>
      </c>
      <c r="J17" s="49" t="str">
        <f t="shared" ca="1" si="15"/>
        <v/>
      </c>
    </row>
    <row r="18" spans="1:10" ht="15.75" customHeight="1" x14ac:dyDescent="0.2">
      <c r="A18" s="40"/>
      <c r="B18" s="41" t="s">
        <v>402</v>
      </c>
      <c r="C18" s="41" t="s">
        <v>15</v>
      </c>
      <c r="D18" s="40"/>
      <c r="E18" s="40"/>
      <c r="F18" s="49" t="str">
        <f t="shared" ref="F18:J18" ca="1" si="16">IFERROR(__xludf.DUMMYFUNCTION("if (A18 &lt;&gt; """", GOOGLETRANSLATE(A18, ""auto"", ""en""), """")"),"")</f>
        <v/>
      </c>
      <c r="G18" s="49" t="str">
        <f t="shared" ca="1" si="16"/>
        <v/>
      </c>
      <c r="H18" s="49" t="str">
        <f t="shared" ca="1" si="16"/>
        <v/>
      </c>
      <c r="I18" s="49" t="str">
        <f t="shared" ca="1" si="16"/>
        <v/>
      </c>
      <c r="J18" s="49" t="str">
        <f t="shared" ca="1" si="16"/>
        <v/>
      </c>
    </row>
    <row r="19" spans="1:10" ht="15.75" customHeight="1" x14ac:dyDescent="0.2">
      <c r="A19" s="40"/>
      <c r="B19" s="41" t="s">
        <v>402</v>
      </c>
      <c r="C19" s="41" t="s">
        <v>18</v>
      </c>
      <c r="D19" s="40"/>
      <c r="E19" s="40"/>
      <c r="F19" s="49" t="str">
        <f t="shared" ref="F19:J19" ca="1" si="17">IFERROR(__xludf.DUMMYFUNCTION("if (A19 &lt;&gt; """", GOOGLETRANSLATE(A19, ""auto"", ""en""), """")"),"")</f>
        <v/>
      </c>
      <c r="G19" s="49" t="str">
        <f t="shared" ca="1" si="17"/>
        <v/>
      </c>
      <c r="H19" s="49" t="str">
        <f t="shared" ca="1" si="17"/>
        <v/>
      </c>
      <c r="I19" s="49" t="str">
        <f t="shared" ca="1" si="17"/>
        <v/>
      </c>
      <c r="J19" s="49" t="str">
        <f t="shared" ca="1" si="17"/>
        <v/>
      </c>
    </row>
    <row r="20" spans="1:10" ht="15.75" customHeight="1" x14ac:dyDescent="0.2">
      <c r="A20" s="40"/>
      <c r="B20" s="41" t="s">
        <v>402</v>
      </c>
      <c r="C20" s="41" t="s">
        <v>20</v>
      </c>
      <c r="D20" s="40"/>
      <c r="E20" s="40"/>
      <c r="F20" s="49" t="str">
        <f t="shared" ref="F20:J20" ca="1" si="18">IFERROR(__xludf.DUMMYFUNCTION("if (A20 &lt;&gt; """", GOOGLETRANSLATE(A20, ""auto"", ""en""), """")"),"")</f>
        <v/>
      </c>
      <c r="G20" s="49" t="str">
        <f t="shared" ca="1" si="18"/>
        <v/>
      </c>
      <c r="H20" s="49" t="str">
        <f t="shared" ca="1" si="18"/>
        <v/>
      </c>
      <c r="I20" s="49" t="str">
        <f t="shared" ca="1" si="18"/>
        <v/>
      </c>
      <c r="J20" s="49" t="str">
        <f t="shared" ca="1" si="18"/>
        <v/>
      </c>
    </row>
    <row r="21" spans="1:10" ht="15.75" customHeight="1" x14ac:dyDescent="0.2">
      <c r="A21" s="40"/>
      <c r="B21" s="41" t="s">
        <v>402</v>
      </c>
      <c r="C21" s="41" t="s">
        <v>22</v>
      </c>
      <c r="D21" s="40"/>
      <c r="E21" s="40"/>
      <c r="F21" s="49" t="str">
        <f t="shared" ref="F21:J21" ca="1" si="19">IFERROR(__xludf.DUMMYFUNCTION("if (A21 &lt;&gt; """", GOOGLETRANSLATE(A21, ""auto"", ""en""), """")"),"")</f>
        <v/>
      </c>
      <c r="G21" s="49" t="str">
        <f t="shared" ca="1" si="19"/>
        <v/>
      </c>
      <c r="H21" s="49" t="str">
        <f t="shared" ca="1" si="19"/>
        <v/>
      </c>
      <c r="I21" s="49" t="str">
        <f t="shared" ca="1" si="19"/>
        <v/>
      </c>
      <c r="J21" s="49" t="str">
        <f t="shared" ca="1" si="19"/>
        <v/>
      </c>
    </row>
    <row r="22" spans="1:10" ht="15.75" customHeight="1" x14ac:dyDescent="0.2">
      <c r="A22" s="40"/>
      <c r="B22" s="41" t="s">
        <v>403</v>
      </c>
      <c r="C22" s="41" t="s">
        <v>25</v>
      </c>
      <c r="D22" s="41" t="s">
        <v>27</v>
      </c>
      <c r="E22" s="40"/>
      <c r="F22" s="49" t="str">
        <f t="shared" ref="F22:J22" ca="1" si="20">IFERROR(__xludf.DUMMYFUNCTION("if (A22 &lt;&gt; """", GOOGLETRANSLATE(A22, ""auto"", ""en""), """")"),"")</f>
        <v/>
      </c>
      <c r="G22" s="49" t="str">
        <f t="shared" ca="1" si="20"/>
        <v/>
      </c>
      <c r="H22" s="49" t="str">
        <f t="shared" ca="1" si="20"/>
        <v/>
      </c>
      <c r="I22" s="49" t="str">
        <f t="shared" ca="1" si="20"/>
        <v/>
      </c>
      <c r="J22" s="49" t="str">
        <f t="shared" ca="1" si="20"/>
        <v/>
      </c>
    </row>
    <row r="23" spans="1:10" ht="15.75" customHeight="1" x14ac:dyDescent="0.2">
      <c r="A23" s="40"/>
      <c r="B23" s="41" t="s">
        <v>403</v>
      </c>
      <c r="C23" s="41" t="s">
        <v>30</v>
      </c>
      <c r="D23" s="41" t="s">
        <v>31</v>
      </c>
      <c r="E23" s="40"/>
      <c r="F23" s="49" t="str">
        <f t="shared" ref="F23:J23" ca="1" si="21">IFERROR(__xludf.DUMMYFUNCTION("if (A23 &lt;&gt; """", GOOGLETRANSLATE(A23, ""auto"", ""en""), """")"),"")</f>
        <v/>
      </c>
      <c r="G23" s="49" t="str">
        <f t="shared" ca="1" si="21"/>
        <v/>
      </c>
      <c r="H23" s="49" t="str">
        <f t="shared" ca="1" si="21"/>
        <v/>
      </c>
      <c r="I23" s="49" t="str">
        <f t="shared" ca="1" si="21"/>
        <v/>
      </c>
      <c r="J23" s="49" t="str">
        <f t="shared" ca="1" si="21"/>
        <v/>
      </c>
    </row>
    <row r="24" spans="1:10" ht="15.75" customHeight="1" x14ac:dyDescent="0.2">
      <c r="A24" s="40"/>
      <c r="B24" s="41" t="s">
        <v>403</v>
      </c>
      <c r="C24" s="41" t="s">
        <v>16</v>
      </c>
      <c r="D24" s="41" t="s">
        <v>10</v>
      </c>
      <c r="E24" s="40"/>
      <c r="F24" s="49" t="str">
        <f t="shared" ref="F24:J24" ca="1" si="22">IFERROR(__xludf.DUMMYFUNCTION("if (A24 &lt;&gt; """", GOOGLETRANSLATE(A24, ""auto"", ""en""), """")"),"")</f>
        <v/>
      </c>
      <c r="G24" s="49" t="str">
        <f t="shared" ca="1" si="22"/>
        <v/>
      </c>
      <c r="H24" s="49" t="str">
        <f t="shared" ca="1" si="22"/>
        <v/>
      </c>
      <c r="I24" s="49" t="str">
        <f t="shared" ca="1" si="22"/>
        <v/>
      </c>
      <c r="J24" s="49" t="str">
        <f t="shared" ca="1" si="22"/>
        <v/>
      </c>
    </row>
    <row r="25" spans="1:10" ht="15.75" customHeight="1" x14ac:dyDescent="0.2">
      <c r="A25" s="40"/>
      <c r="B25" s="40"/>
      <c r="C25" s="40"/>
      <c r="D25" s="40"/>
      <c r="E25" s="40"/>
      <c r="F25" s="49" t="str">
        <f t="shared" ref="F25:J25" ca="1" si="23">IFERROR(__xludf.DUMMYFUNCTION("if (A25 &lt;&gt; """", GOOGLETRANSLATE(A25, ""auto"", ""en""), """")"),"")</f>
        <v/>
      </c>
      <c r="G25" s="49" t="str">
        <f t="shared" ca="1" si="23"/>
        <v/>
      </c>
      <c r="H25" s="49" t="str">
        <f t="shared" ca="1" si="23"/>
        <v/>
      </c>
      <c r="I25" s="49" t="str">
        <f t="shared" ca="1" si="23"/>
        <v/>
      </c>
      <c r="J25" s="49" t="str">
        <f t="shared" ca="1" si="23"/>
        <v/>
      </c>
    </row>
    <row r="26" spans="1:10" ht="15.75" customHeight="1" x14ac:dyDescent="0.2">
      <c r="A26" s="41" t="s">
        <v>42</v>
      </c>
      <c r="B26" s="40"/>
      <c r="C26" s="40"/>
      <c r="D26" s="40"/>
      <c r="E26" s="40"/>
      <c r="F26" s="49" t="str">
        <f t="shared" ref="F26:J26" ca="1" si="24">IFERROR(__xludf.DUMMYFUNCTION("if (A26 &lt;&gt; """", GOOGLETRANSLATE(A26, ""auto"", ""en""), """")"),"Fallback-Intent")</f>
        <v>Fallback-Intent</v>
      </c>
      <c r="G26" s="49" t="str">
        <f t="shared" ca="1" si="24"/>
        <v>Fallback-Intent</v>
      </c>
      <c r="H26" s="49" t="str">
        <f t="shared" ca="1" si="24"/>
        <v>Fallback-Intent</v>
      </c>
      <c r="I26" s="49" t="str">
        <f t="shared" ca="1" si="24"/>
        <v>Fallback-Intent</v>
      </c>
      <c r="J26" s="49" t="str">
        <f t="shared" ca="1" si="24"/>
        <v>Fallback-Intent</v>
      </c>
    </row>
    <row r="27" spans="1:10" ht="15.75" customHeight="1" x14ac:dyDescent="0.2">
      <c r="A27" s="40"/>
      <c r="B27" s="41" t="s">
        <v>398</v>
      </c>
      <c r="C27" s="40"/>
      <c r="D27" s="40"/>
      <c r="E27" s="40"/>
      <c r="F27" s="49" t="str">
        <f t="shared" ref="F27:J27" ca="1" si="25">IFERROR(__xludf.DUMMYFUNCTION("if (A27 &lt;&gt; """", GOOGLETRANSLATE(A27, ""auto"", ""en""), """")"),"")</f>
        <v/>
      </c>
      <c r="G27" s="49" t="str">
        <f t="shared" ca="1" si="25"/>
        <v/>
      </c>
      <c r="H27" s="49" t="str">
        <f t="shared" ca="1" si="25"/>
        <v/>
      </c>
      <c r="I27" s="49" t="str">
        <f t="shared" ca="1" si="25"/>
        <v/>
      </c>
      <c r="J27" s="49" t="str">
        <f t="shared" ca="1" si="25"/>
        <v/>
      </c>
    </row>
    <row r="28" spans="1:10" ht="15.75" customHeight="1" x14ac:dyDescent="0.2">
      <c r="A28" s="40"/>
      <c r="B28" s="41" t="s">
        <v>399</v>
      </c>
      <c r="C28" s="40"/>
      <c r="D28" s="40"/>
      <c r="E28" s="40"/>
      <c r="F28" s="49" t="str">
        <f t="shared" ref="F28:J28" ca="1" si="26">IFERROR(__xludf.DUMMYFUNCTION("if (A28 &lt;&gt; """", GOOGLETRANSLATE(A28, ""auto"", ""en""), """")"),"")</f>
        <v/>
      </c>
      <c r="G28" s="49" t="str">
        <f t="shared" ca="1" si="26"/>
        <v/>
      </c>
      <c r="H28" s="49" t="str">
        <f t="shared" ca="1" si="26"/>
        <v/>
      </c>
      <c r="I28" s="49" t="str">
        <f t="shared" ca="1" si="26"/>
        <v/>
      </c>
      <c r="J28" s="49" t="str">
        <f t="shared" ca="1" si="26"/>
        <v/>
      </c>
    </row>
    <row r="29" spans="1:10" ht="15.75" customHeight="1" x14ac:dyDescent="0.2">
      <c r="A29" s="40"/>
      <c r="B29" s="41" t="s">
        <v>400</v>
      </c>
      <c r="C29" s="40"/>
      <c r="D29" s="40"/>
      <c r="E29" s="40"/>
      <c r="F29" s="49" t="str">
        <f t="shared" ref="F29:J29" ca="1" si="27">IFERROR(__xludf.DUMMYFUNCTION("if (A29 &lt;&gt; """", GOOGLETRANSLATE(A29, ""auto"", ""en""), """")"),"")</f>
        <v/>
      </c>
      <c r="G29" s="49" t="str">
        <f t="shared" ca="1" si="27"/>
        <v/>
      </c>
      <c r="H29" s="49" t="str">
        <f t="shared" ca="1" si="27"/>
        <v/>
      </c>
      <c r="I29" s="49" t="str">
        <f t="shared" ca="1" si="27"/>
        <v/>
      </c>
      <c r="J29" s="49" t="str">
        <f t="shared" ca="1" si="27"/>
        <v/>
      </c>
    </row>
    <row r="30" spans="1:10" ht="15.75" customHeight="1" x14ac:dyDescent="0.2">
      <c r="A30" s="40"/>
      <c r="B30" s="41" t="s">
        <v>401</v>
      </c>
      <c r="C30" s="40"/>
      <c r="D30" s="40"/>
      <c r="E30" s="40"/>
      <c r="F30" s="49" t="str">
        <f t="shared" ref="F30:J30" ca="1" si="28">IFERROR(__xludf.DUMMYFUNCTION("if (A30 &lt;&gt; """", GOOGLETRANSLATE(A30, ""auto"", ""en""), """")"),"")</f>
        <v/>
      </c>
      <c r="G30" s="49" t="str">
        <f t="shared" ca="1" si="28"/>
        <v/>
      </c>
      <c r="H30" s="49" t="str">
        <f t="shared" ca="1" si="28"/>
        <v/>
      </c>
      <c r="I30" s="49" t="str">
        <f t="shared" ca="1" si="28"/>
        <v/>
      </c>
      <c r="J30" s="49" t="str">
        <f t="shared" ca="1" si="28"/>
        <v/>
      </c>
    </row>
    <row r="31" spans="1:10" ht="15.75" customHeight="1" x14ac:dyDescent="0.2">
      <c r="A31" s="40"/>
      <c r="B31" s="41" t="s">
        <v>402</v>
      </c>
      <c r="C31" s="41" t="s">
        <v>43</v>
      </c>
      <c r="D31" s="40"/>
      <c r="E31" s="40"/>
      <c r="F31" s="49" t="str">
        <f t="shared" ref="F31:J31" ca="1" si="29">IFERROR(__xludf.DUMMYFUNCTION("if (A31 &lt;&gt; """", GOOGLETRANSLATE(A31, ""auto"", ""en""), """")"),"")</f>
        <v/>
      </c>
      <c r="G31" s="49" t="str">
        <f t="shared" ca="1" si="29"/>
        <v/>
      </c>
      <c r="H31" s="49" t="str">
        <f t="shared" ca="1" si="29"/>
        <v/>
      </c>
      <c r="I31" s="49" t="str">
        <f t="shared" ca="1" si="29"/>
        <v/>
      </c>
      <c r="J31" s="49" t="str">
        <f t="shared" ca="1" si="29"/>
        <v/>
      </c>
    </row>
    <row r="32" spans="1:10" ht="12.75" x14ac:dyDescent="0.2">
      <c r="A32" s="40"/>
      <c r="B32" s="40"/>
      <c r="C32" s="40"/>
      <c r="D32" s="40"/>
      <c r="E32" s="40"/>
      <c r="F32" s="49" t="str">
        <f t="shared" ref="F32:J32" ca="1" si="30">IFERROR(__xludf.DUMMYFUNCTION("if (A32 &lt;&gt; """", GOOGLETRANSLATE(A32, ""auto"", ""en""), """")"),"")</f>
        <v/>
      </c>
      <c r="G32" s="49" t="str">
        <f t="shared" ca="1" si="30"/>
        <v/>
      </c>
      <c r="H32" s="49" t="str">
        <f t="shared" ca="1" si="30"/>
        <v/>
      </c>
      <c r="I32" s="49" t="str">
        <f t="shared" ca="1" si="30"/>
        <v/>
      </c>
      <c r="J32" s="49" t="str">
        <f t="shared" ca="1" si="30"/>
        <v/>
      </c>
    </row>
    <row r="33" spans="1:10" ht="25.5" x14ac:dyDescent="0.2">
      <c r="A33" s="41" t="s">
        <v>368</v>
      </c>
      <c r="B33" s="40"/>
      <c r="C33" s="40"/>
      <c r="D33" s="40"/>
      <c r="E33" s="40"/>
      <c r="F33" s="49" t="str">
        <f t="shared" ref="F33:J33" ca="1" si="31">IFERROR(__xludf.DUMMYFUNCTION("if (A33 &lt;&gt; """", GOOGLETRANSLATE(A33, ""auto"", ""en""), """")"),"FAQ-Common-x1")</f>
        <v>FAQ-Common-x1</v>
      </c>
      <c r="G33" s="49" t="str">
        <f t="shared" ca="1" si="31"/>
        <v>FAQ-Common-x1</v>
      </c>
      <c r="H33" s="49" t="str">
        <f t="shared" ca="1" si="31"/>
        <v>FAQ-Common-x1</v>
      </c>
      <c r="I33" s="49" t="str">
        <f t="shared" ca="1" si="31"/>
        <v>FAQ-Common-x1</v>
      </c>
      <c r="J33" s="49" t="str">
        <f t="shared" ca="1" si="31"/>
        <v>FAQ-Common-x1</v>
      </c>
    </row>
    <row r="34" spans="1:10" ht="12.75" x14ac:dyDescent="0.2">
      <c r="A34" s="40"/>
      <c r="B34" s="41" t="s">
        <v>398</v>
      </c>
      <c r="C34" s="40"/>
      <c r="D34" s="40"/>
      <c r="E34" s="40"/>
      <c r="F34" s="49" t="str">
        <f t="shared" ref="F34:J34" ca="1" si="32">IFERROR(__xludf.DUMMYFUNCTION("if (A34 &lt;&gt; """", GOOGLETRANSLATE(A34, ""auto"", ""en""), """")"),"")</f>
        <v/>
      </c>
      <c r="G34" s="49" t="str">
        <f t="shared" ca="1" si="32"/>
        <v/>
      </c>
      <c r="H34" s="49" t="str">
        <f t="shared" ca="1" si="32"/>
        <v/>
      </c>
      <c r="I34" s="49" t="str">
        <f t="shared" ca="1" si="32"/>
        <v/>
      </c>
      <c r="J34" s="49" t="str">
        <f t="shared" ca="1" si="32"/>
        <v/>
      </c>
    </row>
    <row r="35" spans="1:10" ht="12.75" x14ac:dyDescent="0.2">
      <c r="A35" s="40"/>
      <c r="B35" s="41" t="s">
        <v>399</v>
      </c>
      <c r="C35" s="40"/>
      <c r="D35" s="40"/>
      <c r="E35" s="40"/>
      <c r="F35" s="49" t="str">
        <f t="shared" ref="F35:J35" ca="1" si="33">IFERROR(__xludf.DUMMYFUNCTION("if (A35 &lt;&gt; """", GOOGLETRANSLATE(A35, ""auto"", ""en""), """")"),"")</f>
        <v/>
      </c>
      <c r="G35" s="49" t="str">
        <f t="shared" ca="1" si="33"/>
        <v/>
      </c>
      <c r="H35" s="49" t="str">
        <f t="shared" ca="1" si="33"/>
        <v/>
      </c>
      <c r="I35" s="49" t="str">
        <f t="shared" ca="1" si="33"/>
        <v/>
      </c>
      <c r="J35" s="49" t="str">
        <f t="shared" ca="1" si="33"/>
        <v/>
      </c>
    </row>
    <row r="36" spans="1:10" ht="12.75" x14ac:dyDescent="0.2">
      <c r="A36" s="40"/>
      <c r="B36" s="41" t="s">
        <v>400</v>
      </c>
      <c r="C36" s="40"/>
      <c r="D36" s="40"/>
      <c r="E36" s="40"/>
      <c r="F36" s="49" t="str">
        <f t="shared" ref="F36:J36" ca="1" si="34">IFERROR(__xludf.DUMMYFUNCTION("if (A36 &lt;&gt; """", GOOGLETRANSLATE(A36, ""auto"", ""en""), """")"),"")</f>
        <v/>
      </c>
      <c r="G36" s="49" t="str">
        <f t="shared" ca="1" si="34"/>
        <v/>
      </c>
      <c r="H36" s="49" t="str">
        <f t="shared" ca="1" si="34"/>
        <v/>
      </c>
      <c r="I36" s="49" t="str">
        <f t="shared" ca="1" si="34"/>
        <v/>
      </c>
      <c r="J36" s="49" t="str">
        <f t="shared" ca="1" si="34"/>
        <v/>
      </c>
    </row>
    <row r="37" spans="1:10" ht="12.75" x14ac:dyDescent="0.2">
      <c r="A37" s="40"/>
      <c r="B37" s="41" t="s">
        <v>401</v>
      </c>
      <c r="C37" s="41" t="s">
        <v>368</v>
      </c>
      <c r="D37" s="40"/>
      <c r="E37" s="40"/>
      <c r="F37" s="49" t="str">
        <f t="shared" ref="F37:J37" ca="1" si="35">IFERROR(__xludf.DUMMYFUNCTION("if (A37 &lt;&gt; """", GOOGLETRANSLATE(A37, ""auto"", ""en""), """")"),"")</f>
        <v/>
      </c>
      <c r="G37" s="49" t="str">
        <f t="shared" ca="1" si="35"/>
        <v/>
      </c>
      <c r="H37" s="49" t="str">
        <f t="shared" ca="1" si="35"/>
        <v/>
      </c>
      <c r="I37" s="49" t="str">
        <f t="shared" ca="1" si="35"/>
        <v/>
      </c>
      <c r="J37" s="49" t="str">
        <f t="shared" ca="1" si="35"/>
        <v/>
      </c>
    </row>
    <row r="38" spans="1:10" ht="51" x14ac:dyDescent="0.2">
      <c r="A38" s="41" t="s">
        <v>405</v>
      </c>
      <c r="B38" s="41" t="s">
        <v>402</v>
      </c>
      <c r="C38" s="41" t="s">
        <v>370</v>
      </c>
      <c r="D38" s="40"/>
      <c r="E38" s="40"/>
      <c r="F38" s="49" t="str">
        <f t="shared" ref="F38:J38" ca="1" si="36">IFERROR(__xludf.DUMMYFUNCTION("if (A38 &lt;&gt; """", GOOGLETRANSLATE(A38, ""auto"", ""en""), """")"),"Do you have any children Rates")</f>
        <v>Do you have any children Rates</v>
      </c>
      <c r="G38" s="49" t="str">
        <f t="shared" ca="1" si="36"/>
        <v>Do you have any children Rates</v>
      </c>
      <c r="H38" s="49" t="str">
        <f t="shared" ca="1" si="36"/>
        <v>Do you have any children Rates</v>
      </c>
      <c r="I38" s="49" t="str">
        <f t="shared" ca="1" si="36"/>
        <v>Do you have any children Rates</v>
      </c>
      <c r="J38" s="49" t="str">
        <f t="shared" ca="1" si="36"/>
        <v>Do you have any children Rates</v>
      </c>
    </row>
    <row r="39" spans="1:10" ht="25.5" x14ac:dyDescent="0.2">
      <c r="A39" s="41" t="s">
        <v>369</v>
      </c>
      <c r="B39" s="41" t="s">
        <v>402</v>
      </c>
      <c r="C39" s="41" t="s">
        <v>19</v>
      </c>
      <c r="D39" s="40"/>
      <c r="E39" s="40"/>
      <c r="F39" s="49" t="str">
        <f t="shared" ref="F39:J39" ca="1" si="37">IFERROR(__xludf.DUMMYFUNCTION("if (A39 &lt;&gt; """", GOOGLETRANSLATE(A39, ""auto"", ""en""), """")"),"Children Rates")</f>
        <v>Children Rates</v>
      </c>
      <c r="G39" s="49" t="str">
        <f t="shared" ca="1" si="37"/>
        <v>Children Rates</v>
      </c>
      <c r="H39" s="49" t="str">
        <f t="shared" ca="1" si="37"/>
        <v>Children Rates</v>
      </c>
      <c r="I39" s="49" t="str">
        <f t="shared" ca="1" si="37"/>
        <v>Children Rates</v>
      </c>
      <c r="J39" s="49" t="str">
        <f t="shared" ca="1" si="37"/>
        <v>Children Rates</v>
      </c>
    </row>
    <row r="40" spans="1:10" ht="25.5" x14ac:dyDescent="0.2">
      <c r="A40" s="40"/>
      <c r="B40" s="41" t="s">
        <v>403</v>
      </c>
      <c r="C40" s="41" t="s">
        <v>38</v>
      </c>
      <c r="D40" s="41" t="s">
        <v>26</v>
      </c>
      <c r="E40" s="40"/>
      <c r="F40" s="49" t="str">
        <f t="shared" ref="F40:J40" ca="1" si="38">IFERROR(__xludf.DUMMYFUNCTION("if (A40 &lt;&gt; """", GOOGLETRANSLATE(A40, ""auto"", ""en""), """")"),"")</f>
        <v/>
      </c>
      <c r="G40" s="49" t="str">
        <f t="shared" ca="1" si="38"/>
        <v/>
      </c>
      <c r="H40" s="49" t="str">
        <f t="shared" ca="1" si="38"/>
        <v/>
      </c>
      <c r="I40" s="49" t="str">
        <f t="shared" ca="1" si="38"/>
        <v/>
      </c>
      <c r="J40" s="49" t="str">
        <f t="shared" ca="1" si="38"/>
        <v/>
      </c>
    </row>
    <row r="41" spans="1:10" ht="12.75" x14ac:dyDescent="0.2">
      <c r="A41" s="40"/>
      <c r="B41" s="41" t="s">
        <v>403</v>
      </c>
      <c r="C41" s="41" t="s">
        <v>56</v>
      </c>
      <c r="D41" s="41" t="s">
        <v>29</v>
      </c>
      <c r="E41" s="40"/>
      <c r="F41" s="49" t="str">
        <f t="shared" ref="F41:J41" ca="1" si="39">IFERROR(__xludf.DUMMYFUNCTION("if (A41 &lt;&gt; """", GOOGLETRANSLATE(A41, ""auto"", ""en""), """")"),"")</f>
        <v/>
      </c>
      <c r="G41" s="49" t="str">
        <f t="shared" ca="1" si="39"/>
        <v/>
      </c>
      <c r="H41" s="49" t="str">
        <f t="shared" ca="1" si="39"/>
        <v/>
      </c>
      <c r="I41" s="49" t="str">
        <f t="shared" ca="1" si="39"/>
        <v/>
      </c>
      <c r="J41" s="49" t="str">
        <f t="shared" ca="1" si="39"/>
        <v/>
      </c>
    </row>
    <row r="42" spans="1:10" ht="12.75" x14ac:dyDescent="0.2">
      <c r="A42" s="40"/>
      <c r="B42" s="41" t="s">
        <v>403</v>
      </c>
      <c r="C42" s="41" t="s">
        <v>25</v>
      </c>
      <c r="D42" s="41" t="s">
        <v>27</v>
      </c>
      <c r="E42" s="40"/>
      <c r="F42" s="49" t="str">
        <f t="shared" ref="F42:J42" ca="1" si="40">IFERROR(__xludf.DUMMYFUNCTION("if (A42 &lt;&gt; """", GOOGLETRANSLATE(A42, ""auto"", ""en""), """")"),"")</f>
        <v/>
      </c>
      <c r="G42" s="49" t="str">
        <f t="shared" ca="1" si="40"/>
        <v/>
      </c>
      <c r="H42" s="49" t="str">
        <f t="shared" ca="1" si="40"/>
        <v/>
      </c>
      <c r="I42" s="49" t="str">
        <f t="shared" ca="1" si="40"/>
        <v/>
      </c>
      <c r="J42" s="49" t="str">
        <f t="shared" ca="1" si="40"/>
        <v/>
      </c>
    </row>
    <row r="43" spans="1:10" ht="12.75" x14ac:dyDescent="0.2">
      <c r="A43" s="40"/>
      <c r="B43" s="41" t="s">
        <v>403</v>
      </c>
      <c r="C43" s="41" t="s">
        <v>30</v>
      </c>
      <c r="D43" s="41" t="s">
        <v>31</v>
      </c>
      <c r="E43" s="40"/>
      <c r="F43" s="49" t="str">
        <f t="shared" ref="F43:J43" ca="1" si="41">IFERROR(__xludf.DUMMYFUNCTION("if (A43 &lt;&gt; """", GOOGLETRANSLATE(A43, ""auto"", ""en""), """")"),"")</f>
        <v/>
      </c>
      <c r="G43" s="49" t="str">
        <f t="shared" ca="1" si="41"/>
        <v/>
      </c>
      <c r="H43" s="49" t="str">
        <f t="shared" ca="1" si="41"/>
        <v/>
      </c>
      <c r="I43" s="49" t="str">
        <f t="shared" ca="1" si="41"/>
        <v/>
      </c>
      <c r="J43" s="49" t="str">
        <f t="shared" ca="1" si="41"/>
        <v/>
      </c>
    </row>
    <row r="44" spans="1:10" ht="12.75" x14ac:dyDescent="0.2">
      <c r="A44" s="40"/>
      <c r="B44" s="40"/>
      <c r="C44" s="40"/>
      <c r="D44" s="40"/>
      <c r="E44" s="40"/>
      <c r="F44" s="49" t="str">
        <f t="shared" ref="F44:J44" ca="1" si="42">IFERROR(__xludf.DUMMYFUNCTION("if (A44 &lt;&gt; """", GOOGLETRANSLATE(A44, ""auto"", ""en""), """")"),"")</f>
        <v/>
      </c>
      <c r="G44" s="49" t="str">
        <f t="shared" ca="1" si="42"/>
        <v/>
      </c>
      <c r="H44" s="49" t="str">
        <f t="shared" ca="1" si="42"/>
        <v/>
      </c>
      <c r="I44" s="49" t="str">
        <f t="shared" ca="1" si="42"/>
        <v/>
      </c>
      <c r="J44" s="49" t="str">
        <f t="shared" ca="1" si="42"/>
        <v/>
      </c>
    </row>
    <row r="45" spans="1:10" ht="25.5" x14ac:dyDescent="0.2">
      <c r="A45" s="41" t="s">
        <v>373</v>
      </c>
      <c r="B45" s="40"/>
      <c r="C45" s="40"/>
      <c r="D45" s="40"/>
      <c r="E45" s="40"/>
      <c r="F45" s="49" t="str">
        <f t="shared" ref="F45:J45" ca="1" si="43">IFERROR(__xludf.DUMMYFUNCTION("if (A45 &lt;&gt; """", GOOGLETRANSLATE(A45, ""auto"", ""en""), """")"),"FAQ-Common-x2")</f>
        <v>FAQ-Common-x2</v>
      </c>
      <c r="G45" s="49" t="str">
        <f t="shared" ca="1" si="43"/>
        <v>FAQ-Common-x2</v>
      </c>
      <c r="H45" s="49" t="str">
        <f t="shared" ca="1" si="43"/>
        <v>FAQ-Common-x2</v>
      </c>
      <c r="I45" s="49" t="str">
        <f t="shared" ca="1" si="43"/>
        <v>FAQ-Common-x2</v>
      </c>
      <c r="J45" s="49" t="str">
        <f t="shared" ca="1" si="43"/>
        <v>FAQ-Common-x2</v>
      </c>
    </row>
    <row r="46" spans="1:10" ht="12.75" x14ac:dyDescent="0.2">
      <c r="A46" s="40"/>
      <c r="B46" s="41" t="s">
        <v>398</v>
      </c>
      <c r="C46" s="40"/>
      <c r="D46" s="40"/>
      <c r="E46" s="40"/>
      <c r="F46" s="49" t="str">
        <f t="shared" ref="F46:J46" ca="1" si="44">IFERROR(__xludf.DUMMYFUNCTION("if (A46 &lt;&gt; """", GOOGLETRANSLATE(A46, ""auto"", ""en""), """")"),"")</f>
        <v/>
      </c>
      <c r="G46" s="49" t="str">
        <f t="shared" ca="1" si="44"/>
        <v/>
      </c>
      <c r="H46" s="49" t="str">
        <f t="shared" ca="1" si="44"/>
        <v/>
      </c>
      <c r="I46" s="49" t="str">
        <f t="shared" ca="1" si="44"/>
        <v/>
      </c>
      <c r="J46" s="49" t="str">
        <f t="shared" ca="1" si="44"/>
        <v/>
      </c>
    </row>
    <row r="47" spans="1:10" ht="12.75" x14ac:dyDescent="0.2">
      <c r="A47" s="40"/>
      <c r="B47" s="41" t="s">
        <v>399</v>
      </c>
      <c r="C47" s="40"/>
      <c r="D47" s="40"/>
      <c r="E47" s="40"/>
      <c r="F47" s="49" t="str">
        <f t="shared" ref="F47:J47" ca="1" si="45">IFERROR(__xludf.DUMMYFUNCTION("if (A47 &lt;&gt; """", GOOGLETRANSLATE(A47, ""auto"", ""en""), """")"),"")</f>
        <v/>
      </c>
      <c r="G47" s="49" t="str">
        <f t="shared" ca="1" si="45"/>
        <v/>
      </c>
      <c r="H47" s="49" t="str">
        <f t="shared" ca="1" si="45"/>
        <v/>
      </c>
      <c r="I47" s="49" t="str">
        <f t="shared" ca="1" si="45"/>
        <v/>
      </c>
      <c r="J47" s="49" t="str">
        <f t="shared" ca="1" si="45"/>
        <v/>
      </c>
    </row>
    <row r="48" spans="1:10" ht="12.75" x14ac:dyDescent="0.2">
      <c r="A48" s="40"/>
      <c r="B48" s="41" t="s">
        <v>400</v>
      </c>
      <c r="C48" s="40"/>
      <c r="D48" s="40"/>
      <c r="E48" s="40"/>
      <c r="F48" s="49" t="str">
        <f t="shared" ref="F48:J48" ca="1" si="46">IFERROR(__xludf.DUMMYFUNCTION("if (A48 &lt;&gt; """", GOOGLETRANSLATE(A48, ""auto"", ""en""), """")"),"")</f>
        <v/>
      </c>
      <c r="G48" s="49" t="str">
        <f t="shared" ca="1" si="46"/>
        <v/>
      </c>
      <c r="H48" s="49" t="str">
        <f t="shared" ca="1" si="46"/>
        <v/>
      </c>
      <c r="I48" s="49" t="str">
        <f t="shared" ca="1" si="46"/>
        <v/>
      </c>
      <c r="J48" s="49" t="str">
        <f t="shared" ca="1" si="46"/>
        <v/>
      </c>
    </row>
    <row r="49" spans="1:10" ht="12.75" x14ac:dyDescent="0.2">
      <c r="A49" s="40"/>
      <c r="B49" s="41" t="s">
        <v>401</v>
      </c>
      <c r="C49" s="41" t="s">
        <v>373</v>
      </c>
      <c r="D49" s="40"/>
      <c r="E49" s="40"/>
      <c r="F49" s="49" t="str">
        <f t="shared" ref="F49:J49" ca="1" si="47">IFERROR(__xludf.DUMMYFUNCTION("if (A49 &lt;&gt; """", GOOGLETRANSLATE(A49, ""auto"", ""en""), """")"),"")</f>
        <v/>
      </c>
      <c r="G49" s="49" t="str">
        <f t="shared" ca="1" si="47"/>
        <v/>
      </c>
      <c r="H49" s="49" t="str">
        <f t="shared" ca="1" si="47"/>
        <v/>
      </c>
      <c r="I49" s="49" t="str">
        <f t="shared" ca="1" si="47"/>
        <v/>
      </c>
      <c r="J49" s="49" t="str">
        <f t="shared" ca="1" si="47"/>
        <v/>
      </c>
    </row>
    <row r="50" spans="1:10" ht="76.5" x14ac:dyDescent="0.2">
      <c r="A50" s="41" t="s">
        <v>406</v>
      </c>
      <c r="B50" s="41" t="s">
        <v>402</v>
      </c>
      <c r="C50" s="41" t="s">
        <v>375</v>
      </c>
      <c r="D50" s="40"/>
      <c r="E50" s="40"/>
      <c r="F50" s="49" t="str">
        <f t="shared" ref="F50:J50" ca="1" si="48">IFERROR(__xludf.DUMMYFUNCTION("if (A50 &lt;&gt; """", GOOGLETRANSLATE(A50, ""auto"", ""en""), """")"),"People the reservation and accommodation are different")</f>
        <v>People the reservation and accommodation are different</v>
      </c>
      <c r="G50" s="49" t="str">
        <f t="shared" ca="1" si="48"/>
        <v>People the reservation and accommodation are different</v>
      </c>
      <c r="H50" s="49" t="str">
        <f t="shared" ca="1" si="48"/>
        <v>People the reservation and accommodation are different</v>
      </c>
      <c r="I50" s="49" t="str">
        <f t="shared" ca="1" si="48"/>
        <v>People the reservation and accommodation are different</v>
      </c>
      <c r="J50" s="49" t="str">
        <f t="shared" ca="1" si="48"/>
        <v>People the reservation and accommodation are different</v>
      </c>
    </row>
    <row r="51" spans="1:10" ht="51" x14ac:dyDescent="0.2">
      <c r="A51" s="41" t="s">
        <v>407</v>
      </c>
      <c r="B51" s="41" t="s">
        <v>402</v>
      </c>
      <c r="C51" s="41" t="s">
        <v>19</v>
      </c>
      <c r="D51" s="40"/>
      <c r="E51" s="40"/>
      <c r="F51" s="49" t="str">
        <f t="shared" ref="F51:J51" ca="1" si="49">IFERROR(__xludf.DUMMYFUNCTION("if (A51 &lt;&gt; """", GOOGLETRANSLATE(A51, ""auto"", ""en""), """")"),"Unlike human accommodation to human reserves")</f>
        <v>Unlike human accommodation to human reserves</v>
      </c>
      <c r="G51" s="49" t="str">
        <f t="shared" ca="1" si="49"/>
        <v>Unlike human accommodation to human reserves</v>
      </c>
      <c r="H51" s="49" t="str">
        <f t="shared" ca="1" si="49"/>
        <v>Unlike human accommodation to human reserves</v>
      </c>
      <c r="I51" s="49" t="str">
        <f t="shared" ca="1" si="49"/>
        <v>Unlike human accommodation to human reserves</v>
      </c>
      <c r="J51" s="49" t="str">
        <f t="shared" ca="1" si="49"/>
        <v>Unlike human accommodation to human reserves</v>
      </c>
    </row>
    <row r="52" spans="1:10" ht="63.75" x14ac:dyDescent="0.2">
      <c r="A52" s="41" t="s">
        <v>408</v>
      </c>
      <c r="B52" s="40"/>
      <c r="C52" s="40"/>
      <c r="D52" s="40"/>
      <c r="E52" s="40"/>
      <c r="F52" s="49" t="str">
        <f t="shared" ref="F52:J52" ca="1" si="50">IFERROR(__xludf.DUMMYFUNCTION("if (A52 &lt;&gt; """", GOOGLETRANSLATE(A52, ""auto"", ""en""), """")"),"If the person to stay with people who have booked is different")</f>
        <v>If the person to stay with people who have booked is different</v>
      </c>
      <c r="G52" s="49" t="str">
        <f t="shared" ca="1" si="50"/>
        <v>If the person to stay with people who have booked is different</v>
      </c>
      <c r="H52" s="49" t="str">
        <f t="shared" ca="1" si="50"/>
        <v>If the person to stay with people who have booked is different</v>
      </c>
      <c r="I52" s="49" t="str">
        <f t="shared" ca="1" si="50"/>
        <v>If the person to stay with people who have booked is different</v>
      </c>
      <c r="J52" s="49" t="str">
        <f t="shared" ca="1" si="50"/>
        <v>If the person to stay with people who have booked is different</v>
      </c>
    </row>
    <row r="53" spans="1:10" ht="76.5" x14ac:dyDescent="0.2">
      <c r="A53" s="41" t="s">
        <v>374</v>
      </c>
      <c r="B53" s="40"/>
      <c r="C53" s="40"/>
      <c r="D53" s="40"/>
      <c r="E53" s="40"/>
      <c r="F53" s="49" t="str">
        <f t="shared" ref="F53:J53" ca="1" si="51">IFERROR(__xludf.DUMMYFUNCTION("if (A53 &lt;&gt; """", GOOGLETRANSLATE(A53, ""auto"", ""en""), """")"),"It is different from the reservation person and the hotel guest")</f>
        <v>It is different from the reservation person and the hotel guest</v>
      </c>
      <c r="G53" s="49" t="str">
        <f t="shared" ca="1" si="51"/>
        <v>It is different from the reservation person and the hotel guest</v>
      </c>
      <c r="H53" s="49" t="str">
        <f t="shared" ca="1" si="51"/>
        <v>It is different from the reservation person and the hotel guest</v>
      </c>
      <c r="I53" s="49" t="str">
        <f t="shared" ca="1" si="51"/>
        <v>It is different from the reservation person and the hotel guest</v>
      </c>
      <c r="J53" s="49" t="str">
        <f t="shared" ca="1" si="51"/>
        <v>It is different from the reservation person and the hotel guest</v>
      </c>
    </row>
    <row r="54" spans="1:10" ht="25.5" x14ac:dyDescent="0.2">
      <c r="A54" s="40"/>
      <c r="B54" s="41" t="s">
        <v>403</v>
      </c>
      <c r="C54" s="41" t="s">
        <v>38</v>
      </c>
      <c r="D54" s="41" t="s">
        <v>26</v>
      </c>
      <c r="E54" s="40"/>
      <c r="F54" s="49" t="str">
        <f t="shared" ref="F54:J54" ca="1" si="52">IFERROR(__xludf.DUMMYFUNCTION("if (A54 &lt;&gt; """", GOOGLETRANSLATE(A54, ""auto"", ""en""), """")"),"")</f>
        <v/>
      </c>
      <c r="G54" s="49" t="str">
        <f t="shared" ca="1" si="52"/>
        <v/>
      </c>
      <c r="H54" s="49" t="str">
        <f t="shared" ca="1" si="52"/>
        <v/>
      </c>
      <c r="I54" s="49" t="str">
        <f t="shared" ca="1" si="52"/>
        <v/>
      </c>
      <c r="J54" s="49" t="str">
        <f t="shared" ca="1" si="52"/>
        <v/>
      </c>
    </row>
    <row r="55" spans="1:10" ht="12.75" x14ac:dyDescent="0.2">
      <c r="A55" s="40"/>
      <c r="B55" s="41" t="s">
        <v>403</v>
      </c>
      <c r="C55" s="41" t="s">
        <v>56</v>
      </c>
      <c r="D55" s="41" t="s">
        <v>29</v>
      </c>
      <c r="E55" s="40"/>
      <c r="F55" s="49" t="str">
        <f t="shared" ref="F55:J55" ca="1" si="53">IFERROR(__xludf.DUMMYFUNCTION("if (A55 &lt;&gt; """", GOOGLETRANSLATE(A55, ""auto"", ""en""), """")"),"")</f>
        <v/>
      </c>
      <c r="G55" s="49" t="str">
        <f t="shared" ca="1" si="53"/>
        <v/>
      </c>
      <c r="H55" s="49" t="str">
        <f t="shared" ca="1" si="53"/>
        <v/>
      </c>
      <c r="I55" s="49" t="str">
        <f t="shared" ca="1" si="53"/>
        <v/>
      </c>
      <c r="J55" s="49" t="str">
        <f t="shared" ca="1" si="53"/>
        <v/>
      </c>
    </row>
    <row r="56" spans="1:10" ht="12.75" x14ac:dyDescent="0.2">
      <c r="A56" s="40"/>
      <c r="B56" s="41" t="s">
        <v>403</v>
      </c>
      <c r="C56" s="41" t="s">
        <v>25</v>
      </c>
      <c r="D56" s="41" t="s">
        <v>27</v>
      </c>
      <c r="E56" s="40"/>
      <c r="F56" s="49" t="str">
        <f t="shared" ref="F56:J56" ca="1" si="54">IFERROR(__xludf.DUMMYFUNCTION("if (A56 &lt;&gt; """", GOOGLETRANSLATE(A56, ""auto"", ""en""), """")"),"")</f>
        <v/>
      </c>
      <c r="G56" s="49" t="str">
        <f t="shared" ca="1" si="54"/>
        <v/>
      </c>
      <c r="H56" s="49" t="str">
        <f t="shared" ca="1" si="54"/>
        <v/>
      </c>
      <c r="I56" s="49" t="str">
        <f t="shared" ca="1" si="54"/>
        <v/>
      </c>
      <c r="J56" s="49" t="str">
        <f t="shared" ca="1" si="54"/>
        <v/>
      </c>
    </row>
    <row r="57" spans="1:10" ht="12.75" x14ac:dyDescent="0.2">
      <c r="A57" s="40"/>
      <c r="B57" s="41" t="s">
        <v>403</v>
      </c>
      <c r="C57" s="41" t="s">
        <v>30</v>
      </c>
      <c r="D57" s="41" t="s">
        <v>31</v>
      </c>
      <c r="E57" s="40"/>
      <c r="F57" s="49" t="str">
        <f t="shared" ref="F57:J57" ca="1" si="55">IFERROR(__xludf.DUMMYFUNCTION("if (A57 &lt;&gt; """", GOOGLETRANSLATE(A57, ""auto"", ""en""), """")"),"")</f>
        <v/>
      </c>
      <c r="G57" s="49" t="str">
        <f t="shared" ca="1" si="55"/>
        <v/>
      </c>
      <c r="H57" s="49" t="str">
        <f t="shared" ca="1" si="55"/>
        <v/>
      </c>
      <c r="I57" s="49" t="str">
        <f t="shared" ca="1" si="55"/>
        <v/>
      </c>
      <c r="J57" s="49" t="str">
        <f t="shared" ca="1" si="55"/>
        <v/>
      </c>
    </row>
    <row r="58" spans="1:10" ht="12.75" x14ac:dyDescent="0.2">
      <c r="A58" s="40"/>
      <c r="B58" s="40"/>
      <c r="C58" s="40"/>
      <c r="D58" s="40"/>
      <c r="E58" s="40"/>
      <c r="F58" s="49" t="str">
        <f t="shared" ref="F58:J58" ca="1" si="56">IFERROR(__xludf.DUMMYFUNCTION("if (A58 &lt;&gt; """", GOOGLETRANSLATE(A58, ""auto"", ""en""), """")"),"")</f>
        <v/>
      </c>
      <c r="G58" s="49" t="str">
        <f t="shared" ca="1" si="56"/>
        <v/>
      </c>
      <c r="H58" s="49" t="str">
        <f t="shared" ca="1" si="56"/>
        <v/>
      </c>
      <c r="I58" s="49" t="str">
        <f t="shared" ca="1" si="56"/>
        <v/>
      </c>
      <c r="J58" s="49" t="str">
        <f t="shared" ca="1" si="56"/>
        <v/>
      </c>
    </row>
    <row r="59" spans="1:10" ht="25.5" x14ac:dyDescent="0.2">
      <c r="A59" s="41" t="s">
        <v>378</v>
      </c>
      <c r="B59" s="40"/>
      <c r="C59" s="40"/>
      <c r="D59" s="40"/>
      <c r="E59" s="40"/>
      <c r="F59" s="49" t="str">
        <f t="shared" ref="F59:J59" ca="1" si="57">IFERROR(__xludf.DUMMYFUNCTION("if (A59 &lt;&gt; """", GOOGLETRANSLATE(A59, ""auto"", ""en""), """")"),"FAQ-Common-x3")</f>
        <v>FAQ-Common-x3</v>
      </c>
      <c r="G59" s="49" t="str">
        <f t="shared" ca="1" si="57"/>
        <v>FAQ-Common-x3</v>
      </c>
      <c r="H59" s="49" t="str">
        <f t="shared" ca="1" si="57"/>
        <v>FAQ-Common-x3</v>
      </c>
      <c r="I59" s="49" t="str">
        <f t="shared" ca="1" si="57"/>
        <v>FAQ-Common-x3</v>
      </c>
      <c r="J59" s="49" t="str">
        <f t="shared" ca="1" si="57"/>
        <v>FAQ-Common-x3</v>
      </c>
    </row>
    <row r="60" spans="1:10" ht="12.75" x14ac:dyDescent="0.2">
      <c r="A60" s="40"/>
      <c r="B60" s="41" t="s">
        <v>398</v>
      </c>
      <c r="C60" s="40"/>
      <c r="D60" s="40"/>
      <c r="E60" s="40"/>
      <c r="F60" s="49" t="str">
        <f t="shared" ref="F60:J60" ca="1" si="58">IFERROR(__xludf.DUMMYFUNCTION("if (A60 &lt;&gt; """", GOOGLETRANSLATE(A60, ""auto"", ""en""), """")"),"")</f>
        <v/>
      </c>
      <c r="G60" s="49" t="str">
        <f t="shared" ca="1" si="58"/>
        <v/>
      </c>
      <c r="H60" s="49" t="str">
        <f t="shared" ca="1" si="58"/>
        <v/>
      </c>
      <c r="I60" s="49" t="str">
        <f t="shared" ca="1" si="58"/>
        <v/>
      </c>
      <c r="J60" s="49" t="str">
        <f t="shared" ca="1" si="58"/>
        <v/>
      </c>
    </row>
    <row r="61" spans="1:10" ht="12.75" x14ac:dyDescent="0.2">
      <c r="A61" s="40"/>
      <c r="B61" s="41" t="s">
        <v>399</v>
      </c>
      <c r="C61" s="40"/>
      <c r="D61" s="40"/>
      <c r="E61" s="40"/>
      <c r="F61" s="49" t="str">
        <f t="shared" ref="F61:J61" ca="1" si="59">IFERROR(__xludf.DUMMYFUNCTION("if (A61 &lt;&gt; """", GOOGLETRANSLATE(A61, ""auto"", ""en""), """")"),"")</f>
        <v/>
      </c>
      <c r="G61" s="49" t="str">
        <f t="shared" ca="1" si="59"/>
        <v/>
      </c>
      <c r="H61" s="49" t="str">
        <f t="shared" ca="1" si="59"/>
        <v/>
      </c>
      <c r="I61" s="49" t="str">
        <f t="shared" ca="1" si="59"/>
        <v/>
      </c>
      <c r="J61" s="49" t="str">
        <f t="shared" ca="1" si="59"/>
        <v/>
      </c>
    </row>
    <row r="62" spans="1:10" ht="12.75" x14ac:dyDescent="0.2">
      <c r="A62" s="40"/>
      <c r="B62" s="41" t="s">
        <v>400</v>
      </c>
      <c r="C62" s="40"/>
      <c r="D62" s="40"/>
      <c r="E62" s="40"/>
      <c r="F62" s="49" t="str">
        <f t="shared" ref="F62:J62" ca="1" si="60">IFERROR(__xludf.DUMMYFUNCTION("if (A62 &lt;&gt; """", GOOGLETRANSLATE(A62, ""auto"", ""en""), """")"),"")</f>
        <v/>
      </c>
      <c r="G62" s="49" t="str">
        <f t="shared" ca="1" si="60"/>
        <v/>
      </c>
      <c r="H62" s="49" t="str">
        <f t="shared" ca="1" si="60"/>
        <v/>
      </c>
      <c r="I62" s="49" t="str">
        <f t="shared" ca="1" si="60"/>
        <v/>
      </c>
      <c r="J62" s="49" t="str">
        <f t="shared" ca="1" si="60"/>
        <v/>
      </c>
    </row>
    <row r="63" spans="1:10" ht="12.75" x14ac:dyDescent="0.2">
      <c r="A63" s="40"/>
      <c r="B63" s="41" t="s">
        <v>401</v>
      </c>
      <c r="C63" s="41" t="s">
        <v>378</v>
      </c>
      <c r="D63" s="40"/>
      <c r="E63" s="40"/>
      <c r="F63" s="49" t="str">
        <f t="shared" ref="F63:J63" ca="1" si="61">IFERROR(__xludf.DUMMYFUNCTION("if (A63 &lt;&gt; """", GOOGLETRANSLATE(A63, ""auto"", ""en""), """")"),"")</f>
        <v/>
      </c>
      <c r="G63" s="49" t="str">
        <f t="shared" ca="1" si="61"/>
        <v/>
      </c>
      <c r="H63" s="49" t="str">
        <f t="shared" ca="1" si="61"/>
        <v/>
      </c>
      <c r="I63" s="49" t="str">
        <f t="shared" ca="1" si="61"/>
        <v/>
      </c>
      <c r="J63" s="49" t="str">
        <f t="shared" ca="1" si="61"/>
        <v/>
      </c>
    </row>
    <row r="64" spans="1:10" ht="63.75" x14ac:dyDescent="0.2">
      <c r="A64" s="41" t="s">
        <v>409</v>
      </c>
      <c r="B64" s="41" t="s">
        <v>402</v>
      </c>
      <c r="C64" s="41" t="s">
        <v>410</v>
      </c>
      <c r="D64" s="40"/>
      <c r="E64" s="40"/>
      <c r="F64" s="49" t="str">
        <f t="shared" ref="F64:J64" ca="1" si="62">IFERROR(__xludf.DUMMYFUNCTION("if (A64 &lt;&gt; """", GOOGLETRANSLATE(A64, ""auto"", ""en""), """")"),"I want to register")</f>
        <v>I want to register</v>
      </c>
      <c r="G64" s="49" t="str">
        <f t="shared" ca="1" si="62"/>
        <v>I want to register</v>
      </c>
      <c r="H64" s="49" t="str">
        <f t="shared" ca="1" si="62"/>
        <v>I want to register</v>
      </c>
      <c r="I64" s="49" t="str">
        <f t="shared" ca="1" si="62"/>
        <v>I want to register</v>
      </c>
      <c r="J64" s="49" t="str">
        <f t="shared" ca="1" si="62"/>
        <v>I want to register</v>
      </c>
    </row>
    <row r="65" spans="1:10" ht="25.5" x14ac:dyDescent="0.2">
      <c r="A65" s="41" t="s">
        <v>411</v>
      </c>
      <c r="B65" s="41" t="s">
        <v>402</v>
      </c>
      <c r="C65" s="41" t="s">
        <v>19</v>
      </c>
      <c r="D65" s="40"/>
      <c r="E65" s="40"/>
      <c r="F65" s="49" t="str">
        <f t="shared" ref="F65:J65" ca="1" si="63">IFERROR(__xludf.DUMMYFUNCTION("if (A65 &lt;&gt; """", GOOGLETRANSLATE(A65, ""auto"", ""en""), """")"),"Create Account")</f>
        <v>Create Account</v>
      </c>
      <c r="G65" s="49" t="str">
        <f t="shared" ca="1" si="63"/>
        <v>Create Account</v>
      </c>
      <c r="H65" s="49" t="str">
        <f t="shared" ca="1" si="63"/>
        <v>Create Account</v>
      </c>
      <c r="I65" s="49" t="str">
        <f t="shared" ca="1" si="63"/>
        <v>Create Account</v>
      </c>
      <c r="J65" s="49" t="str">
        <f t="shared" ca="1" si="63"/>
        <v>Create Account</v>
      </c>
    </row>
    <row r="66" spans="1:10" ht="12.75" x14ac:dyDescent="0.2">
      <c r="A66" s="41" t="s">
        <v>412</v>
      </c>
      <c r="B66" s="40"/>
      <c r="C66" s="40"/>
      <c r="D66" s="40"/>
      <c r="E66" s="40"/>
      <c r="F66" s="49" t="str">
        <f t="shared" ref="F66:J66" ca="1" si="64">IFERROR(__xludf.DUMMYFUNCTION("if (A66 &lt;&gt; """", GOOGLETRANSLATE(A66, ""auto"", ""en""), """")"),"Registration")</f>
        <v>Registration</v>
      </c>
      <c r="G66" s="49" t="str">
        <f t="shared" ca="1" si="64"/>
        <v>Registration</v>
      </c>
      <c r="H66" s="49" t="str">
        <f t="shared" ca="1" si="64"/>
        <v>Registration</v>
      </c>
      <c r="I66" s="49" t="str">
        <f t="shared" ca="1" si="64"/>
        <v>Registration</v>
      </c>
      <c r="J66" s="49" t="str">
        <f t="shared" ca="1" si="64"/>
        <v>Registration</v>
      </c>
    </row>
    <row r="67" spans="1:10" ht="12.75" x14ac:dyDescent="0.2">
      <c r="A67" s="41" t="s">
        <v>413</v>
      </c>
      <c r="B67" s="40"/>
      <c r="C67" s="40"/>
      <c r="D67" s="40"/>
      <c r="E67" s="40"/>
      <c r="F67" s="49" t="str">
        <f t="shared" ref="F67:J67" ca="1" si="65">IFERROR(__xludf.DUMMYFUNCTION("if (A67 &lt;&gt; """", GOOGLETRANSLATE(A67, ""auto"", ""en""), """")"),"sign up")</f>
        <v>sign up</v>
      </c>
      <c r="G67" s="49" t="str">
        <f t="shared" ca="1" si="65"/>
        <v>sign up</v>
      </c>
      <c r="H67" s="49" t="str">
        <f t="shared" ca="1" si="65"/>
        <v>sign up</v>
      </c>
      <c r="I67" s="49" t="str">
        <f t="shared" ca="1" si="65"/>
        <v>sign up</v>
      </c>
      <c r="J67" s="49" t="str">
        <f t="shared" ca="1" si="65"/>
        <v>sign up</v>
      </c>
    </row>
    <row r="68" spans="1:10" ht="25.5" x14ac:dyDescent="0.2">
      <c r="A68" s="41" t="s">
        <v>379</v>
      </c>
      <c r="B68" s="40"/>
      <c r="C68" s="40"/>
      <c r="D68" s="40"/>
      <c r="E68" s="40"/>
      <c r="F68" s="49" t="str">
        <f t="shared" ref="F68:J68" ca="1" si="66">IFERROR(__xludf.DUMMYFUNCTION("if (A68 &lt;&gt; """", GOOGLETRANSLATE(A68, ""auto"", ""en""), """")"),"Account creation")</f>
        <v>Account creation</v>
      </c>
      <c r="G68" s="49" t="str">
        <f t="shared" ca="1" si="66"/>
        <v>Account creation</v>
      </c>
      <c r="H68" s="49" t="str">
        <f t="shared" ca="1" si="66"/>
        <v>Account creation</v>
      </c>
      <c r="I68" s="49" t="str">
        <f t="shared" ca="1" si="66"/>
        <v>Account creation</v>
      </c>
      <c r="J68" s="49" t="str">
        <f t="shared" ca="1" si="66"/>
        <v>Account creation</v>
      </c>
    </row>
    <row r="69" spans="1:10" ht="25.5" x14ac:dyDescent="0.2">
      <c r="A69" s="40"/>
      <c r="B69" s="41" t="s">
        <v>403</v>
      </c>
      <c r="C69" s="41" t="s">
        <v>38</v>
      </c>
      <c r="D69" s="41" t="s">
        <v>26</v>
      </c>
      <c r="E69" s="40"/>
      <c r="F69" s="49" t="str">
        <f t="shared" ref="F69:J69" ca="1" si="67">IFERROR(__xludf.DUMMYFUNCTION("if (A69 &lt;&gt; """", GOOGLETRANSLATE(A69, ""auto"", ""en""), """")"),"")</f>
        <v/>
      </c>
      <c r="G69" s="49" t="str">
        <f t="shared" ca="1" si="67"/>
        <v/>
      </c>
      <c r="H69" s="49" t="str">
        <f t="shared" ca="1" si="67"/>
        <v/>
      </c>
      <c r="I69" s="49" t="str">
        <f t="shared" ca="1" si="67"/>
        <v/>
      </c>
      <c r="J69" s="49" t="str">
        <f t="shared" ca="1" si="67"/>
        <v/>
      </c>
    </row>
    <row r="70" spans="1:10" ht="12.75" x14ac:dyDescent="0.2">
      <c r="A70" s="40"/>
      <c r="B70" s="41" t="s">
        <v>403</v>
      </c>
      <c r="C70" s="41" t="s">
        <v>56</v>
      </c>
      <c r="D70" s="41" t="s">
        <v>29</v>
      </c>
      <c r="E70" s="40"/>
      <c r="F70" s="49" t="str">
        <f t="shared" ref="F70:J70" ca="1" si="68">IFERROR(__xludf.DUMMYFUNCTION("if (A70 &lt;&gt; """", GOOGLETRANSLATE(A70, ""auto"", ""en""), """")"),"")</f>
        <v/>
      </c>
      <c r="G70" s="49" t="str">
        <f t="shared" ca="1" si="68"/>
        <v/>
      </c>
      <c r="H70" s="49" t="str">
        <f t="shared" ca="1" si="68"/>
        <v/>
      </c>
      <c r="I70" s="49" t="str">
        <f t="shared" ca="1" si="68"/>
        <v/>
      </c>
      <c r="J70" s="49" t="str">
        <f t="shared" ca="1" si="68"/>
        <v/>
      </c>
    </row>
    <row r="71" spans="1:10" ht="12.75" x14ac:dyDescent="0.2">
      <c r="A71" s="40"/>
      <c r="B71" s="41" t="s">
        <v>403</v>
      </c>
      <c r="C71" s="41" t="s">
        <v>25</v>
      </c>
      <c r="D71" s="41" t="s">
        <v>27</v>
      </c>
      <c r="E71" s="40"/>
      <c r="F71" s="49" t="str">
        <f t="shared" ref="F71:J71" ca="1" si="69">IFERROR(__xludf.DUMMYFUNCTION("if (A71 &lt;&gt; """", GOOGLETRANSLATE(A71, ""auto"", ""en""), """")"),"")</f>
        <v/>
      </c>
      <c r="G71" s="49" t="str">
        <f t="shared" ca="1" si="69"/>
        <v/>
      </c>
      <c r="H71" s="49" t="str">
        <f t="shared" ca="1" si="69"/>
        <v/>
      </c>
      <c r="I71" s="49" t="str">
        <f t="shared" ca="1" si="69"/>
        <v/>
      </c>
      <c r="J71" s="49" t="str">
        <f t="shared" ca="1" si="69"/>
        <v/>
      </c>
    </row>
    <row r="72" spans="1:10" ht="12.75" x14ac:dyDescent="0.2">
      <c r="A72" s="40"/>
      <c r="B72" s="41" t="s">
        <v>403</v>
      </c>
      <c r="C72" s="41" t="s">
        <v>30</v>
      </c>
      <c r="D72" s="41" t="s">
        <v>31</v>
      </c>
      <c r="E72" s="40"/>
      <c r="F72" s="49" t="str">
        <f t="shared" ref="F72:J72" ca="1" si="70">IFERROR(__xludf.DUMMYFUNCTION("if (A72 &lt;&gt; """", GOOGLETRANSLATE(A72, ""auto"", ""en""), """")"),"")</f>
        <v/>
      </c>
      <c r="G72" s="49" t="str">
        <f t="shared" ca="1" si="70"/>
        <v/>
      </c>
      <c r="H72" s="49" t="str">
        <f t="shared" ca="1" si="70"/>
        <v/>
      </c>
      <c r="I72" s="49" t="str">
        <f t="shared" ca="1" si="70"/>
        <v/>
      </c>
      <c r="J72" s="49" t="str">
        <f t="shared" ca="1" si="70"/>
        <v/>
      </c>
    </row>
    <row r="73" spans="1:10" ht="12.75" x14ac:dyDescent="0.2">
      <c r="A73" s="40"/>
      <c r="B73" s="40"/>
      <c r="C73" s="40"/>
      <c r="D73" s="40"/>
      <c r="E73" s="40"/>
      <c r="F73" s="49" t="str">
        <f t="shared" ref="F73:J73" ca="1" si="71">IFERROR(__xludf.DUMMYFUNCTION("if (A73 &lt;&gt; """", GOOGLETRANSLATE(A73, ""auto"", ""en""), """")"),"")</f>
        <v/>
      </c>
      <c r="G73" s="49" t="str">
        <f t="shared" ca="1" si="71"/>
        <v/>
      </c>
      <c r="H73" s="49" t="str">
        <f t="shared" ca="1" si="71"/>
        <v/>
      </c>
      <c r="I73" s="49" t="str">
        <f t="shared" ca="1" si="71"/>
        <v/>
      </c>
      <c r="J73" s="49" t="str">
        <f t="shared" ca="1" si="71"/>
        <v/>
      </c>
    </row>
    <row r="74" spans="1:10" ht="12.75" x14ac:dyDescent="0.2">
      <c r="A74" s="41" t="s">
        <v>10</v>
      </c>
      <c r="B74" s="40"/>
      <c r="C74" s="40"/>
      <c r="D74" s="40"/>
      <c r="E74" s="40"/>
      <c r="F74" s="49" t="str">
        <f t="shared" ref="F74:J74" ca="1" si="72">IFERROR(__xludf.DUMMYFUNCTION("if (A74 &lt;&gt; """", GOOGLETRANSLATE(A74, ""auto"", ""en""), """")"),"FAQ-First")</f>
        <v>FAQ-First</v>
      </c>
      <c r="G74" s="49" t="str">
        <f t="shared" ca="1" si="72"/>
        <v>FAQ-First</v>
      </c>
      <c r="H74" s="49" t="str">
        <f t="shared" ca="1" si="72"/>
        <v>FAQ-First</v>
      </c>
      <c r="I74" s="49" t="str">
        <f t="shared" ca="1" si="72"/>
        <v>FAQ-First</v>
      </c>
      <c r="J74" s="49" t="str">
        <f t="shared" ca="1" si="72"/>
        <v>FAQ-First</v>
      </c>
    </row>
    <row r="75" spans="1:10" ht="12.75" x14ac:dyDescent="0.2">
      <c r="A75" s="40"/>
      <c r="B75" s="41" t="s">
        <v>398</v>
      </c>
      <c r="C75" s="40"/>
      <c r="D75" s="40"/>
      <c r="E75" s="40"/>
      <c r="F75" s="49" t="str">
        <f t="shared" ref="F75:J75" ca="1" si="73">IFERROR(__xludf.DUMMYFUNCTION("if (A75 &lt;&gt; """", GOOGLETRANSLATE(A75, ""auto"", ""en""), """")"),"")</f>
        <v/>
      </c>
      <c r="G75" s="49" t="str">
        <f t="shared" ca="1" si="73"/>
        <v/>
      </c>
      <c r="H75" s="49" t="str">
        <f t="shared" ca="1" si="73"/>
        <v/>
      </c>
      <c r="I75" s="49" t="str">
        <f t="shared" ca="1" si="73"/>
        <v/>
      </c>
      <c r="J75" s="49" t="str">
        <f t="shared" ca="1" si="73"/>
        <v/>
      </c>
    </row>
    <row r="76" spans="1:10" ht="12.75" x14ac:dyDescent="0.2">
      <c r="A76" s="40"/>
      <c r="B76" s="41" t="s">
        <v>399</v>
      </c>
      <c r="C76" s="40"/>
      <c r="D76" s="40"/>
      <c r="E76" s="40"/>
      <c r="F76" s="49" t="str">
        <f t="shared" ref="F76:J76" ca="1" si="74">IFERROR(__xludf.DUMMYFUNCTION("if (A76 &lt;&gt; """", GOOGLETRANSLATE(A76, ""auto"", ""en""), """")"),"")</f>
        <v/>
      </c>
      <c r="G76" s="49" t="str">
        <f t="shared" ca="1" si="74"/>
        <v/>
      </c>
      <c r="H76" s="49" t="str">
        <f t="shared" ca="1" si="74"/>
        <v/>
      </c>
      <c r="I76" s="49" t="str">
        <f t="shared" ca="1" si="74"/>
        <v/>
      </c>
      <c r="J76" s="49" t="str">
        <f t="shared" ca="1" si="74"/>
        <v/>
      </c>
    </row>
    <row r="77" spans="1:10" ht="12.75" x14ac:dyDescent="0.2">
      <c r="A77" s="40"/>
      <c r="B77" s="41" t="s">
        <v>400</v>
      </c>
      <c r="C77" s="40"/>
      <c r="D77" s="40"/>
      <c r="E77" s="40"/>
      <c r="F77" s="49" t="str">
        <f t="shared" ref="F77:J77" ca="1" si="75">IFERROR(__xludf.DUMMYFUNCTION("if (A77 &lt;&gt; """", GOOGLETRANSLATE(A77, ""auto"", ""en""), """")"),"")</f>
        <v/>
      </c>
      <c r="G77" s="49" t="str">
        <f t="shared" ca="1" si="75"/>
        <v/>
      </c>
      <c r="H77" s="49" t="str">
        <f t="shared" ca="1" si="75"/>
        <v/>
      </c>
      <c r="I77" s="49" t="str">
        <f t="shared" ca="1" si="75"/>
        <v/>
      </c>
      <c r="J77" s="49" t="str">
        <f t="shared" ca="1" si="75"/>
        <v/>
      </c>
    </row>
    <row r="78" spans="1:10" ht="12.75" x14ac:dyDescent="0.2">
      <c r="A78" s="40"/>
      <c r="B78" s="41" t="s">
        <v>401</v>
      </c>
      <c r="C78" s="41" t="s">
        <v>10</v>
      </c>
      <c r="D78" s="40"/>
      <c r="E78" s="40"/>
      <c r="F78" s="49" t="str">
        <f t="shared" ref="F78:J78" ca="1" si="76">IFERROR(__xludf.DUMMYFUNCTION("if (A78 &lt;&gt; """", GOOGLETRANSLATE(A78, ""auto"", ""en""), """")"),"")</f>
        <v/>
      </c>
      <c r="G78" s="49" t="str">
        <f t="shared" ca="1" si="76"/>
        <v/>
      </c>
      <c r="H78" s="49" t="str">
        <f t="shared" ca="1" si="76"/>
        <v/>
      </c>
      <c r="I78" s="49" t="str">
        <f t="shared" ca="1" si="76"/>
        <v/>
      </c>
      <c r="J78" s="49" t="str">
        <f t="shared" ca="1" si="76"/>
        <v/>
      </c>
    </row>
    <row r="79" spans="1:10" ht="38.25" x14ac:dyDescent="0.2">
      <c r="A79" s="41" t="s">
        <v>414</v>
      </c>
      <c r="B79" s="41" t="s">
        <v>402</v>
      </c>
      <c r="C79" s="41" t="s">
        <v>17</v>
      </c>
      <c r="D79" s="40"/>
      <c r="E79" s="40"/>
      <c r="F79" s="49" t="str">
        <f t="shared" ref="F79:J79" ca="1" si="77">IFERROR(__xludf.DUMMYFUNCTION("if (A79 &lt;&gt; """", GOOGLETRANSLATE(A79, ""auto"", ""en""), """")"),"I have a question")</f>
        <v>I have a question</v>
      </c>
      <c r="G79" s="49" t="str">
        <f t="shared" ca="1" si="77"/>
        <v>I have a question</v>
      </c>
      <c r="H79" s="49" t="str">
        <f t="shared" ca="1" si="77"/>
        <v>I have a question</v>
      </c>
      <c r="I79" s="49" t="str">
        <f t="shared" ca="1" si="77"/>
        <v>I have a question</v>
      </c>
      <c r="J79" s="49" t="str">
        <f t="shared" ca="1" si="77"/>
        <v>I have a question</v>
      </c>
    </row>
    <row r="80" spans="1:10" ht="25.5" x14ac:dyDescent="0.2">
      <c r="A80" s="41" t="s">
        <v>415</v>
      </c>
      <c r="B80" s="40"/>
      <c r="C80" s="40"/>
      <c r="D80" s="40"/>
      <c r="E80" s="40"/>
      <c r="F80" s="49" t="str">
        <f t="shared" ref="F80:J80" ca="1" si="78">IFERROR(__xludf.DUMMYFUNCTION("if (A80 &lt;&gt; """", GOOGLETRANSLATE(A80, ""auto"", ""en""), """")"),"There is a question")</f>
        <v>There is a question</v>
      </c>
      <c r="G80" s="49" t="str">
        <f t="shared" ca="1" si="78"/>
        <v>There is a question</v>
      </c>
      <c r="H80" s="49" t="str">
        <f t="shared" ca="1" si="78"/>
        <v>There is a question</v>
      </c>
      <c r="I80" s="49" t="str">
        <f t="shared" ca="1" si="78"/>
        <v>There is a question</v>
      </c>
      <c r="J80" s="49" t="str">
        <f t="shared" ca="1" si="78"/>
        <v>There is a question</v>
      </c>
    </row>
    <row r="81" spans="1:10" ht="38.25" x14ac:dyDescent="0.2">
      <c r="A81" s="41" t="s">
        <v>416</v>
      </c>
      <c r="B81" s="40"/>
      <c r="C81" s="40"/>
      <c r="D81" s="40"/>
      <c r="E81" s="40"/>
      <c r="F81" s="49" t="str">
        <f t="shared" ref="F81:J81" ca="1" si="79">IFERROR(__xludf.DUMMYFUNCTION("if (A81 &lt;&gt; """", GOOGLETRANSLATE(A81, ""auto"", ""en""), """")"),"Sometimes you want to hear")</f>
        <v>Sometimes you want to hear</v>
      </c>
      <c r="G81" s="49" t="str">
        <f t="shared" ca="1" si="79"/>
        <v>Sometimes you want to hear</v>
      </c>
      <c r="H81" s="49" t="str">
        <f t="shared" ca="1" si="79"/>
        <v>Sometimes you want to hear</v>
      </c>
      <c r="I81" s="49" t="str">
        <f t="shared" ca="1" si="79"/>
        <v>Sometimes you want to hear</v>
      </c>
      <c r="J81" s="49" t="str">
        <f t="shared" ca="1" si="79"/>
        <v>Sometimes you want to hear</v>
      </c>
    </row>
    <row r="82" spans="1:10" ht="25.5" x14ac:dyDescent="0.2">
      <c r="A82" s="41" t="s">
        <v>417</v>
      </c>
      <c r="B82" s="40"/>
      <c r="C82" s="40"/>
      <c r="D82" s="40"/>
      <c r="E82" s="40"/>
      <c r="F82" s="49" t="str">
        <f t="shared" ref="F82:J82" ca="1" si="80">IFERROR(__xludf.DUMMYFUNCTION("if (A82 &lt;&gt; """", GOOGLETRANSLATE(A82, ""auto"", ""en""), """")"),"I have a question")</f>
        <v>I have a question</v>
      </c>
      <c r="G82" s="49" t="str">
        <f t="shared" ca="1" si="80"/>
        <v>I have a question</v>
      </c>
      <c r="H82" s="49" t="str">
        <f t="shared" ca="1" si="80"/>
        <v>I have a question</v>
      </c>
      <c r="I82" s="49" t="str">
        <f t="shared" ca="1" si="80"/>
        <v>I have a question</v>
      </c>
      <c r="J82" s="49" t="str">
        <f t="shared" ca="1" si="80"/>
        <v>I have a question</v>
      </c>
    </row>
    <row r="83" spans="1:10" ht="25.5" x14ac:dyDescent="0.2">
      <c r="A83" s="41" t="s">
        <v>41</v>
      </c>
      <c r="B83" s="40"/>
      <c r="C83" s="40"/>
      <c r="D83" s="40"/>
      <c r="E83" s="40"/>
      <c r="F83" s="49" t="str">
        <f t="shared" ref="F83:J83" ca="1" si="81">IFERROR(__xludf.DUMMYFUNCTION("if (A83 &lt;&gt; """", GOOGLETRANSLATE(A83, ""auto"", ""en""), """")"),"I want to question")</f>
        <v>I want to question</v>
      </c>
      <c r="G83" s="49" t="str">
        <f t="shared" ca="1" si="81"/>
        <v>I want to question</v>
      </c>
      <c r="H83" s="49" t="str">
        <f t="shared" ca="1" si="81"/>
        <v>I want to question</v>
      </c>
      <c r="I83" s="49" t="str">
        <f t="shared" ca="1" si="81"/>
        <v>I want to question</v>
      </c>
      <c r="J83" s="49" t="str">
        <f t="shared" ca="1" si="81"/>
        <v>I want to question</v>
      </c>
    </row>
    <row r="84" spans="1:10" ht="25.5" x14ac:dyDescent="0.2">
      <c r="A84" s="41" t="s">
        <v>16</v>
      </c>
      <c r="B84" s="40"/>
      <c r="C84" s="40"/>
      <c r="D84" s="40"/>
      <c r="E84" s="40"/>
      <c r="F84" s="49" t="str">
        <f t="shared" ref="F84:J84" ca="1" si="82">IFERROR(__xludf.DUMMYFUNCTION("if (A84 &lt;&gt; """", GOOGLETRANSLATE(A84, ""auto"", ""en""), """")"),"ask a question")</f>
        <v>ask a question</v>
      </c>
      <c r="G84" s="49" t="str">
        <f t="shared" ca="1" si="82"/>
        <v>ask a question</v>
      </c>
      <c r="H84" s="49" t="str">
        <f t="shared" ca="1" si="82"/>
        <v>ask a question</v>
      </c>
      <c r="I84" s="49" t="str">
        <f t="shared" ca="1" si="82"/>
        <v>ask a question</v>
      </c>
      <c r="J84" s="49" t="str">
        <f t="shared" ca="1" si="82"/>
        <v>ask a question</v>
      </c>
    </row>
    <row r="85" spans="1:10" ht="12.75" x14ac:dyDescent="0.2">
      <c r="A85" s="40"/>
      <c r="B85" s="41" t="s">
        <v>403</v>
      </c>
      <c r="C85" s="41" t="s">
        <v>23</v>
      </c>
      <c r="D85" s="41" t="s">
        <v>26</v>
      </c>
      <c r="E85" s="40"/>
      <c r="F85" s="49" t="str">
        <f t="shared" ref="F85:J85" ca="1" si="83">IFERROR(__xludf.DUMMYFUNCTION("if (A85 &lt;&gt; """", GOOGLETRANSLATE(A85, ""auto"", ""en""), """")"),"")</f>
        <v/>
      </c>
      <c r="G85" s="49" t="str">
        <f t="shared" ca="1" si="83"/>
        <v/>
      </c>
      <c r="H85" s="49" t="str">
        <f t="shared" ca="1" si="83"/>
        <v/>
      </c>
      <c r="I85" s="49" t="str">
        <f t="shared" ca="1" si="83"/>
        <v/>
      </c>
      <c r="J85" s="49" t="str">
        <f t="shared" ca="1" si="83"/>
        <v/>
      </c>
    </row>
    <row r="86" spans="1:10" ht="12.75" x14ac:dyDescent="0.2">
      <c r="A86" s="40"/>
      <c r="B86" s="41" t="s">
        <v>403</v>
      </c>
      <c r="C86" s="41" t="s">
        <v>28</v>
      </c>
      <c r="D86" s="41" t="s">
        <v>29</v>
      </c>
      <c r="E86" s="40"/>
      <c r="F86" s="49" t="str">
        <f t="shared" ref="F86:J86" ca="1" si="84">IFERROR(__xludf.DUMMYFUNCTION("if (A86 &lt;&gt; """", GOOGLETRANSLATE(A86, ""auto"", ""en""), """")"),"")</f>
        <v/>
      </c>
      <c r="G86" s="49" t="str">
        <f t="shared" ca="1" si="84"/>
        <v/>
      </c>
      <c r="H86" s="49" t="str">
        <f t="shared" ca="1" si="84"/>
        <v/>
      </c>
      <c r="I86" s="49" t="str">
        <f t="shared" ca="1" si="84"/>
        <v/>
      </c>
      <c r="J86" s="49" t="str">
        <f t="shared" ca="1" si="84"/>
        <v/>
      </c>
    </row>
    <row r="87" spans="1:10" ht="12.75" x14ac:dyDescent="0.2">
      <c r="A87" s="40"/>
      <c r="B87" s="40"/>
      <c r="C87" s="40"/>
      <c r="D87" s="40"/>
      <c r="E87" s="40"/>
      <c r="F87" s="49" t="str">
        <f t="shared" ref="F87:J87" ca="1" si="85">IFERROR(__xludf.DUMMYFUNCTION("if (A87 &lt;&gt; """", GOOGLETRANSLATE(A87, ""auto"", ""en""), """")"),"")</f>
        <v/>
      </c>
      <c r="G87" s="49" t="str">
        <f t="shared" ca="1" si="85"/>
        <v/>
      </c>
      <c r="H87" s="49" t="str">
        <f t="shared" ca="1" si="85"/>
        <v/>
      </c>
      <c r="I87" s="49" t="str">
        <f t="shared" ca="1" si="85"/>
        <v/>
      </c>
      <c r="J87" s="49" t="str">
        <f t="shared" ca="1" si="85"/>
        <v/>
      </c>
    </row>
    <row r="88" spans="1:10" ht="25.5" x14ac:dyDescent="0.2">
      <c r="A88" s="41" t="s">
        <v>26</v>
      </c>
      <c r="B88" s="40"/>
      <c r="C88" s="40"/>
      <c r="D88" s="40"/>
      <c r="E88" s="40"/>
      <c r="F88" s="49" t="str">
        <f t="shared" ref="F88:J88" ca="1" si="86">IFERROR(__xludf.DUMMYFUNCTION("if (A88 &lt;&gt; """", GOOGLETRANSLATE(A88, ""auto"", ""en""), """")"),"FAQ-Guest-First")</f>
        <v>FAQ-Guest-First</v>
      </c>
      <c r="G88" s="49" t="str">
        <f t="shared" ca="1" si="86"/>
        <v>FAQ-Guest-First</v>
      </c>
      <c r="H88" s="49" t="str">
        <f t="shared" ca="1" si="86"/>
        <v>FAQ-Guest-First</v>
      </c>
      <c r="I88" s="49" t="str">
        <f t="shared" ca="1" si="86"/>
        <v>FAQ-Guest-First</v>
      </c>
      <c r="J88" s="49" t="str">
        <f t="shared" ca="1" si="86"/>
        <v>FAQ-Guest-First</v>
      </c>
    </row>
    <row r="89" spans="1:10" ht="12.75" x14ac:dyDescent="0.2">
      <c r="A89" s="40"/>
      <c r="B89" s="41" t="s">
        <v>398</v>
      </c>
      <c r="C89" s="40"/>
      <c r="D89" s="40"/>
      <c r="E89" s="40"/>
      <c r="F89" s="49" t="str">
        <f t="shared" ref="F89:J89" ca="1" si="87">IFERROR(__xludf.DUMMYFUNCTION("if (A89 &lt;&gt; """", GOOGLETRANSLATE(A89, ""auto"", ""en""), """")"),"")</f>
        <v/>
      </c>
      <c r="G89" s="49" t="str">
        <f t="shared" ca="1" si="87"/>
        <v/>
      </c>
      <c r="H89" s="49" t="str">
        <f t="shared" ca="1" si="87"/>
        <v/>
      </c>
      <c r="I89" s="49" t="str">
        <f t="shared" ca="1" si="87"/>
        <v/>
      </c>
      <c r="J89" s="49" t="str">
        <f t="shared" ca="1" si="87"/>
        <v/>
      </c>
    </row>
    <row r="90" spans="1:10" ht="12.75" x14ac:dyDescent="0.2">
      <c r="A90" s="40"/>
      <c r="B90" s="41" t="s">
        <v>399</v>
      </c>
      <c r="C90" s="40"/>
      <c r="D90" s="40"/>
      <c r="E90" s="40"/>
      <c r="F90" s="49" t="str">
        <f t="shared" ref="F90:J90" ca="1" si="88">IFERROR(__xludf.DUMMYFUNCTION("if (A90 &lt;&gt; """", GOOGLETRANSLATE(A90, ""auto"", ""en""), """")"),"")</f>
        <v/>
      </c>
      <c r="G90" s="49" t="str">
        <f t="shared" ca="1" si="88"/>
        <v/>
      </c>
      <c r="H90" s="49" t="str">
        <f t="shared" ca="1" si="88"/>
        <v/>
      </c>
      <c r="I90" s="49" t="str">
        <f t="shared" ca="1" si="88"/>
        <v/>
      </c>
      <c r="J90" s="49" t="str">
        <f t="shared" ca="1" si="88"/>
        <v/>
      </c>
    </row>
    <row r="91" spans="1:10" ht="12.75" x14ac:dyDescent="0.2">
      <c r="A91" s="40"/>
      <c r="B91" s="41" t="s">
        <v>400</v>
      </c>
      <c r="C91" s="40"/>
      <c r="D91" s="40"/>
      <c r="E91" s="40"/>
      <c r="F91" s="49" t="str">
        <f t="shared" ref="F91:J91" ca="1" si="89">IFERROR(__xludf.DUMMYFUNCTION("if (A91 &lt;&gt; """", GOOGLETRANSLATE(A91, ""auto"", ""en""), """")"),"")</f>
        <v/>
      </c>
      <c r="G91" s="49" t="str">
        <f t="shared" ca="1" si="89"/>
        <v/>
      </c>
      <c r="H91" s="49" t="str">
        <f t="shared" ca="1" si="89"/>
        <v/>
      </c>
      <c r="I91" s="49" t="str">
        <f t="shared" ca="1" si="89"/>
        <v/>
      </c>
      <c r="J91" s="49" t="str">
        <f t="shared" ca="1" si="89"/>
        <v/>
      </c>
    </row>
    <row r="92" spans="1:10" ht="12.75" x14ac:dyDescent="0.2">
      <c r="A92" s="40"/>
      <c r="B92" s="41" t="s">
        <v>401</v>
      </c>
      <c r="C92" s="41" t="s">
        <v>26</v>
      </c>
      <c r="D92" s="40"/>
      <c r="E92" s="40"/>
      <c r="F92" s="49" t="str">
        <f t="shared" ref="F92:J92" ca="1" si="90">IFERROR(__xludf.DUMMYFUNCTION("if (A92 &lt;&gt; """", GOOGLETRANSLATE(A92, ""auto"", ""en""), """")"),"")</f>
        <v/>
      </c>
      <c r="G92" s="49" t="str">
        <f t="shared" ca="1" si="90"/>
        <v/>
      </c>
      <c r="H92" s="49" t="str">
        <f t="shared" ca="1" si="90"/>
        <v/>
      </c>
      <c r="I92" s="49" t="str">
        <f t="shared" ca="1" si="90"/>
        <v/>
      </c>
      <c r="J92" s="49" t="str">
        <f t="shared" ca="1" si="90"/>
        <v/>
      </c>
    </row>
    <row r="93" spans="1:10" ht="51" x14ac:dyDescent="0.2">
      <c r="A93" s="41" t="s">
        <v>418</v>
      </c>
      <c r="B93" s="41" t="s">
        <v>402</v>
      </c>
      <c r="C93" s="41" t="s">
        <v>419</v>
      </c>
      <c r="D93" s="40"/>
      <c r="E93" s="40"/>
      <c r="F93" s="49" t="str">
        <f t="shared" ref="F93:J93" ca="1" si="91">IFERROR(__xludf.DUMMYFUNCTION("if (A93 &lt;&gt; """", GOOGLETRANSLATE(A93, ""auto"", ""en""), """")"),"I want to hear the room for hire")</f>
        <v>I want to hear the room for hire</v>
      </c>
      <c r="G93" s="49" t="str">
        <f t="shared" ca="1" si="91"/>
        <v>I want to hear the room for hire</v>
      </c>
      <c r="H93" s="49" t="str">
        <f t="shared" ca="1" si="91"/>
        <v>I want to hear the room for hire</v>
      </c>
      <c r="I93" s="49" t="str">
        <f t="shared" ca="1" si="91"/>
        <v>I want to hear the room for hire</v>
      </c>
      <c r="J93" s="49" t="str">
        <f t="shared" ca="1" si="91"/>
        <v>I want to hear the room for hire</v>
      </c>
    </row>
    <row r="94" spans="1:10" ht="25.5" x14ac:dyDescent="0.2">
      <c r="A94" s="41" t="s">
        <v>420</v>
      </c>
      <c r="B94" s="40"/>
      <c r="C94" s="40"/>
      <c r="D94" s="40"/>
      <c r="E94" s="40"/>
      <c r="F94" s="49" t="str">
        <f t="shared" ref="F94:J94" ca="1" si="92">IFERROR(__xludf.DUMMYFUNCTION("if (A94 &lt;&gt; """", GOOGLETRANSLATE(A94, ""auto"", ""en""), """")"),"Questions as travelers")</f>
        <v>Questions as travelers</v>
      </c>
      <c r="G94" s="49" t="str">
        <f t="shared" ca="1" si="92"/>
        <v>Questions as travelers</v>
      </c>
      <c r="H94" s="49" t="str">
        <f t="shared" ca="1" si="92"/>
        <v>Questions as travelers</v>
      </c>
      <c r="I94" s="49" t="str">
        <f t="shared" ca="1" si="92"/>
        <v>Questions as travelers</v>
      </c>
      <c r="J94" s="49" t="str">
        <f t="shared" ca="1" si="92"/>
        <v>Questions as travelers</v>
      </c>
    </row>
    <row r="95" spans="1:10" ht="25.5" x14ac:dyDescent="0.2">
      <c r="A95" s="41" t="s">
        <v>421</v>
      </c>
      <c r="B95" s="40"/>
      <c r="C95" s="40"/>
      <c r="D95" s="40"/>
      <c r="E95" s="40"/>
      <c r="F95" s="49" t="str">
        <f t="shared" ref="F95:J95" ca="1" si="93">IFERROR(__xludf.DUMMYFUNCTION("if (A95 &lt;&gt; """", GOOGLETRANSLATE(A95, ""auto"", ""en""), """")"),"Guest of the question")</f>
        <v>Guest of the question</v>
      </c>
      <c r="G95" s="49" t="str">
        <f t="shared" ca="1" si="93"/>
        <v>Guest of the question</v>
      </c>
      <c r="H95" s="49" t="str">
        <f t="shared" ca="1" si="93"/>
        <v>Guest of the question</v>
      </c>
      <c r="I95" s="49" t="str">
        <f t="shared" ca="1" si="93"/>
        <v>Guest of the question</v>
      </c>
      <c r="J95" s="49" t="str">
        <f t="shared" ca="1" si="93"/>
        <v>Guest of the question</v>
      </c>
    </row>
    <row r="96" spans="1:10" ht="38.25" x14ac:dyDescent="0.2">
      <c r="A96" s="41" t="s">
        <v>24</v>
      </c>
      <c r="B96" s="40"/>
      <c r="C96" s="40"/>
      <c r="D96" s="40"/>
      <c r="E96" s="40"/>
      <c r="F96" s="49" t="str">
        <f t="shared" ref="F96:J96" ca="1" si="94">IFERROR(__xludf.DUMMYFUNCTION("if (A96 &lt;&gt; """", GOOGLETRANSLATE(A96, ""auto"", ""en""), """")"),"Other questions (guest)")</f>
        <v>Other questions (guest)</v>
      </c>
      <c r="G96" s="49" t="str">
        <f t="shared" ca="1" si="94"/>
        <v>Other questions (guest)</v>
      </c>
      <c r="H96" s="49" t="str">
        <f t="shared" ca="1" si="94"/>
        <v>Other questions (guest)</v>
      </c>
      <c r="I96" s="49" t="str">
        <f t="shared" ca="1" si="94"/>
        <v>Other questions (guest)</v>
      </c>
      <c r="J96" s="49" t="str">
        <f t="shared" ca="1" si="94"/>
        <v>Other questions (guest)</v>
      </c>
    </row>
    <row r="97" spans="1:10" ht="12.75" x14ac:dyDescent="0.2">
      <c r="A97" s="41" t="s">
        <v>23</v>
      </c>
      <c r="B97" s="40"/>
      <c r="C97" s="40"/>
      <c r="D97" s="40"/>
      <c r="E97" s="40"/>
      <c r="F97" s="49" t="str">
        <f t="shared" ref="F97:J97" ca="1" si="95">IFERROR(__xludf.DUMMYFUNCTION("if (A97 &lt;&gt; """", GOOGLETRANSLATE(A97, ""auto"", ""en""), """")"),"As a guest")</f>
        <v>As a guest</v>
      </c>
      <c r="G97" s="49" t="str">
        <f t="shared" ca="1" si="95"/>
        <v>As a guest</v>
      </c>
      <c r="H97" s="49" t="str">
        <f t="shared" ca="1" si="95"/>
        <v>As a guest</v>
      </c>
      <c r="I97" s="49" t="str">
        <f t="shared" ca="1" si="95"/>
        <v>As a guest</v>
      </c>
      <c r="J97" s="49" t="str">
        <f t="shared" ca="1" si="95"/>
        <v>As a guest</v>
      </c>
    </row>
    <row r="98" spans="1:10" ht="12.75" x14ac:dyDescent="0.2">
      <c r="A98" s="40"/>
      <c r="B98" s="41" t="s">
        <v>422</v>
      </c>
      <c r="C98" s="41" t="s">
        <v>423</v>
      </c>
      <c r="D98" s="41" t="s">
        <v>424</v>
      </c>
      <c r="E98" s="40"/>
      <c r="F98" s="49" t="str">
        <f t="shared" ref="F98:J98" ca="1" si="96">IFERROR(__xludf.DUMMYFUNCTION("if (A98 &lt;&gt; """", GOOGLETRANSLATE(A98, ""auto"", ""en""), """")"),"")</f>
        <v/>
      </c>
      <c r="G98" s="49" t="str">
        <f t="shared" ca="1" si="96"/>
        <v/>
      </c>
      <c r="H98" s="49" t="str">
        <f t="shared" ca="1" si="96"/>
        <v/>
      </c>
      <c r="I98" s="49" t="str">
        <f t="shared" ca="1" si="96"/>
        <v/>
      </c>
      <c r="J98" s="49" t="str">
        <f t="shared" ca="1" si="96"/>
        <v/>
      </c>
    </row>
    <row r="99" spans="1:10" ht="12.75" x14ac:dyDescent="0.2">
      <c r="A99" s="40"/>
      <c r="B99" s="41" t="s">
        <v>422</v>
      </c>
      <c r="C99" s="41" t="s">
        <v>425</v>
      </c>
      <c r="D99" s="41" t="s">
        <v>426</v>
      </c>
      <c r="E99" s="40"/>
      <c r="F99" s="49" t="str">
        <f t="shared" ref="F99:J99" ca="1" si="97">IFERROR(__xludf.DUMMYFUNCTION("if (A99 &lt;&gt; """", GOOGLETRANSLATE(A99, ""auto"", ""en""), """")"),"")</f>
        <v/>
      </c>
      <c r="G99" s="49" t="str">
        <f t="shared" ca="1" si="97"/>
        <v/>
      </c>
      <c r="H99" s="49" t="str">
        <f t="shared" ca="1" si="97"/>
        <v/>
      </c>
      <c r="I99" s="49" t="str">
        <f t="shared" ca="1" si="97"/>
        <v/>
      </c>
      <c r="J99" s="49" t="str">
        <f t="shared" ca="1" si="97"/>
        <v/>
      </c>
    </row>
    <row r="100" spans="1:10" ht="12.75" x14ac:dyDescent="0.2">
      <c r="A100" s="40"/>
      <c r="B100" s="41" t="s">
        <v>403</v>
      </c>
      <c r="C100" s="41" t="s">
        <v>40</v>
      </c>
      <c r="D100" s="41" t="s">
        <v>60</v>
      </c>
      <c r="E100" s="40"/>
      <c r="F100" s="49" t="str">
        <f t="shared" ref="F100:J100" ca="1" si="98">IFERROR(__xludf.DUMMYFUNCTION("if (A100 &lt;&gt; """", GOOGLETRANSLATE(A100, ""auto"", ""en""), """")"),"")</f>
        <v/>
      </c>
      <c r="G100" s="49" t="str">
        <f t="shared" ca="1" si="98"/>
        <v/>
      </c>
      <c r="H100" s="49" t="str">
        <f t="shared" ca="1" si="98"/>
        <v/>
      </c>
      <c r="I100" s="49" t="str">
        <f t="shared" ca="1" si="98"/>
        <v/>
      </c>
      <c r="J100" s="49" t="str">
        <f t="shared" ca="1" si="98"/>
        <v/>
      </c>
    </row>
    <row r="101" spans="1:10" ht="12.75" x14ac:dyDescent="0.2">
      <c r="A101" s="40"/>
      <c r="B101" s="41" t="s">
        <v>403</v>
      </c>
      <c r="C101" s="41" t="s">
        <v>44</v>
      </c>
      <c r="D101" s="41" t="s">
        <v>75</v>
      </c>
      <c r="E101" s="40"/>
      <c r="F101" s="49" t="str">
        <f t="shared" ref="F101:J101" ca="1" si="99">IFERROR(__xludf.DUMMYFUNCTION("if (A101 &lt;&gt; """", GOOGLETRANSLATE(A101, ""auto"", ""en""), """")"),"")</f>
        <v/>
      </c>
      <c r="G101" s="49" t="str">
        <f t="shared" ca="1" si="99"/>
        <v/>
      </c>
      <c r="H101" s="49" t="str">
        <f t="shared" ca="1" si="99"/>
        <v/>
      </c>
      <c r="I101" s="49" t="str">
        <f t="shared" ca="1" si="99"/>
        <v/>
      </c>
      <c r="J101" s="49" t="str">
        <f t="shared" ca="1" si="99"/>
        <v/>
      </c>
    </row>
    <row r="102" spans="1:10" ht="12.75" x14ac:dyDescent="0.2">
      <c r="A102" s="40"/>
      <c r="B102" s="41" t="s">
        <v>403</v>
      </c>
      <c r="C102" s="41" t="s">
        <v>48</v>
      </c>
      <c r="D102" s="41" t="s">
        <v>87</v>
      </c>
      <c r="E102" s="40"/>
      <c r="F102" s="49" t="str">
        <f t="shared" ref="F102:J102" ca="1" si="100">IFERROR(__xludf.DUMMYFUNCTION("if (A102 &lt;&gt; """", GOOGLETRANSLATE(A102, ""auto"", ""en""), """")"),"")</f>
        <v/>
      </c>
      <c r="G102" s="49" t="str">
        <f t="shared" ca="1" si="100"/>
        <v/>
      </c>
      <c r="H102" s="49" t="str">
        <f t="shared" ca="1" si="100"/>
        <v/>
      </c>
      <c r="I102" s="49" t="str">
        <f t="shared" ca="1" si="100"/>
        <v/>
      </c>
      <c r="J102" s="49" t="str">
        <f t="shared" ca="1" si="100"/>
        <v/>
      </c>
    </row>
    <row r="103" spans="1:10" ht="12.75" x14ac:dyDescent="0.2">
      <c r="A103" s="40"/>
      <c r="B103" s="41" t="s">
        <v>403</v>
      </c>
      <c r="C103" s="41" t="s">
        <v>51</v>
      </c>
      <c r="D103" s="41" t="s">
        <v>115</v>
      </c>
      <c r="E103" s="40"/>
      <c r="F103" s="49" t="str">
        <f t="shared" ref="F103:J103" ca="1" si="101">IFERROR(__xludf.DUMMYFUNCTION("if (A103 &lt;&gt; """", GOOGLETRANSLATE(A103, ""auto"", ""en""), """")"),"")</f>
        <v/>
      </c>
      <c r="G103" s="49" t="str">
        <f t="shared" ca="1" si="101"/>
        <v/>
      </c>
      <c r="H103" s="49" t="str">
        <f t="shared" ca="1" si="101"/>
        <v/>
      </c>
      <c r="I103" s="49" t="str">
        <f t="shared" ca="1" si="101"/>
        <v/>
      </c>
      <c r="J103" s="49" t="str">
        <f t="shared" ca="1" si="101"/>
        <v/>
      </c>
    </row>
    <row r="104" spans="1:10" ht="12.75" x14ac:dyDescent="0.2">
      <c r="A104" s="40"/>
      <c r="B104" s="41" t="s">
        <v>403</v>
      </c>
      <c r="C104" s="41" t="s">
        <v>53</v>
      </c>
      <c r="D104" s="41" t="s">
        <v>164</v>
      </c>
      <c r="E104" s="40"/>
      <c r="F104" s="49" t="str">
        <f t="shared" ref="F104:J104" ca="1" si="102">IFERROR(__xludf.DUMMYFUNCTION("if (A104 &lt;&gt; """", GOOGLETRANSLATE(A104, ""auto"", ""en""), """")"),"")</f>
        <v/>
      </c>
      <c r="G104" s="49" t="str">
        <f t="shared" ca="1" si="102"/>
        <v/>
      </c>
      <c r="H104" s="49" t="str">
        <f t="shared" ca="1" si="102"/>
        <v/>
      </c>
      <c r="I104" s="49" t="str">
        <f t="shared" ca="1" si="102"/>
        <v/>
      </c>
      <c r="J104" s="49" t="str">
        <f t="shared" ca="1" si="102"/>
        <v/>
      </c>
    </row>
    <row r="105" spans="1:10" ht="12.75" x14ac:dyDescent="0.2">
      <c r="A105" s="40"/>
      <c r="B105" s="41" t="s">
        <v>403</v>
      </c>
      <c r="C105" s="41" t="s">
        <v>56</v>
      </c>
      <c r="D105" s="41" t="s">
        <v>29</v>
      </c>
      <c r="E105" s="40"/>
      <c r="F105" s="49" t="str">
        <f t="shared" ref="F105:J105" ca="1" si="103">IFERROR(__xludf.DUMMYFUNCTION("if (A105 &lt;&gt; """", GOOGLETRANSLATE(A105, ""auto"", ""en""), """")"),"")</f>
        <v/>
      </c>
      <c r="G105" s="49" t="str">
        <f t="shared" ca="1" si="103"/>
        <v/>
      </c>
      <c r="H105" s="49" t="str">
        <f t="shared" ca="1" si="103"/>
        <v/>
      </c>
      <c r="I105" s="49" t="str">
        <f t="shared" ca="1" si="103"/>
        <v/>
      </c>
      <c r="J105" s="49" t="str">
        <f t="shared" ca="1" si="103"/>
        <v/>
      </c>
    </row>
    <row r="106" spans="1:10" ht="12.75" x14ac:dyDescent="0.2">
      <c r="A106" s="40"/>
      <c r="B106" s="40"/>
      <c r="C106" s="40"/>
      <c r="D106" s="40"/>
      <c r="E106" s="40"/>
      <c r="F106" s="49" t="str">
        <f t="shared" ref="F106:J106" ca="1" si="104">IFERROR(__xludf.DUMMYFUNCTION("if (A106 &lt;&gt; """", GOOGLETRANSLATE(A106, ""auto"", ""en""), """")"),"")</f>
        <v/>
      </c>
      <c r="G106" s="49" t="str">
        <f t="shared" ca="1" si="104"/>
        <v/>
      </c>
      <c r="H106" s="49" t="str">
        <f t="shared" ca="1" si="104"/>
        <v/>
      </c>
      <c r="I106" s="49" t="str">
        <f t="shared" ca="1" si="104"/>
        <v/>
      </c>
      <c r="J106" s="49" t="str">
        <f t="shared" ca="1" si="104"/>
        <v/>
      </c>
    </row>
    <row r="107" spans="1:10" ht="25.5" x14ac:dyDescent="0.2">
      <c r="A107" s="41" t="s">
        <v>11</v>
      </c>
      <c r="B107" s="40"/>
      <c r="C107" s="40"/>
      <c r="D107" s="40"/>
      <c r="E107" s="40"/>
      <c r="F107" s="49" t="str">
        <f t="shared" ref="F107:J107" ca="1" si="105">IFERROR(__xludf.DUMMYFUNCTION("if (A107 &lt;&gt; """", GOOGLETRANSLATE(A107, ""auto"", ""en""), """")"),"FAQ-Guest1-1")</f>
        <v>FAQ-Guest1-1</v>
      </c>
      <c r="G107" s="49" t="str">
        <f t="shared" ca="1" si="105"/>
        <v>FAQ-Guest1-1</v>
      </c>
      <c r="H107" s="49" t="str">
        <f t="shared" ca="1" si="105"/>
        <v>FAQ-Guest1-1</v>
      </c>
      <c r="I107" s="49" t="str">
        <f t="shared" ca="1" si="105"/>
        <v>FAQ-Guest1-1</v>
      </c>
      <c r="J107" s="49" t="str">
        <f t="shared" ca="1" si="105"/>
        <v>FAQ-Guest1-1</v>
      </c>
    </row>
    <row r="108" spans="1:10" ht="12.75" x14ac:dyDescent="0.2">
      <c r="A108" s="40"/>
      <c r="B108" s="41" t="s">
        <v>398</v>
      </c>
      <c r="C108" s="40"/>
      <c r="D108" s="40"/>
      <c r="E108" s="40"/>
      <c r="F108" s="49" t="str">
        <f t="shared" ref="F108:J108" ca="1" si="106">IFERROR(__xludf.DUMMYFUNCTION("if (A108 &lt;&gt; """", GOOGLETRANSLATE(A108, ""auto"", ""en""), """")"),"")</f>
        <v/>
      </c>
      <c r="G108" s="49" t="str">
        <f t="shared" ca="1" si="106"/>
        <v/>
      </c>
      <c r="H108" s="49" t="str">
        <f t="shared" ca="1" si="106"/>
        <v/>
      </c>
      <c r="I108" s="49" t="str">
        <f t="shared" ca="1" si="106"/>
        <v/>
      </c>
      <c r="J108" s="49" t="str">
        <f t="shared" ca="1" si="106"/>
        <v/>
      </c>
    </row>
    <row r="109" spans="1:10" ht="12.75" x14ac:dyDescent="0.2">
      <c r="A109" s="40"/>
      <c r="B109" s="41" t="s">
        <v>399</v>
      </c>
      <c r="C109" s="40"/>
      <c r="D109" s="40"/>
      <c r="E109" s="40"/>
      <c r="F109" s="49" t="str">
        <f t="shared" ref="F109:J109" ca="1" si="107">IFERROR(__xludf.DUMMYFUNCTION("if (A109 &lt;&gt; """", GOOGLETRANSLATE(A109, ""auto"", ""en""), """")"),"")</f>
        <v/>
      </c>
      <c r="G109" s="49" t="str">
        <f t="shared" ca="1" si="107"/>
        <v/>
      </c>
      <c r="H109" s="49" t="str">
        <f t="shared" ca="1" si="107"/>
        <v/>
      </c>
      <c r="I109" s="49" t="str">
        <f t="shared" ca="1" si="107"/>
        <v/>
      </c>
      <c r="J109" s="49" t="str">
        <f t="shared" ca="1" si="107"/>
        <v/>
      </c>
    </row>
    <row r="110" spans="1:10" ht="12.75" x14ac:dyDescent="0.2">
      <c r="A110" s="40"/>
      <c r="B110" s="41" t="s">
        <v>400</v>
      </c>
      <c r="C110" s="40"/>
      <c r="D110" s="40"/>
      <c r="E110" s="40"/>
      <c r="F110" s="49" t="str">
        <f t="shared" ref="F110:J110" ca="1" si="108">IFERROR(__xludf.DUMMYFUNCTION("if (A110 &lt;&gt; """", GOOGLETRANSLATE(A110, ""auto"", ""en""), """")"),"")</f>
        <v/>
      </c>
      <c r="G110" s="49" t="str">
        <f t="shared" ca="1" si="108"/>
        <v/>
      </c>
      <c r="H110" s="49" t="str">
        <f t="shared" ca="1" si="108"/>
        <v/>
      </c>
      <c r="I110" s="49" t="str">
        <f t="shared" ca="1" si="108"/>
        <v/>
      </c>
      <c r="J110" s="49" t="str">
        <f t="shared" ca="1" si="108"/>
        <v/>
      </c>
    </row>
    <row r="111" spans="1:10" ht="12.75" x14ac:dyDescent="0.2">
      <c r="A111" s="40"/>
      <c r="B111" s="41" t="s">
        <v>401</v>
      </c>
      <c r="C111" s="41" t="s">
        <v>11</v>
      </c>
      <c r="D111" s="40"/>
      <c r="E111" s="40"/>
      <c r="F111" s="49" t="str">
        <f t="shared" ref="F111:J111" ca="1" si="109">IFERROR(__xludf.DUMMYFUNCTION("if (A111 &lt;&gt; """", GOOGLETRANSLATE(A111, ""auto"", ""en""), """")"),"")</f>
        <v/>
      </c>
      <c r="G111" s="49" t="str">
        <f t="shared" ca="1" si="109"/>
        <v/>
      </c>
      <c r="H111" s="49" t="str">
        <f t="shared" ca="1" si="109"/>
        <v/>
      </c>
      <c r="I111" s="49" t="str">
        <f t="shared" ca="1" si="109"/>
        <v/>
      </c>
      <c r="J111" s="49" t="str">
        <f t="shared" ca="1" si="109"/>
        <v/>
      </c>
    </row>
    <row r="112" spans="1:10" ht="127.5" x14ac:dyDescent="0.2">
      <c r="A112" s="41" t="s">
        <v>427</v>
      </c>
      <c r="B112" s="41" t="s">
        <v>402</v>
      </c>
      <c r="C112" s="41" t="s">
        <v>428</v>
      </c>
      <c r="D112" s="40"/>
      <c r="E112" s="40"/>
      <c r="F112" s="49" t="str">
        <f t="shared" ref="F112:J112" ca="1" si="110">IFERROR(__xludf.DUMMYFUNCTION("if (A112 &lt;&gt; """", GOOGLETRANSLATE(A112, ""auto"", ""en""), """")"),"Identification certificate is required")</f>
        <v>Identification certificate is required</v>
      </c>
      <c r="G112" s="49" t="str">
        <f t="shared" ca="1" si="110"/>
        <v>Identification certificate is required</v>
      </c>
      <c r="H112" s="49" t="str">
        <f t="shared" ca="1" si="110"/>
        <v>Identification certificate is required</v>
      </c>
      <c r="I112" s="49" t="str">
        <f t="shared" ca="1" si="110"/>
        <v>Identification certificate is required</v>
      </c>
      <c r="J112" s="49" t="str">
        <f t="shared" ca="1" si="110"/>
        <v>Identification certificate is required</v>
      </c>
    </row>
    <row r="113" spans="1:10" ht="51" x14ac:dyDescent="0.2">
      <c r="A113" s="41" t="s">
        <v>429</v>
      </c>
      <c r="B113" s="41" t="s">
        <v>402</v>
      </c>
      <c r="C113" s="41" t="s">
        <v>19</v>
      </c>
      <c r="D113" s="40"/>
      <c r="E113" s="40"/>
      <c r="F113" s="49" t="str">
        <f t="shared" ref="F113:J113" ca="1" si="111">IFERROR(__xludf.DUMMYFUNCTION("if (A113 &lt;&gt; """", GOOGLETRANSLATE(A113, ""auto"", ""en""), """")"),"Or identification certificate is required")</f>
        <v>Or identification certificate is required</v>
      </c>
      <c r="G113" s="49" t="str">
        <f t="shared" ca="1" si="111"/>
        <v>Or identification certificate is required</v>
      </c>
      <c r="H113" s="49" t="str">
        <f t="shared" ca="1" si="111"/>
        <v>Or identification certificate is required</v>
      </c>
      <c r="I113" s="49" t="str">
        <f t="shared" ca="1" si="111"/>
        <v>Or identification certificate is required</v>
      </c>
      <c r="J113" s="49" t="str">
        <f t="shared" ca="1" si="111"/>
        <v>Or identification certificate is required</v>
      </c>
    </row>
    <row r="114" spans="1:10" ht="38.25" x14ac:dyDescent="0.2">
      <c r="A114" s="41" t="s">
        <v>430</v>
      </c>
      <c r="B114" s="40"/>
      <c r="C114" s="40"/>
      <c r="D114" s="40"/>
      <c r="E114" s="40"/>
      <c r="F114" s="49" t="str">
        <f t="shared" ref="F114:J114" ca="1" si="112">IFERROR(__xludf.DUMMYFUNCTION("if (A114 &lt;&gt; """", GOOGLETRANSLATE(A114, ""auto"", ""en""), """")"),"Health insurance certificate")</f>
        <v>Health insurance certificate</v>
      </c>
      <c r="G114" s="49" t="str">
        <f t="shared" ca="1" si="112"/>
        <v>Health insurance certificate</v>
      </c>
      <c r="H114" s="49" t="str">
        <f t="shared" ca="1" si="112"/>
        <v>Health insurance certificate</v>
      </c>
      <c r="I114" s="49" t="str">
        <f t="shared" ca="1" si="112"/>
        <v>Health insurance certificate</v>
      </c>
      <c r="J114" s="49" t="str">
        <f t="shared" ca="1" si="112"/>
        <v>Health insurance certificate</v>
      </c>
    </row>
    <row r="115" spans="1:10" ht="25.5" x14ac:dyDescent="0.2">
      <c r="A115" s="41" t="s">
        <v>431</v>
      </c>
      <c r="B115" s="40"/>
      <c r="C115" s="40"/>
      <c r="D115" s="40"/>
      <c r="E115" s="40"/>
      <c r="F115" s="49" t="str">
        <f t="shared" ref="F115:J115" ca="1" si="113">IFERROR(__xludf.DUMMYFUNCTION("if (A115 &lt;&gt; """", GOOGLETRANSLATE(A115, ""auto"", ""en""), """")"),"Driver's License")</f>
        <v>Driver's License</v>
      </c>
      <c r="G115" s="49" t="str">
        <f t="shared" ca="1" si="113"/>
        <v>Driver's License</v>
      </c>
      <c r="H115" s="49" t="str">
        <f t="shared" ca="1" si="113"/>
        <v>Driver's License</v>
      </c>
      <c r="I115" s="49" t="str">
        <f t="shared" ca="1" si="113"/>
        <v>Driver's License</v>
      </c>
      <c r="J115" s="49" t="str">
        <f t="shared" ca="1" si="113"/>
        <v>Driver's License</v>
      </c>
    </row>
    <row r="116" spans="1:10" ht="25.5" x14ac:dyDescent="0.2">
      <c r="A116" s="41" t="s">
        <v>432</v>
      </c>
      <c r="B116" s="40"/>
      <c r="C116" s="40"/>
      <c r="D116" s="40"/>
      <c r="E116" s="40"/>
      <c r="F116" s="49" t="str">
        <f t="shared" ref="F116:J116" ca="1" si="114">IFERROR(__xludf.DUMMYFUNCTION("if (A116 &lt;&gt; """", GOOGLETRANSLATE(A116, ""auto"", ""en""), """")"),"Insurance certificate")</f>
        <v>Insurance certificate</v>
      </c>
      <c r="G116" s="49" t="str">
        <f t="shared" ca="1" si="114"/>
        <v>Insurance certificate</v>
      </c>
      <c r="H116" s="49" t="str">
        <f t="shared" ca="1" si="114"/>
        <v>Insurance certificate</v>
      </c>
      <c r="I116" s="49" t="str">
        <f t="shared" ca="1" si="114"/>
        <v>Insurance certificate</v>
      </c>
      <c r="J116" s="49" t="str">
        <f t="shared" ca="1" si="114"/>
        <v>Insurance certificate</v>
      </c>
    </row>
    <row r="117" spans="1:10" ht="12.75" x14ac:dyDescent="0.2">
      <c r="A117" s="41" t="s">
        <v>433</v>
      </c>
      <c r="B117" s="40"/>
      <c r="C117" s="40"/>
      <c r="D117" s="40"/>
      <c r="E117" s="40"/>
      <c r="F117" s="49" t="str">
        <f t="shared" ref="F117:J117" ca="1" si="115">IFERROR(__xludf.DUMMYFUNCTION("if (A117 &lt;&gt; """", GOOGLETRANSLATE(A117, ""auto"", ""en""), """")"),"Identification")</f>
        <v>Identification</v>
      </c>
      <c r="G117" s="49" t="str">
        <f t="shared" ca="1" si="115"/>
        <v>Identification</v>
      </c>
      <c r="H117" s="49" t="str">
        <f t="shared" ca="1" si="115"/>
        <v>Identification</v>
      </c>
      <c r="I117" s="49" t="str">
        <f t="shared" ca="1" si="115"/>
        <v>Identification</v>
      </c>
      <c r="J117" s="49" t="str">
        <f t="shared" ca="1" si="115"/>
        <v>Identification</v>
      </c>
    </row>
    <row r="118" spans="1:10" ht="25.5" x14ac:dyDescent="0.2">
      <c r="A118" s="41" t="s">
        <v>13</v>
      </c>
      <c r="B118" s="40"/>
      <c r="C118" s="40"/>
      <c r="D118" s="40"/>
      <c r="E118" s="40"/>
      <c r="F118" s="49" t="str">
        <f t="shared" ref="F118:J118" ca="1" si="116">IFERROR(__xludf.DUMMYFUNCTION("if (A118 &lt;&gt; """", GOOGLETRANSLATE(A118, ""auto"", ""en""), """")"),"For identification")</f>
        <v>For identification</v>
      </c>
      <c r="G118" s="49" t="str">
        <f t="shared" ca="1" si="116"/>
        <v>For identification</v>
      </c>
      <c r="H118" s="49" t="str">
        <f t="shared" ca="1" si="116"/>
        <v>For identification</v>
      </c>
      <c r="I118" s="49" t="str">
        <f t="shared" ca="1" si="116"/>
        <v>For identification</v>
      </c>
      <c r="J118" s="49" t="str">
        <f t="shared" ca="1" si="116"/>
        <v>For identification</v>
      </c>
    </row>
    <row r="119" spans="1:10" ht="12.75" x14ac:dyDescent="0.2">
      <c r="A119" s="40"/>
      <c r="B119" s="41" t="s">
        <v>403</v>
      </c>
      <c r="C119" s="41" t="s">
        <v>24</v>
      </c>
      <c r="D119" s="41" t="s">
        <v>26</v>
      </c>
      <c r="E119" s="40"/>
      <c r="F119" s="49" t="str">
        <f t="shared" ref="F119:J119" ca="1" si="117">IFERROR(__xludf.DUMMYFUNCTION("if (A119 &lt;&gt; """", GOOGLETRANSLATE(A119, ""auto"", ""en""), """")"),"")</f>
        <v/>
      </c>
      <c r="G119" s="49" t="str">
        <f t="shared" ca="1" si="117"/>
        <v/>
      </c>
      <c r="H119" s="49" t="str">
        <f t="shared" ca="1" si="117"/>
        <v/>
      </c>
      <c r="I119" s="49" t="str">
        <f t="shared" ca="1" si="117"/>
        <v/>
      </c>
      <c r="J119" s="49" t="str">
        <f t="shared" ca="1" si="117"/>
        <v/>
      </c>
    </row>
    <row r="120" spans="1:10" ht="12.75" x14ac:dyDescent="0.2">
      <c r="A120" s="40"/>
      <c r="B120" s="41" t="s">
        <v>403</v>
      </c>
      <c r="C120" s="41" t="s">
        <v>32</v>
      </c>
      <c r="D120" s="41" t="s">
        <v>29</v>
      </c>
      <c r="E120" s="40"/>
      <c r="F120" s="49" t="str">
        <f t="shared" ref="F120:J120" ca="1" si="118">IFERROR(__xludf.DUMMYFUNCTION("if (A120 &lt;&gt; """", GOOGLETRANSLATE(A120, ""auto"", ""en""), """")"),"")</f>
        <v/>
      </c>
      <c r="G120" s="49" t="str">
        <f t="shared" ca="1" si="118"/>
        <v/>
      </c>
      <c r="H120" s="49" t="str">
        <f t="shared" ca="1" si="118"/>
        <v/>
      </c>
      <c r="I120" s="49" t="str">
        <f t="shared" ca="1" si="118"/>
        <v/>
      </c>
      <c r="J120" s="49" t="str">
        <f t="shared" ca="1" si="118"/>
        <v/>
      </c>
    </row>
    <row r="121" spans="1:10" ht="12.75" x14ac:dyDescent="0.2">
      <c r="A121" s="40"/>
      <c r="B121" s="41" t="s">
        <v>403</v>
      </c>
      <c r="C121" s="41" t="s">
        <v>25</v>
      </c>
      <c r="D121" s="41" t="s">
        <v>27</v>
      </c>
      <c r="E121" s="40"/>
      <c r="F121" s="49" t="str">
        <f t="shared" ref="F121:J121" ca="1" si="119">IFERROR(__xludf.DUMMYFUNCTION("if (A121 &lt;&gt; """", GOOGLETRANSLATE(A121, ""auto"", ""en""), """")"),"")</f>
        <v/>
      </c>
      <c r="G121" s="49" t="str">
        <f t="shared" ca="1" si="119"/>
        <v/>
      </c>
      <c r="H121" s="49" t="str">
        <f t="shared" ca="1" si="119"/>
        <v/>
      </c>
      <c r="I121" s="49" t="str">
        <f t="shared" ca="1" si="119"/>
        <v/>
      </c>
      <c r="J121" s="49" t="str">
        <f t="shared" ca="1" si="119"/>
        <v/>
      </c>
    </row>
    <row r="122" spans="1:10" ht="12.75" x14ac:dyDescent="0.2">
      <c r="A122" s="40"/>
      <c r="B122" s="41" t="s">
        <v>403</v>
      </c>
      <c r="C122" s="41" t="s">
        <v>30</v>
      </c>
      <c r="D122" s="41" t="s">
        <v>31</v>
      </c>
      <c r="E122" s="40"/>
      <c r="F122" s="49" t="str">
        <f t="shared" ref="F122:J122" ca="1" si="120">IFERROR(__xludf.DUMMYFUNCTION("if (A122 &lt;&gt; """", GOOGLETRANSLATE(A122, ""auto"", ""en""), """")"),"")</f>
        <v/>
      </c>
      <c r="G122" s="49" t="str">
        <f t="shared" ca="1" si="120"/>
        <v/>
      </c>
      <c r="H122" s="49" t="str">
        <f t="shared" ca="1" si="120"/>
        <v/>
      </c>
      <c r="I122" s="49" t="str">
        <f t="shared" ca="1" si="120"/>
        <v/>
      </c>
      <c r="J122" s="49" t="str">
        <f t="shared" ca="1" si="120"/>
        <v/>
      </c>
    </row>
    <row r="123" spans="1:10" ht="12.75" x14ac:dyDescent="0.2">
      <c r="A123" s="40"/>
      <c r="B123" s="40"/>
      <c r="C123" s="40"/>
      <c r="D123" s="40"/>
      <c r="E123" s="40"/>
      <c r="F123" s="49" t="str">
        <f t="shared" ref="F123:J123" ca="1" si="121">IFERROR(__xludf.DUMMYFUNCTION("if (A123 &lt;&gt; """", GOOGLETRANSLATE(A123, ""auto"", ""en""), """")"),"")</f>
        <v/>
      </c>
      <c r="G123" s="49" t="str">
        <f t="shared" ca="1" si="121"/>
        <v/>
      </c>
      <c r="H123" s="49" t="str">
        <f t="shared" ca="1" si="121"/>
        <v/>
      </c>
      <c r="I123" s="49" t="str">
        <f t="shared" ca="1" si="121"/>
        <v/>
      </c>
      <c r="J123" s="49" t="str">
        <f t="shared" ca="1" si="121"/>
        <v/>
      </c>
    </row>
    <row r="124" spans="1:10" ht="25.5" x14ac:dyDescent="0.2">
      <c r="A124" s="41" t="s">
        <v>36</v>
      </c>
      <c r="B124" s="40"/>
      <c r="C124" s="40"/>
      <c r="D124" s="40"/>
      <c r="E124" s="40"/>
      <c r="F124" s="49" t="str">
        <f t="shared" ref="F124:J124" ca="1" si="122">IFERROR(__xludf.DUMMYFUNCTION("if (A124 &lt;&gt; """", GOOGLETRANSLATE(A124, ""auto"", ""en""), """")"),"FAQ-Guest1-2")</f>
        <v>FAQ-Guest1-2</v>
      </c>
      <c r="G124" s="49" t="str">
        <f t="shared" ca="1" si="122"/>
        <v>FAQ-Guest1-2</v>
      </c>
      <c r="H124" s="49" t="str">
        <f t="shared" ca="1" si="122"/>
        <v>FAQ-Guest1-2</v>
      </c>
      <c r="I124" s="49" t="str">
        <f t="shared" ca="1" si="122"/>
        <v>FAQ-Guest1-2</v>
      </c>
      <c r="J124" s="49" t="str">
        <f t="shared" ca="1" si="122"/>
        <v>FAQ-Guest1-2</v>
      </c>
    </row>
    <row r="125" spans="1:10" ht="12.75" x14ac:dyDescent="0.2">
      <c r="A125" s="40"/>
      <c r="B125" s="41" t="s">
        <v>398</v>
      </c>
      <c r="C125" s="40"/>
      <c r="D125" s="40"/>
      <c r="E125" s="40"/>
      <c r="F125" s="49" t="str">
        <f t="shared" ref="F125:J125" ca="1" si="123">IFERROR(__xludf.DUMMYFUNCTION("if (A125 &lt;&gt; """", GOOGLETRANSLATE(A125, ""auto"", ""en""), """")"),"")</f>
        <v/>
      </c>
      <c r="G125" s="49" t="str">
        <f t="shared" ca="1" si="123"/>
        <v/>
      </c>
      <c r="H125" s="49" t="str">
        <f t="shared" ca="1" si="123"/>
        <v/>
      </c>
      <c r="I125" s="49" t="str">
        <f t="shared" ca="1" si="123"/>
        <v/>
      </c>
      <c r="J125" s="49" t="str">
        <f t="shared" ca="1" si="123"/>
        <v/>
      </c>
    </row>
    <row r="126" spans="1:10" ht="12.75" x14ac:dyDescent="0.2">
      <c r="A126" s="40"/>
      <c r="B126" s="41" t="s">
        <v>399</v>
      </c>
      <c r="C126" s="40"/>
      <c r="D126" s="40"/>
      <c r="E126" s="40"/>
      <c r="F126" s="49" t="str">
        <f t="shared" ref="F126:J126" ca="1" si="124">IFERROR(__xludf.DUMMYFUNCTION("if (A126 &lt;&gt; """", GOOGLETRANSLATE(A126, ""auto"", ""en""), """")"),"")</f>
        <v/>
      </c>
      <c r="G126" s="49" t="str">
        <f t="shared" ca="1" si="124"/>
        <v/>
      </c>
      <c r="H126" s="49" t="str">
        <f t="shared" ca="1" si="124"/>
        <v/>
      </c>
      <c r="I126" s="49" t="str">
        <f t="shared" ca="1" si="124"/>
        <v/>
      </c>
      <c r="J126" s="49" t="str">
        <f t="shared" ca="1" si="124"/>
        <v/>
      </c>
    </row>
    <row r="127" spans="1:10" ht="12.75" x14ac:dyDescent="0.2">
      <c r="A127" s="40"/>
      <c r="B127" s="41" t="s">
        <v>400</v>
      </c>
      <c r="C127" s="40"/>
      <c r="D127" s="40"/>
      <c r="E127" s="40"/>
      <c r="F127" s="49" t="str">
        <f t="shared" ref="F127:J127" ca="1" si="125">IFERROR(__xludf.DUMMYFUNCTION("if (A127 &lt;&gt; """", GOOGLETRANSLATE(A127, ""auto"", ""en""), """")"),"")</f>
        <v/>
      </c>
      <c r="G127" s="49" t="str">
        <f t="shared" ca="1" si="125"/>
        <v/>
      </c>
      <c r="H127" s="49" t="str">
        <f t="shared" ca="1" si="125"/>
        <v/>
      </c>
      <c r="I127" s="49" t="str">
        <f t="shared" ca="1" si="125"/>
        <v/>
      </c>
      <c r="J127" s="49" t="str">
        <f t="shared" ca="1" si="125"/>
        <v/>
      </c>
    </row>
    <row r="128" spans="1:10" ht="12.75" x14ac:dyDescent="0.2">
      <c r="A128" s="40"/>
      <c r="B128" s="41" t="s">
        <v>401</v>
      </c>
      <c r="C128" s="41" t="s">
        <v>36</v>
      </c>
      <c r="D128" s="40"/>
      <c r="E128" s="40"/>
      <c r="F128" s="49" t="str">
        <f t="shared" ref="F128:J128" ca="1" si="126">IFERROR(__xludf.DUMMYFUNCTION("if (A128 &lt;&gt; """", GOOGLETRANSLATE(A128, ""auto"", ""en""), """")"),"")</f>
        <v/>
      </c>
      <c r="G128" s="49" t="str">
        <f t="shared" ca="1" si="126"/>
        <v/>
      </c>
      <c r="H128" s="49" t="str">
        <f t="shared" ca="1" si="126"/>
        <v/>
      </c>
      <c r="I128" s="49" t="str">
        <f t="shared" ca="1" si="126"/>
        <v/>
      </c>
      <c r="J128" s="49" t="str">
        <f t="shared" ca="1" si="126"/>
        <v/>
      </c>
    </row>
    <row r="129" spans="1:10" ht="102" x14ac:dyDescent="0.2">
      <c r="A129" s="41" t="s">
        <v>434</v>
      </c>
      <c r="B129" s="41" t="s">
        <v>402</v>
      </c>
      <c r="C129" s="41" t="s">
        <v>435</v>
      </c>
      <c r="D129" s="40"/>
      <c r="E129" s="40"/>
      <c r="F129" s="49" t="str">
        <f t="shared" ref="F129:J129" ca="1" si="127">IFERROR(__xludf.DUMMYFUNCTION("if (A129 &lt;&gt; """", GOOGLETRANSLATE(A129, ""auto"", ""en""), """")"),"Or passport is required")</f>
        <v>Or passport is required</v>
      </c>
      <c r="G129" s="49" t="str">
        <f t="shared" ca="1" si="127"/>
        <v>Or passport is required</v>
      </c>
      <c r="H129" s="49" t="str">
        <f t="shared" ca="1" si="127"/>
        <v>Or passport is required</v>
      </c>
      <c r="I129" s="49" t="str">
        <f t="shared" ca="1" si="127"/>
        <v>Or passport is required</v>
      </c>
      <c r="J129" s="49" t="str">
        <f t="shared" ca="1" si="127"/>
        <v>Or passport is required</v>
      </c>
    </row>
    <row r="130" spans="1:10" ht="25.5" x14ac:dyDescent="0.2">
      <c r="A130" s="41" t="s">
        <v>436</v>
      </c>
      <c r="B130" s="41" t="s">
        <v>402</v>
      </c>
      <c r="C130" s="41" t="s">
        <v>19</v>
      </c>
      <c r="D130" s="40"/>
      <c r="E130" s="40"/>
      <c r="F130" s="49" t="str">
        <f t="shared" ref="F130:J130" ca="1" si="128">IFERROR(__xludf.DUMMYFUNCTION("if (A130 &lt;&gt; """", GOOGLETRANSLATE(A130, ""auto"", ""en""), """")"),"Passport is necessary")</f>
        <v>Passport is necessary</v>
      </c>
      <c r="G130" s="49" t="str">
        <f t="shared" ca="1" si="128"/>
        <v>Passport is necessary</v>
      </c>
      <c r="H130" s="49" t="str">
        <f t="shared" ca="1" si="128"/>
        <v>Passport is necessary</v>
      </c>
      <c r="I130" s="49" t="str">
        <f t="shared" ca="1" si="128"/>
        <v>Passport is necessary</v>
      </c>
      <c r="J130" s="49" t="str">
        <f t="shared" ca="1" si="128"/>
        <v>Passport is necessary</v>
      </c>
    </row>
    <row r="131" spans="1:10" ht="12.75" x14ac:dyDescent="0.2">
      <c r="A131" s="41" t="s">
        <v>437</v>
      </c>
      <c r="B131" s="40"/>
      <c r="C131" s="40"/>
      <c r="D131" s="40"/>
      <c r="E131" s="40"/>
      <c r="F131" s="49" t="str">
        <f t="shared" ref="F131:J131" ca="1" si="129">IFERROR(__xludf.DUMMYFUNCTION("if (A131 &lt;&gt; """", GOOGLETRANSLATE(A131, ""auto"", ""en""), """")"),"passport")</f>
        <v>passport</v>
      </c>
      <c r="G131" s="49" t="str">
        <f t="shared" ca="1" si="129"/>
        <v>passport</v>
      </c>
      <c r="H131" s="49" t="str">
        <f t="shared" ca="1" si="129"/>
        <v>passport</v>
      </c>
      <c r="I131" s="49" t="str">
        <f t="shared" ca="1" si="129"/>
        <v>passport</v>
      </c>
      <c r="J131" s="49" t="str">
        <f t="shared" ca="1" si="129"/>
        <v>passport</v>
      </c>
    </row>
    <row r="132" spans="1:10" ht="12.75" x14ac:dyDescent="0.2">
      <c r="A132" s="41" t="s">
        <v>37</v>
      </c>
      <c r="B132" s="40"/>
      <c r="C132" s="40"/>
      <c r="D132" s="40"/>
      <c r="E132" s="40"/>
      <c r="F132" s="49" t="str">
        <f t="shared" ref="F132:J132" ca="1" si="130">IFERROR(__xludf.DUMMYFUNCTION("if (A132 &lt;&gt; """", GOOGLETRANSLATE(A132, ""auto"", ""en""), """")"),"For passport")</f>
        <v>For passport</v>
      </c>
      <c r="G132" s="49" t="str">
        <f t="shared" ca="1" si="130"/>
        <v>For passport</v>
      </c>
      <c r="H132" s="49" t="str">
        <f t="shared" ca="1" si="130"/>
        <v>For passport</v>
      </c>
      <c r="I132" s="49" t="str">
        <f t="shared" ca="1" si="130"/>
        <v>For passport</v>
      </c>
      <c r="J132" s="49" t="str">
        <f t="shared" ca="1" si="130"/>
        <v>For passport</v>
      </c>
    </row>
    <row r="133" spans="1:10" ht="12.75" x14ac:dyDescent="0.2">
      <c r="A133" s="40"/>
      <c r="B133" s="41" t="s">
        <v>403</v>
      </c>
      <c r="C133" s="41" t="s">
        <v>24</v>
      </c>
      <c r="D133" s="41" t="s">
        <v>26</v>
      </c>
      <c r="E133" s="40"/>
      <c r="F133" s="49" t="str">
        <f t="shared" ref="F133:J133" ca="1" si="131">IFERROR(__xludf.DUMMYFUNCTION("if (A133 &lt;&gt; """", GOOGLETRANSLATE(A133, ""auto"", ""en""), """")"),"")</f>
        <v/>
      </c>
      <c r="G133" s="49" t="str">
        <f t="shared" ca="1" si="131"/>
        <v/>
      </c>
      <c r="H133" s="49" t="str">
        <f t="shared" ca="1" si="131"/>
        <v/>
      </c>
      <c r="I133" s="49" t="str">
        <f t="shared" ca="1" si="131"/>
        <v/>
      </c>
      <c r="J133" s="49" t="str">
        <f t="shared" ca="1" si="131"/>
        <v/>
      </c>
    </row>
    <row r="134" spans="1:10" ht="12.75" x14ac:dyDescent="0.2">
      <c r="A134" s="40"/>
      <c r="B134" s="41" t="s">
        <v>403</v>
      </c>
      <c r="C134" s="41" t="s">
        <v>32</v>
      </c>
      <c r="D134" s="41" t="s">
        <v>29</v>
      </c>
      <c r="E134" s="40"/>
      <c r="F134" s="49" t="str">
        <f t="shared" ref="F134:J134" ca="1" si="132">IFERROR(__xludf.DUMMYFUNCTION("if (A134 &lt;&gt; """", GOOGLETRANSLATE(A134, ""auto"", ""en""), """")"),"")</f>
        <v/>
      </c>
      <c r="G134" s="49" t="str">
        <f t="shared" ca="1" si="132"/>
        <v/>
      </c>
      <c r="H134" s="49" t="str">
        <f t="shared" ca="1" si="132"/>
        <v/>
      </c>
      <c r="I134" s="49" t="str">
        <f t="shared" ca="1" si="132"/>
        <v/>
      </c>
      <c r="J134" s="49" t="str">
        <f t="shared" ca="1" si="132"/>
        <v/>
      </c>
    </row>
    <row r="135" spans="1:10" ht="12.75" x14ac:dyDescent="0.2">
      <c r="A135" s="40"/>
      <c r="B135" s="41" t="s">
        <v>403</v>
      </c>
      <c r="C135" s="41" t="s">
        <v>25</v>
      </c>
      <c r="D135" s="41" t="s">
        <v>27</v>
      </c>
      <c r="E135" s="40"/>
      <c r="F135" s="49" t="str">
        <f t="shared" ref="F135:J135" ca="1" si="133">IFERROR(__xludf.DUMMYFUNCTION("if (A135 &lt;&gt; """", GOOGLETRANSLATE(A135, ""auto"", ""en""), """")"),"")</f>
        <v/>
      </c>
      <c r="G135" s="49" t="str">
        <f t="shared" ca="1" si="133"/>
        <v/>
      </c>
      <c r="H135" s="49" t="str">
        <f t="shared" ca="1" si="133"/>
        <v/>
      </c>
      <c r="I135" s="49" t="str">
        <f t="shared" ca="1" si="133"/>
        <v/>
      </c>
      <c r="J135" s="49" t="str">
        <f t="shared" ca="1" si="133"/>
        <v/>
      </c>
    </row>
    <row r="136" spans="1:10" ht="12.75" x14ac:dyDescent="0.2">
      <c r="A136" s="40"/>
      <c r="B136" s="41" t="s">
        <v>403</v>
      </c>
      <c r="C136" s="41" t="s">
        <v>30</v>
      </c>
      <c r="D136" s="41" t="s">
        <v>31</v>
      </c>
      <c r="E136" s="40"/>
      <c r="F136" s="49" t="str">
        <f t="shared" ref="F136:J136" ca="1" si="134">IFERROR(__xludf.DUMMYFUNCTION("if (A136 &lt;&gt; """", GOOGLETRANSLATE(A136, ""auto"", ""en""), """")"),"")</f>
        <v/>
      </c>
      <c r="G136" s="49" t="str">
        <f t="shared" ca="1" si="134"/>
        <v/>
      </c>
      <c r="H136" s="49" t="str">
        <f t="shared" ca="1" si="134"/>
        <v/>
      </c>
      <c r="I136" s="49" t="str">
        <f t="shared" ca="1" si="134"/>
        <v/>
      </c>
      <c r="J136" s="49" t="str">
        <f t="shared" ca="1" si="134"/>
        <v/>
      </c>
    </row>
    <row r="137" spans="1:10" ht="12.75" x14ac:dyDescent="0.2">
      <c r="A137" s="40"/>
      <c r="B137" s="40"/>
      <c r="C137" s="40"/>
      <c r="D137" s="40"/>
      <c r="E137" s="40"/>
      <c r="F137" s="49" t="str">
        <f t="shared" ref="F137:J137" ca="1" si="135">IFERROR(__xludf.DUMMYFUNCTION("if (A137 &lt;&gt; """", GOOGLETRANSLATE(A137, ""auto"", ""en""), """")"),"")</f>
        <v/>
      </c>
      <c r="G137" s="49" t="str">
        <f t="shared" ca="1" si="135"/>
        <v/>
      </c>
      <c r="H137" s="49" t="str">
        <f t="shared" ca="1" si="135"/>
        <v/>
      </c>
      <c r="I137" s="49" t="str">
        <f t="shared" ca="1" si="135"/>
        <v/>
      </c>
      <c r="J137" s="49" t="str">
        <f t="shared" ca="1" si="135"/>
        <v/>
      </c>
    </row>
    <row r="138" spans="1:10" ht="25.5" x14ac:dyDescent="0.2">
      <c r="A138" s="41" t="s">
        <v>55</v>
      </c>
      <c r="B138" s="40"/>
      <c r="C138" s="40"/>
      <c r="D138" s="40"/>
      <c r="E138" s="40"/>
      <c r="F138" s="49" t="str">
        <f t="shared" ref="F138:J138" ca="1" si="136">IFERROR(__xludf.DUMMYFUNCTION("if (A138 &lt;&gt; """", GOOGLETRANSLATE(A138, ""auto"", ""en""), """")"),"FAQ-Guest1-3")</f>
        <v>FAQ-Guest1-3</v>
      </c>
      <c r="G138" s="49" t="str">
        <f t="shared" ca="1" si="136"/>
        <v>FAQ-Guest1-3</v>
      </c>
      <c r="H138" s="49" t="str">
        <f t="shared" ca="1" si="136"/>
        <v>FAQ-Guest1-3</v>
      </c>
      <c r="I138" s="49" t="str">
        <f t="shared" ca="1" si="136"/>
        <v>FAQ-Guest1-3</v>
      </c>
      <c r="J138" s="49" t="str">
        <f t="shared" ca="1" si="136"/>
        <v>FAQ-Guest1-3</v>
      </c>
    </row>
    <row r="139" spans="1:10" ht="12.75" x14ac:dyDescent="0.2">
      <c r="A139" s="40"/>
      <c r="B139" s="41" t="s">
        <v>398</v>
      </c>
      <c r="C139" s="40"/>
      <c r="D139" s="40"/>
      <c r="E139" s="40"/>
      <c r="F139" s="49" t="str">
        <f t="shared" ref="F139:J139" ca="1" si="137">IFERROR(__xludf.DUMMYFUNCTION("if (A139 &lt;&gt; """", GOOGLETRANSLATE(A139, ""auto"", ""en""), """")"),"")</f>
        <v/>
      </c>
      <c r="G139" s="49" t="str">
        <f t="shared" ca="1" si="137"/>
        <v/>
      </c>
      <c r="H139" s="49" t="str">
        <f t="shared" ca="1" si="137"/>
        <v/>
      </c>
      <c r="I139" s="49" t="str">
        <f t="shared" ca="1" si="137"/>
        <v/>
      </c>
      <c r="J139" s="49" t="str">
        <f t="shared" ca="1" si="137"/>
        <v/>
      </c>
    </row>
    <row r="140" spans="1:10" ht="12.75" x14ac:dyDescent="0.2">
      <c r="A140" s="40"/>
      <c r="B140" s="41" t="s">
        <v>399</v>
      </c>
      <c r="C140" s="40"/>
      <c r="D140" s="40"/>
      <c r="E140" s="40"/>
      <c r="F140" s="49" t="str">
        <f t="shared" ref="F140:J140" ca="1" si="138">IFERROR(__xludf.DUMMYFUNCTION("if (A140 &lt;&gt; """", GOOGLETRANSLATE(A140, ""auto"", ""en""), """")"),"")</f>
        <v/>
      </c>
      <c r="G140" s="49" t="str">
        <f t="shared" ca="1" si="138"/>
        <v/>
      </c>
      <c r="H140" s="49" t="str">
        <f t="shared" ca="1" si="138"/>
        <v/>
      </c>
      <c r="I140" s="49" t="str">
        <f t="shared" ca="1" si="138"/>
        <v/>
      </c>
      <c r="J140" s="49" t="str">
        <f t="shared" ca="1" si="138"/>
        <v/>
      </c>
    </row>
    <row r="141" spans="1:10" ht="12.75" x14ac:dyDescent="0.2">
      <c r="A141" s="40"/>
      <c r="B141" s="41" t="s">
        <v>400</v>
      </c>
      <c r="C141" s="40"/>
      <c r="D141" s="40"/>
      <c r="E141" s="40"/>
      <c r="F141" s="49" t="str">
        <f t="shared" ref="F141:J141" ca="1" si="139">IFERROR(__xludf.DUMMYFUNCTION("if (A141 &lt;&gt; """", GOOGLETRANSLATE(A141, ""auto"", ""en""), """")"),"")</f>
        <v/>
      </c>
      <c r="G141" s="49" t="str">
        <f t="shared" ca="1" si="139"/>
        <v/>
      </c>
      <c r="H141" s="49" t="str">
        <f t="shared" ca="1" si="139"/>
        <v/>
      </c>
      <c r="I141" s="49" t="str">
        <f t="shared" ca="1" si="139"/>
        <v/>
      </c>
      <c r="J141" s="49" t="str">
        <f t="shared" ca="1" si="139"/>
        <v/>
      </c>
    </row>
    <row r="142" spans="1:10" ht="12.75" x14ac:dyDescent="0.2">
      <c r="A142" s="40"/>
      <c r="B142" s="41" t="s">
        <v>401</v>
      </c>
      <c r="C142" s="41" t="s">
        <v>55</v>
      </c>
      <c r="D142" s="40"/>
      <c r="E142" s="40"/>
      <c r="F142" s="49" t="str">
        <f t="shared" ref="F142:J142" ca="1" si="140">IFERROR(__xludf.DUMMYFUNCTION("if (A142 &lt;&gt; """", GOOGLETRANSLATE(A142, ""auto"", ""en""), """")"),"")</f>
        <v/>
      </c>
      <c r="G142" s="49" t="str">
        <f t="shared" ca="1" si="140"/>
        <v/>
      </c>
      <c r="H142" s="49" t="str">
        <f t="shared" ca="1" si="140"/>
        <v/>
      </c>
      <c r="I142" s="49" t="str">
        <f t="shared" ca="1" si="140"/>
        <v/>
      </c>
      <c r="J142" s="49" t="str">
        <f t="shared" ca="1" si="140"/>
        <v/>
      </c>
    </row>
    <row r="143" spans="1:10" ht="114.75" x14ac:dyDescent="0.2">
      <c r="A143" s="41" t="s">
        <v>438</v>
      </c>
      <c r="B143" s="41" t="s">
        <v>402</v>
      </c>
      <c r="C143" s="41" t="s">
        <v>59</v>
      </c>
      <c r="D143" s="40"/>
      <c r="E143" s="40"/>
      <c r="F143" s="49" t="str">
        <f t="shared" ref="F143:J143" ca="1" si="141">IFERROR(__xludf.DUMMYFUNCTION("if (A143 &lt;&gt; """", GOOGLETRANSLATE(A143, ""auto"", ""en""), """")"),"Do not leak personal information")</f>
        <v>Do not leak personal information</v>
      </c>
      <c r="G143" s="49" t="str">
        <f t="shared" ca="1" si="141"/>
        <v>Do not leak personal information</v>
      </c>
      <c r="H143" s="49" t="str">
        <f t="shared" ca="1" si="141"/>
        <v>Do not leak personal information</v>
      </c>
      <c r="I143" s="49" t="str">
        <f t="shared" ca="1" si="141"/>
        <v>Do not leak personal information</v>
      </c>
      <c r="J143" s="49" t="str">
        <f t="shared" ca="1" si="141"/>
        <v>Do not leak personal information</v>
      </c>
    </row>
    <row r="144" spans="1:10" ht="38.25" x14ac:dyDescent="0.2">
      <c r="A144" s="41" t="s">
        <v>439</v>
      </c>
      <c r="B144" s="41" t="s">
        <v>402</v>
      </c>
      <c r="C144" s="41" t="s">
        <v>19</v>
      </c>
      <c r="D144" s="40"/>
      <c r="E144" s="40"/>
      <c r="F144" s="49" t="str">
        <f t="shared" ref="F144:J144" ca="1" si="142">IFERROR(__xludf.DUMMYFUNCTION("if (A144 &lt;&gt; """", GOOGLETRANSLATE(A144, ""auto"", ""en""), """")"),"Personal information is not leakage")</f>
        <v>Personal information is not leakage</v>
      </c>
      <c r="G144" s="49" t="str">
        <f t="shared" ca="1" si="142"/>
        <v>Personal information is not leakage</v>
      </c>
      <c r="H144" s="49" t="str">
        <f t="shared" ca="1" si="142"/>
        <v>Personal information is not leakage</v>
      </c>
      <c r="I144" s="49" t="str">
        <f t="shared" ca="1" si="142"/>
        <v>Personal information is not leakage</v>
      </c>
      <c r="J144" s="49" t="str">
        <f t="shared" ca="1" si="142"/>
        <v>Personal information is not leakage</v>
      </c>
    </row>
    <row r="145" spans="1:10" ht="38.25" x14ac:dyDescent="0.2">
      <c r="A145" s="41" t="s">
        <v>440</v>
      </c>
      <c r="B145" s="40"/>
      <c r="C145" s="40"/>
      <c r="D145" s="40"/>
      <c r="E145" s="40"/>
      <c r="F145" s="49" t="str">
        <f t="shared" ref="F145:J145" ca="1" si="143">IFERROR(__xludf.DUMMYFUNCTION("if (A145 &lt;&gt; """", GOOGLETRANSLATE(A145, ""auto"", ""en""), """")"),"Security of personal information")</f>
        <v>Security of personal information</v>
      </c>
      <c r="G145" s="49" t="str">
        <f t="shared" ca="1" si="143"/>
        <v>Security of personal information</v>
      </c>
      <c r="H145" s="49" t="str">
        <f t="shared" ca="1" si="143"/>
        <v>Security of personal information</v>
      </c>
      <c r="I145" s="49" t="str">
        <f t="shared" ca="1" si="143"/>
        <v>Security of personal information</v>
      </c>
      <c r="J145" s="49" t="str">
        <f t="shared" ca="1" si="143"/>
        <v>Security of personal information</v>
      </c>
    </row>
    <row r="146" spans="1:10" ht="38.25" x14ac:dyDescent="0.2">
      <c r="A146" s="41" t="s">
        <v>441</v>
      </c>
      <c r="B146" s="40"/>
      <c r="C146" s="40"/>
      <c r="D146" s="40"/>
      <c r="E146" s="40"/>
      <c r="F146" s="49" t="str">
        <f t="shared" ref="F146:J146" ca="1" si="144">IFERROR(__xludf.DUMMYFUNCTION("if (A146 &lt;&gt; """", GOOGLETRANSLATE(A146, ""auto"", ""en""), """")"),"Personal information is all right")</f>
        <v>Personal information is all right</v>
      </c>
      <c r="G146" s="49" t="str">
        <f t="shared" ca="1" si="144"/>
        <v>Personal information is all right</v>
      </c>
      <c r="H146" s="49" t="str">
        <f t="shared" ca="1" si="144"/>
        <v>Personal information is all right</v>
      </c>
      <c r="I146" s="49" t="str">
        <f t="shared" ca="1" si="144"/>
        <v>Personal information is all right</v>
      </c>
      <c r="J146" s="49" t="str">
        <f t="shared" ca="1" si="144"/>
        <v>Personal information is all right</v>
      </c>
    </row>
    <row r="147" spans="1:10" ht="25.5" x14ac:dyDescent="0.2">
      <c r="A147" s="41" t="s">
        <v>58</v>
      </c>
      <c r="B147" s="40"/>
      <c r="C147" s="40"/>
      <c r="D147" s="40"/>
      <c r="E147" s="40"/>
      <c r="F147" s="49" t="str">
        <f t="shared" ref="F147:J147" ca="1" si="145">IFERROR(__xludf.DUMMYFUNCTION("if (A147 &lt;&gt; """", GOOGLETRANSLATE(A147, ""auto"", ""en""), """")"),"Personal Information")</f>
        <v>Personal Information</v>
      </c>
      <c r="G147" s="49" t="str">
        <f t="shared" ca="1" si="145"/>
        <v>Personal Information</v>
      </c>
      <c r="H147" s="49" t="str">
        <f t="shared" ca="1" si="145"/>
        <v>Personal Information</v>
      </c>
      <c r="I147" s="49" t="str">
        <f t="shared" ca="1" si="145"/>
        <v>Personal Information</v>
      </c>
      <c r="J147" s="49" t="str">
        <f t="shared" ca="1" si="145"/>
        <v>Personal Information</v>
      </c>
    </row>
    <row r="148" spans="1:10" ht="12.75" x14ac:dyDescent="0.2">
      <c r="A148" s="40"/>
      <c r="B148" s="41" t="s">
        <v>403</v>
      </c>
      <c r="C148" s="41" t="s">
        <v>24</v>
      </c>
      <c r="D148" s="41" t="s">
        <v>26</v>
      </c>
      <c r="E148" s="40"/>
      <c r="F148" s="49" t="str">
        <f t="shared" ref="F148:J148" ca="1" si="146">IFERROR(__xludf.DUMMYFUNCTION("if (A148 &lt;&gt; """", GOOGLETRANSLATE(A148, ""auto"", ""en""), """")"),"")</f>
        <v/>
      </c>
      <c r="G148" s="49" t="str">
        <f t="shared" ca="1" si="146"/>
        <v/>
      </c>
      <c r="H148" s="49" t="str">
        <f t="shared" ca="1" si="146"/>
        <v/>
      </c>
      <c r="I148" s="49" t="str">
        <f t="shared" ca="1" si="146"/>
        <v/>
      </c>
      <c r="J148" s="49" t="str">
        <f t="shared" ca="1" si="146"/>
        <v/>
      </c>
    </row>
    <row r="149" spans="1:10" ht="12.75" x14ac:dyDescent="0.2">
      <c r="A149" s="40"/>
      <c r="B149" s="41" t="s">
        <v>403</v>
      </c>
      <c r="C149" s="41" t="s">
        <v>32</v>
      </c>
      <c r="D149" s="41" t="s">
        <v>29</v>
      </c>
      <c r="E149" s="40"/>
      <c r="F149" s="49" t="str">
        <f t="shared" ref="F149:J149" ca="1" si="147">IFERROR(__xludf.DUMMYFUNCTION("if (A149 &lt;&gt; """", GOOGLETRANSLATE(A149, ""auto"", ""en""), """")"),"")</f>
        <v/>
      </c>
      <c r="G149" s="49" t="str">
        <f t="shared" ca="1" si="147"/>
        <v/>
      </c>
      <c r="H149" s="49" t="str">
        <f t="shared" ca="1" si="147"/>
        <v/>
      </c>
      <c r="I149" s="49" t="str">
        <f t="shared" ca="1" si="147"/>
        <v/>
      </c>
      <c r="J149" s="49" t="str">
        <f t="shared" ca="1" si="147"/>
        <v/>
      </c>
    </row>
    <row r="150" spans="1:10" ht="12.75" x14ac:dyDescent="0.2">
      <c r="A150" s="40"/>
      <c r="B150" s="41" t="s">
        <v>403</v>
      </c>
      <c r="C150" s="41" t="s">
        <v>25</v>
      </c>
      <c r="D150" s="41" t="s">
        <v>27</v>
      </c>
      <c r="E150" s="40"/>
      <c r="F150" s="49" t="str">
        <f t="shared" ref="F150:J150" ca="1" si="148">IFERROR(__xludf.DUMMYFUNCTION("if (A150 &lt;&gt; """", GOOGLETRANSLATE(A150, ""auto"", ""en""), """")"),"")</f>
        <v/>
      </c>
      <c r="G150" s="49" t="str">
        <f t="shared" ca="1" si="148"/>
        <v/>
      </c>
      <c r="H150" s="49" t="str">
        <f t="shared" ca="1" si="148"/>
        <v/>
      </c>
      <c r="I150" s="49" t="str">
        <f t="shared" ca="1" si="148"/>
        <v/>
      </c>
      <c r="J150" s="49" t="str">
        <f t="shared" ca="1" si="148"/>
        <v/>
      </c>
    </row>
    <row r="151" spans="1:10" ht="12.75" x14ac:dyDescent="0.2">
      <c r="A151" s="40"/>
      <c r="B151" s="41" t="s">
        <v>403</v>
      </c>
      <c r="C151" s="41" t="s">
        <v>30</v>
      </c>
      <c r="D151" s="41" t="s">
        <v>31</v>
      </c>
      <c r="E151" s="40"/>
      <c r="F151" s="49" t="str">
        <f t="shared" ref="F151:J151" ca="1" si="149">IFERROR(__xludf.DUMMYFUNCTION("if (A151 &lt;&gt; """", GOOGLETRANSLATE(A151, ""auto"", ""en""), """")"),"")</f>
        <v/>
      </c>
      <c r="G151" s="49" t="str">
        <f t="shared" ca="1" si="149"/>
        <v/>
      </c>
      <c r="H151" s="49" t="str">
        <f t="shared" ca="1" si="149"/>
        <v/>
      </c>
      <c r="I151" s="49" t="str">
        <f t="shared" ca="1" si="149"/>
        <v/>
      </c>
      <c r="J151" s="49" t="str">
        <f t="shared" ca="1" si="149"/>
        <v/>
      </c>
    </row>
    <row r="152" spans="1:10" ht="12.75" x14ac:dyDescent="0.2">
      <c r="A152" s="40"/>
      <c r="B152" s="40"/>
      <c r="C152" s="40"/>
      <c r="D152" s="40"/>
      <c r="E152" s="40"/>
      <c r="F152" s="49" t="str">
        <f t="shared" ref="F152:J152" ca="1" si="150">IFERROR(__xludf.DUMMYFUNCTION("if (A152 &lt;&gt; """", GOOGLETRANSLATE(A152, ""auto"", ""en""), """")"),"")</f>
        <v/>
      </c>
      <c r="G152" s="49" t="str">
        <f t="shared" ca="1" si="150"/>
        <v/>
      </c>
      <c r="H152" s="49" t="str">
        <f t="shared" ca="1" si="150"/>
        <v/>
      </c>
      <c r="I152" s="49" t="str">
        <f t="shared" ca="1" si="150"/>
        <v/>
      </c>
      <c r="J152" s="49" t="str">
        <f t="shared" ca="1" si="150"/>
        <v/>
      </c>
    </row>
    <row r="153" spans="1:10" ht="12.75" x14ac:dyDescent="0.2">
      <c r="A153" s="41" t="s">
        <v>60</v>
      </c>
      <c r="B153" s="40"/>
      <c r="C153" s="40"/>
      <c r="D153" s="40"/>
      <c r="E153" s="40"/>
      <c r="F153" s="49" t="str">
        <f t="shared" ref="F153:J153" ca="1" si="151">IFERROR(__xludf.DUMMYFUNCTION("if (A153 &lt;&gt; """", GOOGLETRANSLATE(A153, ""auto"", ""en""), """")"),"FAQ-Guest1")</f>
        <v>FAQ-Guest1</v>
      </c>
      <c r="G153" s="49" t="str">
        <f t="shared" ca="1" si="151"/>
        <v>FAQ-Guest1</v>
      </c>
      <c r="H153" s="49" t="str">
        <f t="shared" ca="1" si="151"/>
        <v>FAQ-Guest1</v>
      </c>
      <c r="I153" s="49" t="str">
        <f t="shared" ca="1" si="151"/>
        <v>FAQ-Guest1</v>
      </c>
      <c r="J153" s="49" t="str">
        <f t="shared" ca="1" si="151"/>
        <v>FAQ-Guest1</v>
      </c>
    </row>
    <row r="154" spans="1:10" ht="12.75" x14ac:dyDescent="0.2">
      <c r="A154" s="40"/>
      <c r="B154" s="41" t="s">
        <v>398</v>
      </c>
      <c r="C154" s="40"/>
      <c r="D154" s="40"/>
      <c r="E154" s="40"/>
      <c r="F154" s="49" t="str">
        <f t="shared" ref="F154:J154" ca="1" si="152">IFERROR(__xludf.DUMMYFUNCTION("if (A154 &lt;&gt; """", GOOGLETRANSLATE(A154, ""auto"", ""en""), """")"),"")</f>
        <v/>
      </c>
      <c r="G154" s="49" t="str">
        <f t="shared" ca="1" si="152"/>
        <v/>
      </c>
      <c r="H154" s="49" t="str">
        <f t="shared" ca="1" si="152"/>
        <v/>
      </c>
      <c r="I154" s="49" t="str">
        <f t="shared" ca="1" si="152"/>
        <v/>
      </c>
      <c r="J154" s="49" t="str">
        <f t="shared" ca="1" si="152"/>
        <v/>
      </c>
    </row>
    <row r="155" spans="1:10" ht="12.75" x14ac:dyDescent="0.2">
      <c r="A155" s="40"/>
      <c r="B155" s="41" t="s">
        <v>399</v>
      </c>
      <c r="C155" s="40"/>
      <c r="D155" s="40"/>
      <c r="E155" s="40"/>
      <c r="F155" s="49" t="str">
        <f t="shared" ref="F155:J155" ca="1" si="153">IFERROR(__xludf.DUMMYFUNCTION("if (A155 &lt;&gt; """", GOOGLETRANSLATE(A155, ""auto"", ""en""), """")"),"")</f>
        <v/>
      </c>
      <c r="G155" s="49" t="str">
        <f t="shared" ca="1" si="153"/>
        <v/>
      </c>
      <c r="H155" s="49" t="str">
        <f t="shared" ca="1" si="153"/>
        <v/>
      </c>
      <c r="I155" s="49" t="str">
        <f t="shared" ca="1" si="153"/>
        <v/>
      </c>
      <c r="J155" s="49" t="str">
        <f t="shared" ca="1" si="153"/>
        <v/>
      </c>
    </row>
    <row r="156" spans="1:10" ht="12.75" x14ac:dyDescent="0.2">
      <c r="A156" s="40"/>
      <c r="B156" s="41" t="s">
        <v>400</v>
      </c>
      <c r="C156" s="40"/>
      <c r="D156" s="40"/>
      <c r="E156" s="40"/>
      <c r="F156" s="49" t="str">
        <f t="shared" ref="F156:J156" ca="1" si="154">IFERROR(__xludf.DUMMYFUNCTION("if (A156 &lt;&gt; """", GOOGLETRANSLATE(A156, ""auto"", ""en""), """")"),"")</f>
        <v/>
      </c>
      <c r="G156" s="49" t="str">
        <f t="shared" ca="1" si="154"/>
        <v/>
      </c>
      <c r="H156" s="49" t="str">
        <f t="shared" ca="1" si="154"/>
        <v/>
      </c>
      <c r="I156" s="49" t="str">
        <f t="shared" ca="1" si="154"/>
        <v/>
      </c>
      <c r="J156" s="49" t="str">
        <f t="shared" ca="1" si="154"/>
        <v/>
      </c>
    </row>
    <row r="157" spans="1:10" ht="12.75" x14ac:dyDescent="0.2">
      <c r="A157" s="40"/>
      <c r="B157" s="41" t="s">
        <v>401</v>
      </c>
      <c r="C157" s="41" t="s">
        <v>60</v>
      </c>
      <c r="D157" s="40"/>
      <c r="E157" s="40"/>
      <c r="F157" s="49" t="str">
        <f t="shared" ref="F157:J157" ca="1" si="155">IFERROR(__xludf.DUMMYFUNCTION("if (A157 &lt;&gt; """", GOOGLETRANSLATE(A157, ""auto"", ""en""), """")"),"")</f>
        <v/>
      </c>
      <c r="G157" s="49" t="str">
        <f t="shared" ca="1" si="155"/>
        <v/>
      </c>
      <c r="H157" s="49" t="str">
        <f t="shared" ca="1" si="155"/>
        <v/>
      </c>
      <c r="I157" s="49" t="str">
        <f t="shared" ca="1" si="155"/>
        <v/>
      </c>
      <c r="J157" s="49" t="str">
        <f t="shared" ca="1" si="155"/>
        <v/>
      </c>
    </row>
    <row r="158" spans="1:10" ht="25.5" x14ac:dyDescent="0.2">
      <c r="A158" s="41" t="s">
        <v>442</v>
      </c>
      <c r="B158" s="41" t="s">
        <v>402</v>
      </c>
      <c r="C158" s="41" t="s">
        <v>62</v>
      </c>
      <c r="D158" s="40"/>
      <c r="E158" s="40"/>
      <c r="F158" s="49" t="str">
        <f t="shared" ref="F158:J158" ca="1" si="156">IFERROR(__xludf.DUMMYFUNCTION("if (A158 &lt;&gt; """", GOOGLETRANSLATE(A158, ""auto"", ""en""), """")"),"For guest registration")</f>
        <v>For guest registration</v>
      </c>
      <c r="G158" s="49" t="str">
        <f t="shared" ca="1" si="156"/>
        <v>For guest registration</v>
      </c>
      <c r="H158" s="49" t="str">
        <f t="shared" ca="1" si="156"/>
        <v>For guest registration</v>
      </c>
      <c r="I158" s="49" t="str">
        <f t="shared" ca="1" si="156"/>
        <v>For guest registration</v>
      </c>
      <c r="J158" s="49" t="str">
        <f t="shared" ca="1" si="156"/>
        <v>For guest registration</v>
      </c>
    </row>
    <row r="159" spans="1:10" ht="25.5" x14ac:dyDescent="0.2">
      <c r="A159" s="41" t="s">
        <v>40</v>
      </c>
      <c r="B159" s="40"/>
      <c r="C159" s="40"/>
      <c r="D159" s="40"/>
      <c r="E159" s="40"/>
      <c r="F159" s="49" t="str">
        <f t="shared" ref="F159:J159" ca="1" si="157">IFERROR(__xludf.DUMMYFUNCTION("if (A159 &lt;&gt; """", GOOGLETRANSLATE(A159, ""auto"", ""en""), """")"),"For guest of registration")</f>
        <v>For guest of registration</v>
      </c>
      <c r="G159" s="49" t="str">
        <f t="shared" ca="1" si="157"/>
        <v>For guest of registration</v>
      </c>
      <c r="H159" s="49" t="str">
        <f t="shared" ca="1" si="157"/>
        <v>For guest of registration</v>
      </c>
      <c r="I159" s="49" t="str">
        <f t="shared" ca="1" si="157"/>
        <v>For guest of registration</v>
      </c>
      <c r="J159" s="49" t="str">
        <f t="shared" ca="1" si="157"/>
        <v>For guest of registration</v>
      </c>
    </row>
    <row r="160" spans="1:10" ht="12.75" x14ac:dyDescent="0.2">
      <c r="A160" s="40"/>
      <c r="B160" s="41" t="s">
        <v>422</v>
      </c>
      <c r="C160" s="41" t="s">
        <v>425</v>
      </c>
      <c r="D160" s="41" t="s">
        <v>426</v>
      </c>
      <c r="E160" s="40"/>
      <c r="F160" s="49" t="str">
        <f t="shared" ref="F160:J160" ca="1" si="158">IFERROR(__xludf.DUMMYFUNCTION("if (A160 &lt;&gt; """", GOOGLETRANSLATE(A160, ""auto"", ""en""), """")"),"")</f>
        <v/>
      </c>
      <c r="G160" s="49" t="str">
        <f t="shared" ca="1" si="158"/>
        <v/>
      </c>
      <c r="H160" s="49" t="str">
        <f t="shared" ca="1" si="158"/>
        <v/>
      </c>
      <c r="I160" s="49" t="str">
        <f t="shared" ca="1" si="158"/>
        <v/>
      </c>
      <c r="J160" s="49" t="str">
        <f t="shared" ca="1" si="158"/>
        <v/>
      </c>
    </row>
    <row r="161" spans="1:10" ht="12.75" x14ac:dyDescent="0.2">
      <c r="A161" s="40"/>
      <c r="B161" s="41" t="s">
        <v>403</v>
      </c>
      <c r="C161" s="41" t="s">
        <v>13</v>
      </c>
      <c r="D161" s="41" t="s">
        <v>11</v>
      </c>
      <c r="E161" s="40"/>
      <c r="F161" s="49" t="str">
        <f t="shared" ref="F161:J161" ca="1" si="159">IFERROR(__xludf.DUMMYFUNCTION("if (A161 &lt;&gt; """", GOOGLETRANSLATE(A161, ""auto"", ""en""), """")"),"")</f>
        <v/>
      </c>
      <c r="G161" s="49" t="str">
        <f t="shared" ca="1" si="159"/>
        <v/>
      </c>
      <c r="H161" s="49" t="str">
        <f t="shared" ca="1" si="159"/>
        <v/>
      </c>
      <c r="I161" s="49" t="str">
        <f t="shared" ca="1" si="159"/>
        <v/>
      </c>
      <c r="J161" s="49" t="str">
        <f t="shared" ca="1" si="159"/>
        <v/>
      </c>
    </row>
    <row r="162" spans="1:10" ht="12.75" x14ac:dyDescent="0.2">
      <c r="A162" s="40"/>
      <c r="B162" s="41" t="s">
        <v>403</v>
      </c>
      <c r="C162" s="41" t="s">
        <v>37</v>
      </c>
      <c r="D162" s="41" t="s">
        <v>36</v>
      </c>
      <c r="E162" s="40"/>
      <c r="F162" s="49" t="str">
        <f t="shared" ref="F162:J162" ca="1" si="160">IFERROR(__xludf.DUMMYFUNCTION("if (A162 &lt;&gt; """", GOOGLETRANSLATE(A162, ""auto"", ""en""), """")"),"")</f>
        <v/>
      </c>
      <c r="G162" s="49" t="str">
        <f t="shared" ca="1" si="160"/>
        <v/>
      </c>
      <c r="H162" s="49" t="str">
        <f t="shared" ca="1" si="160"/>
        <v/>
      </c>
      <c r="I162" s="49" t="str">
        <f t="shared" ca="1" si="160"/>
        <v/>
      </c>
      <c r="J162" s="49" t="str">
        <f t="shared" ca="1" si="160"/>
        <v/>
      </c>
    </row>
    <row r="163" spans="1:10" ht="12.75" x14ac:dyDescent="0.2">
      <c r="A163" s="40"/>
      <c r="B163" s="41" t="s">
        <v>403</v>
      </c>
      <c r="C163" s="41" t="s">
        <v>58</v>
      </c>
      <c r="D163" s="41" t="s">
        <v>55</v>
      </c>
      <c r="E163" s="40"/>
      <c r="F163" s="49" t="str">
        <f t="shared" ref="F163:J163" ca="1" si="161">IFERROR(__xludf.DUMMYFUNCTION("if (A163 &lt;&gt; """", GOOGLETRANSLATE(A163, ""auto"", ""en""), """")"),"")</f>
        <v/>
      </c>
      <c r="G163" s="49" t="str">
        <f t="shared" ca="1" si="161"/>
        <v/>
      </c>
      <c r="H163" s="49" t="str">
        <f t="shared" ca="1" si="161"/>
        <v/>
      </c>
      <c r="I163" s="49" t="str">
        <f t="shared" ca="1" si="161"/>
        <v/>
      </c>
      <c r="J163" s="49" t="str">
        <f t="shared" ca="1" si="161"/>
        <v/>
      </c>
    </row>
    <row r="164" spans="1:10" ht="12.75" x14ac:dyDescent="0.2">
      <c r="A164" s="40"/>
      <c r="B164" s="41" t="s">
        <v>403</v>
      </c>
      <c r="C164" s="41" t="s">
        <v>24</v>
      </c>
      <c r="D164" s="41" t="s">
        <v>26</v>
      </c>
      <c r="E164" s="40"/>
      <c r="F164" s="49" t="str">
        <f t="shared" ref="F164:J164" ca="1" si="162">IFERROR(__xludf.DUMMYFUNCTION("if (A164 &lt;&gt; """", GOOGLETRANSLATE(A164, ""auto"", ""en""), """")"),"")</f>
        <v/>
      </c>
      <c r="G164" s="49" t="str">
        <f t="shared" ca="1" si="162"/>
        <v/>
      </c>
      <c r="H164" s="49" t="str">
        <f t="shared" ca="1" si="162"/>
        <v/>
      </c>
      <c r="I164" s="49" t="str">
        <f t="shared" ca="1" si="162"/>
        <v/>
      </c>
      <c r="J164" s="49" t="str">
        <f t="shared" ca="1" si="162"/>
        <v/>
      </c>
    </row>
    <row r="165" spans="1:10" ht="12.75" x14ac:dyDescent="0.2">
      <c r="A165" s="40"/>
      <c r="B165" s="40"/>
      <c r="C165" s="40"/>
      <c r="D165" s="40"/>
      <c r="E165" s="40"/>
      <c r="F165" s="49" t="str">
        <f t="shared" ref="F165:J165" ca="1" si="163">IFERROR(__xludf.DUMMYFUNCTION("if (A165 &lt;&gt; """", GOOGLETRANSLATE(A165, ""auto"", ""en""), """")"),"")</f>
        <v/>
      </c>
      <c r="G165" s="49" t="str">
        <f t="shared" ca="1" si="163"/>
        <v/>
      </c>
      <c r="H165" s="49" t="str">
        <f t="shared" ca="1" si="163"/>
        <v/>
      </c>
      <c r="I165" s="49" t="str">
        <f t="shared" ca="1" si="163"/>
        <v/>
      </c>
      <c r="J165" s="49" t="str">
        <f t="shared" ca="1" si="163"/>
        <v/>
      </c>
    </row>
    <row r="166" spans="1:10" ht="25.5" x14ac:dyDescent="0.2">
      <c r="A166" s="41" t="s">
        <v>71</v>
      </c>
      <c r="B166" s="40"/>
      <c r="C166" s="40"/>
      <c r="D166" s="40"/>
      <c r="E166" s="40"/>
      <c r="F166" s="49" t="str">
        <f t="shared" ref="F166:J166" ca="1" si="164">IFERROR(__xludf.DUMMYFUNCTION("if (A166 &lt;&gt; """", GOOGLETRANSLATE(A166, ""auto"", ""en""), """")"),"FAQ-Guest2-1")</f>
        <v>FAQ-Guest2-1</v>
      </c>
      <c r="G166" s="49" t="str">
        <f t="shared" ca="1" si="164"/>
        <v>FAQ-Guest2-1</v>
      </c>
      <c r="H166" s="49" t="str">
        <f t="shared" ca="1" si="164"/>
        <v>FAQ-Guest2-1</v>
      </c>
      <c r="I166" s="49" t="str">
        <f t="shared" ca="1" si="164"/>
        <v>FAQ-Guest2-1</v>
      </c>
      <c r="J166" s="49" t="str">
        <f t="shared" ca="1" si="164"/>
        <v>FAQ-Guest2-1</v>
      </c>
    </row>
    <row r="167" spans="1:10" ht="12.75" x14ac:dyDescent="0.2">
      <c r="A167" s="40"/>
      <c r="B167" s="41" t="s">
        <v>398</v>
      </c>
      <c r="C167" s="40"/>
      <c r="D167" s="40"/>
      <c r="E167" s="40"/>
      <c r="F167" s="49" t="str">
        <f t="shared" ref="F167:J167" ca="1" si="165">IFERROR(__xludf.DUMMYFUNCTION("if (A167 &lt;&gt; """", GOOGLETRANSLATE(A167, ""auto"", ""en""), """")"),"")</f>
        <v/>
      </c>
      <c r="G167" s="49" t="str">
        <f t="shared" ca="1" si="165"/>
        <v/>
      </c>
      <c r="H167" s="49" t="str">
        <f t="shared" ca="1" si="165"/>
        <v/>
      </c>
      <c r="I167" s="49" t="str">
        <f t="shared" ca="1" si="165"/>
        <v/>
      </c>
      <c r="J167" s="49" t="str">
        <f t="shared" ca="1" si="165"/>
        <v/>
      </c>
    </row>
    <row r="168" spans="1:10" ht="12.75" x14ac:dyDescent="0.2">
      <c r="A168" s="40"/>
      <c r="B168" s="41" t="s">
        <v>399</v>
      </c>
      <c r="C168" s="40"/>
      <c r="D168" s="40"/>
      <c r="E168" s="40"/>
      <c r="F168" s="49" t="str">
        <f t="shared" ref="F168:J168" ca="1" si="166">IFERROR(__xludf.DUMMYFUNCTION("if (A168 &lt;&gt; """", GOOGLETRANSLATE(A168, ""auto"", ""en""), """")"),"")</f>
        <v/>
      </c>
      <c r="G168" s="49" t="str">
        <f t="shared" ca="1" si="166"/>
        <v/>
      </c>
      <c r="H168" s="49" t="str">
        <f t="shared" ca="1" si="166"/>
        <v/>
      </c>
      <c r="I168" s="49" t="str">
        <f t="shared" ca="1" si="166"/>
        <v/>
      </c>
      <c r="J168" s="49" t="str">
        <f t="shared" ca="1" si="166"/>
        <v/>
      </c>
    </row>
    <row r="169" spans="1:10" ht="12.75" x14ac:dyDescent="0.2">
      <c r="A169" s="40"/>
      <c r="B169" s="41" t="s">
        <v>400</v>
      </c>
      <c r="C169" s="40"/>
      <c r="D169" s="40"/>
      <c r="E169" s="40"/>
      <c r="F169" s="49" t="str">
        <f t="shared" ref="F169:J169" ca="1" si="167">IFERROR(__xludf.DUMMYFUNCTION("if (A169 &lt;&gt; """", GOOGLETRANSLATE(A169, ""auto"", ""en""), """")"),"")</f>
        <v/>
      </c>
      <c r="G169" s="49" t="str">
        <f t="shared" ca="1" si="167"/>
        <v/>
      </c>
      <c r="H169" s="49" t="str">
        <f t="shared" ca="1" si="167"/>
        <v/>
      </c>
      <c r="I169" s="49" t="str">
        <f t="shared" ca="1" si="167"/>
        <v/>
      </c>
      <c r="J169" s="49" t="str">
        <f t="shared" ca="1" si="167"/>
        <v/>
      </c>
    </row>
    <row r="170" spans="1:10" ht="12.75" x14ac:dyDescent="0.2">
      <c r="A170" s="40"/>
      <c r="B170" s="41" t="s">
        <v>401</v>
      </c>
      <c r="C170" s="41" t="s">
        <v>71</v>
      </c>
      <c r="D170" s="40"/>
      <c r="E170" s="40"/>
      <c r="F170" s="49" t="str">
        <f t="shared" ref="F170:J170" ca="1" si="168">IFERROR(__xludf.DUMMYFUNCTION("if (A170 &lt;&gt; """", GOOGLETRANSLATE(A170, ""auto"", ""en""), """")"),"")</f>
        <v/>
      </c>
      <c r="G170" s="49" t="str">
        <f t="shared" ca="1" si="168"/>
        <v/>
      </c>
      <c r="H170" s="49" t="str">
        <f t="shared" ca="1" si="168"/>
        <v/>
      </c>
      <c r="I170" s="49" t="str">
        <f t="shared" ca="1" si="168"/>
        <v/>
      </c>
      <c r="J170" s="49" t="str">
        <f t="shared" ca="1" si="168"/>
        <v/>
      </c>
    </row>
    <row r="171" spans="1:10" ht="38.25" x14ac:dyDescent="0.2">
      <c r="A171" s="41" t="s">
        <v>444</v>
      </c>
      <c r="B171" s="41" t="s">
        <v>402</v>
      </c>
      <c r="C171" s="41" t="s">
        <v>73</v>
      </c>
      <c r="D171" s="40"/>
      <c r="E171" s="40"/>
      <c r="F171" s="49" t="str">
        <f t="shared" ref="F171:J171" ca="1" si="169">IFERROR(__xludf.DUMMYFUNCTION("if (A171 &lt;&gt; """", GOOGLETRANSLATE(A171, ""auto"", ""en""), """")"),"I want to know how the editing of Prof")</f>
        <v>I want to know how the editing of Prof</v>
      </c>
      <c r="G171" s="49" t="str">
        <f t="shared" ca="1" si="169"/>
        <v>I want to know how the editing of Prof</v>
      </c>
      <c r="H171" s="49" t="str">
        <f t="shared" ca="1" si="169"/>
        <v>I want to know how the editing of Prof</v>
      </c>
      <c r="I171" s="49" t="str">
        <f t="shared" ca="1" si="169"/>
        <v>I want to know how the editing of Prof</v>
      </c>
      <c r="J171" s="49" t="str">
        <f t="shared" ca="1" si="169"/>
        <v>I want to know how the editing of Prof</v>
      </c>
    </row>
    <row r="172" spans="1:10" ht="25.5" x14ac:dyDescent="0.2">
      <c r="A172" s="41" t="s">
        <v>445</v>
      </c>
      <c r="B172" s="41" t="s">
        <v>402</v>
      </c>
      <c r="C172" s="41" t="s">
        <v>19</v>
      </c>
      <c r="D172" s="40"/>
      <c r="E172" s="40"/>
      <c r="F172" s="49" t="str">
        <f t="shared" ref="F172:J172" ca="1" si="170">IFERROR(__xludf.DUMMYFUNCTION("if (A172 &lt;&gt; """", GOOGLETRANSLATE(A172, ""auto"", ""en""), """")"),"How to edit Prof")</f>
        <v>How to edit Prof</v>
      </c>
      <c r="G172" s="49" t="str">
        <f t="shared" ca="1" si="170"/>
        <v>How to edit Prof</v>
      </c>
      <c r="H172" s="49" t="str">
        <f t="shared" ca="1" si="170"/>
        <v>How to edit Prof</v>
      </c>
      <c r="I172" s="49" t="str">
        <f t="shared" ca="1" si="170"/>
        <v>How to edit Prof</v>
      </c>
      <c r="J172" s="49" t="str">
        <f t="shared" ca="1" si="170"/>
        <v>How to edit Prof</v>
      </c>
    </row>
    <row r="173" spans="1:10" ht="25.5" x14ac:dyDescent="0.2">
      <c r="A173" s="41" t="s">
        <v>446</v>
      </c>
      <c r="B173" s="40"/>
      <c r="C173" s="40"/>
      <c r="D173" s="40"/>
      <c r="E173" s="40"/>
      <c r="F173" s="49" t="str">
        <f t="shared" ref="F173:J173" ca="1" si="171">IFERROR(__xludf.DUMMYFUNCTION("if (A173 &lt;&gt; """", GOOGLETRANSLATE(A173, ""auto"", ""en""), """")"),"Way of editing the profile")</f>
        <v>Way of editing the profile</v>
      </c>
      <c r="G173" s="49" t="str">
        <f t="shared" ca="1" si="171"/>
        <v>Way of editing the profile</v>
      </c>
      <c r="H173" s="49" t="str">
        <f t="shared" ca="1" si="171"/>
        <v>Way of editing the profile</v>
      </c>
      <c r="I173" s="49" t="str">
        <f t="shared" ca="1" si="171"/>
        <v>Way of editing the profile</v>
      </c>
      <c r="J173" s="49" t="str">
        <f t="shared" ca="1" si="171"/>
        <v>Way of editing the profile</v>
      </c>
    </row>
    <row r="174" spans="1:10" ht="25.5" x14ac:dyDescent="0.2">
      <c r="A174" s="41" t="s">
        <v>447</v>
      </c>
      <c r="B174" s="40"/>
      <c r="C174" s="40"/>
      <c r="D174" s="40"/>
      <c r="E174" s="40"/>
      <c r="F174" s="49" t="str">
        <f t="shared" ref="F174:J174" ca="1" si="172">IFERROR(__xludf.DUMMYFUNCTION("if (A174 &lt;&gt; """", GOOGLETRANSLATE(A174, ""auto"", ""en""), """")"),"How to edit the profile")</f>
        <v>How to edit the profile</v>
      </c>
      <c r="G174" s="49" t="str">
        <f t="shared" ca="1" si="172"/>
        <v>How to edit the profile</v>
      </c>
      <c r="H174" s="49" t="str">
        <f t="shared" ca="1" si="172"/>
        <v>How to edit the profile</v>
      </c>
      <c r="I174" s="49" t="str">
        <f t="shared" ca="1" si="172"/>
        <v>How to edit the profile</v>
      </c>
      <c r="J174" s="49" t="str">
        <f t="shared" ca="1" si="172"/>
        <v>How to edit the profile</v>
      </c>
    </row>
    <row r="175" spans="1:10" ht="25.5" x14ac:dyDescent="0.2">
      <c r="A175" s="41" t="s">
        <v>448</v>
      </c>
      <c r="B175" s="40"/>
      <c r="C175" s="40"/>
      <c r="D175" s="40"/>
      <c r="E175" s="40"/>
      <c r="F175" s="49" t="str">
        <f t="shared" ref="F175:J175" ca="1" si="173">IFERROR(__xludf.DUMMYFUNCTION("if (A175 &lt;&gt; """", GOOGLETRANSLATE(A175, ""auto"", ""en""), """")"),"How to edit the profile")</f>
        <v>How to edit the profile</v>
      </c>
      <c r="G175" s="49" t="str">
        <f t="shared" ca="1" si="173"/>
        <v>How to edit the profile</v>
      </c>
      <c r="H175" s="49" t="str">
        <f t="shared" ca="1" si="173"/>
        <v>How to edit the profile</v>
      </c>
      <c r="I175" s="49" t="str">
        <f t="shared" ca="1" si="173"/>
        <v>How to edit the profile</v>
      </c>
      <c r="J175" s="49" t="str">
        <f t="shared" ca="1" si="173"/>
        <v>How to edit the profile</v>
      </c>
    </row>
    <row r="176" spans="1:10" ht="25.5" x14ac:dyDescent="0.2">
      <c r="A176" s="41" t="s">
        <v>72</v>
      </c>
      <c r="B176" s="40"/>
      <c r="C176" s="40"/>
      <c r="D176" s="40"/>
      <c r="E176" s="40"/>
      <c r="F176" s="49" t="str">
        <f t="shared" ref="F176:J176" ca="1" si="174">IFERROR(__xludf.DUMMYFUNCTION("if (A176 &lt;&gt; """", GOOGLETRANSLATE(A176, ""auto"", ""en""), """")"),"About editing profile")</f>
        <v>About editing profile</v>
      </c>
      <c r="G176" s="49" t="str">
        <f t="shared" ca="1" si="174"/>
        <v>About editing profile</v>
      </c>
      <c r="H176" s="49" t="str">
        <f t="shared" ca="1" si="174"/>
        <v>About editing profile</v>
      </c>
      <c r="I176" s="49" t="str">
        <f t="shared" ca="1" si="174"/>
        <v>About editing profile</v>
      </c>
      <c r="J176" s="49" t="str">
        <f t="shared" ca="1" si="174"/>
        <v>About editing profile</v>
      </c>
    </row>
    <row r="177" spans="1:10" ht="12.75" x14ac:dyDescent="0.2">
      <c r="A177" s="40"/>
      <c r="B177" s="41" t="s">
        <v>403</v>
      </c>
      <c r="C177" s="41" t="s">
        <v>24</v>
      </c>
      <c r="D177" s="41" t="s">
        <v>26</v>
      </c>
      <c r="E177" s="40"/>
      <c r="F177" s="49" t="str">
        <f t="shared" ref="F177:J177" ca="1" si="175">IFERROR(__xludf.DUMMYFUNCTION("if (A177 &lt;&gt; """", GOOGLETRANSLATE(A177, ""auto"", ""en""), """")"),"")</f>
        <v/>
      </c>
      <c r="G177" s="49" t="str">
        <f t="shared" ca="1" si="175"/>
        <v/>
      </c>
      <c r="H177" s="49" t="str">
        <f t="shared" ca="1" si="175"/>
        <v/>
      </c>
      <c r="I177" s="49" t="str">
        <f t="shared" ca="1" si="175"/>
        <v/>
      </c>
      <c r="J177" s="49" t="str">
        <f t="shared" ca="1" si="175"/>
        <v/>
      </c>
    </row>
    <row r="178" spans="1:10" ht="12.75" x14ac:dyDescent="0.2">
      <c r="A178" s="40"/>
      <c r="B178" s="41" t="s">
        <v>403</v>
      </c>
      <c r="C178" s="41" t="s">
        <v>32</v>
      </c>
      <c r="D178" s="41" t="s">
        <v>29</v>
      </c>
      <c r="E178" s="40"/>
      <c r="F178" s="49" t="str">
        <f t="shared" ref="F178:J178" ca="1" si="176">IFERROR(__xludf.DUMMYFUNCTION("if (A178 &lt;&gt; """", GOOGLETRANSLATE(A178, ""auto"", ""en""), """")"),"")</f>
        <v/>
      </c>
      <c r="G178" s="49" t="str">
        <f t="shared" ca="1" si="176"/>
        <v/>
      </c>
      <c r="H178" s="49" t="str">
        <f t="shared" ca="1" si="176"/>
        <v/>
      </c>
      <c r="I178" s="49" t="str">
        <f t="shared" ca="1" si="176"/>
        <v/>
      </c>
      <c r="J178" s="49" t="str">
        <f t="shared" ca="1" si="176"/>
        <v/>
      </c>
    </row>
    <row r="179" spans="1:10" ht="12.75" x14ac:dyDescent="0.2">
      <c r="A179" s="40"/>
      <c r="B179" s="41" t="s">
        <v>403</v>
      </c>
      <c r="C179" s="41" t="s">
        <v>25</v>
      </c>
      <c r="D179" s="41" t="s">
        <v>27</v>
      </c>
      <c r="E179" s="40"/>
      <c r="F179" s="49" t="str">
        <f t="shared" ref="F179:J179" ca="1" si="177">IFERROR(__xludf.DUMMYFUNCTION("if (A179 &lt;&gt; """", GOOGLETRANSLATE(A179, ""auto"", ""en""), """")"),"")</f>
        <v/>
      </c>
      <c r="G179" s="49" t="str">
        <f t="shared" ca="1" si="177"/>
        <v/>
      </c>
      <c r="H179" s="49" t="str">
        <f t="shared" ca="1" si="177"/>
        <v/>
      </c>
      <c r="I179" s="49" t="str">
        <f t="shared" ca="1" si="177"/>
        <v/>
      </c>
      <c r="J179" s="49" t="str">
        <f t="shared" ca="1" si="177"/>
        <v/>
      </c>
    </row>
    <row r="180" spans="1:10" ht="12.75" x14ac:dyDescent="0.2">
      <c r="A180" s="40"/>
      <c r="B180" s="41" t="s">
        <v>403</v>
      </c>
      <c r="C180" s="41" t="s">
        <v>30</v>
      </c>
      <c r="D180" s="41" t="s">
        <v>31</v>
      </c>
      <c r="E180" s="40"/>
      <c r="F180" s="49" t="str">
        <f t="shared" ref="F180:J180" ca="1" si="178">IFERROR(__xludf.DUMMYFUNCTION("if (A180 &lt;&gt; """", GOOGLETRANSLATE(A180, ""auto"", ""en""), """")"),"")</f>
        <v/>
      </c>
      <c r="G180" s="49" t="str">
        <f t="shared" ca="1" si="178"/>
        <v/>
      </c>
      <c r="H180" s="49" t="str">
        <f t="shared" ca="1" si="178"/>
        <v/>
      </c>
      <c r="I180" s="49" t="str">
        <f t="shared" ca="1" si="178"/>
        <v/>
      </c>
      <c r="J180" s="49" t="str">
        <f t="shared" ca="1" si="178"/>
        <v/>
      </c>
    </row>
    <row r="181" spans="1:10" ht="12.75" x14ac:dyDescent="0.2">
      <c r="A181" s="40"/>
      <c r="B181" s="40"/>
      <c r="C181" s="40"/>
      <c r="D181" s="40"/>
      <c r="E181" s="40"/>
      <c r="F181" s="49" t="str">
        <f t="shared" ref="F181:J181" ca="1" si="179">IFERROR(__xludf.DUMMYFUNCTION("if (A181 &lt;&gt; """", GOOGLETRANSLATE(A181, ""auto"", ""en""), """")"),"")</f>
        <v/>
      </c>
      <c r="G181" s="49" t="str">
        <f t="shared" ca="1" si="179"/>
        <v/>
      </c>
      <c r="H181" s="49" t="str">
        <f t="shared" ca="1" si="179"/>
        <v/>
      </c>
      <c r="I181" s="49" t="str">
        <f t="shared" ca="1" si="179"/>
        <v/>
      </c>
      <c r="J181" s="49" t="str">
        <f t="shared" ca="1" si="179"/>
        <v/>
      </c>
    </row>
    <row r="182" spans="1:10" ht="25.5" x14ac:dyDescent="0.2">
      <c r="A182" s="41" t="s">
        <v>84</v>
      </c>
      <c r="B182" s="40"/>
      <c r="C182" s="40"/>
      <c r="D182" s="40"/>
      <c r="E182" s="40"/>
      <c r="F182" s="49" t="str">
        <f t="shared" ref="F182:J182" ca="1" si="180">IFERROR(__xludf.DUMMYFUNCTION("if (A182 &lt;&gt; """", GOOGLETRANSLATE(A182, ""auto"", ""en""), """")"),"FAQ-Guest2-2")</f>
        <v>FAQ-Guest2-2</v>
      </c>
      <c r="G182" s="49" t="str">
        <f t="shared" ca="1" si="180"/>
        <v>FAQ-Guest2-2</v>
      </c>
      <c r="H182" s="49" t="str">
        <f t="shared" ca="1" si="180"/>
        <v>FAQ-Guest2-2</v>
      </c>
      <c r="I182" s="49" t="str">
        <f t="shared" ca="1" si="180"/>
        <v>FAQ-Guest2-2</v>
      </c>
      <c r="J182" s="49" t="str">
        <f t="shared" ca="1" si="180"/>
        <v>FAQ-Guest2-2</v>
      </c>
    </row>
    <row r="183" spans="1:10" ht="12.75" x14ac:dyDescent="0.2">
      <c r="A183" s="40"/>
      <c r="B183" s="41" t="s">
        <v>398</v>
      </c>
      <c r="C183" s="40"/>
      <c r="D183" s="40"/>
      <c r="E183" s="40"/>
      <c r="F183" s="49" t="str">
        <f t="shared" ref="F183:J183" ca="1" si="181">IFERROR(__xludf.DUMMYFUNCTION("if (A183 &lt;&gt; """", GOOGLETRANSLATE(A183, ""auto"", ""en""), """")"),"")</f>
        <v/>
      </c>
      <c r="G183" s="49" t="str">
        <f t="shared" ca="1" si="181"/>
        <v/>
      </c>
      <c r="H183" s="49" t="str">
        <f t="shared" ca="1" si="181"/>
        <v/>
      </c>
      <c r="I183" s="49" t="str">
        <f t="shared" ca="1" si="181"/>
        <v/>
      </c>
      <c r="J183" s="49" t="str">
        <f t="shared" ca="1" si="181"/>
        <v/>
      </c>
    </row>
    <row r="184" spans="1:10" ht="12.75" x14ac:dyDescent="0.2">
      <c r="A184" s="40"/>
      <c r="B184" s="41" t="s">
        <v>399</v>
      </c>
      <c r="C184" s="40"/>
      <c r="D184" s="40"/>
      <c r="E184" s="40"/>
      <c r="F184" s="49" t="str">
        <f t="shared" ref="F184:J184" ca="1" si="182">IFERROR(__xludf.DUMMYFUNCTION("if (A184 &lt;&gt; """", GOOGLETRANSLATE(A184, ""auto"", ""en""), """")"),"")</f>
        <v/>
      </c>
      <c r="G184" s="49" t="str">
        <f t="shared" ca="1" si="182"/>
        <v/>
      </c>
      <c r="H184" s="49" t="str">
        <f t="shared" ca="1" si="182"/>
        <v/>
      </c>
      <c r="I184" s="49" t="str">
        <f t="shared" ca="1" si="182"/>
        <v/>
      </c>
      <c r="J184" s="49" t="str">
        <f t="shared" ca="1" si="182"/>
        <v/>
      </c>
    </row>
    <row r="185" spans="1:10" ht="12.75" x14ac:dyDescent="0.2">
      <c r="A185" s="40"/>
      <c r="B185" s="41" t="s">
        <v>400</v>
      </c>
      <c r="C185" s="40"/>
      <c r="D185" s="40"/>
      <c r="E185" s="40"/>
      <c r="F185" s="49" t="str">
        <f t="shared" ref="F185:J185" ca="1" si="183">IFERROR(__xludf.DUMMYFUNCTION("if (A185 &lt;&gt; """", GOOGLETRANSLATE(A185, ""auto"", ""en""), """")"),"")</f>
        <v/>
      </c>
      <c r="G185" s="49" t="str">
        <f t="shared" ca="1" si="183"/>
        <v/>
      </c>
      <c r="H185" s="49" t="str">
        <f t="shared" ca="1" si="183"/>
        <v/>
      </c>
      <c r="I185" s="49" t="str">
        <f t="shared" ca="1" si="183"/>
        <v/>
      </c>
      <c r="J185" s="49" t="str">
        <f t="shared" ca="1" si="183"/>
        <v/>
      </c>
    </row>
    <row r="186" spans="1:10" ht="12.75" x14ac:dyDescent="0.2">
      <c r="A186" s="40"/>
      <c r="B186" s="41" t="s">
        <v>401</v>
      </c>
      <c r="C186" s="41" t="s">
        <v>84</v>
      </c>
      <c r="D186" s="40"/>
      <c r="E186" s="40"/>
      <c r="F186" s="49" t="str">
        <f t="shared" ref="F186:J186" ca="1" si="184">IFERROR(__xludf.DUMMYFUNCTION("if (A186 &lt;&gt; """", GOOGLETRANSLATE(A186, ""auto"", ""en""), """")"),"")</f>
        <v/>
      </c>
      <c r="G186" s="49" t="str">
        <f t="shared" ca="1" si="184"/>
        <v/>
      </c>
      <c r="H186" s="49" t="str">
        <f t="shared" ca="1" si="184"/>
        <v/>
      </c>
      <c r="I186" s="49" t="str">
        <f t="shared" ca="1" si="184"/>
        <v/>
      </c>
      <c r="J186" s="49" t="str">
        <f t="shared" ca="1" si="184"/>
        <v/>
      </c>
    </row>
    <row r="187" spans="1:10" ht="51" x14ac:dyDescent="0.2">
      <c r="A187" s="41" t="s">
        <v>449</v>
      </c>
      <c r="B187" s="41" t="s">
        <v>402</v>
      </c>
      <c r="C187" s="41" t="s">
        <v>95</v>
      </c>
      <c r="D187" s="40"/>
      <c r="E187" s="40"/>
      <c r="F187" s="49" t="str">
        <f t="shared" ref="F187:J187" ca="1" si="185">IFERROR(__xludf.DUMMYFUNCTION("if (A187 &lt;&gt; """", GOOGLETRANSLATE(A187, ""auto"", ""en""), """")"),"Need I photo of the face")</f>
        <v>Need I photo of the face</v>
      </c>
      <c r="G187" s="49" t="str">
        <f t="shared" ca="1" si="185"/>
        <v>Need I photo of the face</v>
      </c>
      <c r="H187" s="49" t="str">
        <f t="shared" ca="1" si="185"/>
        <v>Need I photo of the face</v>
      </c>
      <c r="I187" s="49" t="str">
        <f t="shared" ca="1" si="185"/>
        <v>Need I photo of the face</v>
      </c>
      <c r="J187" s="49" t="str">
        <f t="shared" ca="1" si="185"/>
        <v>Need I photo of the face</v>
      </c>
    </row>
    <row r="188" spans="1:10" ht="25.5" x14ac:dyDescent="0.2">
      <c r="A188" s="41" t="s">
        <v>450</v>
      </c>
      <c r="B188" s="41" t="s">
        <v>402</v>
      </c>
      <c r="C188" s="41" t="s">
        <v>19</v>
      </c>
      <c r="D188" s="40"/>
      <c r="E188" s="40"/>
      <c r="F188" s="49" t="str">
        <f t="shared" ref="F188:J188" ca="1" si="186">IFERROR(__xludf.DUMMYFUNCTION("if (A188 &lt;&gt; """", GOOGLETRANSLATE(A188, ""auto"", ""en""), """")"),"Face photo is required")</f>
        <v>Face photo is required</v>
      </c>
      <c r="G188" s="49" t="str">
        <f t="shared" ca="1" si="186"/>
        <v>Face photo is required</v>
      </c>
      <c r="H188" s="49" t="str">
        <f t="shared" ca="1" si="186"/>
        <v>Face photo is required</v>
      </c>
      <c r="I188" s="49" t="str">
        <f t="shared" ca="1" si="186"/>
        <v>Face photo is required</v>
      </c>
      <c r="J188" s="49" t="str">
        <f t="shared" ca="1" si="186"/>
        <v>Face photo is required</v>
      </c>
    </row>
    <row r="189" spans="1:10" ht="51" x14ac:dyDescent="0.2">
      <c r="A189" s="41" t="s">
        <v>451</v>
      </c>
      <c r="B189" s="40"/>
      <c r="C189" s="40"/>
      <c r="D189" s="40"/>
      <c r="E189" s="40"/>
      <c r="F189" s="49" t="str">
        <f t="shared" ref="F189:J189" ca="1" si="187">IFERROR(__xludf.DUMMYFUNCTION("if (A189 &lt;&gt; """", GOOGLETRANSLATE(A189, ""auto"", ""en""), """")"),"I do not want to up the photo of the face")</f>
        <v>I do not want to up the photo of the face</v>
      </c>
      <c r="G189" s="49" t="str">
        <f t="shared" ca="1" si="187"/>
        <v>I do not want to up the photo of the face</v>
      </c>
      <c r="H189" s="49" t="str">
        <f t="shared" ca="1" si="187"/>
        <v>I do not want to up the photo of the face</v>
      </c>
      <c r="I189" s="49" t="str">
        <f t="shared" ca="1" si="187"/>
        <v>I do not want to up the photo of the face</v>
      </c>
      <c r="J189" s="49" t="str">
        <f t="shared" ca="1" si="187"/>
        <v>I do not want to up the photo of the face</v>
      </c>
    </row>
    <row r="190" spans="1:10" ht="51" x14ac:dyDescent="0.2">
      <c r="A190" s="41" t="s">
        <v>452</v>
      </c>
      <c r="B190" s="40"/>
      <c r="C190" s="40"/>
      <c r="D190" s="40"/>
      <c r="E190" s="40"/>
      <c r="F190" s="49" t="str">
        <f t="shared" ref="F190:J190" ca="1" si="188">IFERROR(__xludf.DUMMYFUNCTION("if (A190 &lt;&gt; """", GOOGLETRANSLATE(A190, ""auto"", ""en""), """")"),"I do not want to raise a photo of the face")</f>
        <v>I do not want to raise a photo of the face</v>
      </c>
      <c r="G190" s="49" t="str">
        <f t="shared" ca="1" si="188"/>
        <v>I do not want to raise a photo of the face</v>
      </c>
      <c r="H190" s="49" t="str">
        <f t="shared" ca="1" si="188"/>
        <v>I do not want to raise a photo of the face</v>
      </c>
      <c r="I190" s="49" t="str">
        <f t="shared" ca="1" si="188"/>
        <v>I do not want to raise a photo of the face</v>
      </c>
      <c r="J190" s="49" t="str">
        <f t="shared" ca="1" si="188"/>
        <v>I do not want to raise a photo of the face</v>
      </c>
    </row>
    <row r="191" spans="1:10" ht="51" x14ac:dyDescent="0.2">
      <c r="A191" s="41" t="s">
        <v>453</v>
      </c>
      <c r="B191" s="40"/>
      <c r="C191" s="40"/>
      <c r="D191" s="40"/>
      <c r="E191" s="40"/>
      <c r="F191" s="49" t="str">
        <f t="shared" ref="F191:J191" ca="1" si="189">IFERROR(__xludf.DUMMYFUNCTION("if (A191 &lt;&gt; """", GOOGLETRANSLATE(A191, ""auto"", ""en""), """")"),"I do not want to take a photo of the face")</f>
        <v>I do not want to take a photo of the face</v>
      </c>
      <c r="G191" s="49" t="str">
        <f t="shared" ca="1" si="189"/>
        <v>I do not want to take a photo of the face</v>
      </c>
      <c r="H191" s="49" t="str">
        <f t="shared" ca="1" si="189"/>
        <v>I do not want to take a photo of the face</v>
      </c>
      <c r="I191" s="49" t="str">
        <f t="shared" ca="1" si="189"/>
        <v>I do not want to take a photo of the face</v>
      </c>
      <c r="J191" s="49" t="str">
        <f t="shared" ca="1" si="189"/>
        <v>I do not want to take a photo of the face</v>
      </c>
    </row>
    <row r="192" spans="1:10" ht="25.5" x14ac:dyDescent="0.2">
      <c r="A192" s="41" t="s">
        <v>454</v>
      </c>
      <c r="B192" s="40"/>
      <c r="C192" s="40"/>
      <c r="D192" s="40"/>
      <c r="E192" s="40"/>
      <c r="F192" s="49" t="str">
        <f t="shared" ref="F192:J192" ca="1" si="190">IFERROR(__xludf.DUMMYFUNCTION("if (A192 &lt;&gt; """", GOOGLETRANSLATE(A192, ""auto"", ""en""), """")"),"Photo of the face")</f>
        <v>Photo of the face</v>
      </c>
      <c r="G192" s="49" t="str">
        <f t="shared" ca="1" si="190"/>
        <v>Photo of the face</v>
      </c>
      <c r="H192" s="49" t="str">
        <f t="shared" ca="1" si="190"/>
        <v>Photo of the face</v>
      </c>
      <c r="I192" s="49" t="str">
        <f t="shared" ca="1" si="190"/>
        <v>Photo of the face</v>
      </c>
      <c r="J192" s="49" t="str">
        <f t="shared" ca="1" si="190"/>
        <v>Photo of the face</v>
      </c>
    </row>
    <row r="193" spans="1:10" ht="25.5" x14ac:dyDescent="0.2">
      <c r="A193" s="41" t="s">
        <v>83</v>
      </c>
      <c r="B193" s="40"/>
      <c r="C193" s="40"/>
      <c r="D193" s="40"/>
      <c r="E193" s="40"/>
      <c r="F193" s="49" t="str">
        <f t="shared" ref="F193:J193" ca="1" si="191">IFERROR(__xludf.DUMMYFUNCTION("if (A193 &lt;&gt; """", GOOGLETRANSLATE(A193, ""auto"", ""en""), """")"),"About face photo")</f>
        <v>About face photo</v>
      </c>
      <c r="G193" s="49" t="str">
        <f t="shared" ca="1" si="191"/>
        <v>About face photo</v>
      </c>
      <c r="H193" s="49" t="str">
        <f t="shared" ca="1" si="191"/>
        <v>About face photo</v>
      </c>
      <c r="I193" s="49" t="str">
        <f t="shared" ca="1" si="191"/>
        <v>About face photo</v>
      </c>
      <c r="J193" s="49" t="str">
        <f t="shared" ca="1" si="191"/>
        <v>About face photo</v>
      </c>
    </row>
    <row r="194" spans="1:10" ht="12.75" x14ac:dyDescent="0.2">
      <c r="A194" s="40"/>
      <c r="B194" s="41" t="s">
        <v>403</v>
      </c>
      <c r="C194" s="41" t="s">
        <v>24</v>
      </c>
      <c r="D194" s="41" t="s">
        <v>26</v>
      </c>
      <c r="E194" s="40"/>
      <c r="F194" s="49" t="str">
        <f t="shared" ref="F194:J194" ca="1" si="192">IFERROR(__xludf.DUMMYFUNCTION("if (A194 &lt;&gt; """", GOOGLETRANSLATE(A194, ""auto"", ""en""), """")"),"")</f>
        <v/>
      </c>
      <c r="G194" s="49" t="str">
        <f t="shared" ca="1" si="192"/>
        <v/>
      </c>
      <c r="H194" s="49" t="str">
        <f t="shared" ca="1" si="192"/>
        <v/>
      </c>
      <c r="I194" s="49" t="str">
        <f t="shared" ca="1" si="192"/>
        <v/>
      </c>
      <c r="J194" s="49" t="str">
        <f t="shared" ca="1" si="192"/>
        <v/>
      </c>
    </row>
    <row r="195" spans="1:10" ht="12.75" x14ac:dyDescent="0.2">
      <c r="A195" s="40"/>
      <c r="B195" s="41" t="s">
        <v>403</v>
      </c>
      <c r="C195" s="41" t="s">
        <v>32</v>
      </c>
      <c r="D195" s="41" t="s">
        <v>29</v>
      </c>
      <c r="E195" s="40"/>
      <c r="F195" s="49" t="str">
        <f t="shared" ref="F195:J195" ca="1" si="193">IFERROR(__xludf.DUMMYFUNCTION("if (A195 &lt;&gt; """", GOOGLETRANSLATE(A195, ""auto"", ""en""), """")"),"")</f>
        <v/>
      </c>
      <c r="G195" s="49" t="str">
        <f t="shared" ca="1" si="193"/>
        <v/>
      </c>
      <c r="H195" s="49" t="str">
        <f t="shared" ca="1" si="193"/>
        <v/>
      </c>
      <c r="I195" s="49" t="str">
        <f t="shared" ca="1" si="193"/>
        <v/>
      </c>
      <c r="J195" s="49" t="str">
        <f t="shared" ca="1" si="193"/>
        <v/>
      </c>
    </row>
    <row r="196" spans="1:10" ht="12.75" x14ac:dyDescent="0.2">
      <c r="A196" s="40"/>
      <c r="B196" s="41" t="s">
        <v>403</v>
      </c>
      <c r="C196" s="41" t="s">
        <v>25</v>
      </c>
      <c r="D196" s="41" t="s">
        <v>27</v>
      </c>
      <c r="E196" s="40"/>
      <c r="F196" s="49" t="str">
        <f t="shared" ref="F196:J196" ca="1" si="194">IFERROR(__xludf.DUMMYFUNCTION("if (A196 &lt;&gt; """", GOOGLETRANSLATE(A196, ""auto"", ""en""), """")"),"")</f>
        <v/>
      </c>
      <c r="G196" s="49" t="str">
        <f t="shared" ca="1" si="194"/>
        <v/>
      </c>
      <c r="H196" s="49" t="str">
        <f t="shared" ca="1" si="194"/>
        <v/>
      </c>
      <c r="I196" s="49" t="str">
        <f t="shared" ca="1" si="194"/>
        <v/>
      </c>
      <c r="J196" s="49" t="str">
        <f t="shared" ca="1" si="194"/>
        <v/>
      </c>
    </row>
    <row r="197" spans="1:10" ht="12.75" x14ac:dyDescent="0.2">
      <c r="A197" s="40"/>
      <c r="B197" s="41" t="s">
        <v>403</v>
      </c>
      <c r="C197" s="41" t="s">
        <v>30</v>
      </c>
      <c r="D197" s="41" t="s">
        <v>31</v>
      </c>
      <c r="E197" s="40"/>
      <c r="F197" s="49" t="str">
        <f t="shared" ref="F197:J197" ca="1" si="195">IFERROR(__xludf.DUMMYFUNCTION("if (A197 &lt;&gt; """", GOOGLETRANSLATE(A197, ""auto"", ""en""), """")"),"")</f>
        <v/>
      </c>
      <c r="G197" s="49" t="str">
        <f t="shared" ca="1" si="195"/>
        <v/>
      </c>
      <c r="H197" s="49" t="str">
        <f t="shared" ca="1" si="195"/>
        <v/>
      </c>
      <c r="I197" s="49" t="str">
        <f t="shared" ca="1" si="195"/>
        <v/>
      </c>
      <c r="J197" s="49" t="str">
        <f t="shared" ca="1" si="195"/>
        <v/>
      </c>
    </row>
    <row r="198" spans="1:10" ht="12.75" x14ac:dyDescent="0.2">
      <c r="A198" s="40"/>
      <c r="B198" s="40"/>
      <c r="C198" s="40"/>
      <c r="D198" s="40"/>
      <c r="E198" s="40"/>
      <c r="F198" s="49" t="str">
        <f t="shared" ref="F198:J198" ca="1" si="196">IFERROR(__xludf.DUMMYFUNCTION("if (A198 &lt;&gt; """", GOOGLETRANSLATE(A198, ""auto"", ""en""), """")"),"")</f>
        <v/>
      </c>
      <c r="G198" s="49" t="str">
        <f t="shared" ca="1" si="196"/>
        <v/>
      </c>
      <c r="H198" s="49" t="str">
        <f t="shared" ca="1" si="196"/>
        <v/>
      </c>
      <c r="I198" s="49" t="str">
        <f t="shared" ca="1" si="196"/>
        <v/>
      </c>
      <c r="J198" s="49" t="str">
        <f t="shared" ca="1" si="196"/>
        <v/>
      </c>
    </row>
    <row r="199" spans="1:10" ht="12.75" x14ac:dyDescent="0.2">
      <c r="A199" s="41" t="s">
        <v>75</v>
      </c>
      <c r="B199" s="40"/>
      <c r="C199" s="40"/>
      <c r="D199" s="40"/>
      <c r="E199" s="40"/>
      <c r="F199" s="49" t="str">
        <f t="shared" ref="F199:J199" ca="1" si="197">IFERROR(__xludf.DUMMYFUNCTION("if (A199 &lt;&gt; """", GOOGLETRANSLATE(A199, ""auto"", ""en""), """")"),"FAQ-Guest2")</f>
        <v>FAQ-Guest2</v>
      </c>
      <c r="G199" s="49" t="str">
        <f t="shared" ca="1" si="197"/>
        <v>FAQ-Guest2</v>
      </c>
      <c r="H199" s="49" t="str">
        <f t="shared" ca="1" si="197"/>
        <v>FAQ-Guest2</v>
      </c>
      <c r="I199" s="49" t="str">
        <f t="shared" ca="1" si="197"/>
        <v>FAQ-Guest2</v>
      </c>
      <c r="J199" s="49" t="str">
        <f t="shared" ca="1" si="197"/>
        <v>FAQ-Guest2</v>
      </c>
    </row>
    <row r="200" spans="1:10" ht="12.75" x14ac:dyDescent="0.2">
      <c r="A200" s="40"/>
      <c r="B200" s="41" t="s">
        <v>398</v>
      </c>
      <c r="C200" s="40"/>
      <c r="D200" s="40"/>
      <c r="E200" s="40"/>
      <c r="F200" s="49" t="str">
        <f t="shared" ref="F200:J200" ca="1" si="198">IFERROR(__xludf.DUMMYFUNCTION("if (A200 &lt;&gt; """", GOOGLETRANSLATE(A200, ""auto"", ""en""), """")"),"")</f>
        <v/>
      </c>
      <c r="G200" s="49" t="str">
        <f t="shared" ca="1" si="198"/>
        <v/>
      </c>
      <c r="H200" s="49" t="str">
        <f t="shared" ca="1" si="198"/>
        <v/>
      </c>
      <c r="I200" s="49" t="str">
        <f t="shared" ca="1" si="198"/>
        <v/>
      </c>
      <c r="J200" s="49" t="str">
        <f t="shared" ca="1" si="198"/>
        <v/>
      </c>
    </row>
    <row r="201" spans="1:10" ht="12.75" x14ac:dyDescent="0.2">
      <c r="A201" s="40"/>
      <c r="B201" s="41" t="s">
        <v>399</v>
      </c>
      <c r="C201" s="40"/>
      <c r="D201" s="40"/>
      <c r="E201" s="40"/>
      <c r="F201" s="49" t="str">
        <f t="shared" ref="F201:J201" ca="1" si="199">IFERROR(__xludf.DUMMYFUNCTION("if (A201 &lt;&gt; """", GOOGLETRANSLATE(A201, ""auto"", ""en""), """")"),"")</f>
        <v/>
      </c>
      <c r="G201" s="49" t="str">
        <f t="shared" ca="1" si="199"/>
        <v/>
      </c>
      <c r="H201" s="49" t="str">
        <f t="shared" ca="1" si="199"/>
        <v/>
      </c>
      <c r="I201" s="49" t="str">
        <f t="shared" ca="1" si="199"/>
        <v/>
      </c>
      <c r="J201" s="49" t="str">
        <f t="shared" ca="1" si="199"/>
        <v/>
      </c>
    </row>
    <row r="202" spans="1:10" ht="12.75" x14ac:dyDescent="0.2">
      <c r="A202" s="40"/>
      <c r="B202" s="41" t="s">
        <v>400</v>
      </c>
      <c r="C202" s="40"/>
      <c r="D202" s="40"/>
      <c r="E202" s="40"/>
      <c r="F202" s="49" t="str">
        <f t="shared" ref="F202:J202" ca="1" si="200">IFERROR(__xludf.DUMMYFUNCTION("if (A202 &lt;&gt; """", GOOGLETRANSLATE(A202, ""auto"", ""en""), """")"),"")</f>
        <v/>
      </c>
      <c r="G202" s="49" t="str">
        <f t="shared" ca="1" si="200"/>
        <v/>
      </c>
      <c r="H202" s="49" t="str">
        <f t="shared" ca="1" si="200"/>
        <v/>
      </c>
      <c r="I202" s="49" t="str">
        <f t="shared" ca="1" si="200"/>
        <v/>
      </c>
      <c r="J202" s="49" t="str">
        <f t="shared" ca="1" si="200"/>
        <v/>
      </c>
    </row>
    <row r="203" spans="1:10" ht="12.75" x14ac:dyDescent="0.2">
      <c r="A203" s="40"/>
      <c r="B203" s="41" t="s">
        <v>401</v>
      </c>
      <c r="C203" s="41" t="s">
        <v>75</v>
      </c>
      <c r="D203" s="40"/>
      <c r="E203" s="40"/>
      <c r="F203" s="49" t="str">
        <f t="shared" ref="F203:J203" ca="1" si="201">IFERROR(__xludf.DUMMYFUNCTION("if (A203 &lt;&gt; """", GOOGLETRANSLATE(A203, ""auto"", ""en""), """")"),"")</f>
        <v/>
      </c>
      <c r="G203" s="49" t="str">
        <f t="shared" ca="1" si="201"/>
        <v/>
      </c>
      <c r="H203" s="49" t="str">
        <f t="shared" ca="1" si="201"/>
        <v/>
      </c>
      <c r="I203" s="49" t="str">
        <f t="shared" ca="1" si="201"/>
        <v/>
      </c>
      <c r="J203" s="49" t="str">
        <f t="shared" ca="1" si="201"/>
        <v/>
      </c>
    </row>
    <row r="204" spans="1:10" ht="25.5" x14ac:dyDescent="0.2">
      <c r="A204" s="41" t="s">
        <v>455</v>
      </c>
      <c r="B204" s="41" t="s">
        <v>402</v>
      </c>
      <c r="C204" s="41" t="s">
        <v>76</v>
      </c>
      <c r="D204" s="40"/>
      <c r="E204" s="40"/>
      <c r="F204" s="49" t="str">
        <f t="shared" ref="F204:J204" ca="1" si="202">IFERROR(__xludf.DUMMYFUNCTION("if (A204 &lt;&gt; """", GOOGLETRANSLATE(A204, ""auto"", ""en""), """")"),"Prof")</f>
        <v>Prof</v>
      </c>
      <c r="G204" s="49" t="str">
        <f t="shared" ca="1" si="202"/>
        <v>Prof</v>
      </c>
      <c r="H204" s="49" t="str">
        <f t="shared" ca="1" si="202"/>
        <v>Prof</v>
      </c>
      <c r="I204" s="49" t="str">
        <f t="shared" ca="1" si="202"/>
        <v>Prof</v>
      </c>
      <c r="J204" s="49" t="str">
        <f t="shared" ca="1" si="202"/>
        <v>Prof</v>
      </c>
    </row>
    <row r="205" spans="1:10" ht="12.75" x14ac:dyDescent="0.2">
      <c r="A205" s="41" t="s">
        <v>44</v>
      </c>
      <c r="B205" s="40"/>
      <c r="C205" s="40"/>
      <c r="D205" s="40"/>
      <c r="E205" s="40"/>
      <c r="F205" s="49" t="str">
        <f t="shared" ref="F205:J205" ca="1" si="203">IFERROR(__xludf.DUMMYFUNCTION("if (A205 &lt;&gt; """", GOOGLETRANSLATE(A205, ""auto"", ""en""), """")"),"Profile")</f>
        <v>Profile</v>
      </c>
      <c r="G205" s="49" t="str">
        <f t="shared" ca="1" si="203"/>
        <v>Profile</v>
      </c>
      <c r="H205" s="49" t="str">
        <f t="shared" ca="1" si="203"/>
        <v>Profile</v>
      </c>
      <c r="I205" s="49" t="str">
        <f t="shared" ca="1" si="203"/>
        <v>Profile</v>
      </c>
      <c r="J205" s="49" t="str">
        <f t="shared" ca="1" si="203"/>
        <v>Profile</v>
      </c>
    </row>
    <row r="206" spans="1:10" ht="12.75" x14ac:dyDescent="0.2">
      <c r="A206" s="40"/>
      <c r="B206" s="41" t="s">
        <v>403</v>
      </c>
      <c r="C206" s="41" t="s">
        <v>72</v>
      </c>
      <c r="D206" s="41" t="s">
        <v>71</v>
      </c>
      <c r="E206" s="40"/>
      <c r="F206" s="49" t="str">
        <f t="shared" ref="F206:J206" ca="1" si="204">IFERROR(__xludf.DUMMYFUNCTION("if (A206 &lt;&gt; """", GOOGLETRANSLATE(A206, ""auto"", ""en""), """")"),"")</f>
        <v/>
      </c>
      <c r="G206" s="49" t="str">
        <f t="shared" ca="1" si="204"/>
        <v/>
      </c>
      <c r="H206" s="49" t="str">
        <f t="shared" ca="1" si="204"/>
        <v/>
      </c>
      <c r="I206" s="49" t="str">
        <f t="shared" ca="1" si="204"/>
        <v/>
      </c>
      <c r="J206" s="49" t="str">
        <f t="shared" ca="1" si="204"/>
        <v/>
      </c>
    </row>
    <row r="207" spans="1:10" ht="12.75" x14ac:dyDescent="0.2">
      <c r="A207" s="40"/>
      <c r="B207" s="41" t="s">
        <v>403</v>
      </c>
      <c r="C207" s="41" t="s">
        <v>83</v>
      </c>
      <c r="D207" s="41" t="s">
        <v>84</v>
      </c>
      <c r="E207" s="40"/>
      <c r="F207" s="49" t="str">
        <f t="shared" ref="F207:J207" ca="1" si="205">IFERROR(__xludf.DUMMYFUNCTION("if (A207 &lt;&gt; """", GOOGLETRANSLATE(A207, ""auto"", ""en""), """")"),"")</f>
        <v/>
      </c>
      <c r="G207" s="49" t="str">
        <f t="shared" ca="1" si="205"/>
        <v/>
      </c>
      <c r="H207" s="49" t="str">
        <f t="shared" ca="1" si="205"/>
        <v/>
      </c>
      <c r="I207" s="49" t="str">
        <f t="shared" ca="1" si="205"/>
        <v/>
      </c>
      <c r="J207" s="49" t="str">
        <f t="shared" ca="1" si="205"/>
        <v/>
      </c>
    </row>
    <row r="208" spans="1:10" ht="12.75" x14ac:dyDescent="0.2">
      <c r="A208" s="40"/>
      <c r="B208" s="41" t="s">
        <v>403</v>
      </c>
      <c r="C208" s="41" t="s">
        <v>24</v>
      </c>
      <c r="D208" s="41" t="s">
        <v>26</v>
      </c>
      <c r="E208" s="40"/>
      <c r="F208" s="49" t="str">
        <f t="shared" ref="F208:J208" ca="1" si="206">IFERROR(__xludf.DUMMYFUNCTION("if (A208 &lt;&gt; """", GOOGLETRANSLATE(A208, ""auto"", ""en""), """")"),"")</f>
        <v/>
      </c>
      <c r="G208" s="49" t="str">
        <f t="shared" ca="1" si="206"/>
        <v/>
      </c>
      <c r="H208" s="49" t="str">
        <f t="shared" ca="1" si="206"/>
        <v/>
      </c>
      <c r="I208" s="49" t="str">
        <f t="shared" ca="1" si="206"/>
        <v/>
      </c>
      <c r="J208" s="49" t="str">
        <f t="shared" ca="1" si="206"/>
        <v/>
      </c>
    </row>
    <row r="209" spans="1:10" ht="12.75" x14ac:dyDescent="0.2">
      <c r="A209" s="40"/>
      <c r="B209" s="40"/>
      <c r="C209" s="40"/>
      <c r="D209" s="40"/>
      <c r="E209" s="40"/>
      <c r="F209" s="49" t="str">
        <f t="shared" ref="F209:J209" ca="1" si="207">IFERROR(__xludf.DUMMYFUNCTION("if (A209 &lt;&gt; """", GOOGLETRANSLATE(A209, ""auto"", ""en""), """")"),"")</f>
        <v/>
      </c>
      <c r="G209" s="49" t="str">
        <f t="shared" ca="1" si="207"/>
        <v/>
      </c>
      <c r="H209" s="49" t="str">
        <f t="shared" ca="1" si="207"/>
        <v/>
      </c>
      <c r="I209" s="49" t="str">
        <f t="shared" ca="1" si="207"/>
        <v/>
      </c>
      <c r="J209" s="49" t="str">
        <f t="shared" ca="1" si="207"/>
        <v/>
      </c>
    </row>
    <row r="210" spans="1:10" ht="25.5" x14ac:dyDescent="0.2">
      <c r="A210" s="41" t="s">
        <v>91</v>
      </c>
      <c r="B210" s="40"/>
      <c r="C210" s="40"/>
      <c r="D210" s="40"/>
      <c r="E210" s="40"/>
      <c r="F210" s="49" t="str">
        <f t="shared" ref="F210:J210" ca="1" si="208">IFERROR(__xludf.DUMMYFUNCTION("if (A210 &lt;&gt; """", GOOGLETRANSLATE(A210, ""auto"", ""en""), """")"),"FAQ-Guest3-1")</f>
        <v>FAQ-Guest3-1</v>
      </c>
      <c r="G210" s="49" t="str">
        <f t="shared" ca="1" si="208"/>
        <v>FAQ-Guest3-1</v>
      </c>
      <c r="H210" s="49" t="str">
        <f t="shared" ca="1" si="208"/>
        <v>FAQ-Guest3-1</v>
      </c>
      <c r="I210" s="49" t="str">
        <f t="shared" ca="1" si="208"/>
        <v>FAQ-Guest3-1</v>
      </c>
      <c r="J210" s="49" t="str">
        <f t="shared" ca="1" si="208"/>
        <v>FAQ-Guest3-1</v>
      </c>
    </row>
    <row r="211" spans="1:10" ht="12.75" x14ac:dyDescent="0.2">
      <c r="A211" s="40"/>
      <c r="B211" s="41" t="s">
        <v>398</v>
      </c>
      <c r="C211" s="40"/>
      <c r="D211" s="40"/>
      <c r="E211" s="40"/>
      <c r="F211" s="49" t="str">
        <f t="shared" ref="F211:J211" ca="1" si="209">IFERROR(__xludf.DUMMYFUNCTION("if (A211 &lt;&gt; """", GOOGLETRANSLATE(A211, ""auto"", ""en""), """")"),"")</f>
        <v/>
      </c>
      <c r="G211" s="49" t="str">
        <f t="shared" ca="1" si="209"/>
        <v/>
      </c>
      <c r="H211" s="49" t="str">
        <f t="shared" ca="1" si="209"/>
        <v/>
      </c>
      <c r="I211" s="49" t="str">
        <f t="shared" ca="1" si="209"/>
        <v/>
      </c>
      <c r="J211" s="49" t="str">
        <f t="shared" ca="1" si="209"/>
        <v/>
      </c>
    </row>
    <row r="212" spans="1:10" ht="12.75" x14ac:dyDescent="0.2">
      <c r="A212" s="40"/>
      <c r="B212" s="41" t="s">
        <v>399</v>
      </c>
      <c r="C212" s="40"/>
      <c r="D212" s="40"/>
      <c r="E212" s="40"/>
      <c r="F212" s="49" t="str">
        <f t="shared" ref="F212:J212" ca="1" si="210">IFERROR(__xludf.DUMMYFUNCTION("if (A212 &lt;&gt; """", GOOGLETRANSLATE(A212, ""auto"", ""en""), """")"),"")</f>
        <v/>
      </c>
      <c r="G212" s="49" t="str">
        <f t="shared" ca="1" si="210"/>
        <v/>
      </c>
      <c r="H212" s="49" t="str">
        <f t="shared" ca="1" si="210"/>
        <v/>
      </c>
      <c r="I212" s="49" t="str">
        <f t="shared" ca="1" si="210"/>
        <v/>
      </c>
      <c r="J212" s="49" t="str">
        <f t="shared" ca="1" si="210"/>
        <v/>
      </c>
    </row>
    <row r="213" spans="1:10" ht="12.75" x14ac:dyDescent="0.2">
      <c r="A213" s="40"/>
      <c r="B213" s="41" t="s">
        <v>400</v>
      </c>
      <c r="C213" s="40"/>
      <c r="D213" s="40"/>
      <c r="E213" s="40"/>
      <c r="F213" s="49" t="str">
        <f t="shared" ref="F213:J213" ca="1" si="211">IFERROR(__xludf.DUMMYFUNCTION("if (A213 &lt;&gt; """", GOOGLETRANSLATE(A213, ""auto"", ""en""), """")"),"")</f>
        <v/>
      </c>
      <c r="G213" s="49" t="str">
        <f t="shared" ca="1" si="211"/>
        <v/>
      </c>
      <c r="H213" s="49" t="str">
        <f t="shared" ca="1" si="211"/>
        <v/>
      </c>
      <c r="I213" s="49" t="str">
        <f t="shared" ca="1" si="211"/>
        <v/>
      </c>
      <c r="J213" s="49" t="str">
        <f t="shared" ca="1" si="211"/>
        <v/>
      </c>
    </row>
    <row r="214" spans="1:10" ht="12.75" x14ac:dyDescent="0.2">
      <c r="A214" s="40"/>
      <c r="B214" s="41" t="s">
        <v>401</v>
      </c>
      <c r="C214" s="41" t="s">
        <v>91</v>
      </c>
      <c r="D214" s="40"/>
      <c r="E214" s="40"/>
      <c r="F214" s="49" t="str">
        <f t="shared" ref="F214:J214" ca="1" si="212">IFERROR(__xludf.DUMMYFUNCTION("if (A214 &lt;&gt; """", GOOGLETRANSLATE(A214, ""auto"", ""en""), """")"),"")</f>
        <v/>
      </c>
      <c r="G214" s="49" t="str">
        <f t="shared" ca="1" si="212"/>
        <v/>
      </c>
      <c r="H214" s="49" t="str">
        <f t="shared" ca="1" si="212"/>
        <v/>
      </c>
      <c r="I214" s="49" t="str">
        <f t="shared" ca="1" si="212"/>
        <v/>
      </c>
      <c r="J214" s="49" t="str">
        <f t="shared" ca="1" si="212"/>
        <v/>
      </c>
    </row>
    <row r="215" spans="1:10" ht="63.75" x14ac:dyDescent="0.2">
      <c r="A215" s="41" t="s">
        <v>456</v>
      </c>
      <c r="B215" s="41" t="s">
        <v>402</v>
      </c>
      <c r="C215" s="41" t="s">
        <v>125</v>
      </c>
      <c r="D215" s="40"/>
      <c r="E215" s="40"/>
      <c r="F215" s="49" t="str">
        <f t="shared" ref="F215:J215" ca="1" si="213">IFERROR(__xludf.DUMMYFUNCTION("if (A215 &lt;&gt; """", GOOGLETRANSLATE(A215, ""auto"", ""en""), """")"),"Reply to reservation")</f>
        <v>Reply to reservation</v>
      </c>
      <c r="G215" s="49" t="str">
        <f t="shared" ca="1" si="213"/>
        <v>Reply to reservation</v>
      </c>
      <c r="H215" s="49" t="str">
        <f t="shared" ca="1" si="213"/>
        <v>Reply to reservation</v>
      </c>
      <c r="I215" s="49" t="str">
        <f t="shared" ca="1" si="213"/>
        <v>Reply to reservation</v>
      </c>
      <c r="J215" s="49" t="str">
        <f t="shared" ca="1" si="213"/>
        <v>Reply to reservation</v>
      </c>
    </row>
    <row r="216" spans="1:10" ht="25.5" x14ac:dyDescent="0.2">
      <c r="A216" s="41" t="s">
        <v>457</v>
      </c>
      <c r="B216" s="41" t="s">
        <v>402</v>
      </c>
      <c r="C216" s="41" t="s">
        <v>19</v>
      </c>
      <c r="D216" s="40"/>
      <c r="E216" s="40"/>
      <c r="F216" s="49" t="str">
        <f t="shared" ref="F216:J216" ca="1" si="214">IFERROR(__xludf.DUMMYFUNCTION("if (A216 &lt;&gt; """", GOOGLETRANSLATE(A216, ""auto"", ""en""), """")"),"Time may be up to the reply")</f>
        <v>Time may be up to the reply</v>
      </c>
      <c r="G216" s="49" t="str">
        <f t="shared" ca="1" si="214"/>
        <v>Time may be up to the reply</v>
      </c>
      <c r="H216" s="49" t="str">
        <f t="shared" ca="1" si="214"/>
        <v>Time may be up to the reply</v>
      </c>
      <c r="I216" s="49" t="str">
        <f t="shared" ca="1" si="214"/>
        <v>Time may be up to the reply</v>
      </c>
      <c r="J216" s="49" t="str">
        <f t="shared" ca="1" si="214"/>
        <v>Time may be up to the reply</v>
      </c>
    </row>
    <row r="217" spans="1:10" ht="25.5" x14ac:dyDescent="0.2">
      <c r="A217" s="41" t="s">
        <v>458</v>
      </c>
      <c r="B217" s="40"/>
      <c r="C217" s="40"/>
      <c r="D217" s="40"/>
      <c r="E217" s="40"/>
      <c r="F217" s="49" t="str">
        <f t="shared" ref="F217:J217" ca="1" si="215">IFERROR(__xludf.DUMMYFUNCTION("if (A217 &lt;&gt; """", GOOGLETRANSLATE(A217, ""auto"", ""en""), """")"),"Can you forever reply")</f>
        <v>Can you forever reply</v>
      </c>
      <c r="G217" s="49" t="str">
        <f t="shared" ca="1" si="215"/>
        <v>Can you forever reply</v>
      </c>
      <c r="H217" s="49" t="str">
        <f t="shared" ca="1" si="215"/>
        <v>Can you forever reply</v>
      </c>
      <c r="I217" s="49" t="str">
        <f t="shared" ca="1" si="215"/>
        <v>Can you forever reply</v>
      </c>
      <c r="J217" s="49" t="str">
        <f t="shared" ca="1" si="215"/>
        <v>Can you forever reply</v>
      </c>
    </row>
    <row r="218" spans="1:10" ht="38.25" x14ac:dyDescent="0.2">
      <c r="A218" s="41" t="s">
        <v>459</v>
      </c>
      <c r="B218" s="40"/>
      <c r="C218" s="40"/>
      <c r="D218" s="40"/>
      <c r="E218" s="40"/>
      <c r="F218" s="49" t="str">
        <f t="shared" ref="F218:J218" ca="1" si="216">IFERROR(__xludf.DUMMYFUNCTION("if (A218 &lt;&gt; """", GOOGLETRANSLATE(A218, ""auto"", ""en""), """")"),"Reply of the application is forever")</f>
        <v>Reply of the application is forever</v>
      </c>
      <c r="G218" s="49" t="str">
        <f t="shared" ca="1" si="216"/>
        <v>Reply of the application is forever</v>
      </c>
      <c r="H218" s="49" t="str">
        <f t="shared" ca="1" si="216"/>
        <v>Reply of the application is forever</v>
      </c>
      <c r="I218" s="49" t="str">
        <f t="shared" ca="1" si="216"/>
        <v>Reply of the application is forever</v>
      </c>
      <c r="J218" s="49" t="str">
        <f t="shared" ca="1" si="216"/>
        <v>Reply of the application is forever</v>
      </c>
    </row>
    <row r="219" spans="1:10" ht="25.5" x14ac:dyDescent="0.2">
      <c r="A219" s="41" t="s">
        <v>460</v>
      </c>
      <c r="B219" s="40"/>
      <c r="C219" s="40"/>
      <c r="D219" s="40"/>
      <c r="E219" s="40"/>
      <c r="F219" s="49" t="str">
        <f t="shared" ref="F219:J219" ca="1" si="217">IFERROR(__xludf.DUMMYFUNCTION("if (A219 &lt;&gt; """", GOOGLETRANSLATE(A219, ""auto"", ""en""), """")"),"Application of deadline")</f>
        <v>Application of deadline</v>
      </c>
      <c r="G219" s="49" t="str">
        <f t="shared" ca="1" si="217"/>
        <v>Application of deadline</v>
      </c>
      <c r="H219" s="49" t="str">
        <f t="shared" ca="1" si="217"/>
        <v>Application of deadline</v>
      </c>
      <c r="I219" s="49" t="str">
        <f t="shared" ca="1" si="217"/>
        <v>Application of deadline</v>
      </c>
      <c r="J219" s="49" t="str">
        <f t="shared" ca="1" si="217"/>
        <v>Application of deadline</v>
      </c>
    </row>
    <row r="220" spans="1:10" ht="25.5" x14ac:dyDescent="0.2">
      <c r="A220" s="41" t="s">
        <v>461</v>
      </c>
      <c r="B220" s="40"/>
      <c r="C220" s="40"/>
      <c r="D220" s="40"/>
      <c r="E220" s="40"/>
      <c r="F220" s="49" t="str">
        <f t="shared" ref="F220:J220" ca="1" si="218">IFERROR(__xludf.DUMMYFUNCTION("if (A220 &lt;&gt; """", GOOGLETRANSLATE(A220, ""auto"", ""en""), """")"),"Application deadline")</f>
        <v>Application deadline</v>
      </c>
      <c r="G220" s="49" t="str">
        <f t="shared" ca="1" si="218"/>
        <v>Application deadline</v>
      </c>
      <c r="H220" s="49" t="str">
        <f t="shared" ca="1" si="218"/>
        <v>Application deadline</v>
      </c>
      <c r="I220" s="49" t="str">
        <f t="shared" ca="1" si="218"/>
        <v>Application deadline</v>
      </c>
      <c r="J220" s="49" t="str">
        <f t="shared" ca="1" si="218"/>
        <v>Application deadline</v>
      </c>
    </row>
    <row r="221" spans="1:10" ht="38.25" x14ac:dyDescent="0.2">
      <c r="A221" s="41" t="s">
        <v>90</v>
      </c>
      <c r="B221" s="40"/>
      <c r="C221" s="40"/>
      <c r="D221" s="40"/>
      <c r="E221" s="40"/>
      <c r="F221" s="49" t="str">
        <f t="shared" ref="F221:J221" ca="1" si="219">IFERROR(__xludf.DUMMYFUNCTION("if (A221 &lt;&gt; """", GOOGLETRANSLATE(A221, ""auto"", ""en""), """")"),"The deadline for subscription")</f>
        <v>The deadline for subscription</v>
      </c>
      <c r="G221" s="49" t="str">
        <f t="shared" ca="1" si="219"/>
        <v>The deadline for subscription</v>
      </c>
      <c r="H221" s="49" t="str">
        <f t="shared" ca="1" si="219"/>
        <v>The deadline for subscription</v>
      </c>
      <c r="I221" s="49" t="str">
        <f t="shared" ca="1" si="219"/>
        <v>The deadline for subscription</v>
      </c>
      <c r="J221" s="49" t="str">
        <f t="shared" ca="1" si="219"/>
        <v>The deadline for subscription</v>
      </c>
    </row>
    <row r="222" spans="1:10" ht="12.75" x14ac:dyDescent="0.2">
      <c r="A222" s="40"/>
      <c r="B222" s="41" t="s">
        <v>403</v>
      </c>
      <c r="C222" s="41" t="s">
        <v>24</v>
      </c>
      <c r="D222" s="41" t="s">
        <v>26</v>
      </c>
      <c r="E222" s="40"/>
      <c r="F222" s="49" t="str">
        <f t="shared" ref="F222:J222" ca="1" si="220">IFERROR(__xludf.DUMMYFUNCTION("if (A222 &lt;&gt; """", GOOGLETRANSLATE(A222, ""auto"", ""en""), """")"),"")</f>
        <v/>
      </c>
      <c r="G222" s="49" t="str">
        <f t="shared" ca="1" si="220"/>
        <v/>
      </c>
      <c r="H222" s="49" t="str">
        <f t="shared" ca="1" si="220"/>
        <v/>
      </c>
      <c r="I222" s="49" t="str">
        <f t="shared" ca="1" si="220"/>
        <v/>
      </c>
      <c r="J222" s="49" t="str">
        <f t="shared" ca="1" si="220"/>
        <v/>
      </c>
    </row>
    <row r="223" spans="1:10" ht="12.75" x14ac:dyDescent="0.2">
      <c r="A223" s="40"/>
      <c r="B223" s="41" t="s">
        <v>403</v>
      </c>
      <c r="C223" s="41" t="s">
        <v>32</v>
      </c>
      <c r="D223" s="41" t="s">
        <v>29</v>
      </c>
      <c r="E223" s="40"/>
      <c r="F223" s="49" t="str">
        <f t="shared" ref="F223:J223" ca="1" si="221">IFERROR(__xludf.DUMMYFUNCTION("if (A223 &lt;&gt; """", GOOGLETRANSLATE(A223, ""auto"", ""en""), """")"),"")</f>
        <v/>
      </c>
      <c r="G223" s="49" t="str">
        <f t="shared" ca="1" si="221"/>
        <v/>
      </c>
      <c r="H223" s="49" t="str">
        <f t="shared" ca="1" si="221"/>
        <v/>
      </c>
      <c r="I223" s="49" t="str">
        <f t="shared" ca="1" si="221"/>
        <v/>
      </c>
      <c r="J223" s="49" t="str">
        <f t="shared" ca="1" si="221"/>
        <v/>
      </c>
    </row>
    <row r="224" spans="1:10" ht="12.75" x14ac:dyDescent="0.2">
      <c r="A224" s="40"/>
      <c r="B224" s="41" t="s">
        <v>403</v>
      </c>
      <c r="C224" s="41" t="s">
        <v>25</v>
      </c>
      <c r="D224" s="41" t="s">
        <v>27</v>
      </c>
      <c r="E224" s="40"/>
      <c r="F224" s="49" t="str">
        <f t="shared" ref="F224:J224" ca="1" si="222">IFERROR(__xludf.DUMMYFUNCTION("if (A224 &lt;&gt; """", GOOGLETRANSLATE(A224, ""auto"", ""en""), """")"),"")</f>
        <v/>
      </c>
      <c r="G224" s="49" t="str">
        <f t="shared" ca="1" si="222"/>
        <v/>
      </c>
      <c r="H224" s="49" t="str">
        <f t="shared" ca="1" si="222"/>
        <v/>
      </c>
      <c r="I224" s="49" t="str">
        <f t="shared" ca="1" si="222"/>
        <v/>
      </c>
      <c r="J224" s="49" t="str">
        <f t="shared" ca="1" si="222"/>
        <v/>
      </c>
    </row>
    <row r="225" spans="1:10" ht="12.75" x14ac:dyDescent="0.2">
      <c r="A225" s="40"/>
      <c r="B225" s="41" t="s">
        <v>403</v>
      </c>
      <c r="C225" s="41" t="s">
        <v>30</v>
      </c>
      <c r="D225" s="41" t="s">
        <v>31</v>
      </c>
      <c r="E225" s="40"/>
      <c r="F225" s="49" t="str">
        <f t="shared" ref="F225:J225" ca="1" si="223">IFERROR(__xludf.DUMMYFUNCTION("if (A225 &lt;&gt; """", GOOGLETRANSLATE(A225, ""auto"", ""en""), """")"),"")</f>
        <v/>
      </c>
      <c r="G225" s="49" t="str">
        <f t="shared" ca="1" si="223"/>
        <v/>
      </c>
      <c r="H225" s="49" t="str">
        <f t="shared" ca="1" si="223"/>
        <v/>
      </c>
      <c r="I225" s="49" t="str">
        <f t="shared" ca="1" si="223"/>
        <v/>
      </c>
      <c r="J225" s="49" t="str">
        <f t="shared" ca="1" si="223"/>
        <v/>
      </c>
    </row>
    <row r="226" spans="1:10" ht="12.75" x14ac:dyDescent="0.2">
      <c r="A226" s="40"/>
      <c r="B226" s="40"/>
      <c r="C226" s="40"/>
      <c r="D226" s="40"/>
      <c r="E226" s="40"/>
      <c r="F226" s="49" t="str">
        <f t="shared" ref="F226:J226" ca="1" si="224">IFERROR(__xludf.DUMMYFUNCTION("if (A226 &lt;&gt; """", GOOGLETRANSLATE(A226, ""auto"", ""en""), """")"),"")</f>
        <v/>
      </c>
      <c r="G226" s="49" t="str">
        <f t="shared" ca="1" si="224"/>
        <v/>
      </c>
      <c r="H226" s="49" t="str">
        <f t="shared" ca="1" si="224"/>
        <v/>
      </c>
      <c r="I226" s="49" t="str">
        <f t="shared" ca="1" si="224"/>
        <v/>
      </c>
      <c r="J226" s="49" t="str">
        <f t="shared" ca="1" si="224"/>
        <v/>
      </c>
    </row>
    <row r="227" spans="1:10" ht="25.5" x14ac:dyDescent="0.2">
      <c r="A227" s="41" t="s">
        <v>98</v>
      </c>
      <c r="B227" s="40"/>
      <c r="C227" s="40"/>
      <c r="D227" s="40"/>
      <c r="E227" s="40"/>
      <c r="F227" s="49" t="str">
        <f t="shared" ref="F227:J227" ca="1" si="225">IFERROR(__xludf.DUMMYFUNCTION("if (A227 &lt;&gt; """", GOOGLETRANSLATE(A227, ""auto"", ""en""), """")"),"FAQ-Guest3-2")</f>
        <v>FAQ-Guest3-2</v>
      </c>
      <c r="G227" s="49" t="str">
        <f t="shared" ca="1" si="225"/>
        <v>FAQ-Guest3-2</v>
      </c>
      <c r="H227" s="49" t="str">
        <f t="shared" ca="1" si="225"/>
        <v>FAQ-Guest3-2</v>
      </c>
      <c r="I227" s="49" t="str">
        <f t="shared" ca="1" si="225"/>
        <v>FAQ-Guest3-2</v>
      </c>
      <c r="J227" s="49" t="str">
        <f t="shared" ca="1" si="225"/>
        <v>FAQ-Guest3-2</v>
      </c>
    </row>
    <row r="228" spans="1:10" ht="12.75" x14ac:dyDescent="0.2">
      <c r="A228" s="40"/>
      <c r="B228" s="41" t="s">
        <v>398</v>
      </c>
      <c r="C228" s="40"/>
      <c r="D228" s="40"/>
      <c r="E228" s="40"/>
      <c r="F228" s="49" t="str">
        <f t="shared" ref="F228:J228" ca="1" si="226">IFERROR(__xludf.DUMMYFUNCTION("if (A228 &lt;&gt; """", GOOGLETRANSLATE(A228, ""auto"", ""en""), """")"),"")</f>
        <v/>
      </c>
      <c r="G228" s="49" t="str">
        <f t="shared" ca="1" si="226"/>
        <v/>
      </c>
      <c r="H228" s="49" t="str">
        <f t="shared" ca="1" si="226"/>
        <v/>
      </c>
      <c r="I228" s="49" t="str">
        <f t="shared" ca="1" si="226"/>
        <v/>
      </c>
      <c r="J228" s="49" t="str">
        <f t="shared" ca="1" si="226"/>
        <v/>
      </c>
    </row>
    <row r="229" spans="1:10" ht="12.75" x14ac:dyDescent="0.2">
      <c r="A229" s="40"/>
      <c r="B229" s="41" t="s">
        <v>399</v>
      </c>
      <c r="C229" s="40"/>
      <c r="D229" s="40"/>
      <c r="E229" s="40"/>
      <c r="F229" s="49" t="str">
        <f t="shared" ref="F229:J229" ca="1" si="227">IFERROR(__xludf.DUMMYFUNCTION("if (A229 &lt;&gt; """", GOOGLETRANSLATE(A229, ""auto"", ""en""), """")"),"")</f>
        <v/>
      </c>
      <c r="G229" s="49" t="str">
        <f t="shared" ca="1" si="227"/>
        <v/>
      </c>
      <c r="H229" s="49" t="str">
        <f t="shared" ca="1" si="227"/>
        <v/>
      </c>
      <c r="I229" s="49" t="str">
        <f t="shared" ca="1" si="227"/>
        <v/>
      </c>
      <c r="J229" s="49" t="str">
        <f t="shared" ca="1" si="227"/>
        <v/>
      </c>
    </row>
    <row r="230" spans="1:10" ht="12.75" x14ac:dyDescent="0.2">
      <c r="A230" s="40"/>
      <c r="B230" s="41" t="s">
        <v>400</v>
      </c>
      <c r="C230" s="40"/>
      <c r="D230" s="40"/>
      <c r="E230" s="40"/>
      <c r="F230" s="49" t="str">
        <f t="shared" ref="F230:J230" ca="1" si="228">IFERROR(__xludf.DUMMYFUNCTION("if (A230 &lt;&gt; """", GOOGLETRANSLATE(A230, ""auto"", ""en""), """")"),"")</f>
        <v/>
      </c>
      <c r="G230" s="49" t="str">
        <f t="shared" ca="1" si="228"/>
        <v/>
      </c>
      <c r="H230" s="49" t="str">
        <f t="shared" ca="1" si="228"/>
        <v/>
      </c>
      <c r="I230" s="49" t="str">
        <f t="shared" ca="1" si="228"/>
        <v/>
      </c>
      <c r="J230" s="49" t="str">
        <f t="shared" ca="1" si="228"/>
        <v/>
      </c>
    </row>
    <row r="231" spans="1:10" ht="12.75" x14ac:dyDescent="0.2">
      <c r="A231" s="40"/>
      <c r="B231" s="41" t="s">
        <v>401</v>
      </c>
      <c r="C231" s="41" t="s">
        <v>98</v>
      </c>
      <c r="D231" s="40"/>
      <c r="E231" s="40"/>
      <c r="F231" s="49" t="str">
        <f t="shared" ref="F231:J231" ca="1" si="229">IFERROR(__xludf.DUMMYFUNCTION("if (A231 &lt;&gt; """", GOOGLETRANSLATE(A231, ""auto"", ""en""), """")"),"")</f>
        <v/>
      </c>
      <c r="G231" s="49" t="str">
        <f t="shared" ca="1" si="229"/>
        <v/>
      </c>
      <c r="H231" s="49" t="str">
        <f t="shared" ca="1" si="229"/>
        <v/>
      </c>
      <c r="I231" s="49" t="str">
        <f t="shared" ca="1" si="229"/>
        <v/>
      </c>
      <c r="J231" s="49" t="str">
        <f t="shared" ca="1" si="229"/>
        <v/>
      </c>
    </row>
    <row r="232" spans="1:10" ht="51" x14ac:dyDescent="0.2">
      <c r="A232" s="41" t="s">
        <v>462</v>
      </c>
      <c r="B232" s="41" t="s">
        <v>402</v>
      </c>
      <c r="C232" s="41" t="s">
        <v>149</v>
      </c>
      <c r="D232" s="40"/>
      <c r="E232" s="40"/>
      <c r="F232" s="49" t="str">
        <f t="shared" ref="F232:J232" ca="1" si="230">IFERROR(__xludf.DUMMYFUNCTION("if (A232 &lt;&gt; """", GOOGLETRANSLATE(A232, ""auto"", ""en""), """")"),"Establishment of contract")</f>
        <v>Establishment of contract</v>
      </c>
      <c r="G232" s="49" t="str">
        <f t="shared" ca="1" si="230"/>
        <v>Establishment of contract</v>
      </c>
      <c r="H232" s="49" t="str">
        <f t="shared" ca="1" si="230"/>
        <v>Establishment of contract</v>
      </c>
      <c r="I232" s="49" t="str">
        <f t="shared" ca="1" si="230"/>
        <v>Establishment of contract</v>
      </c>
      <c r="J232" s="49" t="str">
        <f t="shared" ca="1" si="230"/>
        <v>Establishment of contract</v>
      </c>
    </row>
    <row r="233" spans="1:10" ht="38.25" x14ac:dyDescent="0.2">
      <c r="A233" s="41" t="s">
        <v>463</v>
      </c>
      <c r="B233" s="41" t="s">
        <v>402</v>
      </c>
      <c r="C233" s="41" t="s">
        <v>19</v>
      </c>
      <c r="D233" s="40"/>
      <c r="E233" s="40"/>
      <c r="F233" s="49" t="str">
        <f t="shared" ref="F233:J233" ca="1" si="231">IFERROR(__xludf.DUMMYFUNCTION("if (A233 &lt;&gt; """", GOOGLETRANSLATE(A233, ""auto"", ""en""), """")"),"Determination of the reservation")</f>
        <v>Determination of the reservation</v>
      </c>
      <c r="G233" s="49" t="str">
        <f t="shared" ca="1" si="231"/>
        <v>Determination of the reservation</v>
      </c>
      <c r="H233" s="49" t="str">
        <f t="shared" ca="1" si="231"/>
        <v>Determination of the reservation</v>
      </c>
      <c r="I233" s="49" t="str">
        <f t="shared" ca="1" si="231"/>
        <v>Determination of the reservation</v>
      </c>
      <c r="J233" s="49" t="str">
        <f t="shared" ca="1" si="231"/>
        <v>Determination of the reservation</v>
      </c>
    </row>
    <row r="234" spans="1:10" ht="25.5" x14ac:dyDescent="0.2">
      <c r="A234" s="41" t="s">
        <v>464</v>
      </c>
      <c r="B234" s="40"/>
      <c r="C234" s="40"/>
      <c r="D234" s="40"/>
      <c r="E234" s="40"/>
      <c r="F234" s="49" t="str">
        <f t="shared" ref="F234:J234" ca="1" si="232">IFERROR(__xludf.DUMMYFUNCTION("if (A234 &lt;&gt; """", GOOGLETRANSLATE(A234, ""auto"", ""en""), """")"),"Negotiations established")</f>
        <v>Negotiations established</v>
      </c>
      <c r="G234" s="49" t="str">
        <f t="shared" ca="1" si="232"/>
        <v>Negotiations established</v>
      </c>
      <c r="H234" s="49" t="str">
        <f t="shared" ca="1" si="232"/>
        <v>Negotiations established</v>
      </c>
      <c r="I234" s="49" t="str">
        <f t="shared" ca="1" si="232"/>
        <v>Negotiations established</v>
      </c>
      <c r="J234" s="49" t="str">
        <f t="shared" ca="1" si="232"/>
        <v>Negotiations established</v>
      </c>
    </row>
    <row r="235" spans="1:10" ht="51" x14ac:dyDescent="0.2">
      <c r="A235" s="41" t="s">
        <v>97</v>
      </c>
      <c r="B235" s="40"/>
      <c r="C235" s="40"/>
      <c r="D235" s="40"/>
      <c r="E235" s="40"/>
      <c r="F235" s="49" t="str">
        <f t="shared" ref="F235:J235" ca="1" si="233">IFERROR(__xludf.DUMMYFUNCTION("if (A235 &lt;&gt; """", GOOGLETRANSLATE(A235, ""auto"", ""en""), """")"),"The establishment of the reservation")</f>
        <v>The establishment of the reservation</v>
      </c>
      <c r="G235" s="49" t="str">
        <f t="shared" ca="1" si="233"/>
        <v>The establishment of the reservation</v>
      </c>
      <c r="H235" s="49" t="str">
        <f t="shared" ca="1" si="233"/>
        <v>The establishment of the reservation</v>
      </c>
      <c r="I235" s="49" t="str">
        <f t="shared" ca="1" si="233"/>
        <v>The establishment of the reservation</v>
      </c>
      <c r="J235" s="49" t="str">
        <f t="shared" ca="1" si="233"/>
        <v>The establishment of the reservation</v>
      </c>
    </row>
    <row r="236" spans="1:10" ht="12.75" x14ac:dyDescent="0.2">
      <c r="A236" s="40"/>
      <c r="B236" s="41" t="s">
        <v>403</v>
      </c>
      <c r="C236" s="41" t="s">
        <v>24</v>
      </c>
      <c r="D236" s="41" t="s">
        <v>26</v>
      </c>
      <c r="E236" s="40"/>
      <c r="F236" s="49" t="str">
        <f t="shared" ref="F236:J236" ca="1" si="234">IFERROR(__xludf.DUMMYFUNCTION("if (A236 &lt;&gt; """", GOOGLETRANSLATE(A236, ""auto"", ""en""), """")"),"")</f>
        <v/>
      </c>
      <c r="G236" s="49" t="str">
        <f t="shared" ca="1" si="234"/>
        <v/>
      </c>
      <c r="H236" s="49" t="str">
        <f t="shared" ca="1" si="234"/>
        <v/>
      </c>
      <c r="I236" s="49" t="str">
        <f t="shared" ca="1" si="234"/>
        <v/>
      </c>
      <c r="J236" s="49" t="str">
        <f t="shared" ca="1" si="234"/>
        <v/>
      </c>
    </row>
    <row r="237" spans="1:10" ht="12.75" x14ac:dyDescent="0.2">
      <c r="A237" s="40"/>
      <c r="B237" s="41" t="s">
        <v>403</v>
      </c>
      <c r="C237" s="41" t="s">
        <v>32</v>
      </c>
      <c r="D237" s="41" t="s">
        <v>29</v>
      </c>
      <c r="E237" s="40"/>
      <c r="F237" s="49" t="str">
        <f t="shared" ref="F237:J237" ca="1" si="235">IFERROR(__xludf.DUMMYFUNCTION("if (A237 &lt;&gt; """", GOOGLETRANSLATE(A237, ""auto"", ""en""), """")"),"")</f>
        <v/>
      </c>
      <c r="G237" s="49" t="str">
        <f t="shared" ca="1" si="235"/>
        <v/>
      </c>
      <c r="H237" s="49" t="str">
        <f t="shared" ca="1" si="235"/>
        <v/>
      </c>
      <c r="I237" s="49" t="str">
        <f t="shared" ca="1" si="235"/>
        <v/>
      </c>
      <c r="J237" s="49" t="str">
        <f t="shared" ca="1" si="235"/>
        <v/>
      </c>
    </row>
    <row r="238" spans="1:10" ht="12.75" x14ac:dyDescent="0.2">
      <c r="A238" s="40"/>
      <c r="B238" s="41" t="s">
        <v>403</v>
      </c>
      <c r="C238" s="41" t="s">
        <v>25</v>
      </c>
      <c r="D238" s="41" t="s">
        <v>27</v>
      </c>
      <c r="E238" s="40"/>
      <c r="F238" s="49" t="str">
        <f t="shared" ref="F238:J238" ca="1" si="236">IFERROR(__xludf.DUMMYFUNCTION("if (A238 &lt;&gt; """", GOOGLETRANSLATE(A238, ""auto"", ""en""), """")"),"")</f>
        <v/>
      </c>
      <c r="G238" s="49" t="str">
        <f t="shared" ca="1" si="236"/>
        <v/>
      </c>
      <c r="H238" s="49" t="str">
        <f t="shared" ca="1" si="236"/>
        <v/>
      </c>
      <c r="I238" s="49" t="str">
        <f t="shared" ca="1" si="236"/>
        <v/>
      </c>
      <c r="J238" s="49" t="str">
        <f t="shared" ca="1" si="236"/>
        <v/>
      </c>
    </row>
    <row r="239" spans="1:10" ht="12.75" x14ac:dyDescent="0.2">
      <c r="A239" s="40"/>
      <c r="B239" s="41" t="s">
        <v>403</v>
      </c>
      <c r="C239" s="41" t="s">
        <v>30</v>
      </c>
      <c r="D239" s="41" t="s">
        <v>31</v>
      </c>
      <c r="E239" s="40"/>
      <c r="F239" s="49" t="str">
        <f t="shared" ref="F239:J239" ca="1" si="237">IFERROR(__xludf.DUMMYFUNCTION("if (A239 &lt;&gt; """", GOOGLETRANSLATE(A239, ""auto"", ""en""), """")"),"")</f>
        <v/>
      </c>
      <c r="G239" s="49" t="str">
        <f t="shared" ca="1" si="237"/>
        <v/>
      </c>
      <c r="H239" s="49" t="str">
        <f t="shared" ca="1" si="237"/>
        <v/>
      </c>
      <c r="I239" s="49" t="str">
        <f t="shared" ca="1" si="237"/>
        <v/>
      </c>
      <c r="J239" s="49" t="str">
        <f t="shared" ca="1" si="237"/>
        <v/>
      </c>
    </row>
    <row r="240" spans="1:10" ht="12.75" x14ac:dyDescent="0.2">
      <c r="A240" s="40"/>
      <c r="B240" s="40"/>
      <c r="C240" s="40"/>
      <c r="D240" s="40"/>
      <c r="E240" s="40"/>
      <c r="F240" s="49" t="str">
        <f t="shared" ref="F240:J240" ca="1" si="238">IFERROR(__xludf.DUMMYFUNCTION("if (A240 &lt;&gt; """", GOOGLETRANSLATE(A240, ""auto"", ""en""), """")"),"")</f>
        <v/>
      </c>
      <c r="G240" s="49" t="str">
        <f t="shared" ca="1" si="238"/>
        <v/>
      </c>
      <c r="H240" s="49" t="str">
        <f t="shared" ca="1" si="238"/>
        <v/>
      </c>
      <c r="I240" s="49" t="str">
        <f t="shared" ca="1" si="238"/>
        <v/>
      </c>
      <c r="J240" s="49" t="str">
        <f t="shared" ca="1" si="238"/>
        <v/>
      </c>
    </row>
    <row r="241" spans="1:10" ht="25.5" x14ac:dyDescent="0.2">
      <c r="A241" s="41" t="s">
        <v>101</v>
      </c>
      <c r="B241" s="40"/>
      <c r="C241" s="40"/>
      <c r="D241" s="40"/>
      <c r="E241" s="40"/>
      <c r="F241" s="49" t="str">
        <f t="shared" ref="F241:J241" ca="1" si="239">IFERROR(__xludf.DUMMYFUNCTION("if (A241 &lt;&gt; """", GOOGLETRANSLATE(A241, ""auto"", ""en""), """")"),"FAQ-Guest3-3")</f>
        <v>FAQ-Guest3-3</v>
      </c>
      <c r="G241" s="49" t="str">
        <f t="shared" ca="1" si="239"/>
        <v>FAQ-Guest3-3</v>
      </c>
      <c r="H241" s="49" t="str">
        <f t="shared" ca="1" si="239"/>
        <v>FAQ-Guest3-3</v>
      </c>
      <c r="I241" s="49" t="str">
        <f t="shared" ca="1" si="239"/>
        <v>FAQ-Guest3-3</v>
      </c>
      <c r="J241" s="49" t="str">
        <f t="shared" ca="1" si="239"/>
        <v>FAQ-Guest3-3</v>
      </c>
    </row>
    <row r="242" spans="1:10" ht="12.75" x14ac:dyDescent="0.2">
      <c r="A242" s="40"/>
      <c r="B242" s="41" t="s">
        <v>398</v>
      </c>
      <c r="C242" s="40"/>
      <c r="D242" s="40"/>
      <c r="E242" s="40"/>
      <c r="F242" s="49" t="str">
        <f t="shared" ref="F242:J242" ca="1" si="240">IFERROR(__xludf.DUMMYFUNCTION("if (A242 &lt;&gt; """", GOOGLETRANSLATE(A242, ""auto"", ""en""), """")"),"")</f>
        <v/>
      </c>
      <c r="G242" s="49" t="str">
        <f t="shared" ca="1" si="240"/>
        <v/>
      </c>
      <c r="H242" s="49" t="str">
        <f t="shared" ca="1" si="240"/>
        <v/>
      </c>
      <c r="I242" s="49" t="str">
        <f t="shared" ca="1" si="240"/>
        <v/>
      </c>
      <c r="J242" s="49" t="str">
        <f t="shared" ca="1" si="240"/>
        <v/>
      </c>
    </row>
    <row r="243" spans="1:10" ht="12.75" x14ac:dyDescent="0.2">
      <c r="A243" s="40"/>
      <c r="B243" s="41" t="s">
        <v>399</v>
      </c>
      <c r="C243" s="40"/>
      <c r="D243" s="40"/>
      <c r="E243" s="40"/>
      <c r="F243" s="49" t="str">
        <f t="shared" ref="F243:J243" ca="1" si="241">IFERROR(__xludf.DUMMYFUNCTION("if (A243 &lt;&gt; """", GOOGLETRANSLATE(A243, ""auto"", ""en""), """")"),"")</f>
        <v/>
      </c>
      <c r="G243" s="49" t="str">
        <f t="shared" ca="1" si="241"/>
        <v/>
      </c>
      <c r="H243" s="49" t="str">
        <f t="shared" ca="1" si="241"/>
        <v/>
      </c>
      <c r="I243" s="49" t="str">
        <f t="shared" ca="1" si="241"/>
        <v/>
      </c>
      <c r="J243" s="49" t="str">
        <f t="shared" ca="1" si="241"/>
        <v/>
      </c>
    </row>
    <row r="244" spans="1:10" ht="12.75" x14ac:dyDescent="0.2">
      <c r="A244" s="40"/>
      <c r="B244" s="41" t="s">
        <v>400</v>
      </c>
      <c r="C244" s="40"/>
      <c r="D244" s="40"/>
      <c r="E244" s="40"/>
      <c r="F244" s="49" t="str">
        <f t="shared" ref="F244:J244" ca="1" si="242">IFERROR(__xludf.DUMMYFUNCTION("if (A244 &lt;&gt; """", GOOGLETRANSLATE(A244, ""auto"", ""en""), """")"),"")</f>
        <v/>
      </c>
      <c r="G244" s="49" t="str">
        <f t="shared" ca="1" si="242"/>
        <v/>
      </c>
      <c r="H244" s="49" t="str">
        <f t="shared" ca="1" si="242"/>
        <v/>
      </c>
      <c r="I244" s="49" t="str">
        <f t="shared" ca="1" si="242"/>
        <v/>
      </c>
      <c r="J244" s="49" t="str">
        <f t="shared" ca="1" si="242"/>
        <v/>
      </c>
    </row>
    <row r="245" spans="1:10" ht="12.75" x14ac:dyDescent="0.2">
      <c r="A245" s="40"/>
      <c r="B245" s="41" t="s">
        <v>401</v>
      </c>
      <c r="C245" s="41" t="s">
        <v>101</v>
      </c>
      <c r="D245" s="40"/>
      <c r="E245" s="40"/>
      <c r="F245" s="49" t="str">
        <f t="shared" ref="F245:J245" ca="1" si="243">IFERROR(__xludf.DUMMYFUNCTION("if (A245 &lt;&gt; """", GOOGLETRANSLATE(A245, ""auto"", ""en""), """")"),"")</f>
        <v/>
      </c>
      <c r="G245" s="49" t="str">
        <f t="shared" ca="1" si="243"/>
        <v/>
      </c>
      <c r="H245" s="49" t="str">
        <f t="shared" ca="1" si="243"/>
        <v/>
      </c>
      <c r="I245" s="49" t="str">
        <f t="shared" ca="1" si="243"/>
        <v/>
      </c>
      <c r="J245" s="49" t="str">
        <f t="shared" ca="1" si="243"/>
        <v/>
      </c>
    </row>
    <row r="246" spans="1:10" ht="76.5" x14ac:dyDescent="0.2">
      <c r="A246" s="41" t="s">
        <v>465</v>
      </c>
      <c r="B246" s="41" t="s">
        <v>402</v>
      </c>
      <c r="C246" s="41" t="s">
        <v>170</v>
      </c>
      <c r="D246" s="40"/>
      <c r="E246" s="40"/>
      <c r="F246" s="49" t="str">
        <f t="shared" ref="F246:J246" ca="1" si="244">IFERROR(__xludf.DUMMYFUNCTION("if (A246 &lt;&gt; """", GOOGLETRANSLATE(A246, ""auto"", ""en""), """")"),"Reservation is not satisfied")</f>
        <v>Reservation is not satisfied</v>
      </c>
      <c r="G246" s="49" t="str">
        <f t="shared" ca="1" si="244"/>
        <v>Reservation is not satisfied</v>
      </c>
      <c r="H246" s="49" t="str">
        <f t="shared" ca="1" si="244"/>
        <v>Reservation is not satisfied</v>
      </c>
      <c r="I246" s="49" t="str">
        <f t="shared" ca="1" si="244"/>
        <v>Reservation is not satisfied</v>
      </c>
      <c r="J246" s="49" t="str">
        <f t="shared" ca="1" si="244"/>
        <v>Reservation is not satisfied</v>
      </c>
    </row>
    <row r="247" spans="1:10" ht="25.5" x14ac:dyDescent="0.2">
      <c r="A247" s="41" t="s">
        <v>466</v>
      </c>
      <c r="B247" s="41" t="s">
        <v>402</v>
      </c>
      <c r="C247" s="41" t="s">
        <v>19</v>
      </c>
      <c r="D247" s="40"/>
      <c r="E247" s="40"/>
      <c r="F247" s="49" t="str">
        <f t="shared" ref="F247:J247" ca="1" si="245">IFERROR(__xludf.DUMMYFUNCTION("if (A247 &lt;&gt; """", GOOGLETRANSLATE(A247, ""auto"", ""en""), """")"),"Not approved")</f>
        <v>Not approved</v>
      </c>
      <c r="G247" s="49" t="str">
        <f t="shared" ca="1" si="245"/>
        <v>Not approved</v>
      </c>
      <c r="H247" s="49" t="str">
        <f t="shared" ca="1" si="245"/>
        <v>Not approved</v>
      </c>
      <c r="I247" s="49" t="str">
        <f t="shared" ca="1" si="245"/>
        <v>Not approved</v>
      </c>
      <c r="J247" s="49" t="str">
        <f t="shared" ca="1" si="245"/>
        <v>Not approved</v>
      </c>
    </row>
    <row r="248" spans="1:10" ht="25.5" x14ac:dyDescent="0.2">
      <c r="A248" s="41" t="s">
        <v>467</v>
      </c>
      <c r="B248" s="40"/>
      <c r="C248" s="40"/>
      <c r="D248" s="40"/>
      <c r="E248" s="40"/>
      <c r="F248" s="49" t="str">
        <f t="shared" ref="F248:J248" ca="1" si="246">IFERROR(__xludf.DUMMYFUNCTION("if (A248 &lt;&gt; """", GOOGLETRANSLATE(A248, ""auto"", ""en""), """")"),"It does not come mail")</f>
        <v>It does not come mail</v>
      </c>
      <c r="G248" s="49" t="str">
        <f t="shared" ca="1" si="246"/>
        <v>It does not come mail</v>
      </c>
      <c r="H248" s="49" t="str">
        <f t="shared" ca="1" si="246"/>
        <v>It does not come mail</v>
      </c>
      <c r="I248" s="49" t="str">
        <f t="shared" ca="1" si="246"/>
        <v>It does not come mail</v>
      </c>
      <c r="J248" s="49" t="str">
        <f t="shared" ca="1" si="246"/>
        <v>It does not come mail</v>
      </c>
    </row>
    <row r="249" spans="1:10" ht="38.25" x14ac:dyDescent="0.2">
      <c r="A249" s="41" t="s">
        <v>468</v>
      </c>
      <c r="B249" s="40"/>
      <c r="C249" s="40"/>
      <c r="D249" s="40"/>
      <c r="E249" s="40"/>
      <c r="F249" s="49" t="str">
        <f t="shared" ref="F249:J249" ca="1" si="247">IFERROR(__xludf.DUMMYFUNCTION("if (A249 &lt;&gt; """", GOOGLETRANSLATE(A249, ""auto"", ""en""), """")"),"I do not know whether it has been approved")</f>
        <v>I do not know whether it has been approved</v>
      </c>
      <c r="G249" s="49" t="str">
        <f t="shared" ca="1" si="247"/>
        <v>I do not know whether it has been approved</v>
      </c>
      <c r="H249" s="49" t="str">
        <f t="shared" ca="1" si="247"/>
        <v>I do not know whether it has been approved</v>
      </c>
      <c r="I249" s="49" t="str">
        <f t="shared" ca="1" si="247"/>
        <v>I do not know whether it has been approved</v>
      </c>
      <c r="J249" s="49" t="str">
        <f t="shared" ca="1" si="247"/>
        <v>I do not know whether it has been approved</v>
      </c>
    </row>
    <row r="250" spans="1:10" ht="38.25" x14ac:dyDescent="0.2">
      <c r="A250" s="41" t="s">
        <v>469</v>
      </c>
      <c r="B250" s="40"/>
      <c r="C250" s="40"/>
      <c r="D250" s="40"/>
      <c r="E250" s="40"/>
      <c r="F250" s="49" t="str">
        <f t="shared" ref="F250:J250" ca="1" si="248">IFERROR(__xludf.DUMMYFUNCTION("if (A250 &lt;&gt; """", GOOGLETRANSLATE(A250, ""auto"", ""en""), """")"),"I do not know whether or not approved")</f>
        <v>I do not know whether or not approved</v>
      </c>
      <c r="G250" s="49" t="str">
        <f t="shared" ca="1" si="248"/>
        <v>I do not know whether or not approved</v>
      </c>
      <c r="H250" s="49" t="str">
        <f t="shared" ca="1" si="248"/>
        <v>I do not know whether or not approved</v>
      </c>
      <c r="I250" s="49" t="str">
        <f t="shared" ca="1" si="248"/>
        <v>I do not know whether or not approved</v>
      </c>
      <c r="J250" s="49" t="str">
        <f t="shared" ca="1" si="248"/>
        <v>I do not know whether or not approved</v>
      </c>
    </row>
    <row r="251" spans="1:10" ht="25.5" x14ac:dyDescent="0.2">
      <c r="A251" s="41" t="s">
        <v>470</v>
      </c>
      <c r="B251" s="40"/>
      <c r="C251" s="40"/>
      <c r="D251" s="40"/>
      <c r="E251" s="40"/>
      <c r="F251" s="49" t="str">
        <f t="shared" ref="F251:J251" ca="1" si="249">IFERROR(__xludf.DUMMYFUNCTION("if (A251 &lt;&gt; """", GOOGLETRANSLATE(A251, ""auto"", ""en""), """")"),"I'm not getting my mail")</f>
        <v>I'm not getting my mail</v>
      </c>
      <c r="G251" s="49" t="str">
        <f t="shared" ca="1" si="249"/>
        <v>I'm not getting my mail</v>
      </c>
      <c r="H251" s="49" t="str">
        <f t="shared" ca="1" si="249"/>
        <v>I'm not getting my mail</v>
      </c>
      <c r="I251" s="49" t="str">
        <f t="shared" ca="1" si="249"/>
        <v>I'm not getting my mail</v>
      </c>
      <c r="J251" s="49" t="str">
        <f t="shared" ca="1" si="249"/>
        <v>I'm not getting my mail</v>
      </c>
    </row>
    <row r="252" spans="1:10" ht="12.75" x14ac:dyDescent="0.2">
      <c r="A252" s="41" t="s">
        <v>471</v>
      </c>
      <c r="B252" s="40"/>
      <c r="C252" s="40"/>
      <c r="D252" s="40"/>
      <c r="E252" s="40"/>
      <c r="F252" s="49" t="str">
        <f t="shared" ref="F252:J252" ca="1" si="250">IFERROR(__xludf.DUMMYFUNCTION("if (A252 &lt;&gt; """", GOOGLETRANSLATE(A252, ""auto"", ""en""), """")"),"Email")</f>
        <v>Email</v>
      </c>
      <c r="G252" s="49" t="str">
        <f t="shared" ca="1" si="250"/>
        <v>Email</v>
      </c>
      <c r="H252" s="49" t="str">
        <f t="shared" ca="1" si="250"/>
        <v>Email</v>
      </c>
      <c r="I252" s="49" t="str">
        <f t="shared" ca="1" si="250"/>
        <v>Email</v>
      </c>
      <c r="J252" s="49" t="str">
        <f t="shared" ca="1" si="250"/>
        <v>Email</v>
      </c>
    </row>
    <row r="253" spans="1:10" ht="25.5" x14ac:dyDescent="0.2">
      <c r="A253" s="41" t="s">
        <v>100</v>
      </c>
      <c r="B253" s="40"/>
      <c r="C253" s="40"/>
      <c r="D253" s="40"/>
      <c r="E253" s="40"/>
      <c r="F253" s="49" t="str">
        <f t="shared" ref="F253:J253" ca="1" si="251">IFERROR(__xludf.DUMMYFUNCTION("if (A253 &lt;&gt; """", GOOGLETRANSLATE(A253, ""auto"", ""en""), """")"),"About approval email")</f>
        <v>About approval email</v>
      </c>
      <c r="G253" s="49" t="str">
        <f t="shared" ca="1" si="251"/>
        <v>About approval email</v>
      </c>
      <c r="H253" s="49" t="str">
        <f t="shared" ca="1" si="251"/>
        <v>About approval email</v>
      </c>
      <c r="I253" s="49" t="str">
        <f t="shared" ca="1" si="251"/>
        <v>About approval email</v>
      </c>
      <c r="J253" s="49" t="str">
        <f t="shared" ca="1" si="251"/>
        <v>About approval email</v>
      </c>
    </row>
    <row r="254" spans="1:10" ht="12.75" x14ac:dyDescent="0.2">
      <c r="A254" s="40"/>
      <c r="B254" s="41" t="s">
        <v>403</v>
      </c>
      <c r="C254" s="41" t="s">
        <v>24</v>
      </c>
      <c r="D254" s="41" t="s">
        <v>26</v>
      </c>
      <c r="E254" s="40"/>
      <c r="F254" s="49" t="str">
        <f t="shared" ref="F254:J254" ca="1" si="252">IFERROR(__xludf.DUMMYFUNCTION("if (A254 &lt;&gt; """", GOOGLETRANSLATE(A254, ""auto"", ""en""), """")"),"")</f>
        <v/>
      </c>
      <c r="G254" s="49" t="str">
        <f t="shared" ca="1" si="252"/>
        <v/>
      </c>
      <c r="H254" s="49" t="str">
        <f t="shared" ca="1" si="252"/>
        <v/>
      </c>
      <c r="I254" s="49" t="str">
        <f t="shared" ca="1" si="252"/>
        <v/>
      </c>
      <c r="J254" s="49" t="str">
        <f t="shared" ca="1" si="252"/>
        <v/>
      </c>
    </row>
    <row r="255" spans="1:10" ht="12.75" x14ac:dyDescent="0.2">
      <c r="A255" s="40"/>
      <c r="B255" s="41" t="s">
        <v>403</v>
      </c>
      <c r="C255" s="41" t="s">
        <v>32</v>
      </c>
      <c r="D255" s="41" t="s">
        <v>29</v>
      </c>
      <c r="E255" s="40"/>
      <c r="F255" s="49" t="str">
        <f t="shared" ref="F255:J255" ca="1" si="253">IFERROR(__xludf.DUMMYFUNCTION("if (A255 &lt;&gt; """", GOOGLETRANSLATE(A255, ""auto"", ""en""), """")"),"")</f>
        <v/>
      </c>
      <c r="G255" s="49" t="str">
        <f t="shared" ca="1" si="253"/>
        <v/>
      </c>
      <c r="H255" s="49" t="str">
        <f t="shared" ca="1" si="253"/>
        <v/>
      </c>
      <c r="I255" s="49" t="str">
        <f t="shared" ca="1" si="253"/>
        <v/>
      </c>
      <c r="J255" s="49" t="str">
        <f t="shared" ca="1" si="253"/>
        <v/>
      </c>
    </row>
    <row r="256" spans="1:10" ht="12.75" x14ac:dyDescent="0.2">
      <c r="A256" s="40"/>
      <c r="B256" s="41" t="s">
        <v>403</v>
      </c>
      <c r="C256" s="41" t="s">
        <v>25</v>
      </c>
      <c r="D256" s="41" t="s">
        <v>27</v>
      </c>
      <c r="E256" s="40"/>
      <c r="F256" s="49" t="str">
        <f t="shared" ref="F256:J256" ca="1" si="254">IFERROR(__xludf.DUMMYFUNCTION("if (A256 &lt;&gt; """", GOOGLETRANSLATE(A256, ""auto"", ""en""), """")"),"")</f>
        <v/>
      </c>
      <c r="G256" s="49" t="str">
        <f t="shared" ca="1" si="254"/>
        <v/>
      </c>
      <c r="H256" s="49" t="str">
        <f t="shared" ca="1" si="254"/>
        <v/>
      </c>
      <c r="I256" s="49" t="str">
        <f t="shared" ca="1" si="254"/>
        <v/>
      </c>
      <c r="J256" s="49" t="str">
        <f t="shared" ca="1" si="254"/>
        <v/>
      </c>
    </row>
    <row r="257" spans="1:10" ht="12.75" x14ac:dyDescent="0.2">
      <c r="A257" s="40"/>
      <c r="B257" s="41" t="s">
        <v>403</v>
      </c>
      <c r="C257" s="41" t="s">
        <v>30</v>
      </c>
      <c r="D257" s="41" t="s">
        <v>31</v>
      </c>
      <c r="E257" s="40"/>
      <c r="F257" s="49" t="str">
        <f t="shared" ref="F257:J257" ca="1" si="255">IFERROR(__xludf.DUMMYFUNCTION("if (A257 &lt;&gt; """", GOOGLETRANSLATE(A257, ""auto"", ""en""), """")"),"")</f>
        <v/>
      </c>
      <c r="G257" s="49" t="str">
        <f t="shared" ca="1" si="255"/>
        <v/>
      </c>
      <c r="H257" s="49" t="str">
        <f t="shared" ca="1" si="255"/>
        <v/>
      </c>
      <c r="I257" s="49" t="str">
        <f t="shared" ca="1" si="255"/>
        <v/>
      </c>
      <c r="J257" s="49" t="str">
        <f t="shared" ca="1" si="255"/>
        <v/>
      </c>
    </row>
    <row r="258" spans="1:10" ht="12.75" x14ac:dyDescent="0.2">
      <c r="A258" s="40"/>
      <c r="B258" s="40"/>
      <c r="C258" s="40"/>
      <c r="D258" s="40"/>
      <c r="E258" s="40"/>
      <c r="F258" s="49" t="str">
        <f t="shared" ref="F258:J258" ca="1" si="256">IFERROR(__xludf.DUMMYFUNCTION("if (A258 &lt;&gt; """", GOOGLETRANSLATE(A258, ""auto"", ""en""), """")"),"")</f>
        <v/>
      </c>
      <c r="G258" s="49" t="str">
        <f t="shared" ca="1" si="256"/>
        <v/>
      </c>
      <c r="H258" s="49" t="str">
        <f t="shared" ca="1" si="256"/>
        <v/>
      </c>
      <c r="I258" s="49" t="str">
        <f t="shared" ca="1" si="256"/>
        <v/>
      </c>
      <c r="J258" s="49" t="str">
        <f t="shared" ca="1" si="256"/>
        <v/>
      </c>
    </row>
    <row r="259" spans="1:10" ht="25.5" x14ac:dyDescent="0.2">
      <c r="A259" s="41" t="s">
        <v>103</v>
      </c>
      <c r="B259" s="40"/>
      <c r="C259" s="40"/>
      <c r="D259" s="40"/>
      <c r="E259" s="40"/>
      <c r="F259" s="49" t="str">
        <f t="shared" ref="F259:J259" ca="1" si="257">IFERROR(__xludf.DUMMYFUNCTION("if (A259 &lt;&gt; """", GOOGLETRANSLATE(A259, ""auto"", ""en""), """")"),"FAQ-Guest3-4")</f>
        <v>FAQ-Guest3-4</v>
      </c>
      <c r="G259" s="49" t="str">
        <f t="shared" ca="1" si="257"/>
        <v>FAQ-Guest3-4</v>
      </c>
      <c r="H259" s="49" t="str">
        <f t="shared" ca="1" si="257"/>
        <v>FAQ-Guest3-4</v>
      </c>
      <c r="I259" s="49" t="str">
        <f t="shared" ca="1" si="257"/>
        <v>FAQ-Guest3-4</v>
      </c>
      <c r="J259" s="49" t="str">
        <f t="shared" ca="1" si="257"/>
        <v>FAQ-Guest3-4</v>
      </c>
    </row>
    <row r="260" spans="1:10" ht="12.75" x14ac:dyDescent="0.2">
      <c r="A260" s="40"/>
      <c r="B260" s="41" t="s">
        <v>398</v>
      </c>
      <c r="C260" s="40"/>
      <c r="D260" s="40"/>
      <c r="E260" s="40"/>
      <c r="F260" s="49" t="str">
        <f t="shared" ref="F260:J260" ca="1" si="258">IFERROR(__xludf.DUMMYFUNCTION("if (A260 &lt;&gt; """", GOOGLETRANSLATE(A260, ""auto"", ""en""), """")"),"")</f>
        <v/>
      </c>
      <c r="G260" s="49" t="str">
        <f t="shared" ca="1" si="258"/>
        <v/>
      </c>
      <c r="H260" s="49" t="str">
        <f t="shared" ca="1" si="258"/>
        <v/>
      </c>
      <c r="I260" s="49" t="str">
        <f t="shared" ca="1" si="258"/>
        <v/>
      </c>
      <c r="J260" s="49" t="str">
        <f t="shared" ca="1" si="258"/>
        <v/>
      </c>
    </row>
    <row r="261" spans="1:10" ht="12.75" x14ac:dyDescent="0.2">
      <c r="A261" s="40"/>
      <c r="B261" s="41" t="s">
        <v>399</v>
      </c>
      <c r="C261" s="40"/>
      <c r="D261" s="40"/>
      <c r="E261" s="40"/>
      <c r="F261" s="49" t="str">
        <f t="shared" ref="F261:J261" ca="1" si="259">IFERROR(__xludf.DUMMYFUNCTION("if (A261 &lt;&gt; """", GOOGLETRANSLATE(A261, ""auto"", ""en""), """")"),"")</f>
        <v/>
      </c>
      <c r="G261" s="49" t="str">
        <f t="shared" ca="1" si="259"/>
        <v/>
      </c>
      <c r="H261" s="49" t="str">
        <f t="shared" ca="1" si="259"/>
        <v/>
      </c>
      <c r="I261" s="49" t="str">
        <f t="shared" ca="1" si="259"/>
        <v/>
      </c>
      <c r="J261" s="49" t="str">
        <f t="shared" ca="1" si="259"/>
        <v/>
      </c>
    </row>
    <row r="262" spans="1:10" ht="12.75" x14ac:dyDescent="0.2">
      <c r="A262" s="40"/>
      <c r="B262" s="41" t="s">
        <v>400</v>
      </c>
      <c r="C262" s="40"/>
      <c r="D262" s="40"/>
      <c r="E262" s="40"/>
      <c r="F262" s="49" t="str">
        <f t="shared" ref="F262:J262" ca="1" si="260">IFERROR(__xludf.DUMMYFUNCTION("if (A262 &lt;&gt; """", GOOGLETRANSLATE(A262, ""auto"", ""en""), """")"),"")</f>
        <v/>
      </c>
      <c r="G262" s="49" t="str">
        <f t="shared" ca="1" si="260"/>
        <v/>
      </c>
      <c r="H262" s="49" t="str">
        <f t="shared" ca="1" si="260"/>
        <v/>
      </c>
      <c r="I262" s="49" t="str">
        <f t="shared" ca="1" si="260"/>
        <v/>
      </c>
      <c r="J262" s="49" t="str">
        <f t="shared" ca="1" si="260"/>
        <v/>
      </c>
    </row>
    <row r="263" spans="1:10" ht="12.75" x14ac:dyDescent="0.2">
      <c r="A263" s="40"/>
      <c r="B263" s="41" t="s">
        <v>401</v>
      </c>
      <c r="C263" s="41" t="s">
        <v>103</v>
      </c>
      <c r="D263" s="40"/>
      <c r="E263" s="40"/>
      <c r="F263" s="49" t="str">
        <f t="shared" ref="F263:J263" ca="1" si="261">IFERROR(__xludf.DUMMYFUNCTION("if (A263 &lt;&gt; """", GOOGLETRANSLATE(A263, ""auto"", ""en""), """")"),"")</f>
        <v/>
      </c>
      <c r="G263" s="49" t="str">
        <f t="shared" ca="1" si="261"/>
        <v/>
      </c>
      <c r="H263" s="49" t="str">
        <f t="shared" ca="1" si="261"/>
        <v/>
      </c>
      <c r="I263" s="49" t="str">
        <f t="shared" ca="1" si="261"/>
        <v/>
      </c>
      <c r="J263" s="49" t="str">
        <f t="shared" ca="1" si="261"/>
        <v/>
      </c>
    </row>
    <row r="264" spans="1:10" ht="51" x14ac:dyDescent="0.2">
      <c r="A264" s="41" t="s">
        <v>472</v>
      </c>
      <c r="B264" s="41" t="s">
        <v>402</v>
      </c>
      <c r="C264" s="41" t="s">
        <v>189</v>
      </c>
      <c r="D264" s="40"/>
      <c r="E264" s="40"/>
      <c r="F264" s="49" t="str">
        <f t="shared" ref="F264:J264" ca="1" si="262">IFERROR(__xludf.DUMMYFUNCTION("if (A264 &lt;&gt; """", GOOGLETRANSLATE(A264, ""auto"", ""en""), """")"),"Dogs are no problem")</f>
        <v>Dogs are no problem</v>
      </c>
      <c r="G264" s="49" t="str">
        <f t="shared" ca="1" si="262"/>
        <v>Dogs are no problem</v>
      </c>
      <c r="H264" s="49" t="str">
        <f t="shared" ca="1" si="262"/>
        <v>Dogs are no problem</v>
      </c>
      <c r="I264" s="49" t="str">
        <f t="shared" ca="1" si="262"/>
        <v>Dogs are no problem</v>
      </c>
      <c r="J264" s="49" t="str">
        <f t="shared" ca="1" si="262"/>
        <v>Dogs are no problem</v>
      </c>
    </row>
    <row r="265" spans="1:10" ht="25.5" x14ac:dyDescent="0.2">
      <c r="A265" s="41" t="s">
        <v>473</v>
      </c>
      <c r="B265" s="41" t="s">
        <v>402</v>
      </c>
      <c r="C265" s="41" t="s">
        <v>19</v>
      </c>
      <c r="D265" s="40"/>
      <c r="E265" s="40"/>
      <c r="F265" s="49" t="str">
        <f t="shared" ref="F265:J265" ca="1" si="263">IFERROR(__xludf.DUMMYFUNCTION("if (A265 &lt;&gt; """", GOOGLETRANSLATE(A265, ""auto"", ""en""), """")"),"The dog okay")</f>
        <v>The dog okay</v>
      </c>
      <c r="G265" s="49" t="str">
        <f t="shared" ca="1" si="263"/>
        <v>The dog okay</v>
      </c>
      <c r="H265" s="49" t="str">
        <f t="shared" ca="1" si="263"/>
        <v>The dog okay</v>
      </c>
      <c r="I265" s="49" t="str">
        <f t="shared" ca="1" si="263"/>
        <v>The dog okay</v>
      </c>
      <c r="J265" s="49" t="str">
        <f t="shared" ca="1" si="263"/>
        <v>The dog okay</v>
      </c>
    </row>
    <row r="266" spans="1:10" ht="25.5" x14ac:dyDescent="0.2">
      <c r="A266" s="41" t="s">
        <v>474</v>
      </c>
      <c r="B266" s="40"/>
      <c r="C266" s="40"/>
      <c r="D266" s="40"/>
      <c r="E266" s="40"/>
      <c r="F266" s="49" t="str">
        <f t="shared" ref="F266:J266" ca="1" si="264">IFERROR(__xludf.DUMMYFUNCTION("if (A266 &lt;&gt; """", GOOGLETRANSLATE(A266, ""auto"", ""en""), """")"),"Okay even took the dog")</f>
        <v>Okay even took the dog</v>
      </c>
      <c r="G266" s="49" t="str">
        <f t="shared" ca="1" si="264"/>
        <v>Okay even took the dog</v>
      </c>
      <c r="H266" s="49" t="str">
        <f t="shared" ca="1" si="264"/>
        <v>Okay even took the dog</v>
      </c>
      <c r="I266" s="49" t="str">
        <f t="shared" ca="1" si="264"/>
        <v>Okay even took the dog</v>
      </c>
      <c r="J266" s="49" t="str">
        <f t="shared" ca="1" si="264"/>
        <v>Okay even took the dog</v>
      </c>
    </row>
    <row r="267" spans="1:10" ht="12.75" x14ac:dyDescent="0.2">
      <c r="A267" s="41" t="s">
        <v>475</v>
      </c>
      <c r="B267" s="40"/>
      <c r="C267" s="40"/>
      <c r="D267" s="40"/>
      <c r="E267" s="40"/>
      <c r="F267" s="49" t="str">
        <f t="shared" ref="F267:J267" ca="1" si="265">IFERROR(__xludf.DUMMYFUNCTION("if (A267 &lt;&gt; """", GOOGLETRANSLATE(A267, ""auto"", ""en""), """")"),"Or pet is calm")</f>
        <v>Or pet is calm</v>
      </c>
      <c r="G267" s="49" t="str">
        <f t="shared" ca="1" si="265"/>
        <v>Or pet is calm</v>
      </c>
      <c r="H267" s="49" t="str">
        <f t="shared" ca="1" si="265"/>
        <v>Or pet is calm</v>
      </c>
      <c r="I267" s="49" t="str">
        <f t="shared" ca="1" si="265"/>
        <v>Or pet is calm</v>
      </c>
      <c r="J267" s="49" t="str">
        <f t="shared" ca="1" si="265"/>
        <v>Or pet is calm</v>
      </c>
    </row>
    <row r="268" spans="1:10" ht="12.75" x14ac:dyDescent="0.2">
      <c r="A268" s="41" t="s">
        <v>476</v>
      </c>
      <c r="B268" s="40"/>
      <c r="C268" s="40"/>
      <c r="D268" s="40"/>
      <c r="E268" s="40"/>
      <c r="F268" s="49" t="str">
        <f t="shared" ref="F268:J268" ca="1" si="266">IFERROR(__xludf.DUMMYFUNCTION("if (A268 &lt;&gt; """", GOOGLETRANSLATE(A268, ""auto"", ""en""), """")"),"Pets okay")</f>
        <v>Pets okay</v>
      </c>
      <c r="G268" s="49" t="str">
        <f t="shared" ca="1" si="266"/>
        <v>Pets okay</v>
      </c>
      <c r="H268" s="49" t="str">
        <f t="shared" ca="1" si="266"/>
        <v>Pets okay</v>
      </c>
      <c r="I268" s="49" t="str">
        <f t="shared" ca="1" si="266"/>
        <v>Pets okay</v>
      </c>
      <c r="J268" s="49" t="str">
        <f t="shared" ca="1" si="266"/>
        <v>Pets okay</v>
      </c>
    </row>
    <row r="269" spans="1:10" ht="12.75" x14ac:dyDescent="0.2">
      <c r="A269" s="41" t="s">
        <v>102</v>
      </c>
      <c r="B269" s="40"/>
      <c r="C269" s="40"/>
      <c r="D269" s="40"/>
      <c r="E269" s="40"/>
      <c r="F269" s="49" t="str">
        <f t="shared" ref="F269:J269" ca="1" si="267">IFERROR(__xludf.DUMMYFUNCTION("if (A269 &lt;&gt; """", GOOGLETRANSLATE(A269, ""auto"", ""en""), """")"),"For Pets")</f>
        <v>For Pets</v>
      </c>
      <c r="G269" s="49" t="str">
        <f t="shared" ca="1" si="267"/>
        <v>For Pets</v>
      </c>
      <c r="H269" s="49" t="str">
        <f t="shared" ca="1" si="267"/>
        <v>For Pets</v>
      </c>
      <c r="I269" s="49" t="str">
        <f t="shared" ca="1" si="267"/>
        <v>For Pets</v>
      </c>
      <c r="J269" s="49" t="str">
        <f t="shared" ca="1" si="267"/>
        <v>For Pets</v>
      </c>
    </row>
    <row r="270" spans="1:10" ht="12.75" x14ac:dyDescent="0.2">
      <c r="A270" s="40"/>
      <c r="B270" s="41" t="s">
        <v>422</v>
      </c>
      <c r="C270" s="41" t="s">
        <v>477</v>
      </c>
      <c r="D270" s="41" t="s">
        <v>478</v>
      </c>
      <c r="E270" s="40"/>
      <c r="F270" s="49" t="str">
        <f t="shared" ref="F270:J270" ca="1" si="268">IFERROR(__xludf.DUMMYFUNCTION("if (A270 &lt;&gt; """", GOOGLETRANSLATE(A270, ""auto"", ""en""), """")"),"")</f>
        <v/>
      </c>
      <c r="G270" s="49" t="str">
        <f t="shared" ca="1" si="268"/>
        <v/>
      </c>
      <c r="H270" s="49" t="str">
        <f t="shared" ca="1" si="268"/>
        <v/>
      </c>
      <c r="I270" s="49" t="str">
        <f t="shared" ca="1" si="268"/>
        <v/>
      </c>
      <c r="J270" s="49" t="str">
        <f t="shared" ca="1" si="268"/>
        <v/>
      </c>
    </row>
    <row r="271" spans="1:10" ht="12.75" x14ac:dyDescent="0.2">
      <c r="A271" s="40"/>
      <c r="B271" s="41" t="s">
        <v>403</v>
      </c>
      <c r="C271" s="41" t="s">
        <v>24</v>
      </c>
      <c r="D271" s="41" t="s">
        <v>26</v>
      </c>
      <c r="E271" s="40"/>
      <c r="F271" s="49" t="str">
        <f t="shared" ref="F271:J271" ca="1" si="269">IFERROR(__xludf.DUMMYFUNCTION("if (A271 &lt;&gt; """", GOOGLETRANSLATE(A271, ""auto"", ""en""), """")"),"")</f>
        <v/>
      </c>
      <c r="G271" s="49" t="str">
        <f t="shared" ca="1" si="269"/>
        <v/>
      </c>
      <c r="H271" s="49" t="str">
        <f t="shared" ca="1" si="269"/>
        <v/>
      </c>
      <c r="I271" s="49" t="str">
        <f t="shared" ca="1" si="269"/>
        <v/>
      </c>
      <c r="J271" s="49" t="str">
        <f t="shared" ca="1" si="269"/>
        <v/>
      </c>
    </row>
    <row r="272" spans="1:10" ht="12.75" x14ac:dyDescent="0.2">
      <c r="A272" s="40"/>
      <c r="B272" s="41" t="s">
        <v>403</v>
      </c>
      <c r="C272" s="41" t="s">
        <v>32</v>
      </c>
      <c r="D272" s="41" t="s">
        <v>29</v>
      </c>
      <c r="E272" s="40"/>
      <c r="F272" s="49" t="str">
        <f t="shared" ref="F272:J272" ca="1" si="270">IFERROR(__xludf.DUMMYFUNCTION("if (A272 &lt;&gt; """", GOOGLETRANSLATE(A272, ""auto"", ""en""), """")"),"")</f>
        <v/>
      </c>
      <c r="G272" s="49" t="str">
        <f t="shared" ca="1" si="270"/>
        <v/>
      </c>
      <c r="H272" s="49" t="str">
        <f t="shared" ca="1" si="270"/>
        <v/>
      </c>
      <c r="I272" s="49" t="str">
        <f t="shared" ca="1" si="270"/>
        <v/>
      </c>
      <c r="J272" s="49" t="str">
        <f t="shared" ca="1" si="270"/>
        <v/>
      </c>
    </row>
    <row r="273" spans="1:10" ht="12.75" x14ac:dyDescent="0.2">
      <c r="A273" s="40"/>
      <c r="B273" s="41" t="s">
        <v>403</v>
      </c>
      <c r="C273" s="41" t="s">
        <v>25</v>
      </c>
      <c r="D273" s="41" t="s">
        <v>27</v>
      </c>
      <c r="E273" s="40"/>
      <c r="F273" s="49" t="str">
        <f t="shared" ref="F273:J273" ca="1" si="271">IFERROR(__xludf.DUMMYFUNCTION("if (A273 &lt;&gt; """", GOOGLETRANSLATE(A273, ""auto"", ""en""), """")"),"")</f>
        <v/>
      </c>
      <c r="G273" s="49" t="str">
        <f t="shared" ca="1" si="271"/>
        <v/>
      </c>
      <c r="H273" s="49" t="str">
        <f t="shared" ca="1" si="271"/>
        <v/>
      </c>
      <c r="I273" s="49" t="str">
        <f t="shared" ca="1" si="271"/>
        <v/>
      </c>
      <c r="J273" s="49" t="str">
        <f t="shared" ca="1" si="271"/>
        <v/>
      </c>
    </row>
    <row r="274" spans="1:10" ht="12.75" x14ac:dyDescent="0.2">
      <c r="A274" s="40"/>
      <c r="B274" s="41" t="s">
        <v>403</v>
      </c>
      <c r="C274" s="41" t="s">
        <v>30</v>
      </c>
      <c r="D274" s="41" t="s">
        <v>31</v>
      </c>
      <c r="E274" s="40"/>
      <c r="F274" s="49" t="str">
        <f t="shared" ref="F274:J274" ca="1" si="272">IFERROR(__xludf.DUMMYFUNCTION("if (A274 &lt;&gt; """", GOOGLETRANSLATE(A274, ""auto"", ""en""), """")"),"")</f>
        <v/>
      </c>
      <c r="G274" s="49" t="str">
        <f t="shared" ca="1" si="272"/>
        <v/>
      </c>
      <c r="H274" s="49" t="str">
        <f t="shared" ca="1" si="272"/>
        <v/>
      </c>
      <c r="I274" s="49" t="str">
        <f t="shared" ca="1" si="272"/>
        <v/>
      </c>
      <c r="J274" s="49" t="str">
        <f t="shared" ca="1" si="272"/>
        <v/>
      </c>
    </row>
    <row r="275" spans="1:10" ht="12.75" x14ac:dyDescent="0.2">
      <c r="A275" s="40"/>
      <c r="B275" s="40"/>
      <c r="C275" s="40"/>
      <c r="D275" s="40"/>
      <c r="E275" s="40"/>
      <c r="F275" s="49" t="str">
        <f t="shared" ref="F275:J275" ca="1" si="273">IFERROR(__xludf.DUMMYFUNCTION("if (A275 &lt;&gt; """", GOOGLETRANSLATE(A275, ""auto"", ""en""), """")"),"")</f>
        <v/>
      </c>
      <c r="G275" s="49" t="str">
        <f t="shared" ca="1" si="273"/>
        <v/>
      </c>
      <c r="H275" s="49" t="str">
        <f t="shared" ca="1" si="273"/>
        <v/>
      </c>
      <c r="I275" s="49" t="str">
        <f t="shared" ca="1" si="273"/>
        <v/>
      </c>
      <c r="J275" s="49" t="str">
        <f t="shared" ca="1" si="273"/>
        <v/>
      </c>
    </row>
    <row r="276" spans="1:10" ht="25.5" x14ac:dyDescent="0.2">
      <c r="A276" s="41" t="s">
        <v>106</v>
      </c>
      <c r="B276" s="40"/>
      <c r="C276" s="40"/>
      <c r="D276" s="40"/>
      <c r="E276" s="40"/>
      <c r="F276" s="49" t="str">
        <f t="shared" ref="F276:J276" ca="1" si="274">IFERROR(__xludf.DUMMYFUNCTION("if (A276 &lt;&gt; """", GOOGLETRANSLATE(A276, ""auto"", ""en""), """")"),"FAQ-Guest3-5")</f>
        <v>FAQ-Guest3-5</v>
      </c>
      <c r="G276" s="49" t="str">
        <f t="shared" ca="1" si="274"/>
        <v>FAQ-Guest3-5</v>
      </c>
      <c r="H276" s="49" t="str">
        <f t="shared" ca="1" si="274"/>
        <v>FAQ-Guest3-5</v>
      </c>
      <c r="I276" s="49" t="str">
        <f t="shared" ca="1" si="274"/>
        <v>FAQ-Guest3-5</v>
      </c>
      <c r="J276" s="49" t="str">
        <f t="shared" ca="1" si="274"/>
        <v>FAQ-Guest3-5</v>
      </c>
    </row>
    <row r="277" spans="1:10" ht="12.75" x14ac:dyDescent="0.2">
      <c r="A277" s="40"/>
      <c r="B277" s="41" t="s">
        <v>398</v>
      </c>
      <c r="C277" s="40"/>
      <c r="D277" s="40"/>
      <c r="E277" s="40"/>
      <c r="F277" s="49" t="str">
        <f t="shared" ref="F277:J277" ca="1" si="275">IFERROR(__xludf.DUMMYFUNCTION("if (A277 &lt;&gt; """", GOOGLETRANSLATE(A277, ""auto"", ""en""), """")"),"")</f>
        <v/>
      </c>
      <c r="G277" s="49" t="str">
        <f t="shared" ca="1" si="275"/>
        <v/>
      </c>
      <c r="H277" s="49" t="str">
        <f t="shared" ca="1" si="275"/>
        <v/>
      </c>
      <c r="I277" s="49" t="str">
        <f t="shared" ca="1" si="275"/>
        <v/>
      </c>
      <c r="J277" s="49" t="str">
        <f t="shared" ca="1" si="275"/>
        <v/>
      </c>
    </row>
    <row r="278" spans="1:10" ht="12.75" x14ac:dyDescent="0.2">
      <c r="A278" s="40"/>
      <c r="B278" s="41" t="s">
        <v>399</v>
      </c>
      <c r="C278" s="40"/>
      <c r="D278" s="40"/>
      <c r="E278" s="40"/>
      <c r="F278" s="49" t="str">
        <f t="shared" ref="F278:J278" ca="1" si="276">IFERROR(__xludf.DUMMYFUNCTION("if (A278 &lt;&gt; """", GOOGLETRANSLATE(A278, ""auto"", ""en""), """")"),"")</f>
        <v/>
      </c>
      <c r="G278" s="49" t="str">
        <f t="shared" ca="1" si="276"/>
        <v/>
      </c>
      <c r="H278" s="49" t="str">
        <f t="shared" ca="1" si="276"/>
        <v/>
      </c>
      <c r="I278" s="49" t="str">
        <f t="shared" ca="1" si="276"/>
        <v/>
      </c>
      <c r="J278" s="49" t="str">
        <f t="shared" ca="1" si="276"/>
        <v/>
      </c>
    </row>
    <row r="279" spans="1:10" ht="12.75" x14ac:dyDescent="0.2">
      <c r="A279" s="40"/>
      <c r="B279" s="41" t="s">
        <v>400</v>
      </c>
      <c r="C279" s="40"/>
      <c r="D279" s="40"/>
      <c r="E279" s="40"/>
      <c r="F279" s="49" t="str">
        <f t="shared" ref="F279:J279" ca="1" si="277">IFERROR(__xludf.DUMMYFUNCTION("if (A279 &lt;&gt; """", GOOGLETRANSLATE(A279, ""auto"", ""en""), """")"),"")</f>
        <v/>
      </c>
      <c r="G279" s="49" t="str">
        <f t="shared" ca="1" si="277"/>
        <v/>
      </c>
      <c r="H279" s="49" t="str">
        <f t="shared" ca="1" si="277"/>
        <v/>
      </c>
      <c r="I279" s="49" t="str">
        <f t="shared" ca="1" si="277"/>
        <v/>
      </c>
      <c r="J279" s="49" t="str">
        <f t="shared" ca="1" si="277"/>
        <v/>
      </c>
    </row>
    <row r="280" spans="1:10" ht="12.75" x14ac:dyDescent="0.2">
      <c r="A280" s="40"/>
      <c r="B280" s="41" t="s">
        <v>401</v>
      </c>
      <c r="C280" s="41" t="s">
        <v>106</v>
      </c>
      <c r="D280" s="40"/>
      <c r="E280" s="40"/>
      <c r="F280" s="49" t="str">
        <f t="shared" ref="F280:J280" ca="1" si="278">IFERROR(__xludf.DUMMYFUNCTION("if (A280 &lt;&gt; """", GOOGLETRANSLATE(A280, ""auto"", ""en""), """")"),"")</f>
        <v/>
      </c>
      <c r="G280" s="49" t="str">
        <f t="shared" ca="1" si="278"/>
        <v/>
      </c>
      <c r="H280" s="49" t="str">
        <f t="shared" ca="1" si="278"/>
        <v/>
      </c>
      <c r="I280" s="49" t="str">
        <f t="shared" ca="1" si="278"/>
        <v/>
      </c>
      <c r="J280" s="49" t="str">
        <f t="shared" ca="1" si="278"/>
        <v/>
      </c>
    </row>
    <row r="281" spans="1:10" ht="63.75" x14ac:dyDescent="0.2">
      <c r="A281" s="41" t="s">
        <v>479</v>
      </c>
      <c r="B281" s="41" t="s">
        <v>402</v>
      </c>
      <c r="C281" s="41" t="s">
        <v>480</v>
      </c>
      <c r="D281" s="40"/>
      <c r="E281" s="40"/>
      <c r="F281" s="49" t="str">
        <f t="shared" ref="F281:J281" ca="1" si="279">IFERROR(__xludf.DUMMYFUNCTION("if (A281 &lt;&gt; """", GOOGLETRANSLATE(A281, ""auto"", ""en""), """")"),"Is not it also a problem in with a friend")</f>
        <v>Is not it also a problem in with a friend</v>
      </c>
      <c r="G281" s="49" t="str">
        <f t="shared" ca="1" si="279"/>
        <v>Is not it also a problem in with a friend</v>
      </c>
      <c r="H281" s="49" t="str">
        <f t="shared" ca="1" si="279"/>
        <v>Is not it also a problem in with a friend</v>
      </c>
      <c r="I281" s="49" t="str">
        <f t="shared" ca="1" si="279"/>
        <v>Is not it also a problem in with a friend</v>
      </c>
      <c r="J281" s="49" t="str">
        <f t="shared" ca="1" si="279"/>
        <v>Is not it also a problem in with a friend</v>
      </c>
    </row>
    <row r="282" spans="1:10" ht="25.5" x14ac:dyDescent="0.2">
      <c r="A282" s="41" t="s">
        <v>481</v>
      </c>
      <c r="B282" s="41" t="s">
        <v>402</v>
      </c>
      <c r="C282" s="41" t="s">
        <v>19</v>
      </c>
      <c r="D282" s="40"/>
      <c r="E282" s="40"/>
      <c r="F282" s="49" t="str">
        <f t="shared" ref="F282:J282" ca="1" si="280">IFERROR(__xludf.DUMMYFUNCTION("if (A282 &lt;&gt; """", GOOGLETRANSLATE(A282, ""auto"", ""en""), """")"),"You can stay in 2 people")</f>
        <v>You can stay in 2 people</v>
      </c>
      <c r="G282" s="49" t="str">
        <f t="shared" ca="1" si="280"/>
        <v>You can stay in 2 people</v>
      </c>
      <c r="H282" s="49" t="str">
        <f t="shared" ca="1" si="280"/>
        <v>You can stay in 2 people</v>
      </c>
      <c r="I282" s="49" t="str">
        <f t="shared" ca="1" si="280"/>
        <v>You can stay in 2 people</v>
      </c>
      <c r="J282" s="49" t="str">
        <f t="shared" ca="1" si="280"/>
        <v>You can stay in 2 people</v>
      </c>
    </row>
    <row r="283" spans="1:10" ht="25.5" x14ac:dyDescent="0.2">
      <c r="A283" s="41" t="s">
        <v>482</v>
      </c>
      <c r="B283" s="40"/>
      <c r="C283" s="40"/>
      <c r="D283" s="40"/>
      <c r="E283" s="40"/>
      <c r="F283" s="49" t="str">
        <f t="shared" ref="F283:J283" ca="1" si="281">IFERROR(__xludf.DUMMYFUNCTION("if (A283 &lt;&gt; """", GOOGLETRANSLATE(A283, ""auto"", ""en""), """")"),"Okay two people")</f>
        <v>Okay two people</v>
      </c>
      <c r="G283" s="49" t="str">
        <f t="shared" ca="1" si="281"/>
        <v>Okay two people</v>
      </c>
      <c r="H283" s="49" t="str">
        <f t="shared" ca="1" si="281"/>
        <v>Okay two people</v>
      </c>
      <c r="I283" s="49" t="str">
        <f t="shared" ca="1" si="281"/>
        <v>Okay two people</v>
      </c>
      <c r="J283" s="49" t="str">
        <f t="shared" ca="1" si="281"/>
        <v>Okay two people</v>
      </c>
    </row>
    <row r="284" spans="1:10" ht="25.5" x14ac:dyDescent="0.2">
      <c r="A284" s="41" t="s">
        <v>483</v>
      </c>
      <c r="B284" s="40"/>
      <c r="C284" s="40"/>
      <c r="D284" s="40"/>
      <c r="E284" s="40"/>
      <c r="F284" s="49" t="str">
        <f t="shared" ref="F284:J284" ca="1" si="282">IFERROR(__xludf.DUMMYFUNCTION("if (A284 &lt;&gt; """", GOOGLETRANSLATE(A284, ""auto"", ""en""), """")"),"Okay together of friends")</f>
        <v>Okay together of friends</v>
      </c>
      <c r="G284" s="49" t="str">
        <f t="shared" ca="1" si="282"/>
        <v>Okay together of friends</v>
      </c>
      <c r="H284" s="49" t="str">
        <f t="shared" ca="1" si="282"/>
        <v>Okay together of friends</v>
      </c>
      <c r="I284" s="49" t="str">
        <f t="shared" ca="1" si="282"/>
        <v>Okay together of friends</v>
      </c>
      <c r="J284" s="49" t="str">
        <f t="shared" ca="1" si="282"/>
        <v>Okay together of friends</v>
      </c>
    </row>
    <row r="285" spans="1:10" ht="38.25" x14ac:dyDescent="0.2">
      <c r="A285" s="41" t="s">
        <v>484</v>
      </c>
      <c r="B285" s="40"/>
      <c r="C285" s="40"/>
      <c r="D285" s="40"/>
      <c r="E285" s="40"/>
      <c r="F285" s="49" t="str">
        <f t="shared" ref="F285:J285" ca="1" si="283">IFERROR(__xludf.DUMMYFUNCTION("if (A285 &lt;&gt; """", GOOGLETRANSLATE(A285, ""auto"", ""en""), """")"),"Although I have is brought")</f>
        <v>Although I have is brought</v>
      </c>
      <c r="G285" s="49" t="str">
        <f t="shared" ca="1" si="283"/>
        <v>Although I have is brought</v>
      </c>
      <c r="H285" s="49" t="str">
        <f t="shared" ca="1" si="283"/>
        <v>Although I have is brought</v>
      </c>
      <c r="I285" s="49" t="str">
        <f t="shared" ca="1" si="283"/>
        <v>Although I have is brought</v>
      </c>
      <c r="J285" s="49" t="str">
        <f t="shared" ca="1" si="283"/>
        <v>Although I have is brought</v>
      </c>
    </row>
    <row r="286" spans="1:10" ht="38.25" x14ac:dyDescent="0.2">
      <c r="A286" s="41" t="s">
        <v>485</v>
      </c>
      <c r="B286" s="40"/>
      <c r="C286" s="40"/>
      <c r="D286" s="40"/>
      <c r="E286" s="40"/>
      <c r="F286" s="49" t="str">
        <f t="shared" ref="F286:J286" ca="1" si="284">IFERROR(__xludf.DUMMYFUNCTION("if (A286 &lt;&gt; """", GOOGLETRANSLATE(A286, ""auto"", ""en""), """")"),"Okay to take me also friends")</f>
        <v>Okay to take me also friends</v>
      </c>
      <c r="G286" s="49" t="str">
        <f t="shared" ca="1" si="284"/>
        <v>Okay to take me also friends</v>
      </c>
      <c r="H286" s="49" t="str">
        <f t="shared" ca="1" si="284"/>
        <v>Okay to take me also friends</v>
      </c>
      <c r="I286" s="49" t="str">
        <f t="shared" ca="1" si="284"/>
        <v>Okay to take me also friends</v>
      </c>
      <c r="J286" s="49" t="str">
        <f t="shared" ca="1" si="284"/>
        <v>Okay to take me also friends</v>
      </c>
    </row>
    <row r="287" spans="1:10" ht="25.5" x14ac:dyDescent="0.2">
      <c r="A287" s="41" t="s">
        <v>105</v>
      </c>
      <c r="B287" s="40"/>
      <c r="C287" s="40"/>
      <c r="D287" s="40"/>
      <c r="E287" s="40"/>
      <c r="F287" s="49" t="str">
        <f t="shared" ref="F287:J287" ca="1" si="285">IFERROR(__xludf.DUMMYFUNCTION("if (A287 &lt;&gt; """", GOOGLETRANSLATE(A287, ""auto"", ""en""), """")"),"For the bank's companion")</f>
        <v>For the bank's companion</v>
      </c>
      <c r="G287" s="49" t="str">
        <f t="shared" ca="1" si="285"/>
        <v>For the bank's companion</v>
      </c>
      <c r="H287" s="49" t="str">
        <f t="shared" ca="1" si="285"/>
        <v>For the bank's companion</v>
      </c>
      <c r="I287" s="49" t="str">
        <f t="shared" ca="1" si="285"/>
        <v>For the bank's companion</v>
      </c>
      <c r="J287" s="49" t="str">
        <f t="shared" ca="1" si="285"/>
        <v>For the bank's companion</v>
      </c>
    </row>
    <row r="288" spans="1:10" ht="12.75" x14ac:dyDescent="0.2">
      <c r="A288" s="40"/>
      <c r="B288" s="41" t="s">
        <v>422</v>
      </c>
      <c r="C288" s="41" t="s">
        <v>486</v>
      </c>
      <c r="D288" s="41" t="s">
        <v>487</v>
      </c>
      <c r="E288" s="40"/>
      <c r="F288" s="49" t="str">
        <f t="shared" ref="F288:J288" ca="1" si="286">IFERROR(__xludf.DUMMYFUNCTION("if (A288 &lt;&gt; """", GOOGLETRANSLATE(A288, ""auto"", ""en""), """")"),"")</f>
        <v/>
      </c>
      <c r="G288" s="49" t="str">
        <f t="shared" ca="1" si="286"/>
        <v/>
      </c>
      <c r="H288" s="49" t="str">
        <f t="shared" ca="1" si="286"/>
        <v/>
      </c>
      <c r="I288" s="49" t="str">
        <f t="shared" ca="1" si="286"/>
        <v/>
      </c>
      <c r="J288" s="49" t="str">
        <f t="shared" ca="1" si="286"/>
        <v/>
      </c>
    </row>
    <row r="289" spans="1:10" ht="12.75" x14ac:dyDescent="0.2">
      <c r="A289" s="40"/>
      <c r="B289" s="41" t="s">
        <v>422</v>
      </c>
      <c r="C289" s="41" t="s">
        <v>488</v>
      </c>
      <c r="D289" s="41" t="s">
        <v>489</v>
      </c>
      <c r="E289" s="40"/>
      <c r="F289" s="49" t="str">
        <f t="shared" ref="F289:J289" ca="1" si="287">IFERROR(__xludf.DUMMYFUNCTION("if (A289 &lt;&gt; """", GOOGLETRANSLATE(A289, ""auto"", ""en""), """")"),"")</f>
        <v/>
      </c>
      <c r="G289" s="49" t="str">
        <f t="shared" ca="1" si="287"/>
        <v/>
      </c>
      <c r="H289" s="49" t="str">
        <f t="shared" ca="1" si="287"/>
        <v/>
      </c>
      <c r="I289" s="49" t="str">
        <f t="shared" ca="1" si="287"/>
        <v/>
      </c>
      <c r="J289" s="49" t="str">
        <f t="shared" ca="1" si="287"/>
        <v/>
      </c>
    </row>
    <row r="290" spans="1:10" ht="12.75" x14ac:dyDescent="0.2">
      <c r="A290" s="40"/>
      <c r="B290" s="41" t="s">
        <v>403</v>
      </c>
      <c r="C290" s="41" t="s">
        <v>24</v>
      </c>
      <c r="D290" s="41" t="s">
        <v>26</v>
      </c>
      <c r="E290" s="40"/>
      <c r="F290" s="49" t="str">
        <f t="shared" ref="F290:J290" ca="1" si="288">IFERROR(__xludf.DUMMYFUNCTION("if (A290 &lt;&gt; """", GOOGLETRANSLATE(A290, ""auto"", ""en""), """")"),"")</f>
        <v/>
      </c>
      <c r="G290" s="49" t="str">
        <f t="shared" ca="1" si="288"/>
        <v/>
      </c>
      <c r="H290" s="49" t="str">
        <f t="shared" ca="1" si="288"/>
        <v/>
      </c>
      <c r="I290" s="49" t="str">
        <f t="shared" ca="1" si="288"/>
        <v/>
      </c>
      <c r="J290" s="49" t="str">
        <f t="shared" ca="1" si="288"/>
        <v/>
      </c>
    </row>
    <row r="291" spans="1:10" ht="12.75" x14ac:dyDescent="0.2">
      <c r="A291" s="40"/>
      <c r="B291" s="41" t="s">
        <v>403</v>
      </c>
      <c r="C291" s="41" t="s">
        <v>32</v>
      </c>
      <c r="D291" s="41" t="s">
        <v>29</v>
      </c>
      <c r="E291" s="40"/>
      <c r="F291" s="49" t="str">
        <f t="shared" ref="F291:J291" ca="1" si="289">IFERROR(__xludf.DUMMYFUNCTION("if (A291 &lt;&gt; """", GOOGLETRANSLATE(A291, ""auto"", ""en""), """")"),"")</f>
        <v/>
      </c>
      <c r="G291" s="49" t="str">
        <f t="shared" ca="1" si="289"/>
        <v/>
      </c>
      <c r="H291" s="49" t="str">
        <f t="shared" ca="1" si="289"/>
        <v/>
      </c>
      <c r="I291" s="49" t="str">
        <f t="shared" ca="1" si="289"/>
        <v/>
      </c>
      <c r="J291" s="49" t="str">
        <f t="shared" ca="1" si="289"/>
        <v/>
      </c>
    </row>
    <row r="292" spans="1:10" ht="12.75" x14ac:dyDescent="0.2">
      <c r="A292" s="40"/>
      <c r="B292" s="41" t="s">
        <v>403</v>
      </c>
      <c r="C292" s="41" t="s">
        <v>25</v>
      </c>
      <c r="D292" s="41" t="s">
        <v>27</v>
      </c>
      <c r="E292" s="40"/>
      <c r="F292" s="49" t="str">
        <f t="shared" ref="F292:J292" ca="1" si="290">IFERROR(__xludf.DUMMYFUNCTION("if (A292 &lt;&gt; """", GOOGLETRANSLATE(A292, ""auto"", ""en""), """")"),"")</f>
        <v/>
      </c>
      <c r="G292" s="49" t="str">
        <f t="shared" ca="1" si="290"/>
        <v/>
      </c>
      <c r="H292" s="49" t="str">
        <f t="shared" ca="1" si="290"/>
        <v/>
      </c>
      <c r="I292" s="49" t="str">
        <f t="shared" ca="1" si="290"/>
        <v/>
      </c>
      <c r="J292" s="49" t="str">
        <f t="shared" ca="1" si="290"/>
        <v/>
      </c>
    </row>
    <row r="293" spans="1:10" ht="12.75" x14ac:dyDescent="0.2">
      <c r="A293" s="40"/>
      <c r="B293" s="41" t="s">
        <v>403</v>
      </c>
      <c r="C293" s="41" t="s">
        <v>30</v>
      </c>
      <c r="D293" s="41" t="s">
        <v>31</v>
      </c>
      <c r="E293" s="40"/>
      <c r="F293" s="49" t="str">
        <f t="shared" ref="F293:J293" ca="1" si="291">IFERROR(__xludf.DUMMYFUNCTION("if (A293 &lt;&gt; """", GOOGLETRANSLATE(A293, ""auto"", ""en""), """")"),"")</f>
        <v/>
      </c>
      <c r="G293" s="49" t="str">
        <f t="shared" ca="1" si="291"/>
        <v/>
      </c>
      <c r="H293" s="49" t="str">
        <f t="shared" ca="1" si="291"/>
        <v/>
      </c>
      <c r="I293" s="49" t="str">
        <f t="shared" ca="1" si="291"/>
        <v/>
      </c>
      <c r="J293" s="49" t="str">
        <f t="shared" ca="1" si="291"/>
        <v/>
      </c>
    </row>
    <row r="294" spans="1:10" ht="12.75" x14ac:dyDescent="0.2">
      <c r="A294" s="40"/>
      <c r="B294" s="40"/>
      <c r="C294" s="40"/>
      <c r="D294" s="40"/>
      <c r="E294" s="40"/>
      <c r="F294" s="49" t="str">
        <f t="shared" ref="F294:J294" ca="1" si="292">IFERROR(__xludf.DUMMYFUNCTION("if (A294 &lt;&gt; """", GOOGLETRANSLATE(A294, ""auto"", ""en""), """")"),"")</f>
        <v/>
      </c>
      <c r="G294" s="49" t="str">
        <f t="shared" ca="1" si="292"/>
        <v/>
      </c>
      <c r="H294" s="49" t="str">
        <f t="shared" ca="1" si="292"/>
        <v/>
      </c>
      <c r="I294" s="49" t="str">
        <f t="shared" ca="1" si="292"/>
        <v/>
      </c>
      <c r="J294" s="49" t="str">
        <f t="shared" ca="1" si="292"/>
        <v/>
      </c>
    </row>
    <row r="295" spans="1:10" ht="25.5" x14ac:dyDescent="0.2">
      <c r="A295" s="41" t="s">
        <v>109</v>
      </c>
      <c r="B295" s="40"/>
      <c r="C295" s="40"/>
      <c r="D295" s="40"/>
      <c r="E295" s="40"/>
      <c r="F295" s="49" t="str">
        <f t="shared" ref="F295:J295" ca="1" si="293">IFERROR(__xludf.DUMMYFUNCTION("if (A295 &lt;&gt; """", GOOGLETRANSLATE(A295, ""auto"", ""en""), """")"),"FAQ-Guest3-6")</f>
        <v>FAQ-Guest3-6</v>
      </c>
      <c r="G295" s="49" t="str">
        <f t="shared" ca="1" si="293"/>
        <v>FAQ-Guest3-6</v>
      </c>
      <c r="H295" s="49" t="str">
        <f t="shared" ca="1" si="293"/>
        <v>FAQ-Guest3-6</v>
      </c>
      <c r="I295" s="49" t="str">
        <f t="shared" ca="1" si="293"/>
        <v>FAQ-Guest3-6</v>
      </c>
      <c r="J295" s="49" t="str">
        <f t="shared" ca="1" si="293"/>
        <v>FAQ-Guest3-6</v>
      </c>
    </row>
    <row r="296" spans="1:10" ht="12.75" x14ac:dyDescent="0.2">
      <c r="A296" s="40"/>
      <c r="B296" s="41" t="s">
        <v>398</v>
      </c>
      <c r="C296" s="40"/>
      <c r="D296" s="40"/>
      <c r="E296" s="40"/>
      <c r="F296" s="49" t="str">
        <f t="shared" ref="F296:J296" ca="1" si="294">IFERROR(__xludf.DUMMYFUNCTION("if (A296 &lt;&gt; """", GOOGLETRANSLATE(A296, ""auto"", ""en""), """")"),"")</f>
        <v/>
      </c>
      <c r="G296" s="49" t="str">
        <f t="shared" ca="1" si="294"/>
        <v/>
      </c>
      <c r="H296" s="49" t="str">
        <f t="shared" ca="1" si="294"/>
        <v/>
      </c>
      <c r="I296" s="49" t="str">
        <f t="shared" ca="1" si="294"/>
        <v/>
      </c>
      <c r="J296" s="49" t="str">
        <f t="shared" ca="1" si="294"/>
        <v/>
      </c>
    </row>
    <row r="297" spans="1:10" ht="12.75" x14ac:dyDescent="0.2">
      <c r="A297" s="40"/>
      <c r="B297" s="41" t="s">
        <v>399</v>
      </c>
      <c r="C297" s="40"/>
      <c r="D297" s="40"/>
      <c r="E297" s="40"/>
      <c r="F297" s="49" t="str">
        <f t="shared" ref="F297:J297" ca="1" si="295">IFERROR(__xludf.DUMMYFUNCTION("if (A297 &lt;&gt; """", GOOGLETRANSLATE(A297, ""auto"", ""en""), """")"),"")</f>
        <v/>
      </c>
      <c r="G297" s="49" t="str">
        <f t="shared" ca="1" si="295"/>
        <v/>
      </c>
      <c r="H297" s="49" t="str">
        <f t="shared" ca="1" si="295"/>
        <v/>
      </c>
      <c r="I297" s="49" t="str">
        <f t="shared" ca="1" si="295"/>
        <v/>
      </c>
      <c r="J297" s="49" t="str">
        <f t="shared" ca="1" si="295"/>
        <v/>
      </c>
    </row>
    <row r="298" spans="1:10" ht="12.75" x14ac:dyDescent="0.2">
      <c r="A298" s="40"/>
      <c r="B298" s="41" t="s">
        <v>400</v>
      </c>
      <c r="C298" s="40"/>
      <c r="D298" s="40"/>
      <c r="E298" s="40"/>
      <c r="F298" s="49" t="str">
        <f t="shared" ref="F298:J298" ca="1" si="296">IFERROR(__xludf.DUMMYFUNCTION("if (A298 &lt;&gt; """", GOOGLETRANSLATE(A298, ""auto"", ""en""), """")"),"")</f>
        <v/>
      </c>
      <c r="G298" s="49" t="str">
        <f t="shared" ca="1" si="296"/>
        <v/>
      </c>
      <c r="H298" s="49" t="str">
        <f t="shared" ca="1" si="296"/>
        <v/>
      </c>
      <c r="I298" s="49" t="str">
        <f t="shared" ca="1" si="296"/>
        <v/>
      </c>
      <c r="J298" s="49" t="str">
        <f t="shared" ca="1" si="296"/>
        <v/>
      </c>
    </row>
    <row r="299" spans="1:10" ht="12.75" x14ac:dyDescent="0.2">
      <c r="A299" s="40"/>
      <c r="B299" s="41" t="s">
        <v>401</v>
      </c>
      <c r="C299" s="41" t="s">
        <v>109</v>
      </c>
      <c r="D299" s="40"/>
      <c r="E299" s="40"/>
      <c r="F299" s="49" t="str">
        <f t="shared" ref="F299:J299" ca="1" si="297">IFERROR(__xludf.DUMMYFUNCTION("if (A299 &lt;&gt; """", GOOGLETRANSLATE(A299, ""auto"", ""en""), """")"),"")</f>
        <v/>
      </c>
      <c r="G299" s="49" t="str">
        <f t="shared" ca="1" si="297"/>
        <v/>
      </c>
      <c r="H299" s="49" t="str">
        <f t="shared" ca="1" si="297"/>
        <v/>
      </c>
      <c r="I299" s="49" t="str">
        <f t="shared" ca="1" si="297"/>
        <v/>
      </c>
      <c r="J299" s="49" t="str">
        <f t="shared" ca="1" si="297"/>
        <v/>
      </c>
    </row>
    <row r="300" spans="1:10" ht="51" x14ac:dyDescent="0.2">
      <c r="A300" s="41" t="s">
        <v>491</v>
      </c>
      <c r="B300" s="41" t="s">
        <v>402</v>
      </c>
      <c r="C300" s="41" t="s">
        <v>218</v>
      </c>
      <c r="D300" s="40"/>
      <c r="E300" s="40"/>
      <c r="F300" s="49" t="str">
        <f t="shared" ref="F300:J300" ca="1" si="298">IFERROR(__xludf.DUMMYFUNCTION("if (A300 &lt;&gt; """", GOOGLETRANSLATE(A300, ""auto"", ""en""), """")"),"Length of stay")</f>
        <v>Length of stay</v>
      </c>
      <c r="G300" s="49" t="str">
        <f t="shared" ca="1" si="298"/>
        <v>Length of stay</v>
      </c>
      <c r="H300" s="49" t="str">
        <f t="shared" ca="1" si="298"/>
        <v>Length of stay</v>
      </c>
      <c r="I300" s="49" t="str">
        <f t="shared" ca="1" si="298"/>
        <v>Length of stay</v>
      </c>
      <c r="J300" s="49" t="str">
        <f t="shared" ca="1" si="298"/>
        <v>Length of stay</v>
      </c>
    </row>
    <row r="301" spans="1:10" ht="38.25" x14ac:dyDescent="0.2">
      <c r="A301" s="41" t="s">
        <v>492</v>
      </c>
      <c r="B301" s="41" t="s">
        <v>402</v>
      </c>
      <c r="C301" s="41" t="s">
        <v>19</v>
      </c>
      <c r="D301" s="40"/>
      <c r="E301" s="40"/>
      <c r="F301" s="49" t="str">
        <f t="shared" ref="F301:J301" ca="1" si="299">IFERROR(__xludf.DUMMYFUNCTION("if (A301 &lt;&gt; """", GOOGLETRANSLATE(A301, ""auto"", ""en""), """")"),"I want to extend the length of stay")</f>
        <v>I want to extend the length of stay</v>
      </c>
      <c r="G301" s="49" t="str">
        <f t="shared" ca="1" si="299"/>
        <v>I want to extend the length of stay</v>
      </c>
      <c r="H301" s="49" t="str">
        <f t="shared" ca="1" si="299"/>
        <v>I want to extend the length of stay</v>
      </c>
      <c r="I301" s="49" t="str">
        <f t="shared" ca="1" si="299"/>
        <v>I want to extend the length of stay</v>
      </c>
      <c r="J301" s="49" t="str">
        <f t="shared" ca="1" si="299"/>
        <v>I want to extend the length of stay</v>
      </c>
    </row>
    <row r="302" spans="1:10" ht="51" x14ac:dyDescent="0.2">
      <c r="A302" s="41" t="s">
        <v>493</v>
      </c>
      <c r="B302" s="40"/>
      <c r="C302" s="40"/>
      <c r="D302" s="40"/>
      <c r="E302" s="40"/>
      <c r="F302" s="49" t="str">
        <f t="shared" ref="F302:J302" ca="1" si="300">IFERROR(__xludf.DUMMYFUNCTION("if (A302 &lt;&gt; """", GOOGLETRANSLATE(A302, ""auto"", ""en""), """")"),"I want to extend the length of stay, but")</f>
        <v>I want to extend the length of stay, but</v>
      </c>
      <c r="G302" s="49" t="str">
        <f t="shared" ca="1" si="300"/>
        <v>I want to extend the length of stay, but</v>
      </c>
      <c r="H302" s="49" t="str">
        <f t="shared" ca="1" si="300"/>
        <v>I want to extend the length of stay, but</v>
      </c>
      <c r="I302" s="49" t="str">
        <f t="shared" ca="1" si="300"/>
        <v>I want to extend the length of stay, but</v>
      </c>
      <c r="J302" s="49" t="str">
        <f t="shared" ca="1" si="300"/>
        <v>I want to extend the length of stay, but</v>
      </c>
    </row>
    <row r="303" spans="1:10" ht="51" x14ac:dyDescent="0.2">
      <c r="A303" s="41" t="s">
        <v>494</v>
      </c>
      <c r="B303" s="40"/>
      <c r="C303" s="40"/>
      <c r="D303" s="40"/>
      <c r="E303" s="40"/>
      <c r="F303" s="49" t="str">
        <f t="shared" ref="F303:J303" ca="1" si="301">IFERROR(__xludf.DUMMYFUNCTION("if (A303 &lt;&gt; """", GOOGLETRANSLATE(A303, ""auto"", ""en""), """")"),"Extended and I'd like to, but accommodation")</f>
        <v>Extended and I'd like to, but accommodation</v>
      </c>
      <c r="G303" s="49" t="str">
        <f t="shared" ca="1" si="301"/>
        <v>Extended and I'd like to, but accommodation</v>
      </c>
      <c r="H303" s="49" t="str">
        <f t="shared" ca="1" si="301"/>
        <v>Extended and I'd like to, but accommodation</v>
      </c>
      <c r="I303" s="49" t="str">
        <f t="shared" ca="1" si="301"/>
        <v>Extended and I'd like to, but accommodation</v>
      </c>
      <c r="J303" s="49" t="str">
        <f t="shared" ca="1" si="301"/>
        <v>Extended and I'd like to, but accommodation</v>
      </c>
    </row>
    <row r="304" spans="1:10" ht="38.25" x14ac:dyDescent="0.2">
      <c r="A304" s="41" t="s">
        <v>495</v>
      </c>
      <c r="B304" s="40"/>
      <c r="C304" s="40"/>
      <c r="D304" s="40"/>
      <c r="E304" s="40"/>
      <c r="F304" s="49" t="str">
        <f t="shared" ref="F304:J304" ca="1" si="302">IFERROR(__xludf.DUMMYFUNCTION("if (A304 &lt;&gt; """", GOOGLETRANSLATE(A304, ""auto"", ""en""), """")"),"I want to extend the length of stay")</f>
        <v>I want to extend the length of stay</v>
      </c>
      <c r="G304" s="49" t="str">
        <f t="shared" ca="1" si="302"/>
        <v>I want to extend the length of stay</v>
      </c>
      <c r="H304" s="49" t="str">
        <f t="shared" ca="1" si="302"/>
        <v>I want to extend the length of stay</v>
      </c>
      <c r="I304" s="49" t="str">
        <f t="shared" ca="1" si="302"/>
        <v>I want to extend the length of stay</v>
      </c>
      <c r="J304" s="49" t="str">
        <f t="shared" ca="1" si="302"/>
        <v>I want to extend the length of stay</v>
      </c>
    </row>
    <row r="305" spans="1:10" ht="51" x14ac:dyDescent="0.2">
      <c r="A305" s="41" t="s">
        <v>496</v>
      </c>
      <c r="B305" s="40"/>
      <c r="C305" s="40"/>
      <c r="D305" s="40"/>
      <c r="E305" s="40"/>
      <c r="F305" s="49" t="str">
        <f t="shared" ref="F305:J305" ca="1" si="303">IFERROR(__xludf.DUMMYFUNCTION("if (A305 &lt;&gt; """", GOOGLETRANSLATE(A305, ""auto"", ""en""), """")"),"Extension of the accommodation")</f>
        <v>Extension of the accommodation</v>
      </c>
      <c r="G305" s="49" t="str">
        <f t="shared" ca="1" si="303"/>
        <v>Extension of the accommodation</v>
      </c>
      <c r="H305" s="49" t="str">
        <f t="shared" ca="1" si="303"/>
        <v>Extension of the accommodation</v>
      </c>
      <c r="I305" s="49" t="str">
        <f t="shared" ca="1" si="303"/>
        <v>Extension of the accommodation</v>
      </c>
      <c r="J305" s="49" t="str">
        <f t="shared" ca="1" si="303"/>
        <v>Extension of the accommodation</v>
      </c>
    </row>
    <row r="306" spans="1:10" ht="12.75" x14ac:dyDescent="0.2">
      <c r="A306" s="41" t="s">
        <v>108</v>
      </c>
      <c r="B306" s="40"/>
      <c r="C306" s="40"/>
      <c r="D306" s="40"/>
      <c r="E306" s="40"/>
      <c r="F306" s="49" t="str">
        <f t="shared" ref="F306:J306" ca="1" si="304">IFERROR(__xludf.DUMMYFUNCTION("if (A306 &lt;&gt; """", GOOGLETRANSLATE(A306, ""auto"", ""en""), """")"),"For extension")</f>
        <v>For extension</v>
      </c>
      <c r="G306" s="49" t="str">
        <f t="shared" ca="1" si="304"/>
        <v>For extension</v>
      </c>
      <c r="H306" s="49" t="str">
        <f t="shared" ca="1" si="304"/>
        <v>For extension</v>
      </c>
      <c r="I306" s="49" t="str">
        <f t="shared" ca="1" si="304"/>
        <v>For extension</v>
      </c>
      <c r="J306" s="49" t="str">
        <f t="shared" ca="1" si="304"/>
        <v>For extension</v>
      </c>
    </row>
    <row r="307" spans="1:10" ht="12.75" x14ac:dyDescent="0.2">
      <c r="A307" s="40"/>
      <c r="B307" s="41" t="s">
        <v>403</v>
      </c>
      <c r="C307" s="41" t="s">
        <v>24</v>
      </c>
      <c r="D307" s="41" t="s">
        <v>26</v>
      </c>
      <c r="E307" s="40"/>
      <c r="F307" s="49" t="str">
        <f t="shared" ref="F307:J307" ca="1" si="305">IFERROR(__xludf.DUMMYFUNCTION("if (A307 &lt;&gt; """", GOOGLETRANSLATE(A307, ""auto"", ""en""), """")"),"")</f>
        <v/>
      </c>
      <c r="G307" s="49" t="str">
        <f t="shared" ca="1" si="305"/>
        <v/>
      </c>
      <c r="H307" s="49" t="str">
        <f t="shared" ca="1" si="305"/>
        <v/>
      </c>
      <c r="I307" s="49" t="str">
        <f t="shared" ca="1" si="305"/>
        <v/>
      </c>
      <c r="J307" s="49" t="str">
        <f t="shared" ca="1" si="305"/>
        <v/>
      </c>
    </row>
    <row r="308" spans="1:10" ht="12.75" x14ac:dyDescent="0.2">
      <c r="A308" s="40"/>
      <c r="B308" s="41" t="s">
        <v>403</v>
      </c>
      <c r="C308" s="41" t="s">
        <v>32</v>
      </c>
      <c r="D308" s="41" t="s">
        <v>29</v>
      </c>
      <c r="E308" s="40"/>
      <c r="F308" s="49" t="str">
        <f t="shared" ref="F308:J308" ca="1" si="306">IFERROR(__xludf.DUMMYFUNCTION("if (A308 &lt;&gt; """", GOOGLETRANSLATE(A308, ""auto"", ""en""), """")"),"")</f>
        <v/>
      </c>
      <c r="G308" s="49" t="str">
        <f t="shared" ca="1" si="306"/>
        <v/>
      </c>
      <c r="H308" s="49" t="str">
        <f t="shared" ca="1" si="306"/>
        <v/>
      </c>
      <c r="I308" s="49" t="str">
        <f t="shared" ca="1" si="306"/>
        <v/>
      </c>
      <c r="J308" s="49" t="str">
        <f t="shared" ca="1" si="306"/>
        <v/>
      </c>
    </row>
    <row r="309" spans="1:10" ht="12.75" x14ac:dyDescent="0.2">
      <c r="A309" s="40"/>
      <c r="B309" s="41" t="s">
        <v>403</v>
      </c>
      <c r="C309" s="41" t="s">
        <v>25</v>
      </c>
      <c r="D309" s="41" t="s">
        <v>27</v>
      </c>
      <c r="E309" s="40"/>
      <c r="F309" s="49" t="str">
        <f t="shared" ref="F309:J309" ca="1" si="307">IFERROR(__xludf.DUMMYFUNCTION("if (A309 &lt;&gt; """", GOOGLETRANSLATE(A309, ""auto"", ""en""), """")"),"")</f>
        <v/>
      </c>
      <c r="G309" s="49" t="str">
        <f t="shared" ca="1" si="307"/>
        <v/>
      </c>
      <c r="H309" s="49" t="str">
        <f t="shared" ca="1" si="307"/>
        <v/>
      </c>
      <c r="I309" s="49" t="str">
        <f t="shared" ca="1" si="307"/>
        <v/>
      </c>
      <c r="J309" s="49" t="str">
        <f t="shared" ca="1" si="307"/>
        <v/>
      </c>
    </row>
    <row r="310" spans="1:10" ht="12.75" x14ac:dyDescent="0.2">
      <c r="A310" s="40"/>
      <c r="B310" s="41" t="s">
        <v>403</v>
      </c>
      <c r="C310" s="41" t="s">
        <v>30</v>
      </c>
      <c r="D310" s="41" t="s">
        <v>31</v>
      </c>
      <c r="E310" s="40"/>
      <c r="F310" s="49" t="str">
        <f t="shared" ref="F310:J310" ca="1" si="308">IFERROR(__xludf.DUMMYFUNCTION("if (A310 &lt;&gt; """", GOOGLETRANSLATE(A310, ""auto"", ""en""), """")"),"")</f>
        <v/>
      </c>
      <c r="G310" s="49" t="str">
        <f t="shared" ca="1" si="308"/>
        <v/>
      </c>
      <c r="H310" s="49" t="str">
        <f t="shared" ca="1" si="308"/>
        <v/>
      </c>
      <c r="I310" s="49" t="str">
        <f t="shared" ca="1" si="308"/>
        <v/>
      </c>
      <c r="J310" s="49" t="str">
        <f t="shared" ca="1" si="308"/>
        <v/>
      </c>
    </row>
    <row r="311" spans="1:10" ht="12.75" x14ac:dyDescent="0.2">
      <c r="A311" s="40"/>
      <c r="B311" s="40"/>
      <c r="C311" s="40"/>
      <c r="D311" s="40"/>
      <c r="E311" s="40"/>
      <c r="F311" s="49" t="str">
        <f t="shared" ref="F311:J311" ca="1" si="309">IFERROR(__xludf.DUMMYFUNCTION("if (A311 &lt;&gt; """", GOOGLETRANSLATE(A311, ""auto"", ""en""), """")"),"")</f>
        <v/>
      </c>
      <c r="G311" s="49" t="str">
        <f t="shared" ca="1" si="309"/>
        <v/>
      </c>
      <c r="H311" s="49" t="str">
        <f t="shared" ca="1" si="309"/>
        <v/>
      </c>
      <c r="I311" s="49" t="str">
        <f t="shared" ca="1" si="309"/>
        <v/>
      </c>
      <c r="J311" s="49" t="str">
        <f t="shared" ca="1" si="309"/>
        <v/>
      </c>
    </row>
    <row r="312" spans="1:10" ht="25.5" x14ac:dyDescent="0.2">
      <c r="A312" s="41" t="s">
        <v>111</v>
      </c>
      <c r="B312" s="40"/>
      <c r="C312" s="40"/>
      <c r="D312" s="40"/>
      <c r="E312" s="40"/>
      <c r="F312" s="49" t="str">
        <f t="shared" ref="F312:J312" ca="1" si="310">IFERROR(__xludf.DUMMYFUNCTION("if (A312 &lt;&gt; """", GOOGLETRANSLATE(A312, ""auto"", ""en""), """")"),"FAQ-Guest3-7")</f>
        <v>FAQ-Guest3-7</v>
      </c>
      <c r="G312" s="49" t="str">
        <f t="shared" ca="1" si="310"/>
        <v>FAQ-Guest3-7</v>
      </c>
      <c r="H312" s="49" t="str">
        <f t="shared" ca="1" si="310"/>
        <v>FAQ-Guest3-7</v>
      </c>
      <c r="I312" s="49" t="str">
        <f t="shared" ca="1" si="310"/>
        <v>FAQ-Guest3-7</v>
      </c>
      <c r="J312" s="49" t="str">
        <f t="shared" ca="1" si="310"/>
        <v>FAQ-Guest3-7</v>
      </c>
    </row>
    <row r="313" spans="1:10" ht="12.75" x14ac:dyDescent="0.2">
      <c r="A313" s="40"/>
      <c r="B313" s="41" t="s">
        <v>398</v>
      </c>
      <c r="C313" s="40"/>
      <c r="D313" s="40"/>
      <c r="E313" s="40"/>
      <c r="F313" s="49" t="str">
        <f t="shared" ref="F313:J313" ca="1" si="311">IFERROR(__xludf.DUMMYFUNCTION("if (A313 &lt;&gt; """", GOOGLETRANSLATE(A313, ""auto"", ""en""), """")"),"")</f>
        <v/>
      </c>
      <c r="G313" s="49" t="str">
        <f t="shared" ca="1" si="311"/>
        <v/>
      </c>
      <c r="H313" s="49" t="str">
        <f t="shared" ca="1" si="311"/>
        <v/>
      </c>
      <c r="I313" s="49" t="str">
        <f t="shared" ca="1" si="311"/>
        <v/>
      </c>
      <c r="J313" s="49" t="str">
        <f t="shared" ca="1" si="311"/>
        <v/>
      </c>
    </row>
    <row r="314" spans="1:10" ht="12.75" x14ac:dyDescent="0.2">
      <c r="A314" s="40"/>
      <c r="B314" s="41" t="s">
        <v>399</v>
      </c>
      <c r="C314" s="40"/>
      <c r="D314" s="40"/>
      <c r="E314" s="40"/>
      <c r="F314" s="49" t="str">
        <f t="shared" ref="F314:J314" ca="1" si="312">IFERROR(__xludf.DUMMYFUNCTION("if (A314 &lt;&gt; """", GOOGLETRANSLATE(A314, ""auto"", ""en""), """")"),"")</f>
        <v/>
      </c>
      <c r="G314" s="49" t="str">
        <f t="shared" ca="1" si="312"/>
        <v/>
      </c>
      <c r="H314" s="49" t="str">
        <f t="shared" ca="1" si="312"/>
        <v/>
      </c>
      <c r="I314" s="49" t="str">
        <f t="shared" ca="1" si="312"/>
        <v/>
      </c>
      <c r="J314" s="49" t="str">
        <f t="shared" ca="1" si="312"/>
        <v/>
      </c>
    </row>
    <row r="315" spans="1:10" ht="12.75" x14ac:dyDescent="0.2">
      <c r="A315" s="40"/>
      <c r="B315" s="41" t="s">
        <v>400</v>
      </c>
      <c r="C315" s="40"/>
      <c r="D315" s="40"/>
      <c r="E315" s="40"/>
      <c r="F315" s="49" t="str">
        <f t="shared" ref="F315:J315" ca="1" si="313">IFERROR(__xludf.DUMMYFUNCTION("if (A315 &lt;&gt; """", GOOGLETRANSLATE(A315, ""auto"", ""en""), """")"),"")</f>
        <v/>
      </c>
      <c r="G315" s="49" t="str">
        <f t="shared" ca="1" si="313"/>
        <v/>
      </c>
      <c r="H315" s="49" t="str">
        <f t="shared" ca="1" si="313"/>
        <v/>
      </c>
      <c r="I315" s="49" t="str">
        <f t="shared" ca="1" si="313"/>
        <v/>
      </c>
      <c r="J315" s="49" t="str">
        <f t="shared" ca="1" si="313"/>
        <v/>
      </c>
    </row>
    <row r="316" spans="1:10" ht="12.75" x14ac:dyDescent="0.2">
      <c r="A316" s="40"/>
      <c r="B316" s="41" t="s">
        <v>401</v>
      </c>
      <c r="C316" s="41" t="s">
        <v>111</v>
      </c>
      <c r="D316" s="40"/>
      <c r="E316" s="40"/>
      <c r="F316" s="49" t="str">
        <f t="shared" ref="F316:J316" ca="1" si="314">IFERROR(__xludf.DUMMYFUNCTION("if (A316 &lt;&gt; """", GOOGLETRANSLATE(A316, ""auto"", ""en""), """")"),"")</f>
        <v/>
      </c>
      <c r="G316" s="49" t="str">
        <f t="shared" ca="1" si="314"/>
        <v/>
      </c>
      <c r="H316" s="49" t="str">
        <f t="shared" ca="1" si="314"/>
        <v/>
      </c>
      <c r="I316" s="49" t="str">
        <f t="shared" ca="1" si="314"/>
        <v/>
      </c>
      <c r="J316" s="49" t="str">
        <f t="shared" ca="1" si="314"/>
        <v/>
      </c>
    </row>
    <row r="317" spans="1:10" ht="51" x14ac:dyDescent="0.2">
      <c r="A317" s="41" t="s">
        <v>497</v>
      </c>
      <c r="B317" s="41" t="s">
        <v>402</v>
      </c>
      <c r="C317" s="41" t="s">
        <v>233</v>
      </c>
      <c r="D317" s="40"/>
      <c r="E317" s="40"/>
      <c r="F317" s="49" t="str">
        <f t="shared" ref="F317:J317" ca="1" si="315">IFERROR(__xludf.DUMMYFUNCTION("if (A317 &lt;&gt; """", GOOGLETRANSLATE(A317, ""auto"", ""en""), """")"),"Change of the reservation number")</f>
        <v>Change of the reservation number</v>
      </c>
      <c r="G317" s="49" t="str">
        <f t="shared" ca="1" si="315"/>
        <v>Change of the reservation number</v>
      </c>
      <c r="H317" s="49" t="str">
        <f t="shared" ca="1" si="315"/>
        <v>Change of the reservation number</v>
      </c>
      <c r="I317" s="49" t="str">
        <f t="shared" ca="1" si="315"/>
        <v>Change of the reservation number</v>
      </c>
      <c r="J317" s="49" t="str">
        <f t="shared" ca="1" si="315"/>
        <v>Change of the reservation number</v>
      </c>
    </row>
    <row r="318" spans="1:10" ht="63.75" x14ac:dyDescent="0.2">
      <c r="A318" s="41" t="s">
        <v>498</v>
      </c>
      <c r="B318" s="41" t="s">
        <v>402</v>
      </c>
      <c r="C318" s="41" t="s">
        <v>19</v>
      </c>
      <c r="D318" s="40"/>
      <c r="E318" s="40"/>
      <c r="F318" s="49" t="str">
        <f t="shared" ref="F318:J318" ca="1" si="316">IFERROR(__xludf.DUMMYFUNCTION("if (A318 &lt;&gt; """", GOOGLETRANSLATE(A318, ""auto"", ""en""), """")"),"I want to change the reservation number of people")</f>
        <v>I want to change the reservation number of people</v>
      </c>
      <c r="G318" s="49" t="str">
        <f t="shared" ca="1" si="316"/>
        <v>I want to change the reservation number of people</v>
      </c>
      <c r="H318" s="49" t="str">
        <f t="shared" ca="1" si="316"/>
        <v>I want to change the reservation number of people</v>
      </c>
      <c r="I318" s="49" t="str">
        <f t="shared" ca="1" si="316"/>
        <v>I want to change the reservation number of people</v>
      </c>
      <c r="J318" s="49" t="str">
        <f t="shared" ca="1" si="316"/>
        <v>I want to change the reservation number of people</v>
      </c>
    </row>
    <row r="319" spans="1:10" ht="51" x14ac:dyDescent="0.2">
      <c r="A319" s="41" t="s">
        <v>499</v>
      </c>
      <c r="B319" s="40"/>
      <c r="C319" s="40"/>
      <c r="D319" s="40"/>
      <c r="E319" s="40"/>
      <c r="F319" s="49" t="str">
        <f t="shared" ref="F319:J319" ca="1" si="317">IFERROR(__xludf.DUMMYFUNCTION("if (A319 &lt;&gt; """", GOOGLETRANSLATE(A319, ""auto"", ""en""), """")"),"I want to increase the number of people to stay")</f>
        <v>I want to increase the number of people to stay</v>
      </c>
      <c r="G319" s="49" t="str">
        <f t="shared" ca="1" si="317"/>
        <v>I want to increase the number of people to stay</v>
      </c>
      <c r="H319" s="49" t="str">
        <f t="shared" ca="1" si="317"/>
        <v>I want to increase the number of people to stay</v>
      </c>
      <c r="I319" s="49" t="str">
        <f t="shared" ca="1" si="317"/>
        <v>I want to increase the number of people to stay</v>
      </c>
      <c r="J319" s="49" t="str">
        <f t="shared" ca="1" si="317"/>
        <v>I want to increase the number of people to stay</v>
      </c>
    </row>
    <row r="320" spans="1:10" ht="51" x14ac:dyDescent="0.2">
      <c r="A320" s="41" t="s">
        <v>500</v>
      </c>
      <c r="B320" s="40"/>
      <c r="C320" s="40"/>
      <c r="D320" s="40"/>
      <c r="E320" s="40"/>
      <c r="F320" s="49" t="str">
        <f t="shared" ref="F320:J320" ca="1" si="318">IFERROR(__xludf.DUMMYFUNCTION("if (A320 &lt;&gt; """", GOOGLETRANSLATE(A320, ""auto"", ""en""), """")"),"I want to increase the number of people")</f>
        <v>I want to increase the number of people</v>
      </c>
      <c r="G320" s="49" t="str">
        <f t="shared" ca="1" si="318"/>
        <v>I want to increase the number of people</v>
      </c>
      <c r="H320" s="49" t="str">
        <f t="shared" ca="1" si="318"/>
        <v>I want to increase the number of people</v>
      </c>
      <c r="I320" s="49" t="str">
        <f t="shared" ca="1" si="318"/>
        <v>I want to increase the number of people</v>
      </c>
      <c r="J320" s="49" t="str">
        <f t="shared" ca="1" si="318"/>
        <v>I want to increase the number of people</v>
      </c>
    </row>
    <row r="321" spans="1:10" ht="51" x14ac:dyDescent="0.2">
      <c r="A321" s="41" t="s">
        <v>501</v>
      </c>
      <c r="B321" s="40"/>
      <c r="C321" s="40"/>
      <c r="D321" s="40"/>
      <c r="E321" s="40"/>
      <c r="F321" s="49" t="str">
        <f t="shared" ref="F321:J321" ca="1" si="319">IFERROR(__xludf.DUMMYFUNCTION("if (A321 &lt;&gt; """", GOOGLETRANSLATE(A321, ""auto"", ""en""), """")"),"I want to increase the number of people stay")</f>
        <v>I want to increase the number of people stay</v>
      </c>
      <c r="G321" s="49" t="str">
        <f t="shared" ca="1" si="319"/>
        <v>I want to increase the number of people stay</v>
      </c>
      <c r="H321" s="49" t="str">
        <f t="shared" ca="1" si="319"/>
        <v>I want to increase the number of people stay</v>
      </c>
      <c r="I321" s="49" t="str">
        <f t="shared" ca="1" si="319"/>
        <v>I want to increase the number of people stay</v>
      </c>
      <c r="J321" s="49" t="str">
        <f t="shared" ca="1" si="319"/>
        <v>I want to increase the number of people stay</v>
      </c>
    </row>
    <row r="322" spans="1:10" ht="25.5" x14ac:dyDescent="0.2">
      <c r="A322" s="41" t="s">
        <v>502</v>
      </c>
      <c r="B322" s="40"/>
      <c r="C322" s="40"/>
      <c r="D322" s="40"/>
      <c r="E322" s="40"/>
      <c r="F322" s="49" t="str">
        <f t="shared" ref="F322:J322" ca="1" si="320">IFERROR(__xludf.DUMMYFUNCTION("if (A322 &lt;&gt; """", GOOGLETRANSLATE(A322, ""auto"", ""en""), """")"),"I want to add a friend")</f>
        <v>I want to add a friend</v>
      </c>
      <c r="G322" s="49" t="str">
        <f t="shared" ca="1" si="320"/>
        <v>I want to add a friend</v>
      </c>
      <c r="H322" s="49" t="str">
        <f t="shared" ca="1" si="320"/>
        <v>I want to add a friend</v>
      </c>
      <c r="I322" s="49" t="str">
        <f t="shared" ca="1" si="320"/>
        <v>I want to add a friend</v>
      </c>
      <c r="J322" s="49" t="str">
        <f t="shared" ca="1" si="320"/>
        <v>I want to add a friend</v>
      </c>
    </row>
    <row r="323" spans="1:10" ht="51" x14ac:dyDescent="0.2">
      <c r="A323" s="41" t="s">
        <v>503</v>
      </c>
      <c r="B323" s="40"/>
      <c r="C323" s="40"/>
      <c r="D323" s="40"/>
      <c r="E323" s="40"/>
      <c r="F323" s="49" t="str">
        <f t="shared" ref="F323:J323" ca="1" si="321">IFERROR(__xludf.DUMMYFUNCTION("if (A323 &lt;&gt; """", GOOGLETRANSLATE(A323, ""auto"", ""en""), """")"),"I want to increase the travel companions")</f>
        <v>I want to increase the travel companions</v>
      </c>
      <c r="G323" s="49" t="str">
        <f t="shared" ca="1" si="321"/>
        <v>I want to increase the travel companions</v>
      </c>
      <c r="H323" s="49" t="str">
        <f t="shared" ca="1" si="321"/>
        <v>I want to increase the travel companions</v>
      </c>
      <c r="I323" s="49" t="str">
        <f t="shared" ca="1" si="321"/>
        <v>I want to increase the travel companions</v>
      </c>
      <c r="J323" s="49" t="str">
        <f t="shared" ca="1" si="321"/>
        <v>I want to increase the travel companions</v>
      </c>
    </row>
    <row r="324" spans="1:10" ht="25.5" x14ac:dyDescent="0.2">
      <c r="A324" s="41" t="s">
        <v>110</v>
      </c>
      <c r="B324" s="40"/>
      <c r="C324" s="40"/>
      <c r="D324" s="40"/>
      <c r="E324" s="40"/>
      <c r="F324" s="49" t="str">
        <f t="shared" ref="F324:J324" ca="1" si="322">IFERROR(__xludf.DUMMYFUNCTION("if (A324 &lt;&gt; """", GOOGLETRANSLATE(A324, ""auto"", ""en""), """")"),"The increase in the number")</f>
        <v>The increase in the number</v>
      </c>
      <c r="G324" s="49" t="str">
        <f t="shared" ca="1" si="322"/>
        <v>The increase in the number</v>
      </c>
      <c r="H324" s="49" t="str">
        <f t="shared" ca="1" si="322"/>
        <v>The increase in the number</v>
      </c>
      <c r="I324" s="49" t="str">
        <f t="shared" ca="1" si="322"/>
        <v>The increase in the number</v>
      </c>
      <c r="J324" s="49" t="str">
        <f t="shared" ca="1" si="322"/>
        <v>The increase in the number</v>
      </c>
    </row>
    <row r="325" spans="1:10" ht="12.75" x14ac:dyDescent="0.2">
      <c r="A325" s="40"/>
      <c r="B325" s="41" t="s">
        <v>403</v>
      </c>
      <c r="C325" s="41" t="s">
        <v>24</v>
      </c>
      <c r="D325" s="41" t="s">
        <v>26</v>
      </c>
      <c r="E325" s="40"/>
      <c r="F325" s="49" t="str">
        <f t="shared" ref="F325:J325" ca="1" si="323">IFERROR(__xludf.DUMMYFUNCTION("if (A325 &lt;&gt; """", GOOGLETRANSLATE(A325, ""auto"", ""en""), """")"),"")</f>
        <v/>
      </c>
      <c r="G325" s="49" t="str">
        <f t="shared" ca="1" si="323"/>
        <v/>
      </c>
      <c r="H325" s="49" t="str">
        <f t="shared" ca="1" si="323"/>
        <v/>
      </c>
      <c r="I325" s="49" t="str">
        <f t="shared" ca="1" si="323"/>
        <v/>
      </c>
      <c r="J325" s="49" t="str">
        <f t="shared" ca="1" si="323"/>
        <v/>
      </c>
    </row>
    <row r="326" spans="1:10" ht="12.75" x14ac:dyDescent="0.2">
      <c r="A326" s="40"/>
      <c r="B326" s="41" t="s">
        <v>403</v>
      </c>
      <c r="C326" s="41" t="s">
        <v>32</v>
      </c>
      <c r="D326" s="41" t="s">
        <v>29</v>
      </c>
      <c r="E326" s="40"/>
      <c r="F326" s="49" t="str">
        <f t="shared" ref="F326:J326" ca="1" si="324">IFERROR(__xludf.DUMMYFUNCTION("if (A326 &lt;&gt; """", GOOGLETRANSLATE(A326, ""auto"", ""en""), """")"),"")</f>
        <v/>
      </c>
      <c r="G326" s="49" t="str">
        <f t="shared" ca="1" si="324"/>
        <v/>
      </c>
      <c r="H326" s="49" t="str">
        <f t="shared" ca="1" si="324"/>
        <v/>
      </c>
      <c r="I326" s="49" t="str">
        <f t="shared" ca="1" si="324"/>
        <v/>
      </c>
      <c r="J326" s="49" t="str">
        <f t="shared" ca="1" si="324"/>
        <v/>
      </c>
    </row>
    <row r="327" spans="1:10" ht="12.75" x14ac:dyDescent="0.2">
      <c r="A327" s="40"/>
      <c r="B327" s="41" t="s">
        <v>403</v>
      </c>
      <c r="C327" s="41" t="s">
        <v>25</v>
      </c>
      <c r="D327" s="41" t="s">
        <v>27</v>
      </c>
      <c r="E327" s="40"/>
      <c r="F327" s="49" t="str">
        <f t="shared" ref="F327:J327" ca="1" si="325">IFERROR(__xludf.DUMMYFUNCTION("if (A327 &lt;&gt; """", GOOGLETRANSLATE(A327, ""auto"", ""en""), """")"),"")</f>
        <v/>
      </c>
      <c r="G327" s="49" t="str">
        <f t="shared" ca="1" si="325"/>
        <v/>
      </c>
      <c r="H327" s="49" t="str">
        <f t="shared" ca="1" si="325"/>
        <v/>
      </c>
      <c r="I327" s="49" t="str">
        <f t="shared" ca="1" si="325"/>
        <v/>
      </c>
      <c r="J327" s="49" t="str">
        <f t="shared" ca="1" si="325"/>
        <v/>
      </c>
    </row>
    <row r="328" spans="1:10" ht="12.75" x14ac:dyDescent="0.2">
      <c r="A328" s="40"/>
      <c r="B328" s="41" t="s">
        <v>403</v>
      </c>
      <c r="C328" s="41" t="s">
        <v>30</v>
      </c>
      <c r="D328" s="41" t="s">
        <v>31</v>
      </c>
      <c r="E328" s="40"/>
      <c r="F328" s="49" t="str">
        <f t="shared" ref="F328:J328" ca="1" si="326">IFERROR(__xludf.DUMMYFUNCTION("if (A328 &lt;&gt; """", GOOGLETRANSLATE(A328, ""auto"", ""en""), """")"),"")</f>
        <v/>
      </c>
      <c r="G328" s="49" t="str">
        <f t="shared" ca="1" si="326"/>
        <v/>
      </c>
      <c r="H328" s="49" t="str">
        <f t="shared" ca="1" si="326"/>
        <v/>
      </c>
      <c r="I328" s="49" t="str">
        <f t="shared" ca="1" si="326"/>
        <v/>
      </c>
      <c r="J328" s="49" t="str">
        <f t="shared" ca="1" si="326"/>
        <v/>
      </c>
    </row>
    <row r="329" spans="1:10" ht="12.75" x14ac:dyDescent="0.2">
      <c r="A329" s="40"/>
      <c r="B329" s="40"/>
      <c r="C329" s="40"/>
      <c r="D329" s="40"/>
      <c r="E329" s="40"/>
      <c r="F329" s="49" t="str">
        <f t="shared" ref="F329:J329" ca="1" si="327">IFERROR(__xludf.DUMMYFUNCTION("if (A329 &lt;&gt; """", GOOGLETRANSLATE(A329, ""auto"", ""en""), """")"),"")</f>
        <v/>
      </c>
      <c r="G329" s="49" t="str">
        <f t="shared" ca="1" si="327"/>
        <v/>
      </c>
      <c r="H329" s="49" t="str">
        <f t="shared" ca="1" si="327"/>
        <v/>
      </c>
      <c r="I329" s="49" t="str">
        <f t="shared" ca="1" si="327"/>
        <v/>
      </c>
      <c r="J329" s="49" t="str">
        <f t="shared" ca="1" si="327"/>
        <v/>
      </c>
    </row>
    <row r="330" spans="1:10" ht="25.5" x14ac:dyDescent="0.2">
      <c r="A330" s="41" t="s">
        <v>114</v>
      </c>
      <c r="B330" s="40"/>
      <c r="C330" s="40"/>
      <c r="D330" s="40"/>
      <c r="E330" s="40"/>
      <c r="F330" s="49" t="str">
        <f t="shared" ref="F330:J330" ca="1" si="328">IFERROR(__xludf.DUMMYFUNCTION("if (A330 &lt;&gt; """", GOOGLETRANSLATE(A330, ""auto"", ""en""), """")"),"FAQ-Guest3-8")</f>
        <v>FAQ-Guest3-8</v>
      </c>
      <c r="G330" s="49" t="str">
        <f t="shared" ca="1" si="328"/>
        <v>FAQ-Guest3-8</v>
      </c>
      <c r="H330" s="49" t="str">
        <f t="shared" ca="1" si="328"/>
        <v>FAQ-Guest3-8</v>
      </c>
      <c r="I330" s="49" t="str">
        <f t="shared" ca="1" si="328"/>
        <v>FAQ-Guest3-8</v>
      </c>
      <c r="J330" s="49" t="str">
        <f t="shared" ca="1" si="328"/>
        <v>FAQ-Guest3-8</v>
      </c>
    </row>
    <row r="331" spans="1:10" ht="12.75" x14ac:dyDescent="0.2">
      <c r="A331" s="40"/>
      <c r="B331" s="41" t="s">
        <v>398</v>
      </c>
      <c r="C331" s="40"/>
      <c r="D331" s="40"/>
      <c r="E331" s="40"/>
      <c r="F331" s="49" t="str">
        <f t="shared" ref="F331:J331" ca="1" si="329">IFERROR(__xludf.DUMMYFUNCTION("if (A331 &lt;&gt; """", GOOGLETRANSLATE(A331, ""auto"", ""en""), """")"),"")</f>
        <v/>
      </c>
      <c r="G331" s="49" t="str">
        <f t="shared" ca="1" si="329"/>
        <v/>
      </c>
      <c r="H331" s="49" t="str">
        <f t="shared" ca="1" si="329"/>
        <v/>
      </c>
      <c r="I331" s="49" t="str">
        <f t="shared" ca="1" si="329"/>
        <v/>
      </c>
      <c r="J331" s="49" t="str">
        <f t="shared" ca="1" si="329"/>
        <v/>
      </c>
    </row>
    <row r="332" spans="1:10" ht="12.75" x14ac:dyDescent="0.2">
      <c r="A332" s="40"/>
      <c r="B332" s="41" t="s">
        <v>399</v>
      </c>
      <c r="C332" s="40"/>
      <c r="D332" s="40"/>
      <c r="E332" s="40"/>
      <c r="F332" s="49" t="str">
        <f t="shared" ref="F332:J332" ca="1" si="330">IFERROR(__xludf.DUMMYFUNCTION("if (A332 &lt;&gt; """", GOOGLETRANSLATE(A332, ""auto"", ""en""), """")"),"")</f>
        <v/>
      </c>
      <c r="G332" s="49" t="str">
        <f t="shared" ca="1" si="330"/>
        <v/>
      </c>
      <c r="H332" s="49" t="str">
        <f t="shared" ca="1" si="330"/>
        <v/>
      </c>
      <c r="I332" s="49" t="str">
        <f t="shared" ca="1" si="330"/>
        <v/>
      </c>
      <c r="J332" s="49" t="str">
        <f t="shared" ca="1" si="330"/>
        <v/>
      </c>
    </row>
    <row r="333" spans="1:10" ht="12.75" x14ac:dyDescent="0.2">
      <c r="A333" s="40"/>
      <c r="B333" s="41" t="s">
        <v>400</v>
      </c>
      <c r="C333" s="40"/>
      <c r="D333" s="40"/>
      <c r="E333" s="40"/>
      <c r="F333" s="49" t="str">
        <f t="shared" ref="F333:J333" ca="1" si="331">IFERROR(__xludf.DUMMYFUNCTION("if (A333 &lt;&gt; """", GOOGLETRANSLATE(A333, ""auto"", ""en""), """")"),"")</f>
        <v/>
      </c>
      <c r="G333" s="49" t="str">
        <f t="shared" ca="1" si="331"/>
        <v/>
      </c>
      <c r="H333" s="49" t="str">
        <f t="shared" ca="1" si="331"/>
        <v/>
      </c>
      <c r="I333" s="49" t="str">
        <f t="shared" ca="1" si="331"/>
        <v/>
      </c>
      <c r="J333" s="49" t="str">
        <f t="shared" ca="1" si="331"/>
        <v/>
      </c>
    </row>
    <row r="334" spans="1:10" ht="12.75" x14ac:dyDescent="0.2">
      <c r="A334" s="40"/>
      <c r="B334" s="41" t="s">
        <v>401</v>
      </c>
      <c r="C334" s="41" t="s">
        <v>114</v>
      </c>
      <c r="D334" s="40"/>
      <c r="E334" s="40"/>
      <c r="F334" s="49" t="str">
        <f t="shared" ref="F334:J334" ca="1" si="332">IFERROR(__xludf.DUMMYFUNCTION("if (A334 &lt;&gt; """", GOOGLETRANSLATE(A334, ""auto"", ""en""), """")"),"")</f>
        <v/>
      </c>
      <c r="G334" s="49" t="str">
        <f t="shared" ca="1" si="332"/>
        <v/>
      </c>
      <c r="H334" s="49" t="str">
        <f t="shared" ca="1" si="332"/>
        <v/>
      </c>
      <c r="I334" s="49" t="str">
        <f t="shared" ca="1" si="332"/>
        <v/>
      </c>
      <c r="J334" s="49" t="str">
        <f t="shared" ca="1" si="332"/>
        <v/>
      </c>
    </row>
    <row r="335" spans="1:10" ht="63.75" x14ac:dyDescent="0.2">
      <c r="A335" s="41" t="s">
        <v>504</v>
      </c>
      <c r="B335" s="41" t="s">
        <v>402</v>
      </c>
      <c r="C335" s="41" t="s">
        <v>249</v>
      </c>
      <c r="D335" s="40"/>
      <c r="E335" s="40"/>
      <c r="F335" s="49" t="str">
        <f t="shared" ref="F335:J335" ca="1" si="333">IFERROR(__xludf.DUMMYFUNCTION("if (A335 &lt;&gt; """", GOOGLETRANSLATE(A335, ""auto"", ""en""), """")"),"I want to contact the host")</f>
        <v>I want to contact the host</v>
      </c>
      <c r="G335" s="49" t="str">
        <f t="shared" ca="1" si="333"/>
        <v>I want to contact the host</v>
      </c>
      <c r="H335" s="49" t="str">
        <f t="shared" ca="1" si="333"/>
        <v>I want to contact the host</v>
      </c>
      <c r="I335" s="49" t="str">
        <f t="shared" ca="1" si="333"/>
        <v>I want to contact the host</v>
      </c>
      <c r="J335" s="49" t="str">
        <f t="shared" ca="1" si="333"/>
        <v>I want to contact the host</v>
      </c>
    </row>
    <row r="336" spans="1:10" ht="38.25" x14ac:dyDescent="0.2">
      <c r="A336" s="41" t="s">
        <v>505</v>
      </c>
      <c r="B336" s="41" t="s">
        <v>402</v>
      </c>
      <c r="C336" s="41" t="s">
        <v>19</v>
      </c>
      <c r="D336" s="40"/>
      <c r="E336" s="40"/>
      <c r="F336" s="49" t="str">
        <f t="shared" ref="F336:J336" ca="1" si="334">IFERROR(__xludf.DUMMYFUNCTION("if (A336 &lt;&gt; """", GOOGLETRANSLATE(A336, ""auto"", ""en""), """")"),"I want to phone the host")</f>
        <v>I want to phone the host</v>
      </c>
      <c r="G336" s="49" t="str">
        <f t="shared" ca="1" si="334"/>
        <v>I want to phone the host</v>
      </c>
      <c r="H336" s="49" t="str">
        <f t="shared" ca="1" si="334"/>
        <v>I want to phone the host</v>
      </c>
      <c r="I336" s="49" t="str">
        <f t="shared" ca="1" si="334"/>
        <v>I want to phone the host</v>
      </c>
      <c r="J336" s="49" t="str">
        <f t="shared" ca="1" si="334"/>
        <v>I want to phone the host</v>
      </c>
    </row>
    <row r="337" spans="1:10" ht="38.25" x14ac:dyDescent="0.2">
      <c r="A337" s="41" t="s">
        <v>506</v>
      </c>
      <c r="B337" s="40"/>
      <c r="C337" s="40"/>
      <c r="D337" s="40"/>
      <c r="E337" s="40"/>
      <c r="F337" s="49" t="str">
        <f t="shared" ref="F337:J337" ca="1" si="335">IFERROR(__xludf.DUMMYFUNCTION("if (A337 &lt;&gt; """", GOOGLETRANSLATE(A337, ""auto"", ""en""), """")"),"I want to communicate with the host")</f>
        <v>I want to communicate with the host</v>
      </c>
      <c r="G337" s="49" t="str">
        <f t="shared" ca="1" si="335"/>
        <v>I want to communicate with the host</v>
      </c>
      <c r="H337" s="49" t="str">
        <f t="shared" ca="1" si="335"/>
        <v>I want to communicate with the host</v>
      </c>
      <c r="I337" s="49" t="str">
        <f t="shared" ca="1" si="335"/>
        <v>I want to communicate with the host</v>
      </c>
      <c r="J337" s="49" t="str">
        <f t="shared" ca="1" si="335"/>
        <v>I want to communicate with the host</v>
      </c>
    </row>
    <row r="338" spans="1:10" ht="38.25" x14ac:dyDescent="0.2">
      <c r="A338" s="41" t="s">
        <v>507</v>
      </c>
      <c r="B338" s="40"/>
      <c r="C338" s="40"/>
      <c r="D338" s="40"/>
      <c r="E338" s="40"/>
      <c r="F338" s="49" t="str">
        <f t="shared" ref="F338:J338" ca="1" si="336">IFERROR(__xludf.DUMMYFUNCTION("if (A338 &lt;&gt; """", GOOGLETRANSLATE(A338, ""auto"", ""en""), """")"),"Telephone number of the host")</f>
        <v>Telephone number of the host</v>
      </c>
      <c r="G338" s="49" t="str">
        <f t="shared" ca="1" si="336"/>
        <v>Telephone number of the host</v>
      </c>
      <c r="H338" s="49" t="str">
        <f t="shared" ca="1" si="336"/>
        <v>Telephone number of the host</v>
      </c>
      <c r="I338" s="49" t="str">
        <f t="shared" ca="1" si="336"/>
        <v>Telephone number of the host</v>
      </c>
      <c r="J338" s="49" t="str">
        <f t="shared" ca="1" si="336"/>
        <v>Telephone number of the host</v>
      </c>
    </row>
    <row r="339" spans="1:10" ht="38.25" x14ac:dyDescent="0.2">
      <c r="A339" s="41" t="s">
        <v>112</v>
      </c>
      <c r="B339" s="40"/>
      <c r="C339" s="40"/>
      <c r="D339" s="40"/>
      <c r="E339" s="40"/>
      <c r="F339" s="49" t="str">
        <f t="shared" ref="F339:J339" ca="1" si="337">IFERROR(__xludf.DUMMYFUNCTION("if (A339 &lt;&gt; """", GOOGLETRANSLATE(A339, ""auto"", ""en""), """")"),"For contact information of the host")</f>
        <v>For contact information of the host</v>
      </c>
      <c r="G339" s="49" t="str">
        <f t="shared" ca="1" si="337"/>
        <v>For contact information of the host</v>
      </c>
      <c r="H339" s="49" t="str">
        <f t="shared" ca="1" si="337"/>
        <v>For contact information of the host</v>
      </c>
      <c r="I339" s="49" t="str">
        <f t="shared" ca="1" si="337"/>
        <v>For contact information of the host</v>
      </c>
      <c r="J339" s="49" t="str">
        <f t="shared" ca="1" si="337"/>
        <v>For contact information of the host</v>
      </c>
    </row>
    <row r="340" spans="1:10" ht="12.75" x14ac:dyDescent="0.2">
      <c r="A340" s="40"/>
      <c r="B340" s="41" t="s">
        <v>422</v>
      </c>
      <c r="C340" s="41" t="s">
        <v>508</v>
      </c>
      <c r="D340" s="41" t="s">
        <v>509</v>
      </c>
      <c r="E340" s="40"/>
      <c r="F340" s="49" t="str">
        <f t="shared" ref="F340:J340" ca="1" si="338">IFERROR(__xludf.DUMMYFUNCTION("if (A340 &lt;&gt; """", GOOGLETRANSLATE(A340, ""auto"", ""en""), """")"),"")</f>
        <v/>
      </c>
      <c r="G340" s="49" t="str">
        <f t="shared" ca="1" si="338"/>
        <v/>
      </c>
      <c r="H340" s="49" t="str">
        <f t="shared" ca="1" si="338"/>
        <v/>
      </c>
      <c r="I340" s="49" t="str">
        <f t="shared" ca="1" si="338"/>
        <v/>
      </c>
      <c r="J340" s="49" t="str">
        <f t="shared" ca="1" si="338"/>
        <v/>
      </c>
    </row>
    <row r="341" spans="1:10" ht="12.75" x14ac:dyDescent="0.2">
      <c r="A341" s="40"/>
      <c r="B341" s="41" t="s">
        <v>403</v>
      </c>
      <c r="C341" s="41" t="s">
        <v>24</v>
      </c>
      <c r="D341" s="41" t="s">
        <v>26</v>
      </c>
      <c r="E341" s="40"/>
      <c r="F341" s="49" t="str">
        <f t="shared" ref="F341:J341" ca="1" si="339">IFERROR(__xludf.DUMMYFUNCTION("if (A341 &lt;&gt; """", GOOGLETRANSLATE(A341, ""auto"", ""en""), """")"),"")</f>
        <v/>
      </c>
      <c r="G341" s="49" t="str">
        <f t="shared" ca="1" si="339"/>
        <v/>
      </c>
      <c r="H341" s="49" t="str">
        <f t="shared" ca="1" si="339"/>
        <v/>
      </c>
      <c r="I341" s="49" t="str">
        <f t="shared" ca="1" si="339"/>
        <v/>
      </c>
      <c r="J341" s="49" t="str">
        <f t="shared" ca="1" si="339"/>
        <v/>
      </c>
    </row>
    <row r="342" spans="1:10" ht="12.75" x14ac:dyDescent="0.2">
      <c r="A342" s="40"/>
      <c r="B342" s="41" t="s">
        <v>403</v>
      </c>
      <c r="C342" s="41" t="s">
        <v>32</v>
      </c>
      <c r="D342" s="41" t="s">
        <v>29</v>
      </c>
      <c r="E342" s="40"/>
      <c r="F342" s="49" t="str">
        <f t="shared" ref="F342:J342" ca="1" si="340">IFERROR(__xludf.DUMMYFUNCTION("if (A342 &lt;&gt; """", GOOGLETRANSLATE(A342, ""auto"", ""en""), """")"),"")</f>
        <v/>
      </c>
      <c r="G342" s="49" t="str">
        <f t="shared" ca="1" si="340"/>
        <v/>
      </c>
      <c r="H342" s="49" t="str">
        <f t="shared" ca="1" si="340"/>
        <v/>
      </c>
      <c r="I342" s="49" t="str">
        <f t="shared" ca="1" si="340"/>
        <v/>
      </c>
      <c r="J342" s="49" t="str">
        <f t="shared" ca="1" si="340"/>
        <v/>
      </c>
    </row>
    <row r="343" spans="1:10" ht="12.75" x14ac:dyDescent="0.2">
      <c r="A343" s="40"/>
      <c r="B343" s="41" t="s">
        <v>403</v>
      </c>
      <c r="C343" s="41" t="s">
        <v>25</v>
      </c>
      <c r="D343" s="41" t="s">
        <v>27</v>
      </c>
      <c r="E343" s="40"/>
      <c r="F343" s="49" t="str">
        <f t="shared" ref="F343:J343" ca="1" si="341">IFERROR(__xludf.DUMMYFUNCTION("if (A343 &lt;&gt; """", GOOGLETRANSLATE(A343, ""auto"", ""en""), """")"),"")</f>
        <v/>
      </c>
      <c r="G343" s="49" t="str">
        <f t="shared" ca="1" si="341"/>
        <v/>
      </c>
      <c r="H343" s="49" t="str">
        <f t="shared" ca="1" si="341"/>
        <v/>
      </c>
      <c r="I343" s="49" t="str">
        <f t="shared" ca="1" si="341"/>
        <v/>
      </c>
      <c r="J343" s="49" t="str">
        <f t="shared" ca="1" si="341"/>
        <v/>
      </c>
    </row>
    <row r="344" spans="1:10" ht="12.75" x14ac:dyDescent="0.2">
      <c r="A344" s="40"/>
      <c r="B344" s="41" t="s">
        <v>403</v>
      </c>
      <c r="C344" s="41" t="s">
        <v>30</v>
      </c>
      <c r="D344" s="41" t="s">
        <v>31</v>
      </c>
      <c r="E344" s="40"/>
      <c r="F344" s="49" t="str">
        <f t="shared" ref="F344:J344" ca="1" si="342">IFERROR(__xludf.DUMMYFUNCTION("if (A344 &lt;&gt; """", GOOGLETRANSLATE(A344, ""auto"", ""en""), """")"),"")</f>
        <v/>
      </c>
      <c r="G344" s="49" t="str">
        <f t="shared" ca="1" si="342"/>
        <v/>
      </c>
      <c r="H344" s="49" t="str">
        <f t="shared" ca="1" si="342"/>
        <v/>
      </c>
      <c r="I344" s="49" t="str">
        <f t="shared" ca="1" si="342"/>
        <v/>
      </c>
      <c r="J344" s="49" t="str">
        <f t="shared" ca="1" si="342"/>
        <v/>
      </c>
    </row>
    <row r="345" spans="1:10" ht="12.75" x14ac:dyDescent="0.2">
      <c r="A345" s="40"/>
      <c r="B345" s="40"/>
      <c r="C345" s="40"/>
      <c r="D345" s="40"/>
      <c r="E345" s="40"/>
      <c r="F345" s="49" t="str">
        <f t="shared" ref="F345:J345" ca="1" si="343">IFERROR(__xludf.DUMMYFUNCTION("if (A345 &lt;&gt; """", GOOGLETRANSLATE(A345, ""auto"", ""en""), """")"),"")</f>
        <v/>
      </c>
      <c r="G345" s="49" t="str">
        <f t="shared" ca="1" si="343"/>
        <v/>
      </c>
      <c r="H345" s="49" t="str">
        <f t="shared" ca="1" si="343"/>
        <v/>
      </c>
      <c r="I345" s="49" t="str">
        <f t="shared" ca="1" si="343"/>
        <v/>
      </c>
      <c r="J345" s="49" t="str">
        <f t="shared" ca="1" si="343"/>
        <v/>
      </c>
    </row>
    <row r="346" spans="1:10" ht="12.75" x14ac:dyDescent="0.2">
      <c r="A346" s="41" t="s">
        <v>87</v>
      </c>
      <c r="B346" s="40"/>
      <c r="C346" s="40"/>
      <c r="D346" s="40"/>
      <c r="E346" s="40"/>
      <c r="F346" s="49" t="str">
        <f t="shared" ref="F346:J346" ca="1" si="344">IFERROR(__xludf.DUMMYFUNCTION("if (A346 &lt;&gt; """", GOOGLETRANSLATE(A346, ""auto"", ""en""), """")"),"FAQ-Guest3")</f>
        <v>FAQ-Guest3</v>
      </c>
      <c r="G346" s="49" t="str">
        <f t="shared" ca="1" si="344"/>
        <v>FAQ-Guest3</v>
      </c>
      <c r="H346" s="49" t="str">
        <f t="shared" ca="1" si="344"/>
        <v>FAQ-Guest3</v>
      </c>
      <c r="I346" s="49" t="str">
        <f t="shared" ca="1" si="344"/>
        <v>FAQ-Guest3</v>
      </c>
      <c r="J346" s="49" t="str">
        <f t="shared" ca="1" si="344"/>
        <v>FAQ-Guest3</v>
      </c>
    </row>
    <row r="347" spans="1:10" ht="12.75" x14ac:dyDescent="0.2">
      <c r="A347" s="40"/>
      <c r="B347" s="41" t="s">
        <v>398</v>
      </c>
      <c r="C347" s="40"/>
      <c r="D347" s="40"/>
      <c r="E347" s="40"/>
      <c r="F347" s="49" t="str">
        <f t="shared" ref="F347:J347" ca="1" si="345">IFERROR(__xludf.DUMMYFUNCTION("if (A347 &lt;&gt; """", GOOGLETRANSLATE(A347, ""auto"", ""en""), """")"),"")</f>
        <v/>
      </c>
      <c r="G347" s="49" t="str">
        <f t="shared" ca="1" si="345"/>
        <v/>
      </c>
      <c r="H347" s="49" t="str">
        <f t="shared" ca="1" si="345"/>
        <v/>
      </c>
      <c r="I347" s="49" t="str">
        <f t="shared" ca="1" si="345"/>
        <v/>
      </c>
      <c r="J347" s="49" t="str">
        <f t="shared" ca="1" si="345"/>
        <v/>
      </c>
    </row>
    <row r="348" spans="1:10" ht="12.75" x14ac:dyDescent="0.2">
      <c r="A348" s="40"/>
      <c r="B348" s="41" t="s">
        <v>399</v>
      </c>
      <c r="C348" s="40"/>
      <c r="D348" s="40"/>
      <c r="E348" s="40"/>
      <c r="F348" s="49" t="str">
        <f t="shared" ref="F348:J348" ca="1" si="346">IFERROR(__xludf.DUMMYFUNCTION("if (A348 &lt;&gt; """", GOOGLETRANSLATE(A348, ""auto"", ""en""), """")"),"")</f>
        <v/>
      </c>
      <c r="G348" s="49" t="str">
        <f t="shared" ca="1" si="346"/>
        <v/>
      </c>
      <c r="H348" s="49" t="str">
        <f t="shared" ca="1" si="346"/>
        <v/>
      </c>
      <c r="I348" s="49" t="str">
        <f t="shared" ca="1" si="346"/>
        <v/>
      </c>
      <c r="J348" s="49" t="str">
        <f t="shared" ca="1" si="346"/>
        <v/>
      </c>
    </row>
    <row r="349" spans="1:10" ht="12.75" x14ac:dyDescent="0.2">
      <c r="A349" s="40"/>
      <c r="B349" s="41" t="s">
        <v>400</v>
      </c>
      <c r="C349" s="40"/>
      <c r="D349" s="40"/>
      <c r="E349" s="40"/>
      <c r="F349" s="49" t="str">
        <f t="shared" ref="F349:J349" ca="1" si="347">IFERROR(__xludf.DUMMYFUNCTION("if (A349 &lt;&gt; """", GOOGLETRANSLATE(A349, ""auto"", ""en""), """")"),"")</f>
        <v/>
      </c>
      <c r="G349" s="49" t="str">
        <f t="shared" ca="1" si="347"/>
        <v/>
      </c>
      <c r="H349" s="49" t="str">
        <f t="shared" ca="1" si="347"/>
        <v/>
      </c>
      <c r="I349" s="49" t="str">
        <f t="shared" ca="1" si="347"/>
        <v/>
      </c>
      <c r="J349" s="49" t="str">
        <f t="shared" ca="1" si="347"/>
        <v/>
      </c>
    </row>
    <row r="350" spans="1:10" ht="12.75" x14ac:dyDescent="0.2">
      <c r="A350" s="40"/>
      <c r="B350" s="41" t="s">
        <v>401</v>
      </c>
      <c r="C350" s="41" t="s">
        <v>87</v>
      </c>
      <c r="D350" s="40"/>
      <c r="E350" s="40"/>
      <c r="F350" s="49" t="str">
        <f t="shared" ref="F350:J350" ca="1" si="348">IFERROR(__xludf.DUMMYFUNCTION("if (A350 &lt;&gt; """", GOOGLETRANSLATE(A350, ""auto"", ""en""), """")"),"")</f>
        <v/>
      </c>
      <c r="G350" s="49" t="str">
        <f t="shared" ca="1" si="348"/>
        <v/>
      </c>
      <c r="H350" s="49" t="str">
        <f t="shared" ca="1" si="348"/>
        <v/>
      </c>
      <c r="I350" s="49" t="str">
        <f t="shared" ca="1" si="348"/>
        <v/>
      </c>
      <c r="J350" s="49" t="str">
        <f t="shared" ca="1" si="348"/>
        <v/>
      </c>
    </row>
    <row r="351" spans="1:10" ht="25.5" x14ac:dyDescent="0.2">
      <c r="A351" s="41" t="s">
        <v>510</v>
      </c>
      <c r="B351" s="41" t="s">
        <v>402</v>
      </c>
      <c r="C351" s="41" t="s">
        <v>88</v>
      </c>
      <c r="D351" s="40"/>
      <c r="E351" s="40"/>
      <c r="F351" s="49" t="str">
        <f t="shared" ref="F351:J351" ca="1" si="349">IFERROR(__xludf.DUMMYFUNCTION("if (A351 &lt;&gt; """", GOOGLETRANSLATE(A351, ""auto"", ""en""), """")"),"Reservations home")</f>
        <v>Reservations home</v>
      </c>
      <c r="G351" s="49" t="str">
        <f t="shared" ca="1" si="349"/>
        <v>Reservations home</v>
      </c>
      <c r="H351" s="49" t="str">
        <f t="shared" ca="1" si="349"/>
        <v>Reservations home</v>
      </c>
      <c r="I351" s="49" t="str">
        <f t="shared" ca="1" si="349"/>
        <v>Reservations home</v>
      </c>
      <c r="J351" s="49" t="str">
        <f t="shared" ca="1" si="349"/>
        <v>Reservations home</v>
      </c>
    </row>
    <row r="352" spans="1:10" ht="38.25" x14ac:dyDescent="0.2">
      <c r="A352" s="41" t="s">
        <v>48</v>
      </c>
      <c r="B352" s="40"/>
      <c r="C352" s="40"/>
      <c r="D352" s="40"/>
      <c r="E352" s="40"/>
      <c r="F352" s="49" t="str">
        <f t="shared" ref="F352:J352" ca="1" si="350">IFERROR(__xludf.DUMMYFUNCTION("if (A352 &lt;&gt; """", GOOGLETRANSLATE(A352, ""auto"", ""en""), """")"),"For properties of the reservation")</f>
        <v>For properties of the reservation</v>
      </c>
      <c r="G352" s="49" t="str">
        <f t="shared" ca="1" si="350"/>
        <v>For properties of the reservation</v>
      </c>
      <c r="H352" s="49" t="str">
        <f t="shared" ca="1" si="350"/>
        <v>For properties of the reservation</v>
      </c>
      <c r="I352" s="49" t="str">
        <f t="shared" ca="1" si="350"/>
        <v>For properties of the reservation</v>
      </c>
      <c r="J352" s="49" t="str">
        <f t="shared" ca="1" si="350"/>
        <v>For properties of the reservation</v>
      </c>
    </row>
    <row r="353" spans="1:10" ht="12.75" x14ac:dyDescent="0.2">
      <c r="A353" s="40"/>
      <c r="B353" s="41" t="s">
        <v>422</v>
      </c>
      <c r="C353" s="41" t="s">
        <v>423</v>
      </c>
      <c r="D353" s="41" t="s">
        <v>424</v>
      </c>
      <c r="E353" s="40"/>
      <c r="F353" s="49" t="str">
        <f t="shared" ref="F353:J353" ca="1" si="351">IFERROR(__xludf.DUMMYFUNCTION("if (A353 &lt;&gt; """", GOOGLETRANSLATE(A353, ""auto"", ""en""), """")"),"")</f>
        <v/>
      </c>
      <c r="G353" s="49" t="str">
        <f t="shared" ca="1" si="351"/>
        <v/>
      </c>
      <c r="H353" s="49" t="str">
        <f t="shared" ca="1" si="351"/>
        <v/>
      </c>
      <c r="I353" s="49" t="str">
        <f t="shared" ca="1" si="351"/>
        <v/>
      </c>
      <c r="J353" s="49" t="str">
        <f t="shared" ca="1" si="351"/>
        <v/>
      </c>
    </row>
    <row r="354" spans="1:10" ht="12.75" x14ac:dyDescent="0.2">
      <c r="A354" s="40"/>
      <c r="B354" s="41" t="s">
        <v>403</v>
      </c>
      <c r="C354" s="41" t="s">
        <v>90</v>
      </c>
      <c r="D354" s="41" t="s">
        <v>91</v>
      </c>
      <c r="E354" s="40"/>
      <c r="F354" s="49" t="str">
        <f t="shared" ref="F354:J354" ca="1" si="352">IFERROR(__xludf.DUMMYFUNCTION("if (A354 &lt;&gt; """", GOOGLETRANSLATE(A354, ""auto"", ""en""), """")"),"")</f>
        <v/>
      </c>
      <c r="G354" s="49" t="str">
        <f t="shared" ca="1" si="352"/>
        <v/>
      </c>
      <c r="H354" s="49" t="str">
        <f t="shared" ca="1" si="352"/>
        <v/>
      </c>
      <c r="I354" s="49" t="str">
        <f t="shared" ca="1" si="352"/>
        <v/>
      </c>
      <c r="J354" s="49" t="str">
        <f t="shared" ca="1" si="352"/>
        <v/>
      </c>
    </row>
    <row r="355" spans="1:10" ht="12.75" x14ac:dyDescent="0.2">
      <c r="A355" s="40"/>
      <c r="B355" s="41" t="s">
        <v>403</v>
      </c>
      <c r="C355" s="41" t="s">
        <v>97</v>
      </c>
      <c r="D355" s="41" t="s">
        <v>98</v>
      </c>
      <c r="E355" s="40"/>
      <c r="F355" s="49" t="str">
        <f t="shared" ref="F355:J355" ca="1" si="353">IFERROR(__xludf.DUMMYFUNCTION("if (A355 &lt;&gt; """", GOOGLETRANSLATE(A355, ""auto"", ""en""), """")"),"")</f>
        <v/>
      </c>
      <c r="G355" s="49" t="str">
        <f t="shared" ca="1" si="353"/>
        <v/>
      </c>
      <c r="H355" s="49" t="str">
        <f t="shared" ca="1" si="353"/>
        <v/>
      </c>
      <c r="I355" s="49" t="str">
        <f t="shared" ca="1" si="353"/>
        <v/>
      </c>
      <c r="J355" s="49" t="str">
        <f t="shared" ca="1" si="353"/>
        <v/>
      </c>
    </row>
    <row r="356" spans="1:10" ht="12.75" x14ac:dyDescent="0.2">
      <c r="A356" s="40"/>
      <c r="B356" s="41" t="s">
        <v>403</v>
      </c>
      <c r="C356" s="41" t="s">
        <v>100</v>
      </c>
      <c r="D356" s="41" t="s">
        <v>101</v>
      </c>
      <c r="E356" s="40"/>
      <c r="F356" s="49" t="str">
        <f t="shared" ref="F356:J356" ca="1" si="354">IFERROR(__xludf.DUMMYFUNCTION("if (A356 &lt;&gt; """", GOOGLETRANSLATE(A356, ""auto"", ""en""), """")"),"")</f>
        <v/>
      </c>
      <c r="G356" s="49" t="str">
        <f t="shared" ca="1" si="354"/>
        <v/>
      </c>
      <c r="H356" s="49" t="str">
        <f t="shared" ca="1" si="354"/>
        <v/>
      </c>
      <c r="I356" s="49" t="str">
        <f t="shared" ca="1" si="354"/>
        <v/>
      </c>
      <c r="J356" s="49" t="str">
        <f t="shared" ca="1" si="354"/>
        <v/>
      </c>
    </row>
    <row r="357" spans="1:10" ht="12.75" x14ac:dyDescent="0.2">
      <c r="A357" s="40"/>
      <c r="B357" s="41" t="s">
        <v>403</v>
      </c>
      <c r="C357" s="41" t="s">
        <v>102</v>
      </c>
      <c r="D357" s="41" t="s">
        <v>103</v>
      </c>
      <c r="E357" s="40"/>
      <c r="F357" s="49" t="str">
        <f t="shared" ref="F357:J357" ca="1" si="355">IFERROR(__xludf.DUMMYFUNCTION("if (A357 &lt;&gt; """", GOOGLETRANSLATE(A357, ""auto"", ""en""), """")"),"")</f>
        <v/>
      </c>
      <c r="G357" s="49" t="str">
        <f t="shared" ca="1" si="355"/>
        <v/>
      </c>
      <c r="H357" s="49" t="str">
        <f t="shared" ca="1" si="355"/>
        <v/>
      </c>
      <c r="I357" s="49" t="str">
        <f t="shared" ca="1" si="355"/>
        <v/>
      </c>
      <c r="J357" s="49" t="str">
        <f t="shared" ca="1" si="355"/>
        <v/>
      </c>
    </row>
    <row r="358" spans="1:10" ht="12.75" x14ac:dyDescent="0.2">
      <c r="A358" s="40"/>
      <c r="B358" s="41" t="s">
        <v>403</v>
      </c>
      <c r="C358" s="41" t="s">
        <v>105</v>
      </c>
      <c r="D358" s="41" t="s">
        <v>106</v>
      </c>
      <c r="E358" s="40"/>
      <c r="F358" s="49" t="str">
        <f t="shared" ref="F358:J358" ca="1" si="356">IFERROR(__xludf.DUMMYFUNCTION("if (A358 &lt;&gt; """", GOOGLETRANSLATE(A358, ""auto"", ""en""), """")"),"")</f>
        <v/>
      </c>
      <c r="G358" s="49" t="str">
        <f t="shared" ca="1" si="356"/>
        <v/>
      </c>
      <c r="H358" s="49" t="str">
        <f t="shared" ca="1" si="356"/>
        <v/>
      </c>
      <c r="I358" s="49" t="str">
        <f t="shared" ca="1" si="356"/>
        <v/>
      </c>
      <c r="J358" s="49" t="str">
        <f t="shared" ca="1" si="356"/>
        <v/>
      </c>
    </row>
    <row r="359" spans="1:10" ht="12.75" x14ac:dyDescent="0.2">
      <c r="A359" s="40"/>
      <c r="B359" s="41" t="s">
        <v>403</v>
      </c>
      <c r="C359" s="41" t="s">
        <v>108</v>
      </c>
      <c r="D359" s="41" t="s">
        <v>109</v>
      </c>
      <c r="E359" s="40"/>
      <c r="F359" s="49" t="str">
        <f t="shared" ref="F359:J359" ca="1" si="357">IFERROR(__xludf.DUMMYFUNCTION("if (A359 &lt;&gt; """", GOOGLETRANSLATE(A359, ""auto"", ""en""), """")"),"")</f>
        <v/>
      </c>
      <c r="G359" s="49" t="str">
        <f t="shared" ca="1" si="357"/>
        <v/>
      </c>
      <c r="H359" s="49" t="str">
        <f t="shared" ca="1" si="357"/>
        <v/>
      </c>
      <c r="I359" s="49" t="str">
        <f t="shared" ca="1" si="357"/>
        <v/>
      </c>
      <c r="J359" s="49" t="str">
        <f t="shared" ca="1" si="357"/>
        <v/>
      </c>
    </row>
    <row r="360" spans="1:10" ht="12.75" x14ac:dyDescent="0.2">
      <c r="A360" s="40"/>
      <c r="B360" s="41" t="s">
        <v>403</v>
      </c>
      <c r="C360" s="41" t="s">
        <v>110</v>
      </c>
      <c r="D360" s="41" t="s">
        <v>111</v>
      </c>
      <c r="E360" s="40"/>
      <c r="F360" s="49" t="str">
        <f t="shared" ref="F360:J360" ca="1" si="358">IFERROR(__xludf.DUMMYFUNCTION("if (A360 &lt;&gt; """", GOOGLETRANSLATE(A360, ""auto"", ""en""), """")"),"")</f>
        <v/>
      </c>
      <c r="G360" s="49" t="str">
        <f t="shared" ca="1" si="358"/>
        <v/>
      </c>
      <c r="H360" s="49" t="str">
        <f t="shared" ca="1" si="358"/>
        <v/>
      </c>
      <c r="I360" s="49" t="str">
        <f t="shared" ca="1" si="358"/>
        <v/>
      </c>
      <c r="J360" s="49" t="str">
        <f t="shared" ca="1" si="358"/>
        <v/>
      </c>
    </row>
    <row r="361" spans="1:10" ht="12.75" x14ac:dyDescent="0.2">
      <c r="A361" s="40"/>
      <c r="B361" s="41" t="s">
        <v>403</v>
      </c>
      <c r="C361" s="41" t="s">
        <v>112</v>
      </c>
      <c r="D361" s="41" t="s">
        <v>114</v>
      </c>
      <c r="E361" s="40"/>
      <c r="F361" s="49" t="str">
        <f t="shared" ref="F361:J361" ca="1" si="359">IFERROR(__xludf.DUMMYFUNCTION("if (A361 &lt;&gt; """", GOOGLETRANSLATE(A361, ""auto"", ""en""), """")"),"")</f>
        <v/>
      </c>
      <c r="G361" s="49" t="str">
        <f t="shared" ca="1" si="359"/>
        <v/>
      </c>
      <c r="H361" s="49" t="str">
        <f t="shared" ca="1" si="359"/>
        <v/>
      </c>
      <c r="I361" s="49" t="str">
        <f t="shared" ca="1" si="359"/>
        <v/>
      </c>
      <c r="J361" s="49" t="str">
        <f t="shared" ca="1" si="359"/>
        <v/>
      </c>
    </row>
    <row r="362" spans="1:10" ht="12.75" x14ac:dyDescent="0.2">
      <c r="A362" s="40"/>
      <c r="B362" s="41" t="s">
        <v>403</v>
      </c>
      <c r="C362" s="41" t="s">
        <v>24</v>
      </c>
      <c r="D362" s="41" t="s">
        <v>26</v>
      </c>
      <c r="E362" s="40"/>
      <c r="F362" s="49" t="str">
        <f t="shared" ref="F362:J362" ca="1" si="360">IFERROR(__xludf.DUMMYFUNCTION("if (A362 &lt;&gt; """", GOOGLETRANSLATE(A362, ""auto"", ""en""), """")"),"")</f>
        <v/>
      </c>
      <c r="G362" s="49" t="str">
        <f t="shared" ca="1" si="360"/>
        <v/>
      </c>
      <c r="H362" s="49" t="str">
        <f t="shared" ca="1" si="360"/>
        <v/>
      </c>
      <c r="I362" s="49" t="str">
        <f t="shared" ca="1" si="360"/>
        <v/>
      </c>
      <c r="J362" s="49" t="str">
        <f t="shared" ca="1" si="360"/>
        <v/>
      </c>
    </row>
    <row r="363" spans="1:10" ht="12.75" x14ac:dyDescent="0.2">
      <c r="A363" s="40"/>
      <c r="B363" s="40"/>
      <c r="C363" s="40"/>
      <c r="D363" s="40"/>
      <c r="E363" s="40"/>
      <c r="F363" s="49" t="str">
        <f t="shared" ref="F363:J363" ca="1" si="361">IFERROR(__xludf.DUMMYFUNCTION("if (A363 &lt;&gt; """", GOOGLETRANSLATE(A363, ""auto"", ""en""), """")"),"")</f>
        <v/>
      </c>
      <c r="G363" s="49" t="str">
        <f t="shared" ca="1" si="361"/>
        <v/>
      </c>
      <c r="H363" s="49" t="str">
        <f t="shared" ca="1" si="361"/>
        <v/>
      </c>
      <c r="I363" s="49" t="str">
        <f t="shared" ca="1" si="361"/>
        <v/>
      </c>
      <c r="J363" s="49" t="str">
        <f t="shared" ca="1" si="361"/>
        <v/>
      </c>
    </row>
    <row r="364" spans="1:10" ht="25.5" x14ac:dyDescent="0.2">
      <c r="A364" s="41" t="s">
        <v>120</v>
      </c>
      <c r="B364" s="40"/>
      <c r="C364" s="40"/>
      <c r="D364" s="40"/>
      <c r="E364" s="40"/>
      <c r="F364" s="49" t="str">
        <f t="shared" ref="F364:J364" ca="1" si="362">IFERROR(__xludf.DUMMYFUNCTION("if (A364 &lt;&gt; """", GOOGLETRANSLATE(A364, ""auto"", ""en""), """")"),"FAQ-Guest4-1")</f>
        <v>FAQ-Guest4-1</v>
      </c>
      <c r="G364" s="49" t="str">
        <f t="shared" ca="1" si="362"/>
        <v>FAQ-Guest4-1</v>
      </c>
      <c r="H364" s="49" t="str">
        <f t="shared" ca="1" si="362"/>
        <v>FAQ-Guest4-1</v>
      </c>
      <c r="I364" s="49" t="str">
        <f t="shared" ca="1" si="362"/>
        <v>FAQ-Guest4-1</v>
      </c>
      <c r="J364" s="49" t="str">
        <f t="shared" ca="1" si="362"/>
        <v>FAQ-Guest4-1</v>
      </c>
    </row>
    <row r="365" spans="1:10" ht="12.75" x14ac:dyDescent="0.2">
      <c r="A365" s="40"/>
      <c r="B365" s="41" t="s">
        <v>398</v>
      </c>
      <c r="C365" s="40"/>
      <c r="D365" s="40"/>
      <c r="E365" s="40"/>
      <c r="F365" s="49" t="str">
        <f t="shared" ref="F365:J365" ca="1" si="363">IFERROR(__xludf.DUMMYFUNCTION("if (A365 &lt;&gt; """", GOOGLETRANSLATE(A365, ""auto"", ""en""), """")"),"")</f>
        <v/>
      </c>
      <c r="G365" s="49" t="str">
        <f t="shared" ca="1" si="363"/>
        <v/>
      </c>
      <c r="H365" s="49" t="str">
        <f t="shared" ca="1" si="363"/>
        <v/>
      </c>
      <c r="I365" s="49" t="str">
        <f t="shared" ca="1" si="363"/>
        <v/>
      </c>
      <c r="J365" s="49" t="str">
        <f t="shared" ca="1" si="363"/>
        <v/>
      </c>
    </row>
    <row r="366" spans="1:10" ht="12.75" x14ac:dyDescent="0.2">
      <c r="A366" s="40"/>
      <c r="B366" s="41" t="s">
        <v>399</v>
      </c>
      <c r="C366" s="40"/>
      <c r="D366" s="40"/>
      <c r="E366" s="40"/>
      <c r="F366" s="49" t="str">
        <f t="shared" ref="F366:J366" ca="1" si="364">IFERROR(__xludf.DUMMYFUNCTION("if (A366 &lt;&gt; """", GOOGLETRANSLATE(A366, ""auto"", ""en""), """")"),"")</f>
        <v/>
      </c>
      <c r="G366" s="49" t="str">
        <f t="shared" ca="1" si="364"/>
        <v/>
      </c>
      <c r="H366" s="49" t="str">
        <f t="shared" ca="1" si="364"/>
        <v/>
      </c>
      <c r="I366" s="49" t="str">
        <f t="shared" ca="1" si="364"/>
        <v/>
      </c>
      <c r="J366" s="49" t="str">
        <f t="shared" ca="1" si="364"/>
        <v/>
      </c>
    </row>
    <row r="367" spans="1:10" ht="12.75" x14ac:dyDescent="0.2">
      <c r="A367" s="40"/>
      <c r="B367" s="41" t="s">
        <v>400</v>
      </c>
      <c r="C367" s="40"/>
      <c r="D367" s="40"/>
      <c r="E367" s="40"/>
      <c r="F367" s="49" t="str">
        <f t="shared" ref="F367:J367" ca="1" si="365">IFERROR(__xludf.DUMMYFUNCTION("if (A367 &lt;&gt; """", GOOGLETRANSLATE(A367, ""auto"", ""en""), """")"),"")</f>
        <v/>
      </c>
      <c r="G367" s="49" t="str">
        <f t="shared" ca="1" si="365"/>
        <v/>
      </c>
      <c r="H367" s="49" t="str">
        <f t="shared" ca="1" si="365"/>
        <v/>
      </c>
      <c r="I367" s="49" t="str">
        <f t="shared" ca="1" si="365"/>
        <v/>
      </c>
      <c r="J367" s="49" t="str">
        <f t="shared" ca="1" si="365"/>
        <v/>
      </c>
    </row>
    <row r="368" spans="1:10" ht="12.75" x14ac:dyDescent="0.2">
      <c r="A368" s="40"/>
      <c r="B368" s="41" t="s">
        <v>401</v>
      </c>
      <c r="C368" s="41" t="s">
        <v>120</v>
      </c>
      <c r="D368" s="40"/>
      <c r="E368" s="40"/>
      <c r="F368" s="49" t="str">
        <f t="shared" ref="F368:J368" ca="1" si="366">IFERROR(__xludf.DUMMYFUNCTION("if (A368 &lt;&gt; """", GOOGLETRANSLATE(A368, ""auto"", ""en""), """")"),"")</f>
        <v/>
      </c>
      <c r="G368" s="49" t="str">
        <f t="shared" ca="1" si="366"/>
        <v/>
      </c>
      <c r="H368" s="49" t="str">
        <f t="shared" ca="1" si="366"/>
        <v/>
      </c>
      <c r="I368" s="49" t="str">
        <f t="shared" ca="1" si="366"/>
        <v/>
      </c>
      <c r="J368" s="49" t="str">
        <f t="shared" ca="1" si="366"/>
        <v/>
      </c>
    </row>
    <row r="369" spans="1:10" ht="38.25" x14ac:dyDescent="0.2">
      <c r="A369" s="41" t="s">
        <v>511</v>
      </c>
      <c r="B369" s="41" t="s">
        <v>402</v>
      </c>
      <c r="C369" s="41" t="s">
        <v>266</v>
      </c>
      <c r="D369" s="40"/>
      <c r="E369" s="40"/>
      <c r="F369" s="49" t="str">
        <f t="shared" ref="F369:J369" ca="1" si="367">IFERROR(__xludf.DUMMYFUNCTION("if (A369 &lt;&gt; """", GOOGLETRANSLATE(A369, ""auto"", ""en""), """")"),"Where can I get the key")</f>
        <v>Where can I get the key</v>
      </c>
      <c r="G369" s="49" t="str">
        <f t="shared" ca="1" si="367"/>
        <v>Where can I get the key</v>
      </c>
      <c r="H369" s="49" t="str">
        <f t="shared" ca="1" si="367"/>
        <v>Where can I get the key</v>
      </c>
      <c r="I369" s="49" t="str">
        <f t="shared" ca="1" si="367"/>
        <v>Where can I get the key</v>
      </c>
      <c r="J369" s="49" t="str">
        <f t="shared" ca="1" si="367"/>
        <v>Where can I get the key</v>
      </c>
    </row>
    <row r="370" spans="1:10" ht="25.5" x14ac:dyDescent="0.2">
      <c r="A370" s="41" t="s">
        <v>512</v>
      </c>
      <c r="B370" s="41" t="s">
        <v>402</v>
      </c>
      <c r="C370" s="41" t="s">
        <v>19</v>
      </c>
      <c r="D370" s="40"/>
      <c r="E370" s="40"/>
      <c r="F370" s="49" t="str">
        <f t="shared" ref="F370:J370" ca="1" si="368">IFERROR(__xludf.DUMMYFUNCTION("if (A370 &lt;&gt; """", GOOGLETRANSLATE(A370, ""auto"", ""en""), """")"),"What about the key")</f>
        <v>What about the key</v>
      </c>
      <c r="G370" s="49" t="str">
        <f t="shared" ca="1" si="368"/>
        <v>What about the key</v>
      </c>
      <c r="H370" s="49" t="str">
        <f t="shared" ca="1" si="368"/>
        <v>What about the key</v>
      </c>
      <c r="I370" s="49" t="str">
        <f t="shared" ca="1" si="368"/>
        <v>What about the key</v>
      </c>
      <c r="J370" s="49" t="str">
        <f t="shared" ca="1" si="368"/>
        <v>What about the key</v>
      </c>
    </row>
    <row r="371" spans="1:10" ht="38.25" x14ac:dyDescent="0.2">
      <c r="A371" s="41" t="s">
        <v>513</v>
      </c>
      <c r="B371" s="40"/>
      <c r="C371" s="40"/>
      <c r="D371" s="40"/>
      <c r="E371" s="40"/>
      <c r="F371" s="49" t="str">
        <f t="shared" ref="F371:J371" ca="1" si="369">IFERROR(__xludf.DUMMYFUNCTION("if (A371 &lt;&gt; """", GOOGLETRANSLATE(A371, ""auto"", ""en""), """")"),"How you get to do house key")</f>
        <v>How you get to do house key</v>
      </c>
      <c r="G371" s="49" t="str">
        <f t="shared" ca="1" si="369"/>
        <v>How you get to do house key</v>
      </c>
      <c r="H371" s="49" t="str">
        <f t="shared" ca="1" si="369"/>
        <v>How you get to do house key</v>
      </c>
      <c r="I371" s="49" t="str">
        <f t="shared" ca="1" si="369"/>
        <v>How you get to do house key</v>
      </c>
      <c r="J371" s="49" t="str">
        <f t="shared" ca="1" si="369"/>
        <v>How you get to do house key</v>
      </c>
    </row>
    <row r="372" spans="1:10" ht="38.25" x14ac:dyDescent="0.2">
      <c r="A372" s="41" t="s">
        <v>514</v>
      </c>
      <c r="B372" s="40"/>
      <c r="C372" s="40"/>
      <c r="D372" s="40"/>
      <c r="E372" s="40"/>
      <c r="F372" s="49" t="str">
        <f t="shared" ref="F372:J372" ca="1" si="370">IFERROR(__xludf.DUMMYFUNCTION("if (A372 &lt;&gt; """", GOOGLETRANSLATE(A372, ""auto"", ""en""), """")"),"When I get home is the key")</f>
        <v>When I get home is the key</v>
      </c>
      <c r="G372" s="49" t="str">
        <f t="shared" ca="1" si="370"/>
        <v>When I get home is the key</v>
      </c>
      <c r="H372" s="49" t="str">
        <f t="shared" ca="1" si="370"/>
        <v>When I get home is the key</v>
      </c>
      <c r="I372" s="49" t="str">
        <f t="shared" ca="1" si="370"/>
        <v>When I get home is the key</v>
      </c>
      <c r="J372" s="49" t="str">
        <f t="shared" ca="1" si="370"/>
        <v>When I get home is the key</v>
      </c>
    </row>
    <row r="373" spans="1:10" ht="25.5" x14ac:dyDescent="0.2">
      <c r="A373" s="41" t="s">
        <v>515</v>
      </c>
      <c r="B373" s="40"/>
      <c r="C373" s="40"/>
      <c r="D373" s="40"/>
      <c r="E373" s="40"/>
      <c r="F373" s="49" t="str">
        <f t="shared" ref="F373:J373" ca="1" si="371">IFERROR(__xludf.DUMMYFUNCTION("if (A373 &lt;&gt; """", GOOGLETRANSLATE(A373, ""auto"", ""en""), """")"),"The key of the house")</f>
        <v>The key of the house</v>
      </c>
      <c r="G373" s="49" t="str">
        <f t="shared" ca="1" si="371"/>
        <v>The key of the house</v>
      </c>
      <c r="H373" s="49" t="str">
        <f t="shared" ca="1" si="371"/>
        <v>The key of the house</v>
      </c>
      <c r="I373" s="49" t="str">
        <f t="shared" ca="1" si="371"/>
        <v>The key of the house</v>
      </c>
      <c r="J373" s="49" t="str">
        <f t="shared" ca="1" si="371"/>
        <v>The key of the house</v>
      </c>
    </row>
    <row r="374" spans="1:10" ht="12.75" x14ac:dyDescent="0.2">
      <c r="A374" s="41" t="s">
        <v>516</v>
      </c>
      <c r="B374" s="40"/>
      <c r="C374" s="40"/>
      <c r="D374" s="40"/>
      <c r="E374" s="40"/>
      <c r="F374" s="49" t="str">
        <f t="shared" ref="F374:J374" ca="1" si="372">IFERROR(__xludf.DUMMYFUNCTION("if (A374 &lt;&gt; """", GOOGLETRANSLATE(A374, ""auto"", ""en""), """")"),"House key")</f>
        <v>House key</v>
      </c>
      <c r="G374" s="49" t="str">
        <f t="shared" ca="1" si="372"/>
        <v>House key</v>
      </c>
      <c r="H374" s="49" t="str">
        <f t="shared" ca="1" si="372"/>
        <v>House key</v>
      </c>
      <c r="I374" s="49" t="str">
        <f t="shared" ca="1" si="372"/>
        <v>House key</v>
      </c>
      <c r="J374" s="49" t="str">
        <f t="shared" ca="1" si="372"/>
        <v>House key</v>
      </c>
    </row>
    <row r="375" spans="1:10" ht="25.5" x14ac:dyDescent="0.2">
      <c r="A375" s="41" t="s">
        <v>119</v>
      </c>
      <c r="B375" s="40"/>
      <c r="C375" s="40"/>
      <c r="D375" s="40"/>
      <c r="E375" s="40"/>
      <c r="F375" s="49" t="str">
        <f t="shared" ref="F375:J375" ca="1" si="373">IFERROR(__xludf.DUMMYFUNCTION("if (A375 &lt;&gt; """", GOOGLETRANSLATE(A375, ""auto"", ""en""), """")"),"For delivery of key")</f>
        <v>For delivery of key</v>
      </c>
      <c r="G375" s="49" t="str">
        <f t="shared" ca="1" si="373"/>
        <v>For delivery of key</v>
      </c>
      <c r="H375" s="49" t="str">
        <f t="shared" ca="1" si="373"/>
        <v>For delivery of key</v>
      </c>
      <c r="I375" s="49" t="str">
        <f t="shared" ca="1" si="373"/>
        <v>For delivery of key</v>
      </c>
      <c r="J375" s="49" t="str">
        <f t="shared" ca="1" si="373"/>
        <v>For delivery of key</v>
      </c>
    </row>
    <row r="376" spans="1:10" ht="12.75" x14ac:dyDescent="0.2">
      <c r="A376" s="40"/>
      <c r="B376" s="41" t="s">
        <v>422</v>
      </c>
      <c r="C376" s="41" t="s">
        <v>423</v>
      </c>
      <c r="D376" s="41" t="s">
        <v>424</v>
      </c>
      <c r="E376" s="40"/>
      <c r="F376" s="49" t="str">
        <f t="shared" ref="F376:J376" ca="1" si="374">IFERROR(__xludf.DUMMYFUNCTION("if (A376 &lt;&gt; """", GOOGLETRANSLATE(A376, ""auto"", ""en""), """")"),"")</f>
        <v/>
      </c>
      <c r="G376" s="49" t="str">
        <f t="shared" ca="1" si="374"/>
        <v/>
      </c>
      <c r="H376" s="49" t="str">
        <f t="shared" ca="1" si="374"/>
        <v/>
      </c>
      <c r="I376" s="49" t="str">
        <f t="shared" ca="1" si="374"/>
        <v/>
      </c>
      <c r="J376" s="49" t="str">
        <f t="shared" ca="1" si="374"/>
        <v/>
      </c>
    </row>
    <row r="377" spans="1:10" ht="12.75" x14ac:dyDescent="0.2">
      <c r="A377" s="40"/>
      <c r="B377" s="41" t="s">
        <v>403</v>
      </c>
      <c r="C377" s="41" t="s">
        <v>24</v>
      </c>
      <c r="D377" s="41" t="s">
        <v>26</v>
      </c>
      <c r="E377" s="40"/>
      <c r="F377" s="49" t="str">
        <f t="shared" ref="F377:J377" ca="1" si="375">IFERROR(__xludf.DUMMYFUNCTION("if (A377 &lt;&gt; """", GOOGLETRANSLATE(A377, ""auto"", ""en""), """")"),"")</f>
        <v/>
      </c>
      <c r="G377" s="49" t="str">
        <f t="shared" ca="1" si="375"/>
        <v/>
      </c>
      <c r="H377" s="49" t="str">
        <f t="shared" ca="1" si="375"/>
        <v/>
      </c>
      <c r="I377" s="49" t="str">
        <f t="shared" ca="1" si="375"/>
        <v/>
      </c>
      <c r="J377" s="49" t="str">
        <f t="shared" ca="1" si="375"/>
        <v/>
      </c>
    </row>
    <row r="378" spans="1:10" ht="12.75" x14ac:dyDescent="0.2">
      <c r="A378" s="40"/>
      <c r="B378" s="41" t="s">
        <v>403</v>
      </c>
      <c r="C378" s="41" t="s">
        <v>32</v>
      </c>
      <c r="D378" s="41" t="s">
        <v>29</v>
      </c>
      <c r="E378" s="40"/>
      <c r="F378" s="49" t="str">
        <f t="shared" ref="F378:J378" ca="1" si="376">IFERROR(__xludf.DUMMYFUNCTION("if (A378 &lt;&gt; """", GOOGLETRANSLATE(A378, ""auto"", ""en""), """")"),"")</f>
        <v/>
      </c>
      <c r="G378" s="49" t="str">
        <f t="shared" ca="1" si="376"/>
        <v/>
      </c>
      <c r="H378" s="49" t="str">
        <f t="shared" ca="1" si="376"/>
        <v/>
      </c>
      <c r="I378" s="49" t="str">
        <f t="shared" ca="1" si="376"/>
        <v/>
      </c>
      <c r="J378" s="49" t="str">
        <f t="shared" ca="1" si="376"/>
        <v/>
      </c>
    </row>
    <row r="379" spans="1:10" ht="12.75" x14ac:dyDescent="0.2">
      <c r="A379" s="40"/>
      <c r="B379" s="41" t="s">
        <v>403</v>
      </c>
      <c r="C379" s="41" t="s">
        <v>25</v>
      </c>
      <c r="D379" s="41" t="s">
        <v>27</v>
      </c>
      <c r="E379" s="40"/>
      <c r="F379" s="49" t="str">
        <f t="shared" ref="F379:J379" ca="1" si="377">IFERROR(__xludf.DUMMYFUNCTION("if (A379 &lt;&gt; """", GOOGLETRANSLATE(A379, ""auto"", ""en""), """")"),"")</f>
        <v/>
      </c>
      <c r="G379" s="49" t="str">
        <f t="shared" ca="1" si="377"/>
        <v/>
      </c>
      <c r="H379" s="49" t="str">
        <f t="shared" ca="1" si="377"/>
        <v/>
      </c>
      <c r="I379" s="49" t="str">
        <f t="shared" ca="1" si="377"/>
        <v/>
      </c>
      <c r="J379" s="49" t="str">
        <f t="shared" ca="1" si="377"/>
        <v/>
      </c>
    </row>
    <row r="380" spans="1:10" ht="12.75" x14ac:dyDescent="0.2">
      <c r="A380" s="40"/>
      <c r="B380" s="41" t="s">
        <v>403</v>
      </c>
      <c r="C380" s="41" t="s">
        <v>30</v>
      </c>
      <c r="D380" s="41" t="s">
        <v>31</v>
      </c>
      <c r="E380" s="40"/>
      <c r="F380" s="49" t="str">
        <f t="shared" ref="F380:J380" ca="1" si="378">IFERROR(__xludf.DUMMYFUNCTION("if (A380 &lt;&gt; """", GOOGLETRANSLATE(A380, ""auto"", ""en""), """")"),"")</f>
        <v/>
      </c>
      <c r="G380" s="49" t="str">
        <f t="shared" ca="1" si="378"/>
        <v/>
      </c>
      <c r="H380" s="49" t="str">
        <f t="shared" ca="1" si="378"/>
        <v/>
      </c>
      <c r="I380" s="49" t="str">
        <f t="shared" ca="1" si="378"/>
        <v/>
      </c>
      <c r="J380" s="49" t="str">
        <f t="shared" ca="1" si="378"/>
        <v/>
      </c>
    </row>
    <row r="381" spans="1:10" ht="12.75" x14ac:dyDescent="0.2">
      <c r="A381" s="40"/>
      <c r="B381" s="40"/>
      <c r="C381" s="40"/>
      <c r="D381" s="40"/>
      <c r="E381" s="40"/>
      <c r="F381" s="49" t="str">
        <f t="shared" ref="F381:J381" ca="1" si="379">IFERROR(__xludf.DUMMYFUNCTION("if (A381 &lt;&gt; """", GOOGLETRANSLATE(A381, ""auto"", ""en""), """")"),"")</f>
        <v/>
      </c>
      <c r="G381" s="49" t="str">
        <f t="shared" ca="1" si="379"/>
        <v/>
      </c>
      <c r="H381" s="49" t="str">
        <f t="shared" ca="1" si="379"/>
        <v/>
      </c>
      <c r="I381" s="49" t="str">
        <f t="shared" ca="1" si="379"/>
        <v/>
      </c>
      <c r="J381" s="49" t="str">
        <f t="shared" ca="1" si="379"/>
        <v/>
      </c>
    </row>
    <row r="382" spans="1:10" ht="25.5" x14ac:dyDescent="0.2">
      <c r="A382" s="41" t="s">
        <v>127</v>
      </c>
      <c r="B382" s="40"/>
      <c r="C382" s="40"/>
      <c r="D382" s="40"/>
      <c r="E382" s="40"/>
      <c r="F382" s="49" t="str">
        <f t="shared" ref="F382:J382" ca="1" si="380">IFERROR(__xludf.DUMMYFUNCTION("if (A382 &lt;&gt; """", GOOGLETRANSLATE(A382, ""auto"", ""en""), """")"),"FAQ-Guest4-2")</f>
        <v>FAQ-Guest4-2</v>
      </c>
      <c r="G382" s="49" t="str">
        <f t="shared" ca="1" si="380"/>
        <v>FAQ-Guest4-2</v>
      </c>
      <c r="H382" s="49" t="str">
        <f t="shared" ca="1" si="380"/>
        <v>FAQ-Guest4-2</v>
      </c>
      <c r="I382" s="49" t="str">
        <f t="shared" ca="1" si="380"/>
        <v>FAQ-Guest4-2</v>
      </c>
      <c r="J382" s="49" t="str">
        <f t="shared" ca="1" si="380"/>
        <v>FAQ-Guest4-2</v>
      </c>
    </row>
    <row r="383" spans="1:10" ht="12.75" x14ac:dyDescent="0.2">
      <c r="A383" s="40"/>
      <c r="B383" s="41" t="s">
        <v>398</v>
      </c>
      <c r="C383" s="40"/>
      <c r="D383" s="40"/>
      <c r="E383" s="40"/>
      <c r="F383" s="49" t="str">
        <f t="shared" ref="F383:J383" ca="1" si="381">IFERROR(__xludf.DUMMYFUNCTION("if (A383 &lt;&gt; """", GOOGLETRANSLATE(A383, ""auto"", ""en""), """")"),"")</f>
        <v/>
      </c>
      <c r="G383" s="49" t="str">
        <f t="shared" ca="1" si="381"/>
        <v/>
      </c>
      <c r="H383" s="49" t="str">
        <f t="shared" ca="1" si="381"/>
        <v/>
      </c>
      <c r="I383" s="49" t="str">
        <f t="shared" ca="1" si="381"/>
        <v/>
      </c>
      <c r="J383" s="49" t="str">
        <f t="shared" ca="1" si="381"/>
        <v/>
      </c>
    </row>
    <row r="384" spans="1:10" ht="12.75" x14ac:dyDescent="0.2">
      <c r="A384" s="40"/>
      <c r="B384" s="41" t="s">
        <v>399</v>
      </c>
      <c r="C384" s="40"/>
      <c r="D384" s="40"/>
      <c r="E384" s="40"/>
      <c r="F384" s="49" t="str">
        <f t="shared" ref="F384:J384" ca="1" si="382">IFERROR(__xludf.DUMMYFUNCTION("if (A384 &lt;&gt; """", GOOGLETRANSLATE(A384, ""auto"", ""en""), """")"),"")</f>
        <v/>
      </c>
      <c r="G384" s="49" t="str">
        <f t="shared" ca="1" si="382"/>
        <v/>
      </c>
      <c r="H384" s="49" t="str">
        <f t="shared" ca="1" si="382"/>
        <v/>
      </c>
      <c r="I384" s="49" t="str">
        <f t="shared" ca="1" si="382"/>
        <v/>
      </c>
      <c r="J384" s="49" t="str">
        <f t="shared" ca="1" si="382"/>
        <v/>
      </c>
    </row>
    <row r="385" spans="1:10" ht="12.75" x14ac:dyDescent="0.2">
      <c r="A385" s="40"/>
      <c r="B385" s="41" t="s">
        <v>400</v>
      </c>
      <c r="C385" s="40"/>
      <c r="D385" s="40"/>
      <c r="E385" s="40"/>
      <c r="F385" s="49" t="str">
        <f t="shared" ref="F385:J385" ca="1" si="383">IFERROR(__xludf.DUMMYFUNCTION("if (A385 &lt;&gt; """", GOOGLETRANSLATE(A385, ""auto"", ""en""), """")"),"")</f>
        <v/>
      </c>
      <c r="G385" s="49" t="str">
        <f t="shared" ca="1" si="383"/>
        <v/>
      </c>
      <c r="H385" s="49" t="str">
        <f t="shared" ca="1" si="383"/>
        <v/>
      </c>
      <c r="I385" s="49" t="str">
        <f t="shared" ca="1" si="383"/>
        <v/>
      </c>
      <c r="J385" s="49" t="str">
        <f t="shared" ca="1" si="383"/>
        <v/>
      </c>
    </row>
    <row r="386" spans="1:10" ht="12.75" x14ac:dyDescent="0.2">
      <c r="A386" s="40"/>
      <c r="B386" s="41" t="s">
        <v>401</v>
      </c>
      <c r="C386" s="41" t="s">
        <v>127</v>
      </c>
      <c r="D386" s="40"/>
      <c r="E386" s="40"/>
      <c r="F386" s="49" t="str">
        <f t="shared" ref="F386:J386" ca="1" si="384">IFERROR(__xludf.DUMMYFUNCTION("if (A386 &lt;&gt; """", GOOGLETRANSLATE(A386, ""auto"", ""en""), """")"),"")</f>
        <v/>
      </c>
      <c r="G386" s="49" t="str">
        <f t="shared" ca="1" si="384"/>
        <v/>
      </c>
      <c r="H386" s="49" t="str">
        <f t="shared" ca="1" si="384"/>
        <v/>
      </c>
      <c r="I386" s="49" t="str">
        <f t="shared" ca="1" si="384"/>
        <v/>
      </c>
      <c r="J386" s="49" t="str">
        <f t="shared" ca="1" si="384"/>
        <v/>
      </c>
    </row>
    <row r="387" spans="1:10" ht="76.5" x14ac:dyDescent="0.2">
      <c r="A387" s="41" t="s">
        <v>517</v>
      </c>
      <c r="B387" s="41" t="s">
        <v>402</v>
      </c>
      <c r="C387" s="41" t="s">
        <v>292</v>
      </c>
      <c r="D387" s="40"/>
      <c r="E387" s="40"/>
      <c r="F387" s="49" t="str">
        <f t="shared" ref="F387:J387" ca="1" si="385">IFERROR(__xludf.DUMMYFUNCTION("if (A387 &lt;&gt; """", GOOGLETRANSLATE(A387, ""auto"", ""en""), """")"),"Time to check out")</f>
        <v>Time to check out</v>
      </c>
      <c r="G387" s="49" t="str">
        <f t="shared" ca="1" si="385"/>
        <v>Time to check out</v>
      </c>
      <c r="H387" s="49" t="str">
        <f t="shared" ca="1" si="385"/>
        <v>Time to check out</v>
      </c>
      <c r="I387" s="49" t="str">
        <f t="shared" ca="1" si="385"/>
        <v>Time to check out</v>
      </c>
      <c r="J387" s="49" t="str">
        <f t="shared" ca="1" si="385"/>
        <v>Time to check out</v>
      </c>
    </row>
    <row r="388" spans="1:10" ht="25.5" x14ac:dyDescent="0.2">
      <c r="A388" s="41" t="s">
        <v>518</v>
      </c>
      <c r="B388" s="41" t="s">
        <v>402</v>
      </c>
      <c r="C388" s="41" t="s">
        <v>19</v>
      </c>
      <c r="D388" s="40"/>
      <c r="E388" s="40"/>
      <c r="F388" s="49" t="str">
        <f t="shared" ref="F388:J388" ca="1" si="386">IFERROR(__xludf.DUMMYFUNCTION("if (A388 &lt;&gt; """", GOOGLETRANSLATE(A388, ""auto"", ""en""), """")"),"When do you check out")</f>
        <v>When do you check out</v>
      </c>
      <c r="G388" s="49" t="str">
        <f t="shared" ca="1" si="386"/>
        <v>When do you check out</v>
      </c>
      <c r="H388" s="49" t="str">
        <f t="shared" ca="1" si="386"/>
        <v>When do you check out</v>
      </c>
      <c r="I388" s="49" t="str">
        <f t="shared" ca="1" si="386"/>
        <v>When do you check out</v>
      </c>
      <c r="J388" s="49" t="str">
        <f t="shared" ca="1" si="386"/>
        <v>When do you check out</v>
      </c>
    </row>
    <row r="389" spans="1:10" ht="25.5" x14ac:dyDescent="0.2">
      <c r="A389" s="41" t="s">
        <v>519</v>
      </c>
      <c r="B389" s="40"/>
      <c r="C389" s="40"/>
      <c r="D389" s="40"/>
      <c r="E389" s="40"/>
      <c r="F389" s="49" t="str">
        <f t="shared" ref="F389:J389" ca="1" si="387">IFERROR(__xludf.DUMMYFUNCTION("if (A389 &lt;&gt; """", GOOGLETRANSLATE(A389, ""auto"", ""en""), """")"),"When you check out")</f>
        <v>When you check out</v>
      </c>
      <c r="G389" s="49" t="str">
        <f t="shared" ca="1" si="387"/>
        <v>When you check out</v>
      </c>
      <c r="H389" s="49" t="str">
        <f t="shared" ca="1" si="387"/>
        <v>When you check out</v>
      </c>
      <c r="I389" s="49" t="str">
        <f t="shared" ca="1" si="387"/>
        <v>When you check out</v>
      </c>
      <c r="J389" s="49" t="str">
        <f t="shared" ca="1" si="387"/>
        <v>When you check out</v>
      </c>
    </row>
    <row r="390" spans="1:10" ht="25.5" x14ac:dyDescent="0.2">
      <c r="A390" s="41" t="s">
        <v>520</v>
      </c>
      <c r="B390" s="40"/>
      <c r="C390" s="40"/>
      <c r="D390" s="40"/>
      <c r="E390" s="40"/>
      <c r="F390" s="49" t="str">
        <f t="shared" ref="F390:J390" ca="1" si="388">IFERROR(__xludf.DUMMYFUNCTION("if (A390 &lt;&gt; """", GOOGLETRANSLATE(A390, ""auto"", ""en""), """")"),"When check-in")</f>
        <v>When check-in</v>
      </c>
      <c r="G390" s="49" t="str">
        <f t="shared" ca="1" si="388"/>
        <v>When check-in</v>
      </c>
      <c r="H390" s="49" t="str">
        <f t="shared" ca="1" si="388"/>
        <v>When check-in</v>
      </c>
      <c r="I390" s="49" t="str">
        <f t="shared" ca="1" si="388"/>
        <v>When check-in</v>
      </c>
      <c r="J390" s="49" t="str">
        <f t="shared" ca="1" si="388"/>
        <v>When check-in</v>
      </c>
    </row>
    <row r="391" spans="1:10" ht="38.25" x14ac:dyDescent="0.2">
      <c r="A391" s="41" t="s">
        <v>521</v>
      </c>
      <c r="B391" s="40"/>
      <c r="C391" s="40"/>
      <c r="D391" s="40"/>
      <c r="E391" s="40"/>
      <c r="F391" s="49" t="str">
        <f t="shared" ref="F391:J391" ca="1" si="389">IFERROR(__xludf.DUMMYFUNCTION("if (A391 &lt;&gt; """", GOOGLETRANSLATE(A391, ""auto"", ""en""), """")"),"Do you check-in to indefinitely")</f>
        <v>Do you check-in to indefinitely</v>
      </c>
      <c r="G391" s="49" t="str">
        <f t="shared" ca="1" si="389"/>
        <v>Do you check-in to indefinitely</v>
      </c>
      <c r="H391" s="49" t="str">
        <f t="shared" ca="1" si="389"/>
        <v>Do you check-in to indefinitely</v>
      </c>
      <c r="I391" s="49" t="str">
        <f t="shared" ca="1" si="389"/>
        <v>Do you check-in to indefinitely</v>
      </c>
      <c r="J391" s="49" t="str">
        <f t="shared" ca="1" si="389"/>
        <v>Do you check-in to indefinitely</v>
      </c>
    </row>
    <row r="392" spans="1:10" ht="25.5" x14ac:dyDescent="0.2">
      <c r="A392" s="41" t="s">
        <v>522</v>
      </c>
      <c r="B392" s="40"/>
      <c r="C392" s="40"/>
      <c r="D392" s="40"/>
      <c r="E392" s="40"/>
      <c r="F392" s="49" t="str">
        <f t="shared" ref="F392:J392" ca="1" si="390">IFERROR(__xludf.DUMMYFUNCTION("if (A392 &lt;&gt; """", GOOGLETRANSLATE(A392, ""auto"", ""en""), """")"),"What time do you check-in")</f>
        <v>What time do you check-in</v>
      </c>
      <c r="G392" s="49" t="str">
        <f t="shared" ca="1" si="390"/>
        <v>What time do you check-in</v>
      </c>
      <c r="H392" s="49" t="str">
        <f t="shared" ca="1" si="390"/>
        <v>What time do you check-in</v>
      </c>
      <c r="I392" s="49" t="str">
        <f t="shared" ca="1" si="390"/>
        <v>What time do you check-in</v>
      </c>
      <c r="J392" s="49" t="str">
        <f t="shared" ca="1" si="390"/>
        <v>What time do you check-in</v>
      </c>
    </row>
    <row r="393" spans="1:10" ht="25.5" x14ac:dyDescent="0.2">
      <c r="A393" s="41" t="s">
        <v>523</v>
      </c>
      <c r="B393" s="40"/>
      <c r="C393" s="40"/>
      <c r="D393" s="40"/>
      <c r="E393" s="40"/>
      <c r="F393" s="49" t="str">
        <f t="shared" ref="F393:J393" ca="1" si="391">IFERROR(__xludf.DUMMYFUNCTION("if (A393 &lt;&gt; """", GOOGLETRANSLATE(A393, ""auto"", ""en""), """")"),"When do you check-in")</f>
        <v>When do you check-in</v>
      </c>
      <c r="G393" s="49" t="str">
        <f t="shared" ca="1" si="391"/>
        <v>When do you check-in</v>
      </c>
      <c r="H393" s="49" t="str">
        <f t="shared" ca="1" si="391"/>
        <v>When do you check-in</v>
      </c>
      <c r="I393" s="49" t="str">
        <f t="shared" ca="1" si="391"/>
        <v>When do you check-in</v>
      </c>
      <c r="J393" s="49" t="str">
        <f t="shared" ca="1" si="391"/>
        <v>When do you check-in</v>
      </c>
    </row>
    <row r="394" spans="1:10" ht="12.75" x14ac:dyDescent="0.2">
      <c r="A394" s="41" t="s">
        <v>524</v>
      </c>
      <c r="B394" s="40"/>
      <c r="C394" s="40"/>
      <c r="D394" s="40"/>
      <c r="E394" s="40"/>
      <c r="F394" s="49" t="str">
        <f t="shared" ref="F394:J394" ca="1" si="392">IFERROR(__xludf.DUMMYFUNCTION("if (A394 &lt;&gt; """", GOOGLETRANSLATE(A394, ""auto"", ""en""), """")"),"checkout time")</f>
        <v>checkout time</v>
      </c>
      <c r="G394" s="49" t="str">
        <f t="shared" ca="1" si="392"/>
        <v>checkout time</v>
      </c>
      <c r="H394" s="49" t="str">
        <f t="shared" ca="1" si="392"/>
        <v>checkout time</v>
      </c>
      <c r="I394" s="49" t="str">
        <f t="shared" ca="1" si="392"/>
        <v>checkout time</v>
      </c>
      <c r="J394" s="49" t="str">
        <f t="shared" ca="1" si="392"/>
        <v>checkout time</v>
      </c>
    </row>
    <row r="395" spans="1:10" ht="12.75" x14ac:dyDescent="0.2">
      <c r="A395" s="41" t="s">
        <v>525</v>
      </c>
      <c r="B395" s="40"/>
      <c r="C395" s="40"/>
      <c r="D395" s="40"/>
      <c r="E395" s="40"/>
      <c r="F395" s="49" t="str">
        <f t="shared" ref="F395:J395" ca="1" si="393">IFERROR(__xludf.DUMMYFUNCTION("if (A395 &lt;&gt; """", GOOGLETRANSLATE(A395, ""auto"", ""en""), """")"),"checkin time")</f>
        <v>checkin time</v>
      </c>
      <c r="G395" s="49" t="str">
        <f t="shared" ca="1" si="393"/>
        <v>checkin time</v>
      </c>
      <c r="H395" s="49" t="str">
        <f t="shared" ca="1" si="393"/>
        <v>checkin time</v>
      </c>
      <c r="I395" s="49" t="str">
        <f t="shared" ca="1" si="393"/>
        <v>checkin time</v>
      </c>
      <c r="J395" s="49" t="str">
        <f t="shared" ca="1" si="393"/>
        <v>checkin time</v>
      </c>
    </row>
    <row r="396" spans="1:10" ht="25.5" x14ac:dyDescent="0.2">
      <c r="A396" s="41" t="s">
        <v>526</v>
      </c>
      <c r="B396" s="40"/>
      <c r="C396" s="40"/>
      <c r="D396" s="40"/>
      <c r="E396" s="40"/>
      <c r="F396" s="49" t="str">
        <f t="shared" ref="F396:J396" ca="1" si="394">IFERROR(__xludf.DUMMYFUNCTION("if (A396 &lt;&gt; """", GOOGLETRANSLATE(A396, ""auto"", ""en""), """")"),"Check-out time")</f>
        <v>Check-out time</v>
      </c>
      <c r="G396" s="49" t="str">
        <f t="shared" ca="1" si="394"/>
        <v>Check-out time</v>
      </c>
      <c r="H396" s="49" t="str">
        <f t="shared" ca="1" si="394"/>
        <v>Check-out time</v>
      </c>
      <c r="I396" s="49" t="str">
        <f t="shared" ca="1" si="394"/>
        <v>Check-out time</v>
      </c>
      <c r="J396" s="49" t="str">
        <f t="shared" ca="1" si="394"/>
        <v>Check-out time</v>
      </c>
    </row>
    <row r="397" spans="1:10" ht="12.75" x14ac:dyDescent="0.2">
      <c r="A397" s="41" t="s">
        <v>527</v>
      </c>
      <c r="B397" s="40"/>
      <c r="C397" s="40"/>
      <c r="D397" s="40"/>
      <c r="E397" s="40"/>
      <c r="F397" s="49" t="str">
        <f t="shared" ref="F397:J397" ca="1" si="395">IFERROR(__xludf.DUMMYFUNCTION("if (A397 &lt;&gt; """", GOOGLETRANSLATE(A397, ""auto"", ""en""), """")"),"Check-in time")</f>
        <v>Check-in time</v>
      </c>
      <c r="G397" s="49" t="str">
        <f t="shared" ca="1" si="395"/>
        <v>Check-in time</v>
      </c>
      <c r="H397" s="49" t="str">
        <f t="shared" ca="1" si="395"/>
        <v>Check-in time</v>
      </c>
      <c r="I397" s="49" t="str">
        <f t="shared" ca="1" si="395"/>
        <v>Check-in time</v>
      </c>
      <c r="J397" s="49" t="str">
        <f t="shared" ca="1" si="395"/>
        <v>Check-in time</v>
      </c>
    </row>
    <row r="398" spans="1:10" ht="38.25" x14ac:dyDescent="0.2">
      <c r="A398" s="41" t="s">
        <v>126</v>
      </c>
      <c r="B398" s="40"/>
      <c r="C398" s="40"/>
      <c r="D398" s="40"/>
      <c r="E398" s="40"/>
      <c r="F398" s="49" t="str">
        <f t="shared" ref="F398:J398" ca="1" si="396">IFERROR(__xludf.DUMMYFUNCTION("if (A398 &lt;&gt; """", GOOGLETRANSLATE(A398, ""auto"", ""en""), """")"),"For check-in and check-out of time")</f>
        <v>For check-in and check-out of time</v>
      </c>
      <c r="G398" s="49" t="str">
        <f t="shared" ca="1" si="396"/>
        <v>For check-in and check-out of time</v>
      </c>
      <c r="H398" s="49" t="str">
        <f t="shared" ca="1" si="396"/>
        <v>For check-in and check-out of time</v>
      </c>
      <c r="I398" s="49" t="str">
        <f t="shared" ca="1" si="396"/>
        <v>For check-in and check-out of time</v>
      </c>
      <c r="J398" s="49" t="str">
        <f t="shared" ca="1" si="396"/>
        <v>For check-in and check-out of time</v>
      </c>
    </row>
    <row r="399" spans="1:10" ht="12.75" x14ac:dyDescent="0.2">
      <c r="A399" s="40"/>
      <c r="B399" s="41" t="s">
        <v>403</v>
      </c>
      <c r="C399" s="41" t="s">
        <v>24</v>
      </c>
      <c r="D399" s="41" t="s">
        <v>26</v>
      </c>
      <c r="E399" s="40"/>
      <c r="F399" s="49" t="str">
        <f t="shared" ref="F399:J399" ca="1" si="397">IFERROR(__xludf.DUMMYFUNCTION("if (A399 &lt;&gt; """", GOOGLETRANSLATE(A399, ""auto"", ""en""), """")"),"")</f>
        <v/>
      </c>
      <c r="G399" s="49" t="str">
        <f t="shared" ca="1" si="397"/>
        <v/>
      </c>
      <c r="H399" s="49" t="str">
        <f t="shared" ca="1" si="397"/>
        <v/>
      </c>
      <c r="I399" s="49" t="str">
        <f t="shared" ca="1" si="397"/>
        <v/>
      </c>
      <c r="J399" s="49" t="str">
        <f t="shared" ca="1" si="397"/>
        <v/>
      </c>
    </row>
    <row r="400" spans="1:10" ht="12.75" x14ac:dyDescent="0.2">
      <c r="A400" s="40"/>
      <c r="B400" s="41" t="s">
        <v>403</v>
      </c>
      <c r="C400" s="41" t="s">
        <v>32</v>
      </c>
      <c r="D400" s="41" t="s">
        <v>29</v>
      </c>
      <c r="E400" s="40"/>
      <c r="F400" s="49" t="str">
        <f t="shared" ref="F400:J400" ca="1" si="398">IFERROR(__xludf.DUMMYFUNCTION("if (A400 &lt;&gt; """", GOOGLETRANSLATE(A400, ""auto"", ""en""), """")"),"")</f>
        <v/>
      </c>
      <c r="G400" s="49" t="str">
        <f t="shared" ca="1" si="398"/>
        <v/>
      </c>
      <c r="H400" s="49" t="str">
        <f t="shared" ca="1" si="398"/>
        <v/>
      </c>
      <c r="I400" s="49" t="str">
        <f t="shared" ca="1" si="398"/>
        <v/>
      </c>
      <c r="J400" s="49" t="str">
        <f t="shared" ca="1" si="398"/>
        <v/>
      </c>
    </row>
    <row r="401" spans="1:10" ht="12.75" x14ac:dyDescent="0.2">
      <c r="A401" s="40"/>
      <c r="B401" s="41" t="s">
        <v>403</v>
      </c>
      <c r="C401" s="41" t="s">
        <v>25</v>
      </c>
      <c r="D401" s="41" t="s">
        <v>27</v>
      </c>
      <c r="E401" s="40"/>
      <c r="F401" s="49" t="str">
        <f t="shared" ref="F401:J401" ca="1" si="399">IFERROR(__xludf.DUMMYFUNCTION("if (A401 &lt;&gt; """", GOOGLETRANSLATE(A401, ""auto"", ""en""), """")"),"")</f>
        <v/>
      </c>
      <c r="G401" s="49" t="str">
        <f t="shared" ca="1" si="399"/>
        <v/>
      </c>
      <c r="H401" s="49" t="str">
        <f t="shared" ca="1" si="399"/>
        <v/>
      </c>
      <c r="I401" s="49" t="str">
        <f t="shared" ca="1" si="399"/>
        <v/>
      </c>
      <c r="J401" s="49" t="str">
        <f t="shared" ca="1" si="399"/>
        <v/>
      </c>
    </row>
    <row r="402" spans="1:10" ht="12.75" x14ac:dyDescent="0.2">
      <c r="A402" s="40"/>
      <c r="B402" s="41" t="s">
        <v>403</v>
      </c>
      <c r="C402" s="41" t="s">
        <v>30</v>
      </c>
      <c r="D402" s="41" t="s">
        <v>31</v>
      </c>
      <c r="E402" s="40"/>
      <c r="F402" s="49" t="str">
        <f t="shared" ref="F402:J402" ca="1" si="400">IFERROR(__xludf.DUMMYFUNCTION("if (A402 &lt;&gt; """", GOOGLETRANSLATE(A402, ""auto"", ""en""), """")"),"")</f>
        <v/>
      </c>
      <c r="G402" s="49" t="str">
        <f t="shared" ca="1" si="400"/>
        <v/>
      </c>
      <c r="H402" s="49" t="str">
        <f t="shared" ca="1" si="400"/>
        <v/>
      </c>
      <c r="I402" s="49" t="str">
        <f t="shared" ca="1" si="400"/>
        <v/>
      </c>
      <c r="J402" s="49" t="str">
        <f t="shared" ca="1" si="400"/>
        <v/>
      </c>
    </row>
    <row r="403" spans="1:10" ht="12.75" x14ac:dyDescent="0.2">
      <c r="A403" s="40"/>
      <c r="B403" s="40"/>
      <c r="C403" s="40"/>
      <c r="D403" s="40"/>
      <c r="E403" s="40"/>
      <c r="F403" s="49" t="str">
        <f t="shared" ref="F403:J403" ca="1" si="401">IFERROR(__xludf.DUMMYFUNCTION("if (A403 &lt;&gt; """", GOOGLETRANSLATE(A403, ""auto"", ""en""), """")"),"")</f>
        <v/>
      </c>
      <c r="G403" s="49" t="str">
        <f t="shared" ca="1" si="401"/>
        <v/>
      </c>
      <c r="H403" s="49" t="str">
        <f t="shared" ca="1" si="401"/>
        <v/>
      </c>
      <c r="I403" s="49" t="str">
        <f t="shared" ca="1" si="401"/>
        <v/>
      </c>
      <c r="J403" s="49" t="str">
        <f t="shared" ca="1" si="401"/>
        <v/>
      </c>
    </row>
    <row r="404" spans="1:10" ht="25.5" x14ac:dyDescent="0.2">
      <c r="A404" s="41" t="s">
        <v>131</v>
      </c>
      <c r="B404" s="40"/>
      <c r="C404" s="40"/>
      <c r="D404" s="40"/>
      <c r="E404" s="40"/>
      <c r="F404" s="49" t="str">
        <f t="shared" ref="F404:J404" ca="1" si="402">IFERROR(__xludf.DUMMYFUNCTION("if (A404 &lt;&gt; """", GOOGLETRANSLATE(A404, ""auto"", ""en""), """")"),"FAQ-Guest4-3")</f>
        <v>FAQ-Guest4-3</v>
      </c>
      <c r="G404" s="49" t="str">
        <f t="shared" ca="1" si="402"/>
        <v>FAQ-Guest4-3</v>
      </c>
      <c r="H404" s="49" t="str">
        <f t="shared" ca="1" si="402"/>
        <v>FAQ-Guest4-3</v>
      </c>
      <c r="I404" s="49" t="str">
        <f t="shared" ca="1" si="402"/>
        <v>FAQ-Guest4-3</v>
      </c>
      <c r="J404" s="49" t="str">
        <f t="shared" ca="1" si="402"/>
        <v>FAQ-Guest4-3</v>
      </c>
    </row>
    <row r="405" spans="1:10" ht="12.75" x14ac:dyDescent="0.2">
      <c r="A405" s="40"/>
      <c r="B405" s="41" t="s">
        <v>398</v>
      </c>
      <c r="C405" s="40"/>
      <c r="D405" s="40"/>
      <c r="E405" s="40"/>
      <c r="F405" s="49" t="str">
        <f t="shared" ref="F405:J405" ca="1" si="403">IFERROR(__xludf.DUMMYFUNCTION("if (A405 &lt;&gt; """", GOOGLETRANSLATE(A405, ""auto"", ""en""), """")"),"")</f>
        <v/>
      </c>
      <c r="G405" s="49" t="str">
        <f t="shared" ca="1" si="403"/>
        <v/>
      </c>
      <c r="H405" s="49" t="str">
        <f t="shared" ca="1" si="403"/>
        <v/>
      </c>
      <c r="I405" s="49" t="str">
        <f t="shared" ca="1" si="403"/>
        <v/>
      </c>
      <c r="J405" s="49" t="str">
        <f t="shared" ca="1" si="403"/>
        <v/>
      </c>
    </row>
    <row r="406" spans="1:10" ht="12.75" x14ac:dyDescent="0.2">
      <c r="A406" s="40"/>
      <c r="B406" s="41" t="s">
        <v>399</v>
      </c>
      <c r="C406" s="40"/>
      <c r="D406" s="40"/>
      <c r="E406" s="40"/>
      <c r="F406" s="49" t="str">
        <f t="shared" ref="F406:J406" ca="1" si="404">IFERROR(__xludf.DUMMYFUNCTION("if (A406 &lt;&gt; """", GOOGLETRANSLATE(A406, ""auto"", ""en""), """")"),"")</f>
        <v/>
      </c>
      <c r="G406" s="49" t="str">
        <f t="shared" ca="1" si="404"/>
        <v/>
      </c>
      <c r="H406" s="49" t="str">
        <f t="shared" ca="1" si="404"/>
        <v/>
      </c>
      <c r="I406" s="49" t="str">
        <f t="shared" ca="1" si="404"/>
        <v/>
      </c>
      <c r="J406" s="49" t="str">
        <f t="shared" ca="1" si="404"/>
        <v/>
      </c>
    </row>
    <row r="407" spans="1:10" ht="12.75" x14ac:dyDescent="0.2">
      <c r="A407" s="40"/>
      <c r="B407" s="41" t="s">
        <v>400</v>
      </c>
      <c r="C407" s="40"/>
      <c r="D407" s="40"/>
      <c r="E407" s="40"/>
      <c r="F407" s="49" t="str">
        <f t="shared" ref="F407:J407" ca="1" si="405">IFERROR(__xludf.DUMMYFUNCTION("if (A407 &lt;&gt; """", GOOGLETRANSLATE(A407, ""auto"", ""en""), """")"),"")</f>
        <v/>
      </c>
      <c r="G407" s="49" t="str">
        <f t="shared" ca="1" si="405"/>
        <v/>
      </c>
      <c r="H407" s="49" t="str">
        <f t="shared" ca="1" si="405"/>
        <v/>
      </c>
      <c r="I407" s="49" t="str">
        <f t="shared" ca="1" si="405"/>
        <v/>
      </c>
      <c r="J407" s="49" t="str">
        <f t="shared" ca="1" si="405"/>
        <v/>
      </c>
    </row>
    <row r="408" spans="1:10" ht="12.75" x14ac:dyDescent="0.2">
      <c r="A408" s="40"/>
      <c r="B408" s="41" t="s">
        <v>401</v>
      </c>
      <c r="C408" s="41" t="s">
        <v>131</v>
      </c>
      <c r="D408" s="40"/>
      <c r="E408" s="40"/>
      <c r="F408" s="49" t="str">
        <f t="shared" ref="F408:J408" ca="1" si="406">IFERROR(__xludf.DUMMYFUNCTION("if (A408 &lt;&gt; """", GOOGLETRANSLATE(A408, ""auto"", ""en""), """")"),"")</f>
        <v/>
      </c>
      <c r="G408" s="49" t="str">
        <f t="shared" ca="1" si="406"/>
        <v/>
      </c>
      <c r="H408" s="49" t="str">
        <f t="shared" ca="1" si="406"/>
        <v/>
      </c>
      <c r="I408" s="49" t="str">
        <f t="shared" ca="1" si="406"/>
        <v/>
      </c>
      <c r="J408" s="49" t="str">
        <f t="shared" ca="1" si="406"/>
        <v/>
      </c>
    </row>
    <row r="409" spans="1:10" ht="51" x14ac:dyDescent="0.2">
      <c r="A409" s="41" t="s">
        <v>528</v>
      </c>
      <c r="B409" s="41" t="s">
        <v>402</v>
      </c>
      <c r="C409" s="41" t="s">
        <v>309</v>
      </c>
      <c r="D409" s="40"/>
      <c r="E409" s="40"/>
      <c r="F409" s="49" t="str">
        <f t="shared" ref="F409:J409" ca="1" si="407">IFERROR(__xludf.DUMMYFUNCTION("if (A409 &lt;&gt; """", GOOGLETRANSLATE(A409, ""auto"", ""en""), """")"),"Check out how you do not know")</f>
        <v>Check out how you do not know</v>
      </c>
      <c r="G409" s="49" t="str">
        <f t="shared" ca="1" si="407"/>
        <v>Check out how you do not know</v>
      </c>
      <c r="H409" s="49" t="str">
        <f t="shared" ca="1" si="407"/>
        <v>Check out how you do not know</v>
      </c>
      <c r="I409" s="49" t="str">
        <f t="shared" ca="1" si="407"/>
        <v>Check out how you do not know</v>
      </c>
      <c r="J409" s="49" t="str">
        <f t="shared" ca="1" si="407"/>
        <v>Check out how you do not know</v>
      </c>
    </row>
    <row r="410" spans="1:10" ht="38.25" x14ac:dyDescent="0.2">
      <c r="A410" s="41" t="s">
        <v>529</v>
      </c>
      <c r="B410" s="41" t="s">
        <v>402</v>
      </c>
      <c r="C410" s="41" t="s">
        <v>19</v>
      </c>
      <c r="D410" s="40"/>
      <c r="E410" s="40"/>
      <c r="F410" s="49" t="str">
        <f t="shared" ref="F410:J410" ca="1" si="408">IFERROR(__xludf.DUMMYFUNCTION("if (A410 &lt;&gt; """", GOOGLETRANSLATE(A410, ""auto"", ""en""), """")"),"Check-in of how you do not know")</f>
        <v>Check-in of how you do not know</v>
      </c>
      <c r="G410" s="49" t="str">
        <f t="shared" ca="1" si="408"/>
        <v>Check-in of how you do not know</v>
      </c>
      <c r="H410" s="49" t="str">
        <f t="shared" ca="1" si="408"/>
        <v>Check-in of how you do not know</v>
      </c>
      <c r="I410" s="49" t="str">
        <f t="shared" ca="1" si="408"/>
        <v>Check-in of how you do not know</v>
      </c>
      <c r="J410" s="49" t="str">
        <f t="shared" ca="1" si="408"/>
        <v>Check-in of how you do not know</v>
      </c>
    </row>
    <row r="411" spans="1:10" ht="38.25" x14ac:dyDescent="0.2">
      <c r="A411" s="41" t="s">
        <v>530</v>
      </c>
      <c r="B411" s="40"/>
      <c r="C411" s="40"/>
      <c r="D411" s="40"/>
      <c r="E411" s="40"/>
      <c r="F411" s="49" t="str">
        <f t="shared" ref="F411:J411" ca="1" si="409">IFERROR(__xludf.DUMMYFUNCTION("if (A411 &lt;&gt; """", GOOGLETRANSLATE(A411, ""auto"", ""en""), """")"),"How do you and I check out")</f>
        <v>How do you and I check out</v>
      </c>
      <c r="G411" s="49" t="str">
        <f t="shared" ca="1" si="409"/>
        <v>How do you and I check out</v>
      </c>
      <c r="H411" s="49" t="str">
        <f t="shared" ca="1" si="409"/>
        <v>How do you and I check out</v>
      </c>
      <c r="I411" s="49" t="str">
        <f t="shared" ca="1" si="409"/>
        <v>How do you and I check out</v>
      </c>
      <c r="J411" s="49" t="str">
        <f t="shared" ca="1" si="409"/>
        <v>How do you and I check out</v>
      </c>
    </row>
    <row r="412" spans="1:10" ht="25.5" x14ac:dyDescent="0.2">
      <c r="A412" s="41" t="s">
        <v>531</v>
      </c>
      <c r="B412" s="40"/>
      <c r="C412" s="40"/>
      <c r="D412" s="40"/>
      <c r="E412" s="40"/>
      <c r="F412" s="49" t="str">
        <f t="shared" ref="F412:J412" ca="1" si="410">IFERROR(__xludf.DUMMYFUNCTION("if (A412 &lt;&gt; """", GOOGLETRANSLATE(A412, ""auto"", ""en""), """")"),"Check out the way")</f>
        <v>Check out the way</v>
      </c>
      <c r="G412" s="49" t="str">
        <f t="shared" ca="1" si="410"/>
        <v>Check out the way</v>
      </c>
      <c r="H412" s="49" t="str">
        <f t="shared" ca="1" si="410"/>
        <v>Check out the way</v>
      </c>
      <c r="I412" s="49" t="str">
        <f t="shared" ca="1" si="410"/>
        <v>Check out the way</v>
      </c>
      <c r="J412" s="49" t="str">
        <f t="shared" ca="1" si="410"/>
        <v>Check out the way</v>
      </c>
    </row>
    <row r="413" spans="1:10" ht="25.5" x14ac:dyDescent="0.2">
      <c r="A413" s="41" t="s">
        <v>532</v>
      </c>
      <c r="B413" s="40"/>
      <c r="C413" s="40"/>
      <c r="D413" s="40"/>
      <c r="E413" s="40"/>
      <c r="F413" s="49" t="str">
        <f t="shared" ref="F413:J413" ca="1" si="411">IFERROR(__xludf.DUMMYFUNCTION("if (A413 &lt;&gt; """", GOOGLETRANSLATE(A413, ""auto"", ""en""), """")"),"How do you and I check-in")</f>
        <v>How do you and I check-in</v>
      </c>
      <c r="G413" s="49" t="str">
        <f t="shared" ca="1" si="411"/>
        <v>How do you and I check-in</v>
      </c>
      <c r="H413" s="49" t="str">
        <f t="shared" ca="1" si="411"/>
        <v>How do you and I check-in</v>
      </c>
      <c r="I413" s="49" t="str">
        <f t="shared" ca="1" si="411"/>
        <v>How do you and I check-in</v>
      </c>
      <c r="J413" s="49" t="str">
        <f t="shared" ca="1" si="411"/>
        <v>How do you and I check-in</v>
      </c>
    </row>
    <row r="414" spans="1:10" ht="25.5" x14ac:dyDescent="0.2">
      <c r="A414" s="41" t="s">
        <v>533</v>
      </c>
      <c r="B414" s="40"/>
      <c r="C414" s="40"/>
      <c r="D414" s="40"/>
      <c r="E414" s="40"/>
      <c r="F414" s="49" t="str">
        <f t="shared" ref="F414:J414" ca="1" si="412">IFERROR(__xludf.DUMMYFUNCTION("if (A414 &lt;&gt; """", GOOGLETRANSLATE(A414, ""auto"", ""en""), """")"),"Check-in instructions")</f>
        <v>Check-in instructions</v>
      </c>
      <c r="G414" s="49" t="str">
        <f t="shared" ca="1" si="412"/>
        <v>Check-in instructions</v>
      </c>
      <c r="H414" s="49" t="str">
        <f t="shared" ca="1" si="412"/>
        <v>Check-in instructions</v>
      </c>
      <c r="I414" s="49" t="str">
        <f t="shared" ca="1" si="412"/>
        <v>Check-in instructions</v>
      </c>
      <c r="J414" s="49" t="str">
        <f t="shared" ca="1" si="412"/>
        <v>Check-in instructions</v>
      </c>
    </row>
    <row r="415" spans="1:10" ht="38.25" x14ac:dyDescent="0.2">
      <c r="A415" s="41" t="s">
        <v>130</v>
      </c>
      <c r="B415" s="40"/>
      <c r="C415" s="40"/>
      <c r="D415" s="40"/>
      <c r="E415" s="40"/>
      <c r="F415" s="49" t="str">
        <f t="shared" ref="F415:J415" ca="1" si="413">IFERROR(__xludf.DUMMYFUNCTION("if (A415 &lt;&gt; """", GOOGLETRANSLATE(A415, ""auto"", ""en""), """")"),"For check-in and check-out of the way")</f>
        <v>For check-in and check-out of the way</v>
      </c>
      <c r="G415" s="49" t="str">
        <f t="shared" ca="1" si="413"/>
        <v>For check-in and check-out of the way</v>
      </c>
      <c r="H415" s="49" t="str">
        <f t="shared" ca="1" si="413"/>
        <v>For check-in and check-out of the way</v>
      </c>
      <c r="I415" s="49" t="str">
        <f t="shared" ca="1" si="413"/>
        <v>For check-in and check-out of the way</v>
      </c>
      <c r="J415" s="49" t="str">
        <f t="shared" ca="1" si="413"/>
        <v>For check-in and check-out of the way</v>
      </c>
    </row>
    <row r="416" spans="1:10" ht="12.75" x14ac:dyDescent="0.2">
      <c r="A416" s="40"/>
      <c r="B416" s="41" t="s">
        <v>403</v>
      </c>
      <c r="C416" s="41" t="s">
        <v>24</v>
      </c>
      <c r="D416" s="41" t="s">
        <v>26</v>
      </c>
      <c r="E416" s="40"/>
      <c r="F416" s="49" t="str">
        <f t="shared" ref="F416:J416" ca="1" si="414">IFERROR(__xludf.DUMMYFUNCTION("if (A416 &lt;&gt; """", GOOGLETRANSLATE(A416, ""auto"", ""en""), """")"),"")</f>
        <v/>
      </c>
      <c r="G416" s="49" t="str">
        <f t="shared" ca="1" si="414"/>
        <v/>
      </c>
      <c r="H416" s="49" t="str">
        <f t="shared" ca="1" si="414"/>
        <v/>
      </c>
      <c r="I416" s="49" t="str">
        <f t="shared" ca="1" si="414"/>
        <v/>
      </c>
      <c r="J416" s="49" t="str">
        <f t="shared" ca="1" si="414"/>
        <v/>
      </c>
    </row>
    <row r="417" spans="1:10" ht="12.75" x14ac:dyDescent="0.2">
      <c r="A417" s="40"/>
      <c r="B417" s="41" t="s">
        <v>403</v>
      </c>
      <c r="C417" s="41" t="s">
        <v>32</v>
      </c>
      <c r="D417" s="41" t="s">
        <v>29</v>
      </c>
      <c r="E417" s="40"/>
      <c r="F417" s="49" t="str">
        <f t="shared" ref="F417:J417" ca="1" si="415">IFERROR(__xludf.DUMMYFUNCTION("if (A417 &lt;&gt; """", GOOGLETRANSLATE(A417, ""auto"", ""en""), """")"),"")</f>
        <v/>
      </c>
      <c r="G417" s="49" t="str">
        <f t="shared" ca="1" si="415"/>
        <v/>
      </c>
      <c r="H417" s="49" t="str">
        <f t="shared" ca="1" si="415"/>
        <v/>
      </c>
      <c r="I417" s="49" t="str">
        <f t="shared" ca="1" si="415"/>
        <v/>
      </c>
      <c r="J417" s="49" t="str">
        <f t="shared" ca="1" si="415"/>
        <v/>
      </c>
    </row>
    <row r="418" spans="1:10" ht="12.75" x14ac:dyDescent="0.2">
      <c r="A418" s="40"/>
      <c r="B418" s="41" t="s">
        <v>403</v>
      </c>
      <c r="C418" s="41" t="s">
        <v>25</v>
      </c>
      <c r="D418" s="41" t="s">
        <v>27</v>
      </c>
      <c r="E418" s="40"/>
      <c r="F418" s="49" t="str">
        <f t="shared" ref="F418:J418" ca="1" si="416">IFERROR(__xludf.DUMMYFUNCTION("if (A418 &lt;&gt; """", GOOGLETRANSLATE(A418, ""auto"", ""en""), """")"),"")</f>
        <v/>
      </c>
      <c r="G418" s="49" t="str">
        <f t="shared" ca="1" si="416"/>
        <v/>
      </c>
      <c r="H418" s="49" t="str">
        <f t="shared" ca="1" si="416"/>
        <v/>
      </c>
      <c r="I418" s="49" t="str">
        <f t="shared" ca="1" si="416"/>
        <v/>
      </c>
      <c r="J418" s="49" t="str">
        <f t="shared" ca="1" si="416"/>
        <v/>
      </c>
    </row>
    <row r="419" spans="1:10" ht="12.75" x14ac:dyDescent="0.2">
      <c r="A419" s="40"/>
      <c r="B419" s="41" t="s">
        <v>403</v>
      </c>
      <c r="C419" s="41" t="s">
        <v>30</v>
      </c>
      <c r="D419" s="41" t="s">
        <v>31</v>
      </c>
      <c r="E419" s="40"/>
      <c r="F419" s="49" t="str">
        <f t="shared" ref="F419:J419" ca="1" si="417">IFERROR(__xludf.DUMMYFUNCTION("if (A419 &lt;&gt; """", GOOGLETRANSLATE(A419, ""auto"", ""en""), """")"),"")</f>
        <v/>
      </c>
      <c r="G419" s="49" t="str">
        <f t="shared" ca="1" si="417"/>
        <v/>
      </c>
      <c r="H419" s="49" t="str">
        <f t="shared" ca="1" si="417"/>
        <v/>
      </c>
      <c r="I419" s="49" t="str">
        <f t="shared" ca="1" si="417"/>
        <v/>
      </c>
      <c r="J419" s="49" t="str">
        <f t="shared" ca="1" si="417"/>
        <v/>
      </c>
    </row>
    <row r="420" spans="1:10" ht="12.75" x14ac:dyDescent="0.2">
      <c r="A420" s="40"/>
      <c r="B420" s="40"/>
      <c r="C420" s="40"/>
      <c r="D420" s="40"/>
      <c r="E420" s="40"/>
      <c r="F420" s="49" t="str">
        <f t="shared" ref="F420:J420" ca="1" si="418">IFERROR(__xludf.DUMMYFUNCTION("if (A420 &lt;&gt; """", GOOGLETRANSLATE(A420, ""auto"", ""en""), """")"),"")</f>
        <v/>
      </c>
      <c r="G420" s="49" t="str">
        <f t="shared" ca="1" si="418"/>
        <v/>
      </c>
      <c r="H420" s="49" t="str">
        <f t="shared" ca="1" si="418"/>
        <v/>
      </c>
      <c r="I420" s="49" t="str">
        <f t="shared" ca="1" si="418"/>
        <v/>
      </c>
      <c r="J420" s="49" t="str">
        <f t="shared" ca="1" si="418"/>
        <v/>
      </c>
    </row>
    <row r="421" spans="1:10" ht="25.5" x14ac:dyDescent="0.2">
      <c r="A421" s="41" t="s">
        <v>134</v>
      </c>
      <c r="B421" s="40"/>
      <c r="C421" s="40"/>
      <c r="D421" s="40"/>
      <c r="E421" s="40"/>
      <c r="F421" s="49" t="str">
        <f t="shared" ref="F421:J421" ca="1" si="419">IFERROR(__xludf.DUMMYFUNCTION("if (A421 &lt;&gt; """", GOOGLETRANSLATE(A421, ""auto"", ""en""), """")"),"FAQ-Guest4-4")</f>
        <v>FAQ-Guest4-4</v>
      </c>
      <c r="G421" s="49" t="str">
        <f t="shared" ca="1" si="419"/>
        <v>FAQ-Guest4-4</v>
      </c>
      <c r="H421" s="49" t="str">
        <f t="shared" ca="1" si="419"/>
        <v>FAQ-Guest4-4</v>
      </c>
      <c r="I421" s="49" t="str">
        <f t="shared" ca="1" si="419"/>
        <v>FAQ-Guest4-4</v>
      </c>
      <c r="J421" s="49" t="str">
        <f t="shared" ca="1" si="419"/>
        <v>FAQ-Guest4-4</v>
      </c>
    </row>
    <row r="422" spans="1:10" ht="12.75" x14ac:dyDescent="0.2">
      <c r="A422" s="40"/>
      <c r="B422" s="41" t="s">
        <v>398</v>
      </c>
      <c r="C422" s="40"/>
      <c r="D422" s="40"/>
      <c r="E422" s="40"/>
      <c r="F422" s="49" t="str">
        <f t="shared" ref="F422:J422" ca="1" si="420">IFERROR(__xludf.DUMMYFUNCTION("if (A422 &lt;&gt; """", GOOGLETRANSLATE(A422, ""auto"", ""en""), """")"),"")</f>
        <v/>
      </c>
      <c r="G422" s="49" t="str">
        <f t="shared" ca="1" si="420"/>
        <v/>
      </c>
      <c r="H422" s="49" t="str">
        <f t="shared" ca="1" si="420"/>
        <v/>
      </c>
      <c r="I422" s="49" t="str">
        <f t="shared" ca="1" si="420"/>
        <v/>
      </c>
      <c r="J422" s="49" t="str">
        <f t="shared" ca="1" si="420"/>
        <v/>
      </c>
    </row>
    <row r="423" spans="1:10" ht="12.75" x14ac:dyDescent="0.2">
      <c r="A423" s="40"/>
      <c r="B423" s="41" t="s">
        <v>399</v>
      </c>
      <c r="C423" s="40"/>
      <c r="D423" s="40"/>
      <c r="E423" s="40"/>
      <c r="F423" s="49" t="str">
        <f t="shared" ref="F423:J423" ca="1" si="421">IFERROR(__xludf.DUMMYFUNCTION("if (A423 &lt;&gt; """", GOOGLETRANSLATE(A423, ""auto"", ""en""), """")"),"")</f>
        <v/>
      </c>
      <c r="G423" s="49" t="str">
        <f t="shared" ca="1" si="421"/>
        <v/>
      </c>
      <c r="H423" s="49" t="str">
        <f t="shared" ca="1" si="421"/>
        <v/>
      </c>
      <c r="I423" s="49" t="str">
        <f t="shared" ca="1" si="421"/>
        <v/>
      </c>
      <c r="J423" s="49" t="str">
        <f t="shared" ca="1" si="421"/>
        <v/>
      </c>
    </row>
    <row r="424" spans="1:10" ht="12.75" x14ac:dyDescent="0.2">
      <c r="A424" s="40"/>
      <c r="B424" s="41" t="s">
        <v>400</v>
      </c>
      <c r="C424" s="40"/>
      <c r="D424" s="40"/>
      <c r="E424" s="40"/>
      <c r="F424" s="49" t="str">
        <f t="shared" ref="F424:J424" ca="1" si="422">IFERROR(__xludf.DUMMYFUNCTION("if (A424 &lt;&gt; """", GOOGLETRANSLATE(A424, ""auto"", ""en""), """")"),"")</f>
        <v/>
      </c>
      <c r="G424" s="49" t="str">
        <f t="shared" ca="1" si="422"/>
        <v/>
      </c>
      <c r="H424" s="49" t="str">
        <f t="shared" ca="1" si="422"/>
        <v/>
      </c>
      <c r="I424" s="49" t="str">
        <f t="shared" ca="1" si="422"/>
        <v/>
      </c>
      <c r="J424" s="49" t="str">
        <f t="shared" ca="1" si="422"/>
        <v/>
      </c>
    </row>
    <row r="425" spans="1:10" ht="12.75" x14ac:dyDescent="0.2">
      <c r="A425" s="40"/>
      <c r="B425" s="41" t="s">
        <v>401</v>
      </c>
      <c r="C425" s="41" t="s">
        <v>134</v>
      </c>
      <c r="D425" s="40"/>
      <c r="E425" s="40"/>
      <c r="F425" s="49" t="str">
        <f t="shared" ref="F425:J425" ca="1" si="423">IFERROR(__xludf.DUMMYFUNCTION("if (A425 &lt;&gt; """", GOOGLETRANSLATE(A425, ""auto"", ""en""), """")"),"")</f>
        <v/>
      </c>
      <c r="G425" s="49" t="str">
        <f t="shared" ca="1" si="423"/>
        <v/>
      </c>
      <c r="H425" s="49" t="str">
        <f t="shared" ca="1" si="423"/>
        <v/>
      </c>
      <c r="I425" s="49" t="str">
        <f t="shared" ca="1" si="423"/>
        <v/>
      </c>
      <c r="J425" s="49" t="str">
        <f t="shared" ca="1" si="423"/>
        <v/>
      </c>
    </row>
    <row r="426" spans="1:10" ht="51" x14ac:dyDescent="0.2">
      <c r="A426" s="41" t="s">
        <v>534</v>
      </c>
      <c r="B426" s="41" t="s">
        <v>402</v>
      </c>
      <c r="C426" s="41" t="s">
        <v>332</v>
      </c>
      <c r="D426" s="40"/>
      <c r="E426" s="40"/>
      <c r="F426" s="49" t="str">
        <f t="shared" ref="F426:J426" ca="1" si="424">IFERROR(__xludf.DUMMYFUNCTION("if (A426 &lt;&gt; """", GOOGLETRANSLATE(A426, ""auto"", ""en""), """")"),"Do you have a map of up to house")</f>
        <v>Do you have a map of up to house</v>
      </c>
      <c r="G426" s="49" t="str">
        <f t="shared" ca="1" si="424"/>
        <v>Do you have a map of up to house</v>
      </c>
      <c r="H426" s="49" t="str">
        <f t="shared" ca="1" si="424"/>
        <v>Do you have a map of up to house</v>
      </c>
      <c r="I426" s="49" t="str">
        <f t="shared" ca="1" si="424"/>
        <v>Do you have a map of up to house</v>
      </c>
      <c r="J426" s="49" t="str">
        <f t="shared" ca="1" si="424"/>
        <v>Do you have a map of up to house</v>
      </c>
    </row>
    <row r="427" spans="1:10" ht="38.25" x14ac:dyDescent="0.2">
      <c r="A427" s="41" t="s">
        <v>535</v>
      </c>
      <c r="B427" s="41" t="s">
        <v>402</v>
      </c>
      <c r="C427" s="41" t="s">
        <v>19</v>
      </c>
      <c r="D427" s="40"/>
      <c r="E427" s="40"/>
      <c r="F427" s="49" t="str">
        <f t="shared" ref="F427:J427" ca="1" si="425">IFERROR(__xludf.DUMMYFUNCTION("if (A427 &lt;&gt; """", GOOGLETRANSLATE(A427, ""auto"", ""en""), """")"),"I want to know for directions to the house")</f>
        <v>I want to know for directions to the house</v>
      </c>
      <c r="G427" s="49" t="str">
        <f t="shared" ca="1" si="425"/>
        <v>I want to know for directions to the house</v>
      </c>
      <c r="H427" s="49" t="str">
        <f t="shared" ca="1" si="425"/>
        <v>I want to know for directions to the house</v>
      </c>
      <c r="I427" s="49" t="str">
        <f t="shared" ca="1" si="425"/>
        <v>I want to know for directions to the house</v>
      </c>
      <c r="J427" s="49" t="str">
        <f t="shared" ca="1" si="425"/>
        <v>I want to know for directions to the house</v>
      </c>
    </row>
    <row r="428" spans="1:10" ht="25.5" x14ac:dyDescent="0.2">
      <c r="A428" s="41" t="s">
        <v>536</v>
      </c>
      <c r="B428" s="40"/>
      <c r="C428" s="40"/>
      <c r="D428" s="40"/>
      <c r="E428" s="40"/>
      <c r="F428" s="49" t="str">
        <f t="shared" ref="F428:J428" ca="1" si="426">IFERROR(__xludf.DUMMYFUNCTION("if (A428 &lt;&gt; """", GOOGLETRANSLATE(A428, ""auto"", ""en""), """")"),"I want to know the location")</f>
        <v>I want to know the location</v>
      </c>
      <c r="G428" s="49" t="str">
        <f t="shared" ca="1" si="426"/>
        <v>I want to know the location</v>
      </c>
      <c r="H428" s="49" t="str">
        <f t="shared" ca="1" si="426"/>
        <v>I want to know the location</v>
      </c>
      <c r="I428" s="49" t="str">
        <f t="shared" ca="1" si="426"/>
        <v>I want to know the location</v>
      </c>
      <c r="J428" s="49" t="str">
        <f t="shared" ca="1" si="426"/>
        <v>I want to know the location</v>
      </c>
    </row>
    <row r="429" spans="1:10" ht="38.25" x14ac:dyDescent="0.2">
      <c r="A429" s="41" t="s">
        <v>537</v>
      </c>
      <c r="B429" s="40"/>
      <c r="C429" s="40"/>
      <c r="D429" s="40"/>
      <c r="E429" s="40"/>
      <c r="F429" s="49" t="str">
        <f t="shared" ref="F429:J429" ca="1" si="427">IFERROR(__xludf.DUMMYFUNCTION("if (A429 &lt;&gt; """", GOOGLETRANSLATE(A429, ""auto"", ""en""), """")"),"You may place you do not know")</f>
        <v>You may place you do not know</v>
      </c>
      <c r="G429" s="49" t="str">
        <f t="shared" ca="1" si="427"/>
        <v>You may place you do not know</v>
      </c>
      <c r="H429" s="49" t="str">
        <f t="shared" ca="1" si="427"/>
        <v>You may place you do not know</v>
      </c>
      <c r="I429" s="49" t="str">
        <f t="shared" ca="1" si="427"/>
        <v>You may place you do not know</v>
      </c>
      <c r="J429" s="49" t="str">
        <f t="shared" ca="1" si="427"/>
        <v>You may place you do not know</v>
      </c>
    </row>
    <row r="430" spans="1:10" ht="25.5" x14ac:dyDescent="0.2">
      <c r="A430" s="41" t="s">
        <v>538</v>
      </c>
      <c r="B430" s="40"/>
      <c r="C430" s="40"/>
      <c r="D430" s="40"/>
      <c r="E430" s="40"/>
      <c r="F430" s="49" t="str">
        <f t="shared" ref="F430:J430" ca="1" si="428">IFERROR(__xludf.DUMMYFUNCTION("if (A430 &lt;&gt; """", GOOGLETRANSLATE(A430, ""auto"", ""en""), """")"),"If you are not sure")</f>
        <v>If you are not sure</v>
      </c>
      <c r="G430" s="49" t="str">
        <f t="shared" ca="1" si="428"/>
        <v>If you are not sure</v>
      </c>
      <c r="H430" s="49" t="str">
        <f t="shared" ca="1" si="428"/>
        <v>If you are not sure</v>
      </c>
      <c r="I430" s="49" t="str">
        <f t="shared" ca="1" si="428"/>
        <v>If you are not sure</v>
      </c>
      <c r="J430" s="49" t="str">
        <f t="shared" ca="1" si="428"/>
        <v>If you are not sure</v>
      </c>
    </row>
    <row r="431" spans="1:10" ht="25.5" x14ac:dyDescent="0.2">
      <c r="A431" s="41" t="s">
        <v>539</v>
      </c>
      <c r="B431" s="40"/>
      <c r="C431" s="40"/>
      <c r="D431" s="40"/>
      <c r="E431" s="40"/>
      <c r="F431" s="49" t="str">
        <f t="shared" ref="F431:J431" ca="1" si="429">IFERROR(__xludf.DUMMYFUNCTION("if (A431 &lt;&gt; """", GOOGLETRANSLATE(A431, ""auto"", ""en""), """")"),"Do you have a map")</f>
        <v>Do you have a map</v>
      </c>
      <c r="G431" s="49" t="str">
        <f t="shared" ca="1" si="429"/>
        <v>Do you have a map</v>
      </c>
      <c r="H431" s="49" t="str">
        <f t="shared" ca="1" si="429"/>
        <v>Do you have a map</v>
      </c>
      <c r="I431" s="49" t="str">
        <f t="shared" ca="1" si="429"/>
        <v>Do you have a map</v>
      </c>
      <c r="J431" s="49" t="str">
        <f t="shared" ca="1" si="429"/>
        <v>Do you have a map</v>
      </c>
    </row>
    <row r="432" spans="1:10" ht="12.75" x14ac:dyDescent="0.2">
      <c r="A432" s="41" t="s">
        <v>540</v>
      </c>
      <c r="B432" s="40"/>
      <c r="C432" s="40"/>
      <c r="D432" s="40"/>
      <c r="E432" s="40"/>
      <c r="F432" s="49" t="str">
        <f t="shared" ref="F432:J432" ca="1" si="430">IFERROR(__xludf.DUMMYFUNCTION("if (A432 &lt;&gt; """", GOOGLETRANSLATE(A432, ""auto"", ""en""), """")"),"I want a map")</f>
        <v>I want a map</v>
      </c>
      <c r="G432" s="49" t="str">
        <f t="shared" ca="1" si="430"/>
        <v>I want a map</v>
      </c>
      <c r="H432" s="49" t="str">
        <f t="shared" ca="1" si="430"/>
        <v>I want a map</v>
      </c>
      <c r="I432" s="49" t="str">
        <f t="shared" ca="1" si="430"/>
        <v>I want a map</v>
      </c>
      <c r="J432" s="49" t="str">
        <f t="shared" ca="1" si="430"/>
        <v>I want a map</v>
      </c>
    </row>
    <row r="433" spans="1:10" ht="12.75" x14ac:dyDescent="0.2">
      <c r="A433" s="41" t="s">
        <v>541</v>
      </c>
      <c r="B433" s="40"/>
      <c r="C433" s="40"/>
      <c r="D433" s="40"/>
      <c r="E433" s="40"/>
      <c r="F433" s="49" t="str">
        <f t="shared" ref="F433:J433" ca="1" si="431">IFERROR(__xludf.DUMMYFUNCTION("if (A433 &lt;&gt; """", GOOGLETRANSLATE(A433, ""auto"", ""en""), """")"),"Is there map")</f>
        <v>Is there map</v>
      </c>
      <c r="G433" s="49" t="str">
        <f t="shared" ca="1" si="431"/>
        <v>Is there map</v>
      </c>
      <c r="H433" s="49" t="str">
        <f t="shared" ca="1" si="431"/>
        <v>Is there map</v>
      </c>
      <c r="I433" s="49" t="str">
        <f t="shared" ca="1" si="431"/>
        <v>Is there map</v>
      </c>
      <c r="J433" s="49" t="str">
        <f t="shared" ca="1" si="431"/>
        <v>Is there map</v>
      </c>
    </row>
    <row r="434" spans="1:10" ht="25.5" x14ac:dyDescent="0.2">
      <c r="A434" s="41" t="s">
        <v>542</v>
      </c>
      <c r="B434" s="40"/>
      <c r="C434" s="40"/>
      <c r="D434" s="40"/>
      <c r="E434" s="40"/>
      <c r="F434" s="49" t="str">
        <f t="shared" ref="F434:J434" ca="1" si="432">IFERROR(__xludf.DUMMYFUNCTION("if (A434 &lt;&gt; """", GOOGLETRANSLATE(A434, ""auto"", ""en""), """")"),"Do you have me map")</f>
        <v>Do you have me map</v>
      </c>
      <c r="G434" s="49" t="str">
        <f t="shared" ca="1" si="432"/>
        <v>Do you have me map</v>
      </c>
      <c r="H434" s="49" t="str">
        <f t="shared" ca="1" si="432"/>
        <v>Do you have me map</v>
      </c>
      <c r="I434" s="49" t="str">
        <f t="shared" ca="1" si="432"/>
        <v>Do you have me map</v>
      </c>
      <c r="J434" s="49" t="str">
        <f t="shared" ca="1" si="432"/>
        <v>Do you have me map</v>
      </c>
    </row>
    <row r="435" spans="1:10" ht="25.5" x14ac:dyDescent="0.2">
      <c r="A435" s="41" t="s">
        <v>132</v>
      </c>
      <c r="B435" s="40"/>
      <c r="C435" s="40"/>
      <c r="D435" s="40"/>
      <c r="E435" s="40"/>
      <c r="F435" s="49" t="str">
        <f t="shared" ref="F435:J435" ca="1" si="433">IFERROR(__xludf.DUMMYFUNCTION("if (A435 &lt;&gt; """", GOOGLETRANSLATE(A435, ""auto"", ""en""), """")"),"The guide map")</f>
        <v>The guide map</v>
      </c>
      <c r="G435" s="49" t="str">
        <f t="shared" ca="1" si="433"/>
        <v>The guide map</v>
      </c>
      <c r="H435" s="49" t="str">
        <f t="shared" ca="1" si="433"/>
        <v>The guide map</v>
      </c>
      <c r="I435" s="49" t="str">
        <f t="shared" ca="1" si="433"/>
        <v>The guide map</v>
      </c>
      <c r="J435" s="49" t="str">
        <f t="shared" ca="1" si="433"/>
        <v>The guide map</v>
      </c>
    </row>
    <row r="436" spans="1:10" ht="12.75" x14ac:dyDescent="0.2">
      <c r="A436" s="40"/>
      <c r="B436" s="41" t="s">
        <v>422</v>
      </c>
      <c r="C436" s="41" t="s">
        <v>423</v>
      </c>
      <c r="D436" s="41" t="s">
        <v>424</v>
      </c>
      <c r="E436" s="40"/>
      <c r="F436" s="49" t="str">
        <f t="shared" ref="F436:J436" ca="1" si="434">IFERROR(__xludf.DUMMYFUNCTION("if (A436 &lt;&gt; """", GOOGLETRANSLATE(A436, ""auto"", ""en""), """")"),"")</f>
        <v/>
      </c>
      <c r="G436" s="49" t="str">
        <f t="shared" ca="1" si="434"/>
        <v/>
      </c>
      <c r="H436" s="49" t="str">
        <f t="shared" ca="1" si="434"/>
        <v/>
      </c>
      <c r="I436" s="49" t="str">
        <f t="shared" ca="1" si="434"/>
        <v/>
      </c>
      <c r="J436" s="49" t="str">
        <f t="shared" ca="1" si="434"/>
        <v/>
      </c>
    </row>
    <row r="437" spans="1:10" ht="12.75" x14ac:dyDescent="0.2">
      <c r="A437" s="40"/>
      <c r="B437" s="41" t="s">
        <v>403</v>
      </c>
      <c r="C437" s="41" t="s">
        <v>24</v>
      </c>
      <c r="D437" s="41" t="s">
        <v>26</v>
      </c>
      <c r="E437" s="40"/>
      <c r="F437" s="49" t="str">
        <f t="shared" ref="F437:J437" ca="1" si="435">IFERROR(__xludf.DUMMYFUNCTION("if (A437 &lt;&gt; """", GOOGLETRANSLATE(A437, ""auto"", ""en""), """")"),"")</f>
        <v/>
      </c>
      <c r="G437" s="49" t="str">
        <f t="shared" ca="1" si="435"/>
        <v/>
      </c>
      <c r="H437" s="49" t="str">
        <f t="shared" ca="1" si="435"/>
        <v/>
      </c>
      <c r="I437" s="49" t="str">
        <f t="shared" ca="1" si="435"/>
        <v/>
      </c>
      <c r="J437" s="49" t="str">
        <f t="shared" ca="1" si="435"/>
        <v/>
      </c>
    </row>
    <row r="438" spans="1:10" ht="12.75" x14ac:dyDescent="0.2">
      <c r="A438" s="40"/>
      <c r="B438" s="41" t="s">
        <v>403</v>
      </c>
      <c r="C438" s="41" t="s">
        <v>32</v>
      </c>
      <c r="D438" s="41" t="s">
        <v>29</v>
      </c>
      <c r="E438" s="40"/>
      <c r="F438" s="49" t="str">
        <f t="shared" ref="F438:J438" ca="1" si="436">IFERROR(__xludf.DUMMYFUNCTION("if (A438 &lt;&gt; """", GOOGLETRANSLATE(A438, ""auto"", ""en""), """")"),"")</f>
        <v/>
      </c>
      <c r="G438" s="49" t="str">
        <f t="shared" ca="1" si="436"/>
        <v/>
      </c>
      <c r="H438" s="49" t="str">
        <f t="shared" ca="1" si="436"/>
        <v/>
      </c>
      <c r="I438" s="49" t="str">
        <f t="shared" ca="1" si="436"/>
        <v/>
      </c>
      <c r="J438" s="49" t="str">
        <f t="shared" ca="1" si="436"/>
        <v/>
      </c>
    </row>
    <row r="439" spans="1:10" ht="12.75" x14ac:dyDescent="0.2">
      <c r="A439" s="40"/>
      <c r="B439" s="41" t="s">
        <v>403</v>
      </c>
      <c r="C439" s="41" t="s">
        <v>25</v>
      </c>
      <c r="D439" s="41" t="s">
        <v>27</v>
      </c>
      <c r="E439" s="40"/>
      <c r="F439" s="49" t="str">
        <f t="shared" ref="F439:J439" ca="1" si="437">IFERROR(__xludf.DUMMYFUNCTION("if (A439 &lt;&gt; """", GOOGLETRANSLATE(A439, ""auto"", ""en""), """")"),"")</f>
        <v/>
      </c>
      <c r="G439" s="49" t="str">
        <f t="shared" ca="1" si="437"/>
        <v/>
      </c>
      <c r="H439" s="49" t="str">
        <f t="shared" ca="1" si="437"/>
        <v/>
      </c>
      <c r="I439" s="49" t="str">
        <f t="shared" ca="1" si="437"/>
        <v/>
      </c>
      <c r="J439" s="49" t="str">
        <f t="shared" ca="1" si="437"/>
        <v/>
      </c>
    </row>
    <row r="440" spans="1:10" ht="12.75" x14ac:dyDescent="0.2">
      <c r="A440" s="40"/>
      <c r="B440" s="41" t="s">
        <v>403</v>
      </c>
      <c r="C440" s="41" t="s">
        <v>30</v>
      </c>
      <c r="D440" s="41" t="s">
        <v>31</v>
      </c>
      <c r="E440" s="40"/>
      <c r="F440" s="49" t="str">
        <f t="shared" ref="F440:J440" ca="1" si="438">IFERROR(__xludf.DUMMYFUNCTION("if (A440 &lt;&gt; """", GOOGLETRANSLATE(A440, ""auto"", ""en""), """")"),"")</f>
        <v/>
      </c>
      <c r="G440" s="49" t="str">
        <f t="shared" ca="1" si="438"/>
        <v/>
      </c>
      <c r="H440" s="49" t="str">
        <f t="shared" ca="1" si="438"/>
        <v/>
      </c>
      <c r="I440" s="49" t="str">
        <f t="shared" ca="1" si="438"/>
        <v/>
      </c>
      <c r="J440" s="49" t="str">
        <f t="shared" ca="1" si="438"/>
        <v/>
      </c>
    </row>
    <row r="441" spans="1:10" ht="12.75" x14ac:dyDescent="0.2">
      <c r="A441" s="40"/>
      <c r="B441" s="40"/>
      <c r="C441" s="40"/>
      <c r="D441" s="40"/>
      <c r="E441" s="40"/>
      <c r="F441" s="49" t="str">
        <f t="shared" ref="F441:J441" ca="1" si="439">IFERROR(__xludf.DUMMYFUNCTION("if (A441 &lt;&gt; """", GOOGLETRANSLATE(A441, ""auto"", ""en""), """")"),"")</f>
        <v/>
      </c>
      <c r="G441" s="49" t="str">
        <f t="shared" ca="1" si="439"/>
        <v/>
      </c>
      <c r="H441" s="49" t="str">
        <f t="shared" ca="1" si="439"/>
        <v/>
      </c>
      <c r="I441" s="49" t="str">
        <f t="shared" ca="1" si="439"/>
        <v/>
      </c>
      <c r="J441" s="49" t="str">
        <f t="shared" ca="1" si="439"/>
        <v/>
      </c>
    </row>
    <row r="442" spans="1:10" ht="25.5" x14ac:dyDescent="0.2">
      <c r="A442" s="41" t="s">
        <v>137</v>
      </c>
      <c r="B442" s="40"/>
      <c r="C442" s="40"/>
      <c r="D442" s="40"/>
      <c r="E442" s="40"/>
      <c r="F442" s="49" t="str">
        <f t="shared" ref="F442:J442" ca="1" si="440">IFERROR(__xludf.DUMMYFUNCTION("if (A442 &lt;&gt; """", GOOGLETRANSLATE(A442, ""auto"", ""en""), """")"),"FAQ-Guest4-5")</f>
        <v>FAQ-Guest4-5</v>
      </c>
      <c r="G442" s="49" t="str">
        <f t="shared" ca="1" si="440"/>
        <v>FAQ-Guest4-5</v>
      </c>
      <c r="H442" s="49" t="str">
        <f t="shared" ca="1" si="440"/>
        <v>FAQ-Guest4-5</v>
      </c>
      <c r="I442" s="49" t="str">
        <f t="shared" ca="1" si="440"/>
        <v>FAQ-Guest4-5</v>
      </c>
      <c r="J442" s="49" t="str">
        <f t="shared" ca="1" si="440"/>
        <v>FAQ-Guest4-5</v>
      </c>
    </row>
    <row r="443" spans="1:10" ht="12.75" x14ac:dyDescent="0.2">
      <c r="A443" s="40"/>
      <c r="B443" s="41" t="s">
        <v>398</v>
      </c>
      <c r="C443" s="40"/>
      <c r="D443" s="40"/>
      <c r="E443" s="40"/>
      <c r="F443" s="49" t="str">
        <f t="shared" ref="F443:J443" ca="1" si="441">IFERROR(__xludf.DUMMYFUNCTION("if (A443 &lt;&gt; """", GOOGLETRANSLATE(A443, ""auto"", ""en""), """")"),"")</f>
        <v/>
      </c>
      <c r="G443" s="49" t="str">
        <f t="shared" ca="1" si="441"/>
        <v/>
      </c>
      <c r="H443" s="49" t="str">
        <f t="shared" ca="1" si="441"/>
        <v/>
      </c>
      <c r="I443" s="49" t="str">
        <f t="shared" ca="1" si="441"/>
        <v/>
      </c>
      <c r="J443" s="49" t="str">
        <f t="shared" ca="1" si="441"/>
        <v/>
      </c>
    </row>
    <row r="444" spans="1:10" ht="12.75" x14ac:dyDescent="0.2">
      <c r="A444" s="40"/>
      <c r="B444" s="41" t="s">
        <v>399</v>
      </c>
      <c r="C444" s="40"/>
      <c r="D444" s="40"/>
      <c r="E444" s="40"/>
      <c r="F444" s="49" t="str">
        <f t="shared" ref="F444:J444" ca="1" si="442">IFERROR(__xludf.DUMMYFUNCTION("if (A444 &lt;&gt; """", GOOGLETRANSLATE(A444, ""auto"", ""en""), """")"),"")</f>
        <v/>
      </c>
      <c r="G444" s="49" t="str">
        <f t="shared" ca="1" si="442"/>
        <v/>
      </c>
      <c r="H444" s="49" t="str">
        <f t="shared" ca="1" si="442"/>
        <v/>
      </c>
      <c r="I444" s="49" t="str">
        <f t="shared" ca="1" si="442"/>
        <v/>
      </c>
      <c r="J444" s="49" t="str">
        <f t="shared" ca="1" si="442"/>
        <v/>
      </c>
    </row>
    <row r="445" spans="1:10" ht="12.75" x14ac:dyDescent="0.2">
      <c r="A445" s="40"/>
      <c r="B445" s="41" t="s">
        <v>400</v>
      </c>
      <c r="C445" s="40"/>
      <c r="D445" s="40"/>
      <c r="E445" s="40"/>
      <c r="F445" s="49" t="str">
        <f t="shared" ref="F445:J445" ca="1" si="443">IFERROR(__xludf.DUMMYFUNCTION("if (A445 &lt;&gt; """", GOOGLETRANSLATE(A445, ""auto"", ""en""), """")"),"")</f>
        <v/>
      </c>
      <c r="G445" s="49" t="str">
        <f t="shared" ca="1" si="443"/>
        <v/>
      </c>
      <c r="H445" s="49" t="str">
        <f t="shared" ca="1" si="443"/>
        <v/>
      </c>
      <c r="I445" s="49" t="str">
        <f t="shared" ca="1" si="443"/>
        <v/>
      </c>
      <c r="J445" s="49" t="str">
        <f t="shared" ca="1" si="443"/>
        <v/>
      </c>
    </row>
    <row r="446" spans="1:10" ht="12.75" x14ac:dyDescent="0.2">
      <c r="A446" s="40"/>
      <c r="B446" s="41" t="s">
        <v>401</v>
      </c>
      <c r="C446" s="41" t="s">
        <v>137</v>
      </c>
      <c r="D446" s="40"/>
      <c r="E446" s="40"/>
      <c r="F446" s="49" t="str">
        <f t="shared" ref="F446:J446" ca="1" si="444">IFERROR(__xludf.DUMMYFUNCTION("if (A446 &lt;&gt; """", GOOGLETRANSLATE(A446, ""auto"", ""en""), """")"),"")</f>
        <v/>
      </c>
      <c r="G446" s="49" t="str">
        <f t="shared" ca="1" si="444"/>
        <v/>
      </c>
      <c r="H446" s="49" t="str">
        <f t="shared" ca="1" si="444"/>
        <v/>
      </c>
      <c r="I446" s="49" t="str">
        <f t="shared" ca="1" si="444"/>
        <v/>
      </c>
      <c r="J446" s="49" t="str">
        <f t="shared" ca="1" si="444"/>
        <v/>
      </c>
    </row>
    <row r="447" spans="1:10" ht="51" x14ac:dyDescent="0.2">
      <c r="A447" s="41" t="s">
        <v>543</v>
      </c>
      <c r="B447" s="41" t="s">
        <v>402</v>
      </c>
      <c r="C447" s="41" t="s">
        <v>353</v>
      </c>
      <c r="D447" s="40"/>
      <c r="E447" s="40"/>
      <c r="F447" s="49" t="str">
        <f t="shared" ref="F447:J447" ca="1" si="445">IFERROR(__xludf.DUMMYFUNCTION("if (A447 &lt;&gt; """", GOOGLETRANSLATE(A447, ""auto"", ""en""), """")"),"Do you have any toiletries")</f>
        <v>Do you have any toiletries</v>
      </c>
      <c r="G447" s="49" t="str">
        <f t="shared" ca="1" si="445"/>
        <v>Do you have any toiletries</v>
      </c>
      <c r="H447" s="49" t="str">
        <f t="shared" ca="1" si="445"/>
        <v>Do you have any toiletries</v>
      </c>
      <c r="I447" s="49" t="str">
        <f t="shared" ca="1" si="445"/>
        <v>Do you have any toiletries</v>
      </c>
      <c r="J447" s="49" t="str">
        <f t="shared" ca="1" si="445"/>
        <v>Do you have any toiletries</v>
      </c>
    </row>
    <row r="448" spans="1:10" ht="25.5" x14ac:dyDescent="0.2">
      <c r="A448" s="41" t="s">
        <v>545</v>
      </c>
      <c r="B448" s="41" t="s">
        <v>402</v>
      </c>
      <c r="C448" s="41" t="s">
        <v>19</v>
      </c>
      <c r="D448" s="40"/>
      <c r="E448" s="40"/>
      <c r="F448" s="49" t="str">
        <f t="shared" ref="F448:J448" ca="1" si="446">IFERROR(__xludf.DUMMYFUNCTION("if (A448 &lt;&gt; """", GOOGLETRANSLATE(A448, ""auto"", ""en""), """")"),"Do you have me cosmetics")</f>
        <v>Do you have me cosmetics</v>
      </c>
      <c r="G448" s="49" t="str">
        <f t="shared" ca="1" si="446"/>
        <v>Do you have me cosmetics</v>
      </c>
      <c r="H448" s="49" t="str">
        <f t="shared" ca="1" si="446"/>
        <v>Do you have me cosmetics</v>
      </c>
      <c r="I448" s="49" t="str">
        <f t="shared" ca="1" si="446"/>
        <v>Do you have me cosmetics</v>
      </c>
      <c r="J448" s="49" t="str">
        <f t="shared" ca="1" si="446"/>
        <v>Do you have me cosmetics</v>
      </c>
    </row>
    <row r="449" spans="1:10" ht="25.5" x14ac:dyDescent="0.2">
      <c r="A449" s="41" t="s">
        <v>546</v>
      </c>
      <c r="B449" s="40"/>
      <c r="C449" s="40"/>
      <c r="D449" s="40"/>
      <c r="E449" s="40"/>
      <c r="F449" s="49" t="str">
        <f t="shared" ref="F449:J449" ca="1" si="447">IFERROR(__xludf.DUMMYFUNCTION("if (A449 &lt;&gt; """", GOOGLETRANSLATE(A449, ""auto"", ""en""), """")"),"Or soap is necessary")</f>
        <v>Or soap is necessary</v>
      </c>
      <c r="G449" s="49" t="str">
        <f t="shared" ca="1" si="447"/>
        <v>Or soap is necessary</v>
      </c>
      <c r="H449" s="49" t="str">
        <f t="shared" ca="1" si="447"/>
        <v>Or soap is necessary</v>
      </c>
      <c r="I449" s="49" t="str">
        <f t="shared" ca="1" si="447"/>
        <v>Or soap is necessary</v>
      </c>
      <c r="J449" s="49" t="str">
        <f t="shared" ca="1" si="447"/>
        <v>Or soap is necessary</v>
      </c>
    </row>
    <row r="450" spans="1:10" ht="38.25" x14ac:dyDescent="0.2">
      <c r="A450" s="41" t="s">
        <v>547</v>
      </c>
      <c r="B450" s="40"/>
      <c r="C450" s="40"/>
      <c r="D450" s="40"/>
      <c r="E450" s="40"/>
      <c r="F450" s="49" t="str">
        <f t="shared" ref="F450:J450" ca="1" si="448">IFERROR(__xludf.DUMMYFUNCTION("if (A450 &lt;&gt; """", GOOGLETRANSLATE(A450, ""auto"", ""en""), """")"),"Or soap is better to take them")</f>
        <v>Or soap is better to take them</v>
      </c>
      <c r="G450" s="49" t="str">
        <f t="shared" ca="1" si="448"/>
        <v>Or soap is better to take them</v>
      </c>
      <c r="H450" s="49" t="str">
        <f t="shared" ca="1" si="448"/>
        <v>Or soap is better to take them</v>
      </c>
      <c r="I450" s="49" t="str">
        <f t="shared" ca="1" si="448"/>
        <v>Or soap is better to take them</v>
      </c>
      <c r="J450" s="49" t="str">
        <f t="shared" ca="1" si="448"/>
        <v>Or soap is better to take them</v>
      </c>
    </row>
    <row r="451" spans="1:10" ht="25.5" x14ac:dyDescent="0.2">
      <c r="A451" s="41" t="s">
        <v>548</v>
      </c>
      <c r="B451" s="40"/>
      <c r="C451" s="40"/>
      <c r="D451" s="40"/>
      <c r="E451" s="40"/>
      <c r="F451" s="49" t="str">
        <f t="shared" ref="F451:J451" ca="1" si="449">IFERROR(__xludf.DUMMYFUNCTION("if (A451 &lt;&gt; """", GOOGLETRANSLATE(A451, ""auto"", ""en""), """")"),"Soap do you need to bring")</f>
        <v>Soap do you need to bring</v>
      </c>
      <c r="G451" s="49" t="str">
        <f t="shared" ca="1" si="449"/>
        <v>Soap do you need to bring</v>
      </c>
      <c r="H451" s="49" t="str">
        <f t="shared" ca="1" si="449"/>
        <v>Soap do you need to bring</v>
      </c>
      <c r="I451" s="49" t="str">
        <f t="shared" ca="1" si="449"/>
        <v>Soap do you need to bring</v>
      </c>
      <c r="J451" s="49" t="str">
        <f t="shared" ca="1" si="449"/>
        <v>Soap do you need to bring</v>
      </c>
    </row>
    <row r="452" spans="1:10" ht="12.75" x14ac:dyDescent="0.2">
      <c r="A452" s="41" t="s">
        <v>549</v>
      </c>
      <c r="B452" s="40"/>
      <c r="C452" s="40"/>
      <c r="D452" s="40"/>
      <c r="E452" s="40"/>
      <c r="F452" s="49" t="str">
        <f t="shared" ref="F452:J452" ca="1" si="450">IFERROR(__xludf.DUMMYFUNCTION("if (A452 &lt;&gt; """", GOOGLETRANSLATE(A452, ""auto"", ""en""), """")"),"Soap is put")</f>
        <v>Soap is put</v>
      </c>
      <c r="G452" s="49" t="str">
        <f t="shared" ca="1" si="450"/>
        <v>Soap is put</v>
      </c>
      <c r="H452" s="49" t="str">
        <f t="shared" ca="1" si="450"/>
        <v>Soap is put</v>
      </c>
      <c r="I452" s="49" t="str">
        <f t="shared" ca="1" si="450"/>
        <v>Soap is put</v>
      </c>
      <c r="J452" s="49" t="str">
        <f t="shared" ca="1" si="450"/>
        <v>Soap is put</v>
      </c>
    </row>
    <row r="453" spans="1:10" ht="25.5" x14ac:dyDescent="0.2">
      <c r="A453" s="41" t="s">
        <v>550</v>
      </c>
      <c r="B453" s="40"/>
      <c r="C453" s="40"/>
      <c r="D453" s="40"/>
      <c r="E453" s="40"/>
      <c r="F453" s="49" t="str">
        <f t="shared" ref="F453:J453" ca="1" si="451">IFERROR(__xludf.DUMMYFUNCTION("if (A453 &lt;&gt; """", GOOGLETRANSLATE(A453, ""auto"", ""en""), """")"),"There is a soap")</f>
        <v>There is a soap</v>
      </c>
      <c r="G453" s="49" t="str">
        <f t="shared" ca="1" si="451"/>
        <v>There is a soap</v>
      </c>
      <c r="H453" s="49" t="str">
        <f t="shared" ca="1" si="451"/>
        <v>There is a soap</v>
      </c>
      <c r="I453" s="49" t="str">
        <f t="shared" ca="1" si="451"/>
        <v>There is a soap</v>
      </c>
      <c r="J453" s="49" t="str">
        <f t="shared" ca="1" si="451"/>
        <v>There is a soap</v>
      </c>
    </row>
    <row r="454" spans="1:10" ht="38.25" x14ac:dyDescent="0.2">
      <c r="A454" s="41" t="s">
        <v>551</v>
      </c>
      <c r="B454" s="40"/>
      <c r="C454" s="40"/>
      <c r="D454" s="40"/>
      <c r="E454" s="40"/>
      <c r="F454" s="49" t="str">
        <f t="shared" ref="F454:J454" ca="1" si="452">IFERROR(__xludf.DUMMYFUNCTION("if (A454 &lt;&gt; """", GOOGLETRANSLATE(A454, ""auto"", ""en""), """")"),"Do Amenities has been enhanced")</f>
        <v>Do Amenities has been enhanced</v>
      </c>
      <c r="G454" s="49" t="str">
        <f t="shared" ca="1" si="452"/>
        <v>Do Amenities has been enhanced</v>
      </c>
      <c r="H454" s="49" t="str">
        <f t="shared" ca="1" si="452"/>
        <v>Do Amenities has been enhanced</v>
      </c>
      <c r="I454" s="49" t="str">
        <f t="shared" ca="1" si="452"/>
        <v>Do Amenities has been enhanced</v>
      </c>
      <c r="J454" s="49" t="str">
        <f t="shared" ca="1" si="452"/>
        <v>Do Amenities has been enhanced</v>
      </c>
    </row>
    <row r="455" spans="1:10" ht="25.5" x14ac:dyDescent="0.2">
      <c r="A455" s="41" t="s">
        <v>552</v>
      </c>
      <c r="B455" s="40"/>
      <c r="C455" s="40"/>
      <c r="D455" s="40"/>
      <c r="E455" s="40"/>
      <c r="F455" s="49" t="str">
        <f t="shared" ref="F455:J455" ca="1" si="453">IFERROR(__xludf.DUMMYFUNCTION("if (A455 &lt;&gt; """", GOOGLETRANSLATE(A455, ""auto"", ""en""), """")"),"Do Amenities there is what")</f>
        <v>Do Amenities there is what</v>
      </c>
      <c r="G455" s="49" t="str">
        <f t="shared" ca="1" si="453"/>
        <v>Do Amenities there is what</v>
      </c>
      <c r="H455" s="49" t="str">
        <f t="shared" ca="1" si="453"/>
        <v>Do Amenities there is what</v>
      </c>
      <c r="I455" s="49" t="str">
        <f t="shared" ca="1" si="453"/>
        <v>Do Amenities there is what</v>
      </c>
      <c r="J455" s="49" t="str">
        <f t="shared" ca="1" si="453"/>
        <v>Do Amenities there is what</v>
      </c>
    </row>
    <row r="456" spans="1:10" ht="38.25" x14ac:dyDescent="0.2">
      <c r="A456" s="41" t="s">
        <v>553</v>
      </c>
      <c r="B456" s="40"/>
      <c r="C456" s="40"/>
      <c r="D456" s="40"/>
      <c r="E456" s="40"/>
      <c r="F456" s="49" t="str">
        <f t="shared" ref="F456:J456" ca="1" si="454">IFERROR(__xludf.DUMMYFUNCTION("if (A456 &lt;&gt; """", GOOGLETRANSLATE(A456, ""auto"", ""en""), """")"),"Is there Amenities goods")</f>
        <v>Is there Amenities goods</v>
      </c>
      <c r="G456" s="49" t="str">
        <f t="shared" ca="1" si="454"/>
        <v>Is there Amenities goods</v>
      </c>
      <c r="H456" s="49" t="str">
        <f t="shared" ca="1" si="454"/>
        <v>Is there Amenities goods</v>
      </c>
      <c r="I456" s="49" t="str">
        <f t="shared" ca="1" si="454"/>
        <v>Is there Amenities goods</v>
      </c>
      <c r="J456" s="49" t="str">
        <f t="shared" ca="1" si="454"/>
        <v>Is there Amenities goods</v>
      </c>
    </row>
    <row r="457" spans="1:10" ht="25.5" x14ac:dyDescent="0.2">
      <c r="A457" s="41" t="s">
        <v>136</v>
      </c>
      <c r="B457" s="40"/>
      <c r="C457" s="40"/>
      <c r="D457" s="40"/>
      <c r="E457" s="40"/>
      <c r="F457" s="49" t="str">
        <f t="shared" ref="F457:J457" ca="1" si="455">IFERROR(__xludf.DUMMYFUNCTION("if (A457 &lt;&gt; """", GOOGLETRANSLATE(A457, ""auto"", ""en""), """")"),"About Amenities")</f>
        <v>About Amenities</v>
      </c>
      <c r="G457" s="49" t="str">
        <f t="shared" ca="1" si="455"/>
        <v>About Amenities</v>
      </c>
      <c r="H457" s="49" t="str">
        <f t="shared" ca="1" si="455"/>
        <v>About Amenities</v>
      </c>
      <c r="I457" s="49" t="str">
        <f t="shared" ca="1" si="455"/>
        <v>About Amenities</v>
      </c>
      <c r="J457" s="49" t="str">
        <f t="shared" ca="1" si="455"/>
        <v>About Amenities</v>
      </c>
    </row>
    <row r="458" spans="1:10" ht="12.75" x14ac:dyDescent="0.2">
      <c r="A458" s="40"/>
      <c r="B458" s="41" t="s">
        <v>422</v>
      </c>
      <c r="C458" s="41" t="s">
        <v>554</v>
      </c>
      <c r="D458" s="41" t="s">
        <v>555</v>
      </c>
      <c r="E458" s="40"/>
      <c r="F458" s="49" t="str">
        <f t="shared" ref="F458:J458" ca="1" si="456">IFERROR(__xludf.DUMMYFUNCTION("if (A458 &lt;&gt; """", GOOGLETRANSLATE(A458, ""auto"", ""en""), """")"),"")</f>
        <v/>
      </c>
      <c r="G458" s="49" t="str">
        <f t="shared" ca="1" si="456"/>
        <v/>
      </c>
      <c r="H458" s="49" t="str">
        <f t="shared" ca="1" si="456"/>
        <v/>
      </c>
      <c r="I458" s="49" t="str">
        <f t="shared" ca="1" si="456"/>
        <v/>
      </c>
      <c r="J458" s="49" t="str">
        <f t="shared" ca="1" si="456"/>
        <v/>
      </c>
    </row>
    <row r="459" spans="1:10" ht="12.75" x14ac:dyDescent="0.2">
      <c r="A459" s="40"/>
      <c r="B459" s="41" t="s">
        <v>403</v>
      </c>
      <c r="C459" s="41" t="s">
        <v>24</v>
      </c>
      <c r="D459" s="41" t="s">
        <v>26</v>
      </c>
      <c r="E459" s="40"/>
      <c r="F459" s="49" t="str">
        <f t="shared" ref="F459:J459" ca="1" si="457">IFERROR(__xludf.DUMMYFUNCTION("if (A459 &lt;&gt; """", GOOGLETRANSLATE(A459, ""auto"", ""en""), """")"),"")</f>
        <v/>
      </c>
      <c r="G459" s="49" t="str">
        <f t="shared" ca="1" si="457"/>
        <v/>
      </c>
      <c r="H459" s="49" t="str">
        <f t="shared" ca="1" si="457"/>
        <v/>
      </c>
      <c r="I459" s="49" t="str">
        <f t="shared" ca="1" si="457"/>
        <v/>
      </c>
      <c r="J459" s="49" t="str">
        <f t="shared" ca="1" si="457"/>
        <v/>
      </c>
    </row>
    <row r="460" spans="1:10" ht="12.75" x14ac:dyDescent="0.2">
      <c r="A460" s="40"/>
      <c r="B460" s="41" t="s">
        <v>403</v>
      </c>
      <c r="C460" s="41" t="s">
        <v>32</v>
      </c>
      <c r="D460" s="41" t="s">
        <v>29</v>
      </c>
      <c r="E460" s="40"/>
      <c r="F460" s="49" t="str">
        <f t="shared" ref="F460:J460" ca="1" si="458">IFERROR(__xludf.DUMMYFUNCTION("if (A460 &lt;&gt; """", GOOGLETRANSLATE(A460, ""auto"", ""en""), """")"),"")</f>
        <v/>
      </c>
      <c r="G460" s="49" t="str">
        <f t="shared" ca="1" si="458"/>
        <v/>
      </c>
      <c r="H460" s="49" t="str">
        <f t="shared" ca="1" si="458"/>
        <v/>
      </c>
      <c r="I460" s="49" t="str">
        <f t="shared" ca="1" si="458"/>
        <v/>
      </c>
      <c r="J460" s="49" t="str">
        <f t="shared" ca="1" si="458"/>
        <v/>
      </c>
    </row>
    <row r="461" spans="1:10" ht="12.75" x14ac:dyDescent="0.2">
      <c r="A461" s="40"/>
      <c r="B461" s="41" t="s">
        <v>403</v>
      </c>
      <c r="C461" s="41" t="s">
        <v>25</v>
      </c>
      <c r="D461" s="41" t="s">
        <v>27</v>
      </c>
      <c r="E461" s="40"/>
      <c r="F461" s="49" t="str">
        <f t="shared" ref="F461:J461" ca="1" si="459">IFERROR(__xludf.DUMMYFUNCTION("if (A461 &lt;&gt; """", GOOGLETRANSLATE(A461, ""auto"", ""en""), """")"),"")</f>
        <v/>
      </c>
      <c r="G461" s="49" t="str">
        <f t="shared" ca="1" si="459"/>
        <v/>
      </c>
      <c r="H461" s="49" t="str">
        <f t="shared" ca="1" si="459"/>
        <v/>
      </c>
      <c r="I461" s="49" t="str">
        <f t="shared" ca="1" si="459"/>
        <v/>
      </c>
      <c r="J461" s="49" t="str">
        <f t="shared" ca="1" si="459"/>
        <v/>
      </c>
    </row>
    <row r="462" spans="1:10" ht="12.75" x14ac:dyDescent="0.2">
      <c r="A462" s="40"/>
      <c r="B462" s="41" t="s">
        <v>403</v>
      </c>
      <c r="C462" s="41" t="s">
        <v>30</v>
      </c>
      <c r="D462" s="41" t="s">
        <v>31</v>
      </c>
      <c r="E462" s="40"/>
      <c r="F462" s="49" t="str">
        <f t="shared" ref="F462:J462" ca="1" si="460">IFERROR(__xludf.DUMMYFUNCTION("if (A462 &lt;&gt; """", GOOGLETRANSLATE(A462, ""auto"", ""en""), """")"),"")</f>
        <v/>
      </c>
      <c r="G462" s="49" t="str">
        <f t="shared" ca="1" si="460"/>
        <v/>
      </c>
      <c r="H462" s="49" t="str">
        <f t="shared" ca="1" si="460"/>
        <v/>
      </c>
      <c r="I462" s="49" t="str">
        <f t="shared" ca="1" si="460"/>
        <v/>
      </c>
      <c r="J462" s="49" t="str">
        <f t="shared" ca="1" si="460"/>
        <v/>
      </c>
    </row>
    <row r="463" spans="1:10" ht="12.75" x14ac:dyDescent="0.2">
      <c r="A463" s="40"/>
      <c r="B463" s="40"/>
      <c r="C463" s="40"/>
      <c r="D463" s="40"/>
      <c r="E463" s="40"/>
      <c r="F463" s="49" t="str">
        <f t="shared" ref="F463:J463" ca="1" si="461">IFERROR(__xludf.DUMMYFUNCTION("if (A463 &lt;&gt; """", GOOGLETRANSLATE(A463, ""auto"", ""en""), """")"),"")</f>
        <v/>
      </c>
      <c r="G463" s="49" t="str">
        <f t="shared" ca="1" si="461"/>
        <v/>
      </c>
      <c r="H463" s="49" t="str">
        <f t="shared" ca="1" si="461"/>
        <v/>
      </c>
      <c r="I463" s="49" t="str">
        <f t="shared" ca="1" si="461"/>
        <v/>
      </c>
      <c r="J463" s="49" t="str">
        <f t="shared" ca="1" si="461"/>
        <v/>
      </c>
    </row>
    <row r="464" spans="1:10" ht="25.5" x14ac:dyDescent="0.2">
      <c r="A464" s="41" t="s">
        <v>140</v>
      </c>
      <c r="B464" s="40"/>
      <c r="C464" s="40"/>
      <c r="D464" s="40"/>
      <c r="E464" s="40"/>
      <c r="F464" s="49" t="str">
        <f t="shared" ref="F464:J464" ca="1" si="462">IFERROR(__xludf.DUMMYFUNCTION("if (A464 &lt;&gt; """", GOOGLETRANSLATE(A464, ""auto"", ""en""), """")"),"FAQ-Guest4-6")</f>
        <v>FAQ-Guest4-6</v>
      </c>
      <c r="G464" s="49" t="str">
        <f t="shared" ca="1" si="462"/>
        <v>FAQ-Guest4-6</v>
      </c>
      <c r="H464" s="49" t="str">
        <f t="shared" ca="1" si="462"/>
        <v>FAQ-Guest4-6</v>
      </c>
      <c r="I464" s="49" t="str">
        <f t="shared" ca="1" si="462"/>
        <v>FAQ-Guest4-6</v>
      </c>
      <c r="J464" s="49" t="str">
        <f t="shared" ca="1" si="462"/>
        <v>FAQ-Guest4-6</v>
      </c>
    </row>
    <row r="465" spans="1:10" ht="12.75" x14ac:dyDescent="0.2">
      <c r="A465" s="40"/>
      <c r="B465" s="41" t="s">
        <v>398</v>
      </c>
      <c r="C465" s="40"/>
      <c r="D465" s="40"/>
      <c r="E465" s="40"/>
      <c r="F465" s="49" t="str">
        <f t="shared" ref="F465:J465" ca="1" si="463">IFERROR(__xludf.DUMMYFUNCTION("if (A465 &lt;&gt; """", GOOGLETRANSLATE(A465, ""auto"", ""en""), """")"),"")</f>
        <v/>
      </c>
      <c r="G465" s="49" t="str">
        <f t="shared" ca="1" si="463"/>
        <v/>
      </c>
      <c r="H465" s="49" t="str">
        <f t="shared" ca="1" si="463"/>
        <v/>
      </c>
      <c r="I465" s="49" t="str">
        <f t="shared" ca="1" si="463"/>
        <v/>
      </c>
      <c r="J465" s="49" t="str">
        <f t="shared" ca="1" si="463"/>
        <v/>
      </c>
    </row>
    <row r="466" spans="1:10" ht="12.75" x14ac:dyDescent="0.2">
      <c r="A466" s="40"/>
      <c r="B466" s="41" t="s">
        <v>399</v>
      </c>
      <c r="C466" s="40"/>
      <c r="D466" s="40"/>
      <c r="E466" s="40"/>
      <c r="F466" s="49" t="str">
        <f t="shared" ref="F466:J466" ca="1" si="464">IFERROR(__xludf.DUMMYFUNCTION("if (A466 &lt;&gt; """", GOOGLETRANSLATE(A466, ""auto"", ""en""), """")"),"")</f>
        <v/>
      </c>
      <c r="G466" s="49" t="str">
        <f t="shared" ca="1" si="464"/>
        <v/>
      </c>
      <c r="H466" s="49" t="str">
        <f t="shared" ca="1" si="464"/>
        <v/>
      </c>
      <c r="I466" s="49" t="str">
        <f t="shared" ca="1" si="464"/>
        <v/>
      </c>
      <c r="J466" s="49" t="str">
        <f t="shared" ca="1" si="464"/>
        <v/>
      </c>
    </row>
    <row r="467" spans="1:10" ht="12.75" x14ac:dyDescent="0.2">
      <c r="A467" s="40"/>
      <c r="B467" s="41" t="s">
        <v>400</v>
      </c>
      <c r="C467" s="40"/>
      <c r="D467" s="40"/>
      <c r="E467" s="40"/>
      <c r="F467" s="49" t="str">
        <f t="shared" ref="F467:J467" ca="1" si="465">IFERROR(__xludf.DUMMYFUNCTION("if (A467 &lt;&gt; """", GOOGLETRANSLATE(A467, ""auto"", ""en""), """")"),"")</f>
        <v/>
      </c>
      <c r="G467" s="49" t="str">
        <f t="shared" ca="1" si="465"/>
        <v/>
      </c>
      <c r="H467" s="49" t="str">
        <f t="shared" ca="1" si="465"/>
        <v/>
      </c>
      <c r="I467" s="49" t="str">
        <f t="shared" ca="1" si="465"/>
        <v/>
      </c>
      <c r="J467" s="49" t="str">
        <f t="shared" ca="1" si="465"/>
        <v/>
      </c>
    </row>
    <row r="468" spans="1:10" ht="12.75" x14ac:dyDescent="0.2">
      <c r="A468" s="40"/>
      <c r="B468" s="41" t="s">
        <v>401</v>
      </c>
      <c r="C468" s="41" t="s">
        <v>140</v>
      </c>
      <c r="D468" s="40"/>
      <c r="E468" s="40"/>
      <c r="F468" s="49" t="str">
        <f t="shared" ref="F468:J468" ca="1" si="466">IFERROR(__xludf.DUMMYFUNCTION("if (A468 &lt;&gt; """", GOOGLETRANSLATE(A468, ""auto"", ""en""), """")"),"")</f>
        <v/>
      </c>
      <c r="G468" s="49" t="str">
        <f t="shared" ca="1" si="466"/>
        <v/>
      </c>
      <c r="H468" s="49" t="str">
        <f t="shared" ca="1" si="466"/>
        <v/>
      </c>
      <c r="I468" s="49" t="str">
        <f t="shared" ca="1" si="466"/>
        <v/>
      </c>
      <c r="J468" s="49" t="str">
        <f t="shared" ca="1" si="466"/>
        <v/>
      </c>
    </row>
    <row r="469" spans="1:10" ht="89.25" x14ac:dyDescent="0.2">
      <c r="A469" s="41" t="s">
        <v>556</v>
      </c>
      <c r="B469" s="41" t="s">
        <v>402</v>
      </c>
      <c r="C469" s="41" t="s">
        <v>364</v>
      </c>
      <c r="D469" s="40"/>
      <c r="E469" s="40"/>
      <c r="F469" s="49" t="str">
        <f t="shared" ref="F469:J469" ca="1" si="467">IFERROR(__xludf.DUMMYFUNCTION("if (A469 &lt;&gt; """", GOOGLETRANSLATE(A469, ""auto"", ""en""), """")"),"Electricity is faulty")</f>
        <v>Electricity is faulty</v>
      </c>
      <c r="G469" s="49" t="str">
        <f t="shared" ca="1" si="467"/>
        <v>Electricity is faulty</v>
      </c>
      <c r="H469" s="49" t="str">
        <f t="shared" ca="1" si="467"/>
        <v>Electricity is faulty</v>
      </c>
      <c r="I469" s="49" t="str">
        <f t="shared" ca="1" si="467"/>
        <v>Electricity is faulty</v>
      </c>
      <c r="J469" s="49" t="str">
        <f t="shared" ca="1" si="467"/>
        <v>Electricity is faulty</v>
      </c>
    </row>
    <row r="470" spans="1:10" ht="38.25" x14ac:dyDescent="0.2">
      <c r="A470" s="41" t="s">
        <v>557</v>
      </c>
      <c r="B470" s="41" t="s">
        <v>402</v>
      </c>
      <c r="C470" s="41" t="s">
        <v>19</v>
      </c>
      <c r="D470" s="40"/>
      <c r="E470" s="40"/>
      <c r="F470" s="49" t="str">
        <f t="shared" ref="F470:J470" ca="1" si="468">IFERROR(__xludf.DUMMYFUNCTION("if (A470 &lt;&gt; """", GOOGLETRANSLATE(A470, ""auto"", ""en""), """")"),"Although I water does not flow")</f>
        <v>Although I water does not flow</v>
      </c>
      <c r="G470" s="49" t="str">
        <f t="shared" ca="1" si="468"/>
        <v>Although I water does not flow</v>
      </c>
      <c r="H470" s="49" t="str">
        <f t="shared" ca="1" si="468"/>
        <v>Although I water does not flow</v>
      </c>
      <c r="I470" s="49" t="str">
        <f t="shared" ca="1" si="468"/>
        <v>Although I water does not flow</v>
      </c>
      <c r="J470" s="49" t="str">
        <f t="shared" ca="1" si="468"/>
        <v>Although I water does not flow</v>
      </c>
    </row>
    <row r="471" spans="1:10" ht="38.25" x14ac:dyDescent="0.2">
      <c r="A471" s="41" t="s">
        <v>558</v>
      </c>
      <c r="B471" s="40"/>
      <c r="C471" s="40"/>
      <c r="D471" s="40"/>
      <c r="E471" s="40"/>
      <c r="F471" s="49" t="str">
        <f t="shared" ref="F471:J471" ca="1" si="469">IFERROR(__xludf.DUMMYFUNCTION("if (A471 &lt;&gt; """", GOOGLETRANSLATE(A471, ""auto"", ""en""), """")"),"Although I electricity does not stick")</f>
        <v>Although I electricity does not stick</v>
      </c>
      <c r="G471" s="49" t="str">
        <f t="shared" ca="1" si="469"/>
        <v>Although I electricity does not stick</v>
      </c>
      <c r="H471" s="49" t="str">
        <f t="shared" ca="1" si="469"/>
        <v>Although I electricity does not stick</v>
      </c>
      <c r="I471" s="49" t="str">
        <f t="shared" ca="1" si="469"/>
        <v>Although I electricity does not stick</v>
      </c>
      <c r="J471" s="49" t="str">
        <f t="shared" ca="1" si="469"/>
        <v>Although I electricity does not stick</v>
      </c>
    </row>
    <row r="472" spans="1:10" ht="25.5" x14ac:dyDescent="0.2">
      <c r="A472" s="41" t="s">
        <v>559</v>
      </c>
      <c r="B472" s="40"/>
      <c r="C472" s="40"/>
      <c r="D472" s="40"/>
      <c r="E472" s="40"/>
      <c r="F472" s="49" t="str">
        <f t="shared" ref="F472:J472" ca="1" si="470">IFERROR(__xludf.DUMMYFUNCTION("if (A472 &lt;&gt; """", GOOGLETRANSLATE(A472, ""auto"", ""en""), """")"),"Although I TV does not stick")</f>
        <v>Although I TV does not stick</v>
      </c>
      <c r="G472" s="49" t="str">
        <f t="shared" ca="1" si="470"/>
        <v>Although I TV does not stick</v>
      </c>
      <c r="H472" s="49" t="str">
        <f t="shared" ca="1" si="470"/>
        <v>Although I TV does not stick</v>
      </c>
      <c r="I472" s="49" t="str">
        <f t="shared" ca="1" si="470"/>
        <v>Although I TV does not stick</v>
      </c>
      <c r="J472" s="49" t="str">
        <f t="shared" ca="1" si="470"/>
        <v>Although I TV does not stick</v>
      </c>
    </row>
    <row r="473" spans="1:10" ht="38.25" x14ac:dyDescent="0.2">
      <c r="A473" s="41" t="s">
        <v>560</v>
      </c>
      <c r="B473" s="40"/>
      <c r="C473" s="40"/>
      <c r="D473" s="40"/>
      <c r="E473" s="40"/>
      <c r="F473" s="49" t="str">
        <f t="shared" ref="F473:J473" ca="1" si="471">IFERROR(__xludf.DUMMYFUNCTION("if (A473 &lt;&gt; """", GOOGLETRANSLATE(A473, ""auto"", ""en""), """")"),"Although it broke the furniture")</f>
        <v>Although it broke the furniture</v>
      </c>
      <c r="G473" s="49" t="str">
        <f t="shared" ca="1" si="471"/>
        <v>Although it broke the furniture</v>
      </c>
      <c r="H473" s="49" t="str">
        <f t="shared" ca="1" si="471"/>
        <v>Although it broke the furniture</v>
      </c>
      <c r="I473" s="49" t="str">
        <f t="shared" ca="1" si="471"/>
        <v>Although it broke the furniture</v>
      </c>
      <c r="J473" s="49" t="str">
        <f t="shared" ca="1" si="471"/>
        <v>Although it broke the furniture</v>
      </c>
    </row>
    <row r="474" spans="1:10" ht="25.5" x14ac:dyDescent="0.2">
      <c r="A474" s="41" t="s">
        <v>561</v>
      </c>
      <c r="B474" s="40"/>
      <c r="C474" s="40"/>
      <c r="D474" s="40"/>
      <c r="E474" s="40"/>
      <c r="F474" s="49" t="str">
        <f t="shared" ref="F474:J474" ca="1" si="472">IFERROR(__xludf.DUMMYFUNCTION("if (A474 &lt;&gt; """", GOOGLETRANSLATE(A474, ""auto"", ""en""), """")"),"If you broke the furniture")</f>
        <v>If you broke the furniture</v>
      </c>
      <c r="G474" s="49" t="str">
        <f t="shared" ca="1" si="472"/>
        <v>If you broke the furniture</v>
      </c>
      <c r="H474" s="49" t="str">
        <f t="shared" ca="1" si="472"/>
        <v>If you broke the furniture</v>
      </c>
      <c r="I474" s="49" t="str">
        <f t="shared" ca="1" si="472"/>
        <v>If you broke the furniture</v>
      </c>
      <c r="J474" s="49" t="str">
        <f t="shared" ca="1" si="472"/>
        <v>If you broke the furniture</v>
      </c>
    </row>
    <row r="475" spans="1:10" ht="25.5" x14ac:dyDescent="0.2">
      <c r="A475" s="41" t="s">
        <v>562</v>
      </c>
      <c r="B475" s="40"/>
      <c r="C475" s="40"/>
      <c r="D475" s="40"/>
      <c r="E475" s="40"/>
      <c r="F475" s="49" t="str">
        <f t="shared" ref="F475:J475" ca="1" si="473">IFERROR(__xludf.DUMMYFUNCTION("if (A475 &lt;&gt; """", GOOGLETRANSLATE(A475, ""auto"", ""en""), """")"),"If the furniture was broken")</f>
        <v>If the furniture was broken</v>
      </c>
      <c r="G475" s="49" t="str">
        <f t="shared" ca="1" si="473"/>
        <v>If the furniture was broken</v>
      </c>
      <c r="H475" s="49" t="str">
        <f t="shared" ca="1" si="473"/>
        <v>If the furniture was broken</v>
      </c>
      <c r="I475" s="49" t="str">
        <f t="shared" ca="1" si="473"/>
        <v>If the furniture was broken</v>
      </c>
      <c r="J475" s="49" t="str">
        <f t="shared" ca="1" si="473"/>
        <v>If the furniture was broken</v>
      </c>
    </row>
    <row r="476" spans="1:10" ht="25.5" x14ac:dyDescent="0.2">
      <c r="A476" s="41" t="s">
        <v>563</v>
      </c>
      <c r="B476" s="40"/>
      <c r="C476" s="40"/>
      <c r="D476" s="40"/>
      <c r="E476" s="40"/>
      <c r="F476" s="49" t="str">
        <f t="shared" ref="F476:J476" ca="1" si="474">IFERROR(__xludf.DUMMYFUNCTION("if (A476 &lt;&gt; """", GOOGLETRANSLATE(A476, ""auto"", ""en""), """")"),"If the furniture is broken")</f>
        <v>If the furniture is broken</v>
      </c>
      <c r="G476" s="49" t="str">
        <f t="shared" ca="1" si="474"/>
        <v>If the furniture is broken</v>
      </c>
      <c r="H476" s="49" t="str">
        <f t="shared" ca="1" si="474"/>
        <v>If the furniture is broken</v>
      </c>
      <c r="I476" s="49" t="str">
        <f t="shared" ca="1" si="474"/>
        <v>If the furniture is broken</v>
      </c>
      <c r="J476" s="49" t="str">
        <f t="shared" ca="1" si="474"/>
        <v>If the furniture is broken</v>
      </c>
    </row>
    <row r="477" spans="1:10" ht="38.25" x14ac:dyDescent="0.2">
      <c r="A477" s="41" t="s">
        <v>564</v>
      </c>
      <c r="B477" s="40"/>
      <c r="C477" s="40"/>
      <c r="D477" s="40"/>
      <c r="E477" s="40"/>
      <c r="F477" s="49" t="str">
        <f t="shared" ref="F477:J477" ca="1" si="475">IFERROR(__xludf.DUMMYFUNCTION("if (A477 &lt;&gt; """", GOOGLETRANSLATE(A477, ""auto"", ""en""), """")"),"How to When the furniture is broken")</f>
        <v>How to When the furniture is broken</v>
      </c>
      <c r="G477" s="49" t="str">
        <f t="shared" ca="1" si="475"/>
        <v>How to When the furniture is broken</v>
      </c>
      <c r="H477" s="49" t="str">
        <f t="shared" ca="1" si="475"/>
        <v>How to When the furniture is broken</v>
      </c>
      <c r="I477" s="49" t="str">
        <f t="shared" ca="1" si="475"/>
        <v>How to When the furniture is broken</v>
      </c>
      <c r="J477" s="49" t="str">
        <f t="shared" ca="1" si="475"/>
        <v>How to When the furniture is broken</v>
      </c>
    </row>
    <row r="478" spans="1:10" ht="38.25" x14ac:dyDescent="0.2">
      <c r="A478" s="41" t="s">
        <v>565</v>
      </c>
      <c r="B478" s="40"/>
      <c r="C478" s="40"/>
      <c r="D478" s="40"/>
      <c r="E478" s="40"/>
      <c r="F478" s="49" t="str">
        <f t="shared" ref="F478:J478" ca="1" si="476">IFERROR(__xludf.DUMMYFUNCTION("if (A478 &lt;&gt; """", GOOGLETRANSLATE(A478, ""auto"", ""en""), """")"),"How to When the furniture is broken")</f>
        <v>How to When the furniture is broken</v>
      </c>
      <c r="G478" s="49" t="str">
        <f t="shared" ca="1" si="476"/>
        <v>How to When the furniture is broken</v>
      </c>
      <c r="H478" s="49" t="str">
        <f t="shared" ca="1" si="476"/>
        <v>How to When the furniture is broken</v>
      </c>
      <c r="I478" s="49" t="str">
        <f t="shared" ca="1" si="476"/>
        <v>How to When the furniture is broken</v>
      </c>
      <c r="J478" s="49" t="str">
        <f t="shared" ca="1" si="476"/>
        <v>How to When the furniture is broken</v>
      </c>
    </row>
    <row r="479" spans="1:10" ht="38.25" x14ac:dyDescent="0.2">
      <c r="A479" s="41" t="s">
        <v>566</v>
      </c>
      <c r="B479" s="40"/>
      <c r="C479" s="40"/>
      <c r="D479" s="40"/>
      <c r="E479" s="40"/>
      <c r="F479" s="49" t="str">
        <f t="shared" ref="F479:J479" ca="1" si="477">IFERROR(__xludf.DUMMYFUNCTION("if (A479 &lt;&gt; """", GOOGLETRANSLATE(A479, ""auto"", ""en""), """")"),"What about if there is trouble")</f>
        <v>What about if there is trouble</v>
      </c>
      <c r="G479" s="49" t="str">
        <f t="shared" ca="1" si="477"/>
        <v>What about if there is trouble</v>
      </c>
      <c r="H479" s="49" t="str">
        <f t="shared" ca="1" si="477"/>
        <v>What about if there is trouble</v>
      </c>
      <c r="I479" s="49" t="str">
        <f t="shared" ca="1" si="477"/>
        <v>What about if there is trouble</v>
      </c>
      <c r="J479" s="49" t="str">
        <f t="shared" ca="1" si="477"/>
        <v>What about if there is trouble</v>
      </c>
    </row>
    <row r="480" spans="1:10" ht="51" x14ac:dyDescent="0.2">
      <c r="A480" s="41" t="s">
        <v>138</v>
      </c>
      <c r="B480" s="40"/>
      <c r="C480" s="40"/>
      <c r="D480" s="40"/>
      <c r="E480" s="40"/>
      <c r="F480" s="49" t="str">
        <f t="shared" ref="F480:J480" ca="1" si="478">IFERROR(__xludf.DUMMYFUNCTION("if (A480 &lt;&gt; """", GOOGLETRANSLATE(A480, ""auto"", ""en""), """")"),"About trouble in accommodation")</f>
        <v>About trouble in accommodation</v>
      </c>
      <c r="G480" s="49" t="str">
        <f t="shared" ca="1" si="478"/>
        <v>About trouble in accommodation</v>
      </c>
      <c r="H480" s="49" t="str">
        <f t="shared" ca="1" si="478"/>
        <v>About trouble in accommodation</v>
      </c>
      <c r="I480" s="49" t="str">
        <f t="shared" ca="1" si="478"/>
        <v>About trouble in accommodation</v>
      </c>
      <c r="J480" s="49" t="str">
        <f t="shared" ca="1" si="478"/>
        <v>About trouble in accommodation</v>
      </c>
    </row>
    <row r="481" spans="1:10" ht="12.75" x14ac:dyDescent="0.2">
      <c r="A481" s="40"/>
      <c r="B481" s="41" t="s">
        <v>422</v>
      </c>
      <c r="C481" s="41" t="s">
        <v>423</v>
      </c>
      <c r="D481" s="41" t="s">
        <v>424</v>
      </c>
      <c r="E481" s="40"/>
      <c r="F481" s="49" t="str">
        <f t="shared" ref="F481:J481" ca="1" si="479">IFERROR(__xludf.DUMMYFUNCTION("if (A481 &lt;&gt; """", GOOGLETRANSLATE(A481, ""auto"", ""en""), """")"),"")</f>
        <v/>
      </c>
      <c r="G481" s="49" t="str">
        <f t="shared" ca="1" si="479"/>
        <v/>
      </c>
      <c r="H481" s="49" t="str">
        <f t="shared" ca="1" si="479"/>
        <v/>
      </c>
      <c r="I481" s="49" t="str">
        <f t="shared" ca="1" si="479"/>
        <v/>
      </c>
      <c r="J481" s="49" t="str">
        <f t="shared" ca="1" si="479"/>
        <v/>
      </c>
    </row>
    <row r="482" spans="1:10" ht="12.75" x14ac:dyDescent="0.2">
      <c r="A482" s="40"/>
      <c r="B482" s="41" t="s">
        <v>422</v>
      </c>
      <c r="C482" s="41" t="s">
        <v>567</v>
      </c>
      <c r="D482" s="41" t="s">
        <v>568</v>
      </c>
      <c r="E482" s="40"/>
      <c r="F482" s="49" t="str">
        <f t="shared" ref="F482:J482" ca="1" si="480">IFERROR(__xludf.DUMMYFUNCTION("if (A482 &lt;&gt; """", GOOGLETRANSLATE(A482, ""auto"", ""en""), """")"),"")</f>
        <v/>
      </c>
      <c r="G482" s="49" t="str">
        <f t="shared" ca="1" si="480"/>
        <v/>
      </c>
      <c r="H482" s="49" t="str">
        <f t="shared" ca="1" si="480"/>
        <v/>
      </c>
      <c r="I482" s="49" t="str">
        <f t="shared" ca="1" si="480"/>
        <v/>
      </c>
      <c r="J482" s="49" t="str">
        <f t="shared" ca="1" si="480"/>
        <v/>
      </c>
    </row>
    <row r="483" spans="1:10" ht="12.75" x14ac:dyDescent="0.2">
      <c r="A483" s="40"/>
      <c r="B483" s="41" t="s">
        <v>403</v>
      </c>
      <c r="C483" s="41" t="s">
        <v>24</v>
      </c>
      <c r="D483" s="41" t="s">
        <v>26</v>
      </c>
      <c r="E483" s="40"/>
      <c r="F483" s="49" t="str">
        <f t="shared" ref="F483:J483" ca="1" si="481">IFERROR(__xludf.DUMMYFUNCTION("if (A483 &lt;&gt; """", GOOGLETRANSLATE(A483, ""auto"", ""en""), """")"),"")</f>
        <v/>
      </c>
      <c r="G483" s="49" t="str">
        <f t="shared" ca="1" si="481"/>
        <v/>
      </c>
      <c r="H483" s="49" t="str">
        <f t="shared" ca="1" si="481"/>
        <v/>
      </c>
      <c r="I483" s="49" t="str">
        <f t="shared" ca="1" si="481"/>
        <v/>
      </c>
      <c r="J483" s="49" t="str">
        <f t="shared" ca="1" si="481"/>
        <v/>
      </c>
    </row>
    <row r="484" spans="1:10" ht="12.75" x14ac:dyDescent="0.2">
      <c r="A484" s="40"/>
      <c r="B484" s="41" t="s">
        <v>403</v>
      </c>
      <c r="C484" s="41" t="s">
        <v>32</v>
      </c>
      <c r="D484" s="41" t="s">
        <v>29</v>
      </c>
      <c r="E484" s="40"/>
      <c r="F484" s="49" t="str">
        <f t="shared" ref="F484:J484" ca="1" si="482">IFERROR(__xludf.DUMMYFUNCTION("if (A484 &lt;&gt; """", GOOGLETRANSLATE(A484, ""auto"", ""en""), """")"),"")</f>
        <v/>
      </c>
      <c r="G484" s="49" t="str">
        <f t="shared" ca="1" si="482"/>
        <v/>
      </c>
      <c r="H484" s="49" t="str">
        <f t="shared" ca="1" si="482"/>
        <v/>
      </c>
      <c r="I484" s="49" t="str">
        <f t="shared" ca="1" si="482"/>
        <v/>
      </c>
      <c r="J484" s="49" t="str">
        <f t="shared" ca="1" si="482"/>
        <v/>
      </c>
    </row>
    <row r="485" spans="1:10" ht="12.75" x14ac:dyDescent="0.2">
      <c r="A485" s="40"/>
      <c r="B485" s="41" t="s">
        <v>403</v>
      </c>
      <c r="C485" s="41" t="s">
        <v>25</v>
      </c>
      <c r="D485" s="41" t="s">
        <v>27</v>
      </c>
      <c r="E485" s="40"/>
      <c r="F485" s="49" t="str">
        <f t="shared" ref="F485:J485" ca="1" si="483">IFERROR(__xludf.DUMMYFUNCTION("if (A485 &lt;&gt; """", GOOGLETRANSLATE(A485, ""auto"", ""en""), """")"),"")</f>
        <v/>
      </c>
      <c r="G485" s="49" t="str">
        <f t="shared" ca="1" si="483"/>
        <v/>
      </c>
      <c r="H485" s="49" t="str">
        <f t="shared" ca="1" si="483"/>
        <v/>
      </c>
      <c r="I485" s="49" t="str">
        <f t="shared" ca="1" si="483"/>
        <v/>
      </c>
      <c r="J485" s="49" t="str">
        <f t="shared" ca="1" si="483"/>
        <v/>
      </c>
    </row>
    <row r="486" spans="1:10" ht="12.75" x14ac:dyDescent="0.2">
      <c r="A486" s="40"/>
      <c r="B486" s="41" t="s">
        <v>403</v>
      </c>
      <c r="C486" s="41" t="s">
        <v>30</v>
      </c>
      <c r="D486" s="41" t="s">
        <v>31</v>
      </c>
      <c r="E486" s="40"/>
      <c r="F486" s="49" t="str">
        <f t="shared" ref="F486:J486" ca="1" si="484">IFERROR(__xludf.DUMMYFUNCTION("if (A486 &lt;&gt; """", GOOGLETRANSLATE(A486, ""auto"", ""en""), """")"),"")</f>
        <v/>
      </c>
      <c r="G486" s="49" t="str">
        <f t="shared" ca="1" si="484"/>
        <v/>
      </c>
      <c r="H486" s="49" t="str">
        <f t="shared" ca="1" si="484"/>
        <v/>
      </c>
      <c r="I486" s="49" t="str">
        <f t="shared" ca="1" si="484"/>
        <v/>
      </c>
      <c r="J486" s="49" t="str">
        <f t="shared" ca="1" si="484"/>
        <v/>
      </c>
    </row>
    <row r="487" spans="1:10" ht="12.75" x14ac:dyDescent="0.2">
      <c r="A487" s="40"/>
      <c r="B487" s="40"/>
      <c r="C487" s="40"/>
      <c r="D487" s="40"/>
      <c r="E487" s="40"/>
      <c r="F487" s="49" t="str">
        <f t="shared" ref="F487:J487" ca="1" si="485">IFERROR(__xludf.DUMMYFUNCTION("if (A487 &lt;&gt; """", GOOGLETRANSLATE(A487, ""auto"", ""en""), """")"),"")</f>
        <v/>
      </c>
      <c r="G487" s="49" t="str">
        <f t="shared" ca="1" si="485"/>
        <v/>
      </c>
      <c r="H487" s="49" t="str">
        <f t="shared" ca="1" si="485"/>
        <v/>
      </c>
      <c r="I487" s="49" t="str">
        <f t="shared" ca="1" si="485"/>
        <v/>
      </c>
      <c r="J487" s="49" t="str">
        <f t="shared" ca="1" si="485"/>
        <v/>
      </c>
    </row>
    <row r="488" spans="1:10" ht="12.75" x14ac:dyDescent="0.2">
      <c r="A488" s="41" t="s">
        <v>115</v>
      </c>
      <c r="B488" s="40"/>
      <c r="C488" s="40"/>
      <c r="D488" s="40"/>
      <c r="E488" s="40"/>
      <c r="F488" s="49" t="str">
        <f t="shared" ref="F488:J488" ca="1" si="486">IFERROR(__xludf.DUMMYFUNCTION("if (A488 &lt;&gt; """", GOOGLETRANSLATE(A488, ""auto"", ""en""), """")"),"FAQ-Guest4")</f>
        <v>FAQ-Guest4</v>
      </c>
      <c r="G488" s="49" t="str">
        <f t="shared" ca="1" si="486"/>
        <v>FAQ-Guest4</v>
      </c>
      <c r="H488" s="49" t="str">
        <f t="shared" ca="1" si="486"/>
        <v>FAQ-Guest4</v>
      </c>
      <c r="I488" s="49" t="str">
        <f t="shared" ca="1" si="486"/>
        <v>FAQ-Guest4</v>
      </c>
      <c r="J488" s="49" t="str">
        <f t="shared" ca="1" si="486"/>
        <v>FAQ-Guest4</v>
      </c>
    </row>
    <row r="489" spans="1:10" ht="12.75" x14ac:dyDescent="0.2">
      <c r="A489" s="40"/>
      <c r="B489" s="41" t="s">
        <v>398</v>
      </c>
      <c r="C489" s="40"/>
      <c r="D489" s="40"/>
      <c r="E489" s="40"/>
      <c r="F489" s="49" t="str">
        <f t="shared" ref="F489:J489" ca="1" si="487">IFERROR(__xludf.DUMMYFUNCTION("if (A489 &lt;&gt; """", GOOGLETRANSLATE(A489, ""auto"", ""en""), """")"),"")</f>
        <v/>
      </c>
      <c r="G489" s="49" t="str">
        <f t="shared" ca="1" si="487"/>
        <v/>
      </c>
      <c r="H489" s="49" t="str">
        <f t="shared" ca="1" si="487"/>
        <v/>
      </c>
      <c r="I489" s="49" t="str">
        <f t="shared" ca="1" si="487"/>
        <v/>
      </c>
      <c r="J489" s="49" t="str">
        <f t="shared" ca="1" si="487"/>
        <v/>
      </c>
    </row>
    <row r="490" spans="1:10" ht="12.75" x14ac:dyDescent="0.2">
      <c r="A490" s="40"/>
      <c r="B490" s="41" t="s">
        <v>399</v>
      </c>
      <c r="C490" s="40"/>
      <c r="D490" s="40"/>
      <c r="E490" s="40"/>
      <c r="F490" s="49" t="str">
        <f t="shared" ref="F490:J490" ca="1" si="488">IFERROR(__xludf.DUMMYFUNCTION("if (A490 &lt;&gt; """", GOOGLETRANSLATE(A490, ""auto"", ""en""), """")"),"")</f>
        <v/>
      </c>
      <c r="G490" s="49" t="str">
        <f t="shared" ca="1" si="488"/>
        <v/>
      </c>
      <c r="H490" s="49" t="str">
        <f t="shared" ca="1" si="488"/>
        <v/>
      </c>
      <c r="I490" s="49" t="str">
        <f t="shared" ca="1" si="488"/>
        <v/>
      </c>
      <c r="J490" s="49" t="str">
        <f t="shared" ca="1" si="488"/>
        <v/>
      </c>
    </row>
    <row r="491" spans="1:10" ht="12.75" x14ac:dyDescent="0.2">
      <c r="A491" s="40"/>
      <c r="B491" s="41" t="s">
        <v>400</v>
      </c>
      <c r="C491" s="40"/>
      <c r="D491" s="40"/>
      <c r="E491" s="40"/>
      <c r="F491" s="49" t="str">
        <f t="shared" ref="F491:J491" ca="1" si="489">IFERROR(__xludf.DUMMYFUNCTION("if (A491 &lt;&gt; """", GOOGLETRANSLATE(A491, ""auto"", ""en""), """")"),"")</f>
        <v/>
      </c>
      <c r="G491" s="49" t="str">
        <f t="shared" ca="1" si="489"/>
        <v/>
      </c>
      <c r="H491" s="49" t="str">
        <f t="shared" ca="1" si="489"/>
        <v/>
      </c>
      <c r="I491" s="49" t="str">
        <f t="shared" ca="1" si="489"/>
        <v/>
      </c>
      <c r="J491" s="49" t="str">
        <f t="shared" ca="1" si="489"/>
        <v/>
      </c>
    </row>
    <row r="492" spans="1:10" ht="12.75" x14ac:dyDescent="0.2">
      <c r="A492" s="40"/>
      <c r="B492" s="41" t="s">
        <v>401</v>
      </c>
      <c r="C492" s="41" t="s">
        <v>115</v>
      </c>
      <c r="D492" s="40"/>
      <c r="E492" s="40"/>
      <c r="F492" s="49" t="str">
        <f t="shared" ref="F492:J492" ca="1" si="490">IFERROR(__xludf.DUMMYFUNCTION("if (A492 &lt;&gt; """", GOOGLETRANSLATE(A492, ""auto"", ""en""), """")"),"")</f>
        <v/>
      </c>
      <c r="G492" s="49" t="str">
        <f t="shared" ca="1" si="490"/>
        <v/>
      </c>
      <c r="H492" s="49" t="str">
        <f t="shared" ca="1" si="490"/>
        <v/>
      </c>
      <c r="I492" s="49" t="str">
        <f t="shared" ca="1" si="490"/>
        <v/>
      </c>
      <c r="J492" s="49" t="str">
        <f t="shared" ca="1" si="490"/>
        <v/>
      </c>
    </row>
    <row r="493" spans="1:10" ht="51" x14ac:dyDescent="0.2">
      <c r="A493" s="41" t="s">
        <v>569</v>
      </c>
      <c r="B493" s="41" t="s">
        <v>402</v>
      </c>
      <c r="C493" s="41" t="s">
        <v>117</v>
      </c>
      <c r="D493" s="40"/>
      <c r="E493" s="40"/>
      <c r="F493" s="49" t="str">
        <f t="shared" ref="F493:J493" ca="1" si="491">IFERROR(__xludf.DUMMYFUNCTION("if (A493 &lt;&gt; """", GOOGLETRANSLATE(A493, ""auto"", ""en""), """")"),"I want to hear about accommodation")</f>
        <v>I want to hear about accommodation</v>
      </c>
      <c r="G493" s="49" t="str">
        <f t="shared" ca="1" si="491"/>
        <v>I want to hear about accommodation</v>
      </c>
      <c r="H493" s="49" t="str">
        <f t="shared" ca="1" si="491"/>
        <v>I want to hear about accommodation</v>
      </c>
      <c r="I493" s="49" t="str">
        <f t="shared" ca="1" si="491"/>
        <v>I want to hear about accommodation</v>
      </c>
      <c r="J493" s="49" t="str">
        <f t="shared" ca="1" si="491"/>
        <v>I want to hear about accommodation</v>
      </c>
    </row>
    <row r="494" spans="1:10" ht="51" x14ac:dyDescent="0.2">
      <c r="A494" s="41" t="s">
        <v>570</v>
      </c>
      <c r="B494" s="40"/>
      <c r="C494" s="40"/>
      <c r="D494" s="40"/>
      <c r="E494" s="40"/>
      <c r="F494" s="49" t="str">
        <f t="shared" ref="F494:J494" ca="1" si="492">IFERROR(__xludf.DUMMYFUNCTION("if (A494 &lt;&gt; """", GOOGLETRANSLATE(A494, ""auto"", ""en""), """")"),"I want to know about accommodation")</f>
        <v>I want to know about accommodation</v>
      </c>
      <c r="G494" s="49" t="str">
        <f t="shared" ca="1" si="492"/>
        <v>I want to know about accommodation</v>
      </c>
      <c r="H494" s="49" t="str">
        <f t="shared" ca="1" si="492"/>
        <v>I want to know about accommodation</v>
      </c>
      <c r="I494" s="49" t="str">
        <f t="shared" ca="1" si="492"/>
        <v>I want to know about accommodation</v>
      </c>
      <c r="J494" s="49" t="str">
        <f t="shared" ca="1" si="492"/>
        <v>I want to know about accommodation</v>
      </c>
    </row>
    <row r="495" spans="1:10" ht="38.25" x14ac:dyDescent="0.2">
      <c r="A495" s="41" t="s">
        <v>571</v>
      </c>
      <c r="B495" s="40"/>
      <c r="C495" s="40"/>
      <c r="D495" s="40"/>
      <c r="E495" s="40"/>
      <c r="F495" s="49" t="str">
        <f t="shared" ref="F495:J495" ca="1" si="493">IFERROR(__xludf.DUMMYFUNCTION("if (A495 &lt;&gt; """", GOOGLETRANSLATE(A495, ""auto"", ""en""), """")"),"The method of accommodation")</f>
        <v>The method of accommodation</v>
      </c>
      <c r="G495" s="49" t="str">
        <f t="shared" ca="1" si="493"/>
        <v>The method of accommodation</v>
      </c>
      <c r="H495" s="49" t="str">
        <f t="shared" ca="1" si="493"/>
        <v>The method of accommodation</v>
      </c>
      <c r="I495" s="49" t="str">
        <f t="shared" ca="1" si="493"/>
        <v>The method of accommodation</v>
      </c>
      <c r="J495" s="49" t="str">
        <f t="shared" ca="1" si="493"/>
        <v>The method of accommodation</v>
      </c>
    </row>
    <row r="496" spans="1:10" ht="38.25" x14ac:dyDescent="0.2">
      <c r="A496" s="41" t="s">
        <v>572</v>
      </c>
      <c r="B496" s="40"/>
      <c r="C496" s="40"/>
      <c r="D496" s="40"/>
      <c r="E496" s="40"/>
      <c r="F496" s="49" t="str">
        <f t="shared" ref="F496:J496" ca="1" si="494">IFERROR(__xludf.DUMMYFUNCTION("if (A496 &lt;&gt; """", GOOGLETRANSLATE(A496, ""auto"", ""en""), """")"),"Way of accommodation")</f>
        <v>Way of accommodation</v>
      </c>
      <c r="G496" s="49" t="str">
        <f t="shared" ca="1" si="494"/>
        <v>Way of accommodation</v>
      </c>
      <c r="H496" s="49" t="str">
        <f t="shared" ca="1" si="494"/>
        <v>Way of accommodation</v>
      </c>
      <c r="I496" s="49" t="str">
        <f t="shared" ca="1" si="494"/>
        <v>Way of accommodation</v>
      </c>
      <c r="J496" s="49" t="str">
        <f t="shared" ca="1" si="494"/>
        <v>Way of accommodation</v>
      </c>
    </row>
    <row r="497" spans="1:10" ht="38.25" x14ac:dyDescent="0.2">
      <c r="A497" s="41" t="s">
        <v>51</v>
      </c>
      <c r="B497" s="40"/>
      <c r="C497" s="40"/>
      <c r="D497" s="40"/>
      <c r="E497" s="40"/>
      <c r="F497" s="49" t="str">
        <f t="shared" ref="F497:J497" ca="1" si="495">IFERROR(__xludf.DUMMYFUNCTION("if (A497 &lt;&gt; """", GOOGLETRANSLATE(A497, ""auto"", ""en""), """")"),"The type of accommodation")</f>
        <v>The type of accommodation</v>
      </c>
      <c r="G497" s="49" t="str">
        <f t="shared" ca="1" si="495"/>
        <v>The type of accommodation</v>
      </c>
      <c r="H497" s="49" t="str">
        <f t="shared" ca="1" si="495"/>
        <v>The type of accommodation</v>
      </c>
      <c r="I497" s="49" t="str">
        <f t="shared" ca="1" si="495"/>
        <v>The type of accommodation</v>
      </c>
      <c r="J497" s="49" t="str">
        <f t="shared" ca="1" si="495"/>
        <v>The type of accommodation</v>
      </c>
    </row>
    <row r="498" spans="1:10" ht="12.75" x14ac:dyDescent="0.2">
      <c r="A498" s="40"/>
      <c r="B498" s="41" t="s">
        <v>403</v>
      </c>
      <c r="C498" s="41" t="s">
        <v>119</v>
      </c>
      <c r="D498" s="41" t="s">
        <v>120</v>
      </c>
      <c r="E498" s="40"/>
      <c r="F498" s="49" t="str">
        <f t="shared" ref="F498:J498" ca="1" si="496">IFERROR(__xludf.DUMMYFUNCTION("if (A498 &lt;&gt; """", GOOGLETRANSLATE(A498, ""auto"", ""en""), """")"),"")</f>
        <v/>
      </c>
      <c r="G498" s="49" t="str">
        <f t="shared" ca="1" si="496"/>
        <v/>
      </c>
      <c r="H498" s="49" t="str">
        <f t="shared" ca="1" si="496"/>
        <v/>
      </c>
      <c r="I498" s="49" t="str">
        <f t="shared" ca="1" si="496"/>
        <v/>
      </c>
      <c r="J498" s="49" t="str">
        <f t="shared" ca="1" si="496"/>
        <v/>
      </c>
    </row>
    <row r="499" spans="1:10" ht="25.5" x14ac:dyDescent="0.2">
      <c r="A499" s="40"/>
      <c r="B499" s="41" t="s">
        <v>403</v>
      </c>
      <c r="C499" s="41" t="s">
        <v>126</v>
      </c>
      <c r="D499" s="41" t="s">
        <v>127</v>
      </c>
      <c r="E499" s="40"/>
      <c r="F499" s="49" t="str">
        <f t="shared" ref="F499:J499" ca="1" si="497">IFERROR(__xludf.DUMMYFUNCTION("if (A499 &lt;&gt; """", GOOGLETRANSLATE(A499, ""auto"", ""en""), """")"),"")</f>
        <v/>
      </c>
      <c r="G499" s="49" t="str">
        <f t="shared" ca="1" si="497"/>
        <v/>
      </c>
      <c r="H499" s="49" t="str">
        <f t="shared" ca="1" si="497"/>
        <v/>
      </c>
      <c r="I499" s="49" t="str">
        <f t="shared" ca="1" si="497"/>
        <v/>
      </c>
      <c r="J499" s="49" t="str">
        <f t="shared" ca="1" si="497"/>
        <v/>
      </c>
    </row>
    <row r="500" spans="1:10" ht="25.5" x14ac:dyDescent="0.2">
      <c r="A500" s="40"/>
      <c r="B500" s="41" t="s">
        <v>403</v>
      </c>
      <c r="C500" s="41" t="s">
        <v>130</v>
      </c>
      <c r="D500" s="41" t="s">
        <v>131</v>
      </c>
      <c r="E500" s="40"/>
      <c r="F500" s="49" t="str">
        <f t="shared" ref="F500:J500" ca="1" si="498">IFERROR(__xludf.DUMMYFUNCTION("if (A500 &lt;&gt; """", GOOGLETRANSLATE(A500, ""auto"", ""en""), """")"),"")</f>
        <v/>
      </c>
      <c r="G500" s="49" t="str">
        <f t="shared" ca="1" si="498"/>
        <v/>
      </c>
      <c r="H500" s="49" t="str">
        <f t="shared" ca="1" si="498"/>
        <v/>
      </c>
      <c r="I500" s="49" t="str">
        <f t="shared" ca="1" si="498"/>
        <v/>
      </c>
      <c r="J500" s="49" t="str">
        <f t="shared" ca="1" si="498"/>
        <v/>
      </c>
    </row>
    <row r="501" spans="1:10" ht="12.75" x14ac:dyDescent="0.2">
      <c r="A501" s="40"/>
      <c r="B501" s="41" t="s">
        <v>403</v>
      </c>
      <c r="C501" s="41" t="s">
        <v>132</v>
      </c>
      <c r="D501" s="41" t="s">
        <v>134</v>
      </c>
      <c r="E501" s="40"/>
      <c r="F501" s="49" t="str">
        <f t="shared" ref="F501:J501" ca="1" si="499">IFERROR(__xludf.DUMMYFUNCTION("if (A501 &lt;&gt; """", GOOGLETRANSLATE(A501, ""auto"", ""en""), """")"),"")</f>
        <v/>
      </c>
      <c r="G501" s="49" t="str">
        <f t="shared" ca="1" si="499"/>
        <v/>
      </c>
      <c r="H501" s="49" t="str">
        <f t="shared" ca="1" si="499"/>
        <v/>
      </c>
      <c r="I501" s="49" t="str">
        <f t="shared" ca="1" si="499"/>
        <v/>
      </c>
      <c r="J501" s="49" t="str">
        <f t="shared" ca="1" si="499"/>
        <v/>
      </c>
    </row>
    <row r="502" spans="1:10" ht="12.75" x14ac:dyDescent="0.2">
      <c r="A502" s="40"/>
      <c r="B502" s="41" t="s">
        <v>403</v>
      </c>
      <c r="C502" s="41" t="s">
        <v>136</v>
      </c>
      <c r="D502" s="41" t="s">
        <v>137</v>
      </c>
      <c r="E502" s="40"/>
      <c r="F502" s="49" t="str">
        <f t="shared" ref="F502:J502" ca="1" si="500">IFERROR(__xludf.DUMMYFUNCTION("if (A502 &lt;&gt; """", GOOGLETRANSLATE(A502, ""auto"", ""en""), """")"),"")</f>
        <v/>
      </c>
      <c r="G502" s="49" t="str">
        <f t="shared" ca="1" si="500"/>
        <v/>
      </c>
      <c r="H502" s="49" t="str">
        <f t="shared" ca="1" si="500"/>
        <v/>
      </c>
      <c r="I502" s="49" t="str">
        <f t="shared" ca="1" si="500"/>
        <v/>
      </c>
      <c r="J502" s="49" t="str">
        <f t="shared" ca="1" si="500"/>
        <v/>
      </c>
    </row>
    <row r="503" spans="1:10" ht="12.75" x14ac:dyDescent="0.2">
      <c r="A503" s="40"/>
      <c r="B503" s="41" t="s">
        <v>403</v>
      </c>
      <c r="C503" s="41" t="s">
        <v>138</v>
      </c>
      <c r="D503" s="41" t="s">
        <v>140</v>
      </c>
      <c r="E503" s="40"/>
      <c r="F503" s="49" t="str">
        <f t="shared" ref="F503:J503" ca="1" si="501">IFERROR(__xludf.DUMMYFUNCTION("if (A503 &lt;&gt; """", GOOGLETRANSLATE(A503, ""auto"", ""en""), """")"),"")</f>
        <v/>
      </c>
      <c r="G503" s="49" t="str">
        <f t="shared" ca="1" si="501"/>
        <v/>
      </c>
      <c r="H503" s="49" t="str">
        <f t="shared" ca="1" si="501"/>
        <v/>
      </c>
      <c r="I503" s="49" t="str">
        <f t="shared" ca="1" si="501"/>
        <v/>
      </c>
      <c r="J503" s="49" t="str">
        <f t="shared" ca="1" si="501"/>
        <v/>
      </c>
    </row>
    <row r="504" spans="1:10" ht="12.75" x14ac:dyDescent="0.2">
      <c r="A504" s="40"/>
      <c r="B504" s="41" t="s">
        <v>403</v>
      </c>
      <c r="C504" s="41" t="s">
        <v>24</v>
      </c>
      <c r="D504" s="41" t="s">
        <v>26</v>
      </c>
      <c r="E504" s="40"/>
      <c r="F504" s="49" t="str">
        <f t="shared" ref="F504:J504" ca="1" si="502">IFERROR(__xludf.DUMMYFUNCTION("if (A504 &lt;&gt; """", GOOGLETRANSLATE(A504, ""auto"", ""en""), """")"),"")</f>
        <v/>
      </c>
      <c r="G504" s="49" t="str">
        <f t="shared" ca="1" si="502"/>
        <v/>
      </c>
      <c r="H504" s="49" t="str">
        <f t="shared" ca="1" si="502"/>
        <v/>
      </c>
      <c r="I504" s="49" t="str">
        <f t="shared" ca="1" si="502"/>
        <v/>
      </c>
      <c r="J504" s="49" t="str">
        <f t="shared" ca="1" si="502"/>
        <v/>
      </c>
    </row>
    <row r="505" spans="1:10" ht="12.75" x14ac:dyDescent="0.2">
      <c r="A505" s="40"/>
      <c r="B505" s="40"/>
      <c r="C505" s="40"/>
      <c r="D505" s="40"/>
      <c r="E505" s="40"/>
      <c r="F505" s="49" t="str">
        <f t="shared" ref="F505:J505" ca="1" si="503">IFERROR(__xludf.DUMMYFUNCTION("if (A505 &lt;&gt; """", GOOGLETRANSLATE(A505, ""auto"", ""en""), """")"),"")</f>
        <v/>
      </c>
      <c r="G505" s="49" t="str">
        <f t="shared" ca="1" si="503"/>
        <v/>
      </c>
      <c r="H505" s="49" t="str">
        <f t="shared" ca="1" si="503"/>
        <v/>
      </c>
      <c r="I505" s="49" t="str">
        <f t="shared" ca="1" si="503"/>
        <v/>
      </c>
      <c r="J505" s="49" t="str">
        <f t="shared" ca="1" si="503"/>
        <v/>
      </c>
    </row>
    <row r="506" spans="1:10" ht="25.5" x14ac:dyDescent="0.2">
      <c r="A506" s="41" t="s">
        <v>146</v>
      </c>
      <c r="B506" s="40"/>
      <c r="C506" s="40"/>
      <c r="D506" s="40"/>
      <c r="E506" s="40"/>
      <c r="F506" s="49" t="str">
        <f t="shared" ref="F506:J506" ca="1" si="504">IFERROR(__xludf.DUMMYFUNCTION("if (A506 &lt;&gt; """", GOOGLETRANSLATE(A506, ""auto"", ""en""), """")"),"FAQ-Guest5-1")</f>
        <v>FAQ-Guest5-1</v>
      </c>
      <c r="G506" s="49" t="str">
        <f t="shared" ca="1" si="504"/>
        <v>FAQ-Guest5-1</v>
      </c>
      <c r="H506" s="49" t="str">
        <f t="shared" ca="1" si="504"/>
        <v>FAQ-Guest5-1</v>
      </c>
      <c r="I506" s="49" t="str">
        <f t="shared" ca="1" si="504"/>
        <v>FAQ-Guest5-1</v>
      </c>
      <c r="J506" s="49" t="str">
        <f t="shared" ca="1" si="504"/>
        <v>FAQ-Guest5-1</v>
      </c>
    </row>
    <row r="507" spans="1:10" ht="12.75" x14ac:dyDescent="0.2">
      <c r="A507" s="40"/>
      <c r="B507" s="41" t="s">
        <v>398</v>
      </c>
      <c r="C507" s="40"/>
      <c r="D507" s="40"/>
      <c r="E507" s="40"/>
      <c r="F507" s="49" t="str">
        <f t="shared" ref="F507:J507" ca="1" si="505">IFERROR(__xludf.DUMMYFUNCTION("if (A507 &lt;&gt; """", GOOGLETRANSLATE(A507, ""auto"", ""en""), """")"),"")</f>
        <v/>
      </c>
      <c r="G507" s="49" t="str">
        <f t="shared" ca="1" si="505"/>
        <v/>
      </c>
      <c r="H507" s="49" t="str">
        <f t="shared" ca="1" si="505"/>
        <v/>
      </c>
      <c r="I507" s="49" t="str">
        <f t="shared" ca="1" si="505"/>
        <v/>
      </c>
      <c r="J507" s="49" t="str">
        <f t="shared" ca="1" si="505"/>
        <v/>
      </c>
    </row>
    <row r="508" spans="1:10" ht="12.75" x14ac:dyDescent="0.2">
      <c r="A508" s="40"/>
      <c r="B508" s="41" t="s">
        <v>399</v>
      </c>
      <c r="C508" s="40"/>
      <c r="D508" s="40"/>
      <c r="E508" s="40"/>
      <c r="F508" s="49" t="str">
        <f t="shared" ref="F508:J508" ca="1" si="506">IFERROR(__xludf.DUMMYFUNCTION("if (A508 &lt;&gt; """", GOOGLETRANSLATE(A508, ""auto"", ""en""), """")"),"")</f>
        <v/>
      </c>
      <c r="G508" s="49" t="str">
        <f t="shared" ca="1" si="506"/>
        <v/>
      </c>
      <c r="H508" s="49" t="str">
        <f t="shared" ca="1" si="506"/>
        <v/>
      </c>
      <c r="I508" s="49" t="str">
        <f t="shared" ca="1" si="506"/>
        <v/>
      </c>
      <c r="J508" s="49" t="str">
        <f t="shared" ca="1" si="506"/>
        <v/>
      </c>
    </row>
    <row r="509" spans="1:10" ht="12.75" x14ac:dyDescent="0.2">
      <c r="A509" s="40"/>
      <c r="B509" s="41" t="s">
        <v>400</v>
      </c>
      <c r="C509" s="40"/>
      <c r="D509" s="40"/>
      <c r="E509" s="40"/>
      <c r="F509" s="49" t="str">
        <f t="shared" ref="F509:J509" ca="1" si="507">IFERROR(__xludf.DUMMYFUNCTION("if (A509 &lt;&gt; """", GOOGLETRANSLATE(A509, ""auto"", ""en""), """")"),"")</f>
        <v/>
      </c>
      <c r="G509" s="49" t="str">
        <f t="shared" ca="1" si="507"/>
        <v/>
      </c>
      <c r="H509" s="49" t="str">
        <f t="shared" ca="1" si="507"/>
        <v/>
      </c>
      <c r="I509" s="49" t="str">
        <f t="shared" ca="1" si="507"/>
        <v/>
      </c>
      <c r="J509" s="49" t="str">
        <f t="shared" ca="1" si="507"/>
        <v/>
      </c>
    </row>
    <row r="510" spans="1:10" ht="12.75" x14ac:dyDescent="0.2">
      <c r="A510" s="40"/>
      <c r="B510" s="41" t="s">
        <v>401</v>
      </c>
      <c r="C510" s="41" t="s">
        <v>146</v>
      </c>
      <c r="D510" s="40"/>
      <c r="E510" s="40"/>
      <c r="F510" s="49" t="str">
        <f t="shared" ref="F510:J510" ca="1" si="508">IFERROR(__xludf.DUMMYFUNCTION("if (A510 &lt;&gt; """", GOOGLETRANSLATE(A510, ""auto"", ""en""), """")"),"")</f>
        <v/>
      </c>
      <c r="G510" s="49" t="str">
        <f t="shared" ca="1" si="508"/>
        <v/>
      </c>
      <c r="H510" s="49" t="str">
        <f t="shared" ca="1" si="508"/>
        <v/>
      </c>
      <c r="I510" s="49" t="str">
        <f t="shared" ca="1" si="508"/>
        <v/>
      </c>
      <c r="J510" s="49" t="str">
        <f t="shared" ca="1" si="508"/>
        <v/>
      </c>
    </row>
    <row r="511" spans="1:10" ht="38.25" x14ac:dyDescent="0.2">
      <c r="A511" s="41" t="s">
        <v>573</v>
      </c>
      <c r="B511" s="41" t="s">
        <v>402</v>
      </c>
      <c r="C511" s="41" t="s">
        <v>365</v>
      </c>
      <c r="D511" s="40"/>
      <c r="E511" s="40"/>
      <c r="F511" s="49" t="str">
        <f t="shared" ref="F511:J511" ca="1" si="509">IFERROR(__xludf.DUMMYFUNCTION("if (A511 &lt;&gt; """", GOOGLETRANSLATE(A511, ""auto"", ""en""), """")"),"About what was the payment")</f>
        <v>About what was the payment</v>
      </c>
      <c r="G511" s="49" t="str">
        <f t="shared" ca="1" si="509"/>
        <v>About what was the payment</v>
      </c>
      <c r="H511" s="49" t="str">
        <f t="shared" ca="1" si="509"/>
        <v>About what was the payment</v>
      </c>
      <c r="I511" s="49" t="str">
        <f t="shared" ca="1" si="509"/>
        <v>About what was the payment</v>
      </c>
      <c r="J511" s="49" t="str">
        <f t="shared" ca="1" si="509"/>
        <v>About what was the payment</v>
      </c>
    </row>
    <row r="512" spans="1:10" ht="25.5" x14ac:dyDescent="0.2">
      <c r="A512" s="41" t="s">
        <v>574</v>
      </c>
      <c r="B512" s="41" t="s">
        <v>402</v>
      </c>
      <c r="C512" s="41" t="s">
        <v>19</v>
      </c>
      <c r="D512" s="40"/>
      <c r="E512" s="40"/>
      <c r="F512" s="49" t="str">
        <f t="shared" ref="F512:J512" ca="1" si="510">IFERROR(__xludf.DUMMYFUNCTION("if (A512 &lt;&gt; """", GOOGLETRANSLATE(A512, ""auto"", ""en""), """")"),"How do you in payment")</f>
        <v>How do you in payment</v>
      </c>
      <c r="G512" s="49" t="str">
        <f t="shared" ca="1" si="510"/>
        <v>How do you in payment</v>
      </c>
      <c r="H512" s="49" t="str">
        <f t="shared" ca="1" si="510"/>
        <v>How do you in payment</v>
      </c>
      <c r="I512" s="49" t="str">
        <f t="shared" ca="1" si="510"/>
        <v>How do you in payment</v>
      </c>
      <c r="J512" s="49" t="str">
        <f t="shared" ca="1" si="510"/>
        <v>How do you in payment</v>
      </c>
    </row>
    <row r="513" spans="1:10" ht="25.5" x14ac:dyDescent="0.2">
      <c r="A513" s="41" t="s">
        <v>575</v>
      </c>
      <c r="B513" s="40"/>
      <c r="C513" s="40"/>
      <c r="D513" s="40"/>
      <c r="E513" s="40"/>
      <c r="F513" s="49" t="str">
        <f t="shared" ref="F513:J513" ca="1" si="511">IFERROR(__xludf.DUMMYFUNCTION("if (A513 &lt;&gt; """", GOOGLETRANSLATE(A513, ""auto"", ""en""), """")"),"Okay by bank transfer")</f>
        <v>Okay by bank transfer</v>
      </c>
      <c r="G513" s="49" t="str">
        <f t="shared" ca="1" si="511"/>
        <v>Okay by bank transfer</v>
      </c>
      <c r="H513" s="49" t="str">
        <f t="shared" ca="1" si="511"/>
        <v>Okay by bank transfer</v>
      </c>
      <c r="I513" s="49" t="str">
        <f t="shared" ca="1" si="511"/>
        <v>Okay by bank transfer</v>
      </c>
      <c r="J513" s="49" t="str">
        <f t="shared" ca="1" si="511"/>
        <v>Okay by bank transfer</v>
      </c>
    </row>
    <row r="514" spans="1:10" ht="25.5" x14ac:dyDescent="0.2">
      <c r="A514" s="41" t="s">
        <v>576</v>
      </c>
      <c r="B514" s="40"/>
      <c r="C514" s="40"/>
      <c r="D514" s="40"/>
      <c r="E514" s="40"/>
      <c r="F514" s="49" t="str">
        <f t="shared" ref="F514:J514" ca="1" si="512">IFERROR(__xludf.DUMMYFUNCTION("if (A514 &lt;&gt; """", GOOGLETRANSLATE(A514, ""auto"", ""en""), """")"),"Or settlement there is what")</f>
        <v>Or settlement there is what</v>
      </c>
      <c r="G514" s="49" t="str">
        <f t="shared" ca="1" si="512"/>
        <v>Or settlement there is what</v>
      </c>
      <c r="H514" s="49" t="str">
        <f t="shared" ca="1" si="512"/>
        <v>Or settlement there is what</v>
      </c>
      <c r="I514" s="49" t="str">
        <f t="shared" ca="1" si="512"/>
        <v>Or settlement there is what</v>
      </c>
      <c r="J514" s="49" t="str">
        <f t="shared" ca="1" si="512"/>
        <v>Or settlement there is what</v>
      </c>
    </row>
    <row r="515" spans="1:10" ht="25.5" x14ac:dyDescent="0.2">
      <c r="A515" s="41" t="s">
        <v>577</v>
      </c>
      <c r="B515" s="40"/>
      <c r="C515" s="40"/>
      <c r="D515" s="40"/>
      <c r="E515" s="40"/>
      <c r="F515" s="49" t="str">
        <f t="shared" ref="F515:J515" ca="1" si="513">IFERROR(__xludf.DUMMYFUNCTION("if (A515 &lt;&gt; """", GOOGLETRANSLATE(A515, ""auto"", ""en""), """")"),"To pay the way of money")</f>
        <v>To pay the way of money</v>
      </c>
      <c r="G515" s="49" t="str">
        <f t="shared" ca="1" si="513"/>
        <v>To pay the way of money</v>
      </c>
      <c r="H515" s="49" t="str">
        <f t="shared" ca="1" si="513"/>
        <v>To pay the way of money</v>
      </c>
      <c r="I515" s="49" t="str">
        <f t="shared" ca="1" si="513"/>
        <v>To pay the way of money</v>
      </c>
      <c r="J515" s="49" t="str">
        <f t="shared" ca="1" si="513"/>
        <v>To pay the way of money</v>
      </c>
    </row>
    <row r="516" spans="1:10" ht="25.5" x14ac:dyDescent="0.2">
      <c r="A516" s="41" t="s">
        <v>578</v>
      </c>
      <c r="B516" s="40"/>
      <c r="C516" s="40"/>
      <c r="D516" s="40"/>
      <c r="E516" s="40"/>
      <c r="F516" s="49" t="str">
        <f t="shared" ref="F516:J516" ca="1" si="514">IFERROR(__xludf.DUMMYFUNCTION("if (A516 &lt;&gt; """", GOOGLETRANSLATE(A516, ""auto"", ""en""), """")"),"Of money Haraikata")</f>
        <v>Of money Haraikata</v>
      </c>
      <c r="G516" s="49" t="str">
        <f t="shared" ca="1" si="514"/>
        <v>Of money Haraikata</v>
      </c>
      <c r="H516" s="49" t="str">
        <f t="shared" ca="1" si="514"/>
        <v>Of money Haraikata</v>
      </c>
      <c r="I516" s="49" t="str">
        <f t="shared" ca="1" si="514"/>
        <v>Of money Haraikata</v>
      </c>
      <c r="J516" s="49" t="str">
        <f t="shared" ca="1" si="514"/>
        <v>Of money Haraikata</v>
      </c>
    </row>
    <row r="517" spans="1:10" ht="38.25" x14ac:dyDescent="0.2">
      <c r="A517" s="41" t="s">
        <v>579</v>
      </c>
      <c r="B517" s="40"/>
      <c r="C517" s="40"/>
      <c r="D517" s="40"/>
      <c r="E517" s="40"/>
      <c r="F517" s="49" t="str">
        <f t="shared" ref="F517:J517" ca="1" si="515">IFERROR(__xludf.DUMMYFUNCTION("if (A517 &lt;&gt; """", GOOGLETRANSLATE(A517, ""auto"", ""en""), """")"),"How do we pay the money")</f>
        <v>How do we pay the money</v>
      </c>
      <c r="G517" s="49" t="str">
        <f t="shared" ca="1" si="515"/>
        <v>How do we pay the money</v>
      </c>
      <c r="H517" s="49" t="str">
        <f t="shared" ca="1" si="515"/>
        <v>How do we pay the money</v>
      </c>
      <c r="I517" s="49" t="str">
        <f t="shared" ca="1" si="515"/>
        <v>How do we pay the money</v>
      </c>
      <c r="J517" s="49" t="str">
        <f t="shared" ca="1" si="515"/>
        <v>How do we pay the money</v>
      </c>
    </row>
    <row r="518" spans="1:10" ht="38.25" x14ac:dyDescent="0.2">
      <c r="A518" s="41" t="s">
        <v>145</v>
      </c>
      <c r="B518" s="40"/>
      <c r="C518" s="40"/>
      <c r="D518" s="40"/>
      <c r="E518" s="40"/>
      <c r="F518" s="49" t="str">
        <f t="shared" ref="F518:J518" ca="1" si="516">IFERROR(__xludf.DUMMYFUNCTION("if (A518 &lt;&gt; """", GOOGLETRANSLATE(A518, ""auto"", ""en""), """")"),"For payment of the reservation")</f>
        <v>For payment of the reservation</v>
      </c>
      <c r="G518" s="49" t="str">
        <f t="shared" ca="1" si="516"/>
        <v>For payment of the reservation</v>
      </c>
      <c r="H518" s="49" t="str">
        <f t="shared" ca="1" si="516"/>
        <v>For payment of the reservation</v>
      </c>
      <c r="I518" s="49" t="str">
        <f t="shared" ca="1" si="516"/>
        <v>For payment of the reservation</v>
      </c>
      <c r="J518" s="49" t="str">
        <f t="shared" ca="1" si="516"/>
        <v>For payment of the reservation</v>
      </c>
    </row>
    <row r="519" spans="1:10" ht="12.75" x14ac:dyDescent="0.2">
      <c r="A519" s="40"/>
      <c r="B519" s="41" t="s">
        <v>403</v>
      </c>
      <c r="C519" s="41" t="s">
        <v>24</v>
      </c>
      <c r="D519" s="41" t="s">
        <v>26</v>
      </c>
      <c r="E519" s="40"/>
      <c r="F519" s="49" t="str">
        <f t="shared" ref="F519:J519" ca="1" si="517">IFERROR(__xludf.DUMMYFUNCTION("if (A519 &lt;&gt; """", GOOGLETRANSLATE(A519, ""auto"", ""en""), """")"),"")</f>
        <v/>
      </c>
      <c r="G519" s="49" t="str">
        <f t="shared" ca="1" si="517"/>
        <v/>
      </c>
      <c r="H519" s="49" t="str">
        <f t="shared" ca="1" si="517"/>
        <v/>
      </c>
      <c r="I519" s="49" t="str">
        <f t="shared" ca="1" si="517"/>
        <v/>
      </c>
      <c r="J519" s="49" t="str">
        <f t="shared" ca="1" si="517"/>
        <v/>
      </c>
    </row>
    <row r="520" spans="1:10" ht="12.75" x14ac:dyDescent="0.2">
      <c r="A520" s="40"/>
      <c r="B520" s="41" t="s">
        <v>403</v>
      </c>
      <c r="C520" s="41" t="s">
        <v>32</v>
      </c>
      <c r="D520" s="41" t="s">
        <v>29</v>
      </c>
      <c r="E520" s="40"/>
      <c r="F520" s="49" t="str">
        <f t="shared" ref="F520:J520" ca="1" si="518">IFERROR(__xludf.DUMMYFUNCTION("if (A520 &lt;&gt; """", GOOGLETRANSLATE(A520, ""auto"", ""en""), """")"),"")</f>
        <v/>
      </c>
      <c r="G520" s="49" t="str">
        <f t="shared" ca="1" si="518"/>
        <v/>
      </c>
      <c r="H520" s="49" t="str">
        <f t="shared" ca="1" si="518"/>
        <v/>
      </c>
      <c r="I520" s="49" t="str">
        <f t="shared" ca="1" si="518"/>
        <v/>
      </c>
      <c r="J520" s="49" t="str">
        <f t="shared" ca="1" si="518"/>
        <v/>
      </c>
    </row>
    <row r="521" spans="1:10" ht="12.75" x14ac:dyDescent="0.2">
      <c r="A521" s="40"/>
      <c r="B521" s="41" t="s">
        <v>403</v>
      </c>
      <c r="C521" s="41" t="s">
        <v>25</v>
      </c>
      <c r="D521" s="41" t="s">
        <v>27</v>
      </c>
      <c r="E521" s="40"/>
      <c r="F521" s="49" t="str">
        <f t="shared" ref="F521:J521" ca="1" si="519">IFERROR(__xludf.DUMMYFUNCTION("if (A521 &lt;&gt; """", GOOGLETRANSLATE(A521, ""auto"", ""en""), """")"),"")</f>
        <v/>
      </c>
      <c r="G521" s="49" t="str">
        <f t="shared" ca="1" si="519"/>
        <v/>
      </c>
      <c r="H521" s="49" t="str">
        <f t="shared" ca="1" si="519"/>
        <v/>
      </c>
      <c r="I521" s="49" t="str">
        <f t="shared" ca="1" si="519"/>
        <v/>
      </c>
      <c r="J521" s="49" t="str">
        <f t="shared" ca="1" si="519"/>
        <v/>
      </c>
    </row>
    <row r="522" spans="1:10" ht="12.75" x14ac:dyDescent="0.2">
      <c r="A522" s="40"/>
      <c r="B522" s="41" t="s">
        <v>403</v>
      </c>
      <c r="C522" s="41" t="s">
        <v>30</v>
      </c>
      <c r="D522" s="41" t="s">
        <v>31</v>
      </c>
      <c r="E522" s="40"/>
      <c r="F522" s="49" t="str">
        <f t="shared" ref="F522:J522" ca="1" si="520">IFERROR(__xludf.DUMMYFUNCTION("if (A522 &lt;&gt; """", GOOGLETRANSLATE(A522, ""auto"", ""en""), """")"),"")</f>
        <v/>
      </c>
      <c r="G522" s="49" t="str">
        <f t="shared" ca="1" si="520"/>
        <v/>
      </c>
      <c r="H522" s="49" t="str">
        <f t="shared" ca="1" si="520"/>
        <v/>
      </c>
      <c r="I522" s="49" t="str">
        <f t="shared" ca="1" si="520"/>
        <v/>
      </c>
      <c r="J522" s="49" t="str">
        <f t="shared" ca="1" si="520"/>
        <v/>
      </c>
    </row>
    <row r="523" spans="1:10" ht="12.75" x14ac:dyDescent="0.2">
      <c r="A523" s="40"/>
      <c r="B523" s="40"/>
      <c r="C523" s="40"/>
      <c r="D523" s="40"/>
      <c r="E523" s="40"/>
      <c r="F523" s="49" t="str">
        <f t="shared" ref="F523:J523" ca="1" si="521">IFERROR(__xludf.DUMMYFUNCTION("if (A523 &lt;&gt; """", GOOGLETRANSLATE(A523, ""auto"", ""en""), """")"),"")</f>
        <v/>
      </c>
      <c r="G523" s="49" t="str">
        <f t="shared" ca="1" si="521"/>
        <v/>
      </c>
      <c r="H523" s="49" t="str">
        <f t="shared" ca="1" si="521"/>
        <v/>
      </c>
      <c r="I523" s="49" t="str">
        <f t="shared" ca="1" si="521"/>
        <v/>
      </c>
      <c r="J523" s="49" t="str">
        <f t="shared" ca="1" si="521"/>
        <v/>
      </c>
    </row>
    <row r="524" spans="1:10" ht="25.5" x14ac:dyDescent="0.2">
      <c r="A524" s="41" t="s">
        <v>153</v>
      </c>
      <c r="B524" s="40"/>
      <c r="C524" s="40"/>
      <c r="D524" s="40"/>
      <c r="E524" s="40"/>
      <c r="F524" s="49" t="str">
        <f t="shared" ref="F524:J524" ca="1" si="522">IFERROR(__xludf.DUMMYFUNCTION("if (A524 &lt;&gt; """", GOOGLETRANSLATE(A524, ""auto"", ""en""), """")"),"FAQ-Guest5-2")</f>
        <v>FAQ-Guest5-2</v>
      </c>
      <c r="G524" s="49" t="str">
        <f t="shared" ca="1" si="522"/>
        <v>FAQ-Guest5-2</v>
      </c>
      <c r="H524" s="49" t="str">
        <f t="shared" ca="1" si="522"/>
        <v>FAQ-Guest5-2</v>
      </c>
      <c r="I524" s="49" t="str">
        <f t="shared" ca="1" si="522"/>
        <v>FAQ-Guest5-2</v>
      </c>
      <c r="J524" s="49" t="str">
        <f t="shared" ca="1" si="522"/>
        <v>FAQ-Guest5-2</v>
      </c>
    </row>
    <row r="525" spans="1:10" ht="12.75" x14ac:dyDescent="0.2">
      <c r="A525" s="40"/>
      <c r="B525" s="41" t="s">
        <v>398</v>
      </c>
      <c r="C525" s="40"/>
      <c r="D525" s="40"/>
      <c r="E525" s="40"/>
      <c r="F525" s="49" t="str">
        <f t="shared" ref="F525:J525" ca="1" si="523">IFERROR(__xludf.DUMMYFUNCTION("if (A525 &lt;&gt; """", GOOGLETRANSLATE(A525, ""auto"", ""en""), """")"),"")</f>
        <v/>
      </c>
      <c r="G525" s="49" t="str">
        <f t="shared" ca="1" si="523"/>
        <v/>
      </c>
      <c r="H525" s="49" t="str">
        <f t="shared" ca="1" si="523"/>
        <v/>
      </c>
      <c r="I525" s="49" t="str">
        <f t="shared" ca="1" si="523"/>
        <v/>
      </c>
      <c r="J525" s="49" t="str">
        <f t="shared" ca="1" si="523"/>
        <v/>
      </c>
    </row>
    <row r="526" spans="1:10" ht="12.75" x14ac:dyDescent="0.2">
      <c r="A526" s="40"/>
      <c r="B526" s="41" t="s">
        <v>399</v>
      </c>
      <c r="C526" s="40"/>
      <c r="D526" s="40"/>
      <c r="E526" s="40"/>
      <c r="F526" s="49" t="str">
        <f t="shared" ref="F526:J526" ca="1" si="524">IFERROR(__xludf.DUMMYFUNCTION("if (A526 &lt;&gt; """", GOOGLETRANSLATE(A526, ""auto"", ""en""), """")"),"")</f>
        <v/>
      </c>
      <c r="G526" s="49" t="str">
        <f t="shared" ca="1" si="524"/>
        <v/>
      </c>
      <c r="H526" s="49" t="str">
        <f t="shared" ca="1" si="524"/>
        <v/>
      </c>
      <c r="I526" s="49" t="str">
        <f t="shared" ca="1" si="524"/>
        <v/>
      </c>
      <c r="J526" s="49" t="str">
        <f t="shared" ca="1" si="524"/>
        <v/>
      </c>
    </row>
    <row r="527" spans="1:10" ht="12.75" x14ac:dyDescent="0.2">
      <c r="A527" s="40"/>
      <c r="B527" s="41" t="s">
        <v>400</v>
      </c>
      <c r="C527" s="40"/>
      <c r="D527" s="40"/>
      <c r="E527" s="40"/>
      <c r="F527" s="49" t="str">
        <f t="shared" ref="F527:J527" ca="1" si="525">IFERROR(__xludf.DUMMYFUNCTION("if (A527 &lt;&gt; """", GOOGLETRANSLATE(A527, ""auto"", ""en""), """")"),"")</f>
        <v/>
      </c>
      <c r="G527" s="49" t="str">
        <f t="shared" ca="1" si="525"/>
        <v/>
      </c>
      <c r="H527" s="49" t="str">
        <f t="shared" ca="1" si="525"/>
        <v/>
      </c>
      <c r="I527" s="49" t="str">
        <f t="shared" ca="1" si="525"/>
        <v/>
      </c>
      <c r="J527" s="49" t="str">
        <f t="shared" ca="1" si="525"/>
        <v/>
      </c>
    </row>
    <row r="528" spans="1:10" ht="12.75" x14ac:dyDescent="0.2">
      <c r="A528" s="40"/>
      <c r="B528" s="41" t="s">
        <v>401</v>
      </c>
      <c r="C528" s="41" t="s">
        <v>153</v>
      </c>
      <c r="D528" s="40"/>
      <c r="E528" s="40"/>
      <c r="F528" s="49" t="str">
        <f t="shared" ref="F528:J528" ca="1" si="526">IFERROR(__xludf.DUMMYFUNCTION("if (A528 &lt;&gt; """", GOOGLETRANSLATE(A528, ""auto"", ""en""), """")"),"")</f>
        <v/>
      </c>
      <c r="G528" s="49" t="str">
        <f t="shared" ca="1" si="526"/>
        <v/>
      </c>
      <c r="H528" s="49" t="str">
        <f t="shared" ca="1" si="526"/>
        <v/>
      </c>
      <c r="I528" s="49" t="str">
        <f t="shared" ca="1" si="526"/>
        <v/>
      </c>
      <c r="J528" s="49" t="str">
        <f t="shared" ca="1" si="526"/>
        <v/>
      </c>
    </row>
    <row r="529" spans="1:10" ht="51" x14ac:dyDescent="0.2">
      <c r="A529" s="41" t="s">
        <v>152</v>
      </c>
      <c r="B529" s="41" t="s">
        <v>402</v>
      </c>
      <c r="C529" s="41" t="s">
        <v>366</v>
      </c>
      <c r="D529" s="40"/>
      <c r="E529" s="40"/>
      <c r="F529" s="49" t="str">
        <f t="shared" ref="F529:J529" ca="1" si="527">IFERROR(__xludf.DUMMYFUNCTION("if (A529 &lt;&gt; """", GOOGLETRANSLATE(A529, ""auto"", ""en""), """")"),"For fees that will apply for withdrawal")</f>
        <v>For fees that will apply for withdrawal</v>
      </c>
      <c r="G529" s="49" t="str">
        <f t="shared" ca="1" si="527"/>
        <v>For fees that will apply for withdrawal</v>
      </c>
      <c r="H529" s="49" t="str">
        <f t="shared" ca="1" si="527"/>
        <v>For fees that will apply for withdrawal</v>
      </c>
      <c r="I529" s="49" t="str">
        <f t="shared" ca="1" si="527"/>
        <v>For fees that will apply for withdrawal</v>
      </c>
      <c r="J529" s="49" t="str">
        <f t="shared" ca="1" si="527"/>
        <v>For fees that will apply for withdrawal</v>
      </c>
    </row>
    <row r="530" spans="1:10" ht="25.5" x14ac:dyDescent="0.2">
      <c r="A530" s="40"/>
      <c r="B530" s="41" t="s">
        <v>402</v>
      </c>
      <c r="C530" s="41" t="s">
        <v>19</v>
      </c>
      <c r="D530" s="40"/>
      <c r="E530" s="40"/>
      <c r="F530" s="49" t="str">
        <f t="shared" ref="F530:J530" ca="1" si="528">IFERROR(__xludf.DUMMYFUNCTION("if (A530 &lt;&gt; """", GOOGLETRANSLATE(A530, ""auto"", ""en""), """")"),"")</f>
        <v/>
      </c>
      <c r="G530" s="49" t="str">
        <f t="shared" ca="1" si="528"/>
        <v/>
      </c>
      <c r="H530" s="49" t="str">
        <f t="shared" ca="1" si="528"/>
        <v/>
      </c>
      <c r="I530" s="49" t="str">
        <f t="shared" ca="1" si="528"/>
        <v/>
      </c>
      <c r="J530" s="49" t="str">
        <f t="shared" ca="1" si="528"/>
        <v/>
      </c>
    </row>
    <row r="531" spans="1:10" ht="12.75" x14ac:dyDescent="0.2">
      <c r="A531" s="40"/>
      <c r="B531" s="41" t="s">
        <v>403</v>
      </c>
      <c r="C531" s="41" t="s">
        <v>24</v>
      </c>
      <c r="D531" s="41" t="s">
        <v>26</v>
      </c>
      <c r="E531" s="40"/>
      <c r="F531" s="49" t="str">
        <f t="shared" ref="F531:J531" ca="1" si="529">IFERROR(__xludf.DUMMYFUNCTION("if (A531 &lt;&gt; """", GOOGLETRANSLATE(A531, ""auto"", ""en""), """")"),"")</f>
        <v/>
      </c>
      <c r="G531" s="49" t="str">
        <f t="shared" ca="1" si="529"/>
        <v/>
      </c>
      <c r="H531" s="49" t="str">
        <f t="shared" ca="1" si="529"/>
        <v/>
      </c>
      <c r="I531" s="49" t="str">
        <f t="shared" ca="1" si="529"/>
        <v/>
      </c>
      <c r="J531" s="49" t="str">
        <f t="shared" ca="1" si="529"/>
        <v/>
      </c>
    </row>
    <row r="532" spans="1:10" ht="12.75" x14ac:dyDescent="0.2">
      <c r="A532" s="40"/>
      <c r="B532" s="41" t="s">
        <v>403</v>
      </c>
      <c r="C532" s="41" t="s">
        <v>32</v>
      </c>
      <c r="D532" s="41" t="s">
        <v>29</v>
      </c>
      <c r="E532" s="40"/>
      <c r="F532" s="49" t="str">
        <f t="shared" ref="F532:J532" ca="1" si="530">IFERROR(__xludf.DUMMYFUNCTION("if (A532 &lt;&gt; """", GOOGLETRANSLATE(A532, ""auto"", ""en""), """")"),"")</f>
        <v/>
      </c>
      <c r="G532" s="49" t="str">
        <f t="shared" ca="1" si="530"/>
        <v/>
      </c>
      <c r="H532" s="49" t="str">
        <f t="shared" ca="1" si="530"/>
        <v/>
      </c>
      <c r="I532" s="49" t="str">
        <f t="shared" ca="1" si="530"/>
        <v/>
      </c>
      <c r="J532" s="49" t="str">
        <f t="shared" ca="1" si="530"/>
        <v/>
      </c>
    </row>
    <row r="533" spans="1:10" ht="12.75" x14ac:dyDescent="0.2">
      <c r="A533" s="40"/>
      <c r="B533" s="41" t="s">
        <v>403</v>
      </c>
      <c r="C533" s="41" t="s">
        <v>25</v>
      </c>
      <c r="D533" s="41" t="s">
        <v>27</v>
      </c>
      <c r="E533" s="40"/>
      <c r="F533" s="49" t="str">
        <f t="shared" ref="F533:J533" ca="1" si="531">IFERROR(__xludf.DUMMYFUNCTION("if (A533 &lt;&gt; """", GOOGLETRANSLATE(A533, ""auto"", ""en""), """")"),"")</f>
        <v/>
      </c>
      <c r="G533" s="49" t="str">
        <f t="shared" ca="1" si="531"/>
        <v/>
      </c>
      <c r="H533" s="49" t="str">
        <f t="shared" ca="1" si="531"/>
        <v/>
      </c>
      <c r="I533" s="49" t="str">
        <f t="shared" ca="1" si="531"/>
        <v/>
      </c>
      <c r="J533" s="49" t="str">
        <f t="shared" ca="1" si="531"/>
        <v/>
      </c>
    </row>
    <row r="534" spans="1:10" ht="12.75" x14ac:dyDescent="0.2">
      <c r="A534" s="40"/>
      <c r="B534" s="41" t="s">
        <v>403</v>
      </c>
      <c r="C534" s="41" t="s">
        <v>30</v>
      </c>
      <c r="D534" s="41" t="s">
        <v>31</v>
      </c>
      <c r="E534" s="40"/>
      <c r="F534" s="49" t="str">
        <f t="shared" ref="F534:J534" ca="1" si="532">IFERROR(__xludf.DUMMYFUNCTION("if (A534 &lt;&gt; """", GOOGLETRANSLATE(A534, ""auto"", ""en""), """")"),"")</f>
        <v/>
      </c>
      <c r="G534" s="49" t="str">
        <f t="shared" ca="1" si="532"/>
        <v/>
      </c>
      <c r="H534" s="49" t="str">
        <f t="shared" ca="1" si="532"/>
        <v/>
      </c>
      <c r="I534" s="49" t="str">
        <f t="shared" ca="1" si="532"/>
        <v/>
      </c>
      <c r="J534" s="49" t="str">
        <f t="shared" ca="1" si="532"/>
        <v/>
      </c>
    </row>
    <row r="535" spans="1:10" ht="12.75" x14ac:dyDescent="0.2">
      <c r="A535" s="40"/>
      <c r="B535" s="40"/>
      <c r="C535" s="40"/>
      <c r="D535" s="40"/>
      <c r="E535" s="40"/>
      <c r="F535" s="49" t="str">
        <f t="shared" ref="F535:J535" ca="1" si="533">IFERROR(__xludf.DUMMYFUNCTION("if (A535 &lt;&gt; """", GOOGLETRANSLATE(A535, ""auto"", ""en""), """")"),"")</f>
        <v/>
      </c>
      <c r="G535" s="49" t="str">
        <f t="shared" ca="1" si="533"/>
        <v/>
      </c>
      <c r="H535" s="49" t="str">
        <f t="shared" ca="1" si="533"/>
        <v/>
      </c>
      <c r="I535" s="49" t="str">
        <f t="shared" ca="1" si="533"/>
        <v/>
      </c>
      <c r="J535" s="49" t="str">
        <f t="shared" ca="1" si="533"/>
        <v/>
      </c>
    </row>
    <row r="536" spans="1:10" ht="25.5" x14ac:dyDescent="0.2">
      <c r="A536" s="41" t="s">
        <v>156</v>
      </c>
      <c r="B536" s="40"/>
      <c r="C536" s="40"/>
      <c r="D536" s="40"/>
      <c r="E536" s="40"/>
      <c r="F536" s="49" t="str">
        <f t="shared" ref="F536:J536" ca="1" si="534">IFERROR(__xludf.DUMMYFUNCTION("if (A536 &lt;&gt; """", GOOGLETRANSLATE(A536, ""auto"", ""en""), """")"),"FAQ-Guest5-3")</f>
        <v>FAQ-Guest5-3</v>
      </c>
      <c r="G536" s="49" t="str">
        <f t="shared" ca="1" si="534"/>
        <v>FAQ-Guest5-3</v>
      </c>
      <c r="H536" s="49" t="str">
        <f t="shared" ca="1" si="534"/>
        <v>FAQ-Guest5-3</v>
      </c>
      <c r="I536" s="49" t="str">
        <f t="shared" ca="1" si="534"/>
        <v>FAQ-Guest5-3</v>
      </c>
      <c r="J536" s="49" t="str">
        <f t="shared" ca="1" si="534"/>
        <v>FAQ-Guest5-3</v>
      </c>
    </row>
    <row r="537" spans="1:10" ht="12.75" x14ac:dyDescent="0.2">
      <c r="A537" s="40"/>
      <c r="B537" s="41" t="s">
        <v>398</v>
      </c>
      <c r="C537" s="40"/>
      <c r="D537" s="40"/>
      <c r="E537" s="40"/>
      <c r="F537" s="49" t="str">
        <f t="shared" ref="F537:J537" ca="1" si="535">IFERROR(__xludf.DUMMYFUNCTION("if (A537 &lt;&gt; """", GOOGLETRANSLATE(A537, ""auto"", ""en""), """")"),"")</f>
        <v/>
      </c>
      <c r="G537" s="49" t="str">
        <f t="shared" ca="1" si="535"/>
        <v/>
      </c>
      <c r="H537" s="49" t="str">
        <f t="shared" ca="1" si="535"/>
        <v/>
      </c>
      <c r="I537" s="49" t="str">
        <f t="shared" ca="1" si="535"/>
        <v/>
      </c>
      <c r="J537" s="49" t="str">
        <f t="shared" ca="1" si="535"/>
        <v/>
      </c>
    </row>
    <row r="538" spans="1:10" ht="12.75" x14ac:dyDescent="0.2">
      <c r="A538" s="40"/>
      <c r="B538" s="41" t="s">
        <v>399</v>
      </c>
      <c r="C538" s="40"/>
      <c r="D538" s="40"/>
      <c r="E538" s="40"/>
      <c r="F538" s="49" t="str">
        <f t="shared" ref="F538:J538" ca="1" si="536">IFERROR(__xludf.DUMMYFUNCTION("if (A538 &lt;&gt; """", GOOGLETRANSLATE(A538, ""auto"", ""en""), """")"),"")</f>
        <v/>
      </c>
      <c r="G538" s="49" t="str">
        <f t="shared" ca="1" si="536"/>
        <v/>
      </c>
      <c r="H538" s="49" t="str">
        <f t="shared" ca="1" si="536"/>
        <v/>
      </c>
      <c r="I538" s="49" t="str">
        <f t="shared" ca="1" si="536"/>
        <v/>
      </c>
      <c r="J538" s="49" t="str">
        <f t="shared" ca="1" si="536"/>
        <v/>
      </c>
    </row>
    <row r="539" spans="1:10" ht="12.75" x14ac:dyDescent="0.2">
      <c r="A539" s="40"/>
      <c r="B539" s="41" t="s">
        <v>400</v>
      </c>
      <c r="C539" s="40"/>
      <c r="D539" s="40"/>
      <c r="E539" s="40"/>
      <c r="F539" s="49" t="str">
        <f t="shared" ref="F539:J539" ca="1" si="537">IFERROR(__xludf.DUMMYFUNCTION("if (A539 &lt;&gt; """", GOOGLETRANSLATE(A539, ""auto"", ""en""), """")"),"")</f>
        <v/>
      </c>
      <c r="G539" s="49" t="str">
        <f t="shared" ca="1" si="537"/>
        <v/>
      </c>
      <c r="H539" s="49" t="str">
        <f t="shared" ca="1" si="537"/>
        <v/>
      </c>
      <c r="I539" s="49" t="str">
        <f t="shared" ca="1" si="537"/>
        <v/>
      </c>
      <c r="J539" s="49" t="str">
        <f t="shared" ca="1" si="537"/>
        <v/>
      </c>
    </row>
    <row r="540" spans="1:10" ht="12.75" x14ac:dyDescent="0.2">
      <c r="A540" s="40"/>
      <c r="B540" s="41" t="s">
        <v>401</v>
      </c>
      <c r="C540" s="41" t="s">
        <v>156</v>
      </c>
      <c r="D540" s="40"/>
      <c r="E540" s="40"/>
      <c r="F540" s="49" t="str">
        <f t="shared" ref="F540:J540" ca="1" si="538">IFERROR(__xludf.DUMMYFUNCTION("if (A540 &lt;&gt; """", GOOGLETRANSLATE(A540, ""auto"", ""en""), """")"),"")</f>
        <v/>
      </c>
      <c r="G540" s="49" t="str">
        <f t="shared" ca="1" si="538"/>
        <v/>
      </c>
      <c r="H540" s="49" t="str">
        <f t="shared" ca="1" si="538"/>
        <v/>
      </c>
      <c r="I540" s="49" t="str">
        <f t="shared" ca="1" si="538"/>
        <v/>
      </c>
      <c r="J540" s="49" t="str">
        <f t="shared" ca="1" si="538"/>
        <v/>
      </c>
    </row>
    <row r="541" spans="1:10" ht="63.75" x14ac:dyDescent="0.2">
      <c r="A541" s="41" t="s">
        <v>155</v>
      </c>
      <c r="B541" s="41" t="s">
        <v>402</v>
      </c>
      <c r="C541" s="41" t="s">
        <v>371</v>
      </c>
      <c r="D541" s="40"/>
      <c r="E541" s="40"/>
      <c r="F541" s="49" t="str">
        <f t="shared" ref="F541:J541" ca="1" si="539">IFERROR(__xludf.DUMMYFUNCTION("if (A541 &lt;&gt; """", GOOGLETRANSLATE(A541, ""auto"", ""en""), """")"),"For refund of the case that have not been reserved approval")</f>
        <v>For refund of the case that have not been reserved approval</v>
      </c>
      <c r="G541" s="49" t="str">
        <f t="shared" ca="1" si="539"/>
        <v>For refund of the case that have not been reserved approval</v>
      </c>
      <c r="H541" s="49" t="str">
        <f t="shared" ca="1" si="539"/>
        <v>For refund of the case that have not been reserved approval</v>
      </c>
      <c r="I541" s="49" t="str">
        <f t="shared" ca="1" si="539"/>
        <v>For refund of the case that have not been reserved approval</v>
      </c>
      <c r="J541" s="49" t="str">
        <f t="shared" ca="1" si="539"/>
        <v>For refund of the case that have not been reserved approval</v>
      </c>
    </row>
    <row r="542" spans="1:10" ht="25.5" x14ac:dyDescent="0.2">
      <c r="A542" s="40"/>
      <c r="B542" s="41" t="s">
        <v>402</v>
      </c>
      <c r="C542" s="41" t="s">
        <v>19</v>
      </c>
      <c r="D542" s="40"/>
      <c r="E542" s="40"/>
      <c r="F542" s="49" t="str">
        <f t="shared" ref="F542:J542" ca="1" si="540">IFERROR(__xludf.DUMMYFUNCTION("if (A542 &lt;&gt; """", GOOGLETRANSLATE(A542, ""auto"", ""en""), """")"),"")</f>
        <v/>
      </c>
      <c r="G542" s="49" t="str">
        <f t="shared" ca="1" si="540"/>
        <v/>
      </c>
      <c r="H542" s="49" t="str">
        <f t="shared" ca="1" si="540"/>
        <v/>
      </c>
      <c r="I542" s="49" t="str">
        <f t="shared" ca="1" si="540"/>
        <v/>
      </c>
      <c r="J542" s="49" t="str">
        <f t="shared" ca="1" si="540"/>
        <v/>
      </c>
    </row>
    <row r="543" spans="1:10" ht="12.75" x14ac:dyDescent="0.2">
      <c r="A543" s="40"/>
      <c r="B543" s="41" t="s">
        <v>403</v>
      </c>
      <c r="C543" s="41" t="s">
        <v>24</v>
      </c>
      <c r="D543" s="41" t="s">
        <v>26</v>
      </c>
      <c r="E543" s="40"/>
      <c r="F543" s="49" t="str">
        <f t="shared" ref="F543:J543" ca="1" si="541">IFERROR(__xludf.DUMMYFUNCTION("if (A543 &lt;&gt; """", GOOGLETRANSLATE(A543, ""auto"", ""en""), """")"),"")</f>
        <v/>
      </c>
      <c r="G543" s="49" t="str">
        <f t="shared" ca="1" si="541"/>
        <v/>
      </c>
      <c r="H543" s="49" t="str">
        <f t="shared" ca="1" si="541"/>
        <v/>
      </c>
      <c r="I543" s="49" t="str">
        <f t="shared" ca="1" si="541"/>
        <v/>
      </c>
      <c r="J543" s="49" t="str">
        <f t="shared" ca="1" si="541"/>
        <v/>
      </c>
    </row>
    <row r="544" spans="1:10" ht="12.75" x14ac:dyDescent="0.2">
      <c r="A544" s="40"/>
      <c r="B544" s="41" t="s">
        <v>403</v>
      </c>
      <c r="C544" s="41" t="s">
        <v>32</v>
      </c>
      <c r="D544" s="41" t="s">
        <v>29</v>
      </c>
      <c r="E544" s="40"/>
      <c r="F544" s="49" t="str">
        <f t="shared" ref="F544:J544" ca="1" si="542">IFERROR(__xludf.DUMMYFUNCTION("if (A544 &lt;&gt; """", GOOGLETRANSLATE(A544, ""auto"", ""en""), """")"),"")</f>
        <v/>
      </c>
      <c r="G544" s="49" t="str">
        <f t="shared" ca="1" si="542"/>
        <v/>
      </c>
      <c r="H544" s="49" t="str">
        <f t="shared" ca="1" si="542"/>
        <v/>
      </c>
      <c r="I544" s="49" t="str">
        <f t="shared" ca="1" si="542"/>
        <v/>
      </c>
      <c r="J544" s="49" t="str">
        <f t="shared" ca="1" si="542"/>
        <v/>
      </c>
    </row>
    <row r="545" spans="1:10" ht="12.75" x14ac:dyDescent="0.2">
      <c r="A545" s="40"/>
      <c r="B545" s="41" t="s">
        <v>403</v>
      </c>
      <c r="C545" s="41" t="s">
        <v>25</v>
      </c>
      <c r="D545" s="41" t="s">
        <v>27</v>
      </c>
      <c r="E545" s="40"/>
      <c r="F545" s="49" t="str">
        <f t="shared" ref="F545:J545" ca="1" si="543">IFERROR(__xludf.DUMMYFUNCTION("if (A545 &lt;&gt; """", GOOGLETRANSLATE(A545, ""auto"", ""en""), """")"),"")</f>
        <v/>
      </c>
      <c r="G545" s="49" t="str">
        <f t="shared" ca="1" si="543"/>
        <v/>
      </c>
      <c r="H545" s="49" t="str">
        <f t="shared" ca="1" si="543"/>
        <v/>
      </c>
      <c r="I545" s="49" t="str">
        <f t="shared" ca="1" si="543"/>
        <v/>
      </c>
      <c r="J545" s="49" t="str">
        <f t="shared" ca="1" si="543"/>
        <v/>
      </c>
    </row>
    <row r="546" spans="1:10" ht="12.75" x14ac:dyDescent="0.2">
      <c r="A546" s="40"/>
      <c r="B546" s="41" t="s">
        <v>403</v>
      </c>
      <c r="C546" s="41" t="s">
        <v>30</v>
      </c>
      <c r="D546" s="41" t="s">
        <v>31</v>
      </c>
      <c r="E546" s="40"/>
      <c r="F546" s="49" t="str">
        <f t="shared" ref="F546:J546" ca="1" si="544">IFERROR(__xludf.DUMMYFUNCTION("if (A546 &lt;&gt; """", GOOGLETRANSLATE(A546, ""auto"", ""en""), """")"),"")</f>
        <v/>
      </c>
      <c r="G546" s="49" t="str">
        <f t="shared" ca="1" si="544"/>
        <v/>
      </c>
      <c r="H546" s="49" t="str">
        <f t="shared" ca="1" si="544"/>
        <v/>
      </c>
      <c r="I546" s="49" t="str">
        <f t="shared" ca="1" si="544"/>
        <v/>
      </c>
      <c r="J546" s="49" t="str">
        <f t="shared" ca="1" si="544"/>
        <v/>
      </c>
    </row>
    <row r="547" spans="1:10" ht="12.75" x14ac:dyDescent="0.2">
      <c r="A547" s="40"/>
      <c r="B547" s="40"/>
      <c r="C547" s="40"/>
      <c r="D547" s="40"/>
      <c r="E547" s="40"/>
      <c r="F547" s="49" t="str">
        <f t="shared" ref="F547:J547" ca="1" si="545">IFERROR(__xludf.DUMMYFUNCTION("if (A547 &lt;&gt; """", GOOGLETRANSLATE(A547, ""auto"", ""en""), """")"),"")</f>
        <v/>
      </c>
      <c r="G547" s="49" t="str">
        <f t="shared" ca="1" si="545"/>
        <v/>
      </c>
      <c r="H547" s="49" t="str">
        <f t="shared" ca="1" si="545"/>
        <v/>
      </c>
      <c r="I547" s="49" t="str">
        <f t="shared" ca="1" si="545"/>
        <v/>
      </c>
      <c r="J547" s="49" t="str">
        <f t="shared" ca="1" si="545"/>
        <v/>
      </c>
    </row>
    <row r="548" spans="1:10" ht="25.5" x14ac:dyDescent="0.2">
      <c r="A548" s="41" t="s">
        <v>159</v>
      </c>
      <c r="B548" s="40"/>
      <c r="C548" s="40"/>
      <c r="D548" s="40"/>
      <c r="E548" s="40"/>
      <c r="F548" s="49" t="str">
        <f t="shared" ref="F548:J548" ca="1" si="546">IFERROR(__xludf.DUMMYFUNCTION("if (A548 &lt;&gt; """", GOOGLETRANSLATE(A548, ""auto"", ""en""), """")"),"FAQ-Guest5-4")</f>
        <v>FAQ-Guest5-4</v>
      </c>
      <c r="G548" s="49" t="str">
        <f t="shared" ca="1" si="546"/>
        <v>FAQ-Guest5-4</v>
      </c>
      <c r="H548" s="49" t="str">
        <f t="shared" ca="1" si="546"/>
        <v>FAQ-Guest5-4</v>
      </c>
      <c r="I548" s="49" t="str">
        <f t="shared" ca="1" si="546"/>
        <v>FAQ-Guest5-4</v>
      </c>
      <c r="J548" s="49" t="str">
        <f t="shared" ca="1" si="546"/>
        <v>FAQ-Guest5-4</v>
      </c>
    </row>
    <row r="549" spans="1:10" ht="12.75" x14ac:dyDescent="0.2">
      <c r="A549" s="40"/>
      <c r="B549" s="41" t="s">
        <v>398</v>
      </c>
      <c r="C549" s="40"/>
      <c r="D549" s="40"/>
      <c r="E549" s="40"/>
      <c r="F549" s="49" t="str">
        <f t="shared" ref="F549:J549" ca="1" si="547">IFERROR(__xludf.DUMMYFUNCTION("if (A549 &lt;&gt; """", GOOGLETRANSLATE(A549, ""auto"", ""en""), """")"),"")</f>
        <v/>
      </c>
      <c r="G549" s="49" t="str">
        <f t="shared" ca="1" si="547"/>
        <v/>
      </c>
      <c r="H549" s="49" t="str">
        <f t="shared" ca="1" si="547"/>
        <v/>
      </c>
      <c r="I549" s="49" t="str">
        <f t="shared" ca="1" si="547"/>
        <v/>
      </c>
      <c r="J549" s="49" t="str">
        <f t="shared" ca="1" si="547"/>
        <v/>
      </c>
    </row>
    <row r="550" spans="1:10" ht="12.75" x14ac:dyDescent="0.2">
      <c r="A550" s="40"/>
      <c r="B550" s="41" t="s">
        <v>399</v>
      </c>
      <c r="C550" s="40"/>
      <c r="D550" s="40"/>
      <c r="E550" s="40"/>
      <c r="F550" s="49" t="str">
        <f t="shared" ref="F550:J550" ca="1" si="548">IFERROR(__xludf.DUMMYFUNCTION("if (A550 &lt;&gt; """", GOOGLETRANSLATE(A550, ""auto"", ""en""), """")"),"")</f>
        <v/>
      </c>
      <c r="G550" s="49" t="str">
        <f t="shared" ca="1" si="548"/>
        <v/>
      </c>
      <c r="H550" s="49" t="str">
        <f t="shared" ca="1" si="548"/>
        <v/>
      </c>
      <c r="I550" s="49" t="str">
        <f t="shared" ca="1" si="548"/>
        <v/>
      </c>
      <c r="J550" s="49" t="str">
        <f t="shared" ca="1" si="548"/>
        <v/>
      </c>
    </row>
    <row r="551" spans="1:10" ht="12.75" x14ac:dyDescent="0.2">
      <c r="A551" s="40"/>
      <c r="B551" s="41" t="s">
        <v>400</v>
      </c>
      <c r="C551" s="40"/>
      <c r="D551" s="40"/>
      <c r="E551" s="40"/>
      <c r="F551" s="49" t="str">
        <f t="shared" ref="F551:J551" ca="1" si="549">IFERROR(__xludf.DUMMYFUNCTION("if (A551 &lt;&gt; """", GOOGLETRANSLATE(A551, ""auto"", ""en""), """")"),"")</f>
        <v/>
      </c>
      <c r="G551" s="49" t="str">
        <f t="shared" ca="1" si="549"/>
        <v/>
      </c>
      <c r="H551" s="49" t="str">
        <f t="shared" ca="1" si="549"/>
        <v/>
      </c>
      <c r="I551" s="49" t="str">
        <f t="shared" ca="1" si="549"/>
        <v/>
      </c>
      <c r="J551" s="49" t="str">
        <f t="shared" ca="1" si="549"/>
        <v/>
      </c>
    </row>
    <row r="552" spans="1:10" ht="12.75" x14ac:dyDescent="0.2">
      <c r="A552" s="40"/>
      <c r="B552" s="41" t="s">
        <v>401</v>
      </c>
      <c r="C552" s="41" t="s">
        <v>159</v>
      </c>
      <c r="D552" s="40"/>
      <c r="E552" s="40"/>
      <c r="F552" s="49" t="str">
        <f t="shared" ref="F552:J552" ca="1" si="550">IFERROR(__xludf.DUMMYFUNCTION("if (A552 &lt;&gt; """", GOOGLETRANSLATE(A552, ""auto"", ""en""), """")"),"")</f>
        <v/>
      </c>
      <c r="G552" s="49" t="str">
        <f t="shared" ca="1" si="550"/>
        <v/>
      </c>
      <c r="H552" s="49" t="str">
        <f t="shared" ca="1" si="550"/>
        <v/>
      </c>
      <c r="I552" s="49" t="str">
        <f t="shared" ca="1" si="550"/>
        <v/>
      </c>
      <c r="J552" s="49" t="str">
        <f t="shared" ca="1" si="550"/>
        <v/>
      </c>
    </row>
    <row r="553" spans="1:10" ht="51" x14ac:dyDescent="0.2">
      <c r="A553" s="41" t="s">
        <v>580</v>
      </c>
      <c r="B553" s="41" t="s">
        <v>402</v>
      </c>
      <c r="C553" s="41" t="s">
        <v>377</v>
      </c>
      <c r="D553" s="40"/>
      <c r="E553" s="40"/>
      <c r="F553" s="49" t="str">
        <f t="shared" ref="F553:J553" ca="1" si="551">IFERROR(__xludf.DUMMYFUNCTION("if (A553 &lt;&gt; """", GOOGLETRANSLATE(A553, ""auto"", ""en""), """")"),"receipt")</f>
        <v>receipt</v>
      </c>
      <c r="G553" s="49" t="str">
        <f t="shared" ca="1" si="551"/>
        <v>receipt</v>
      </c>
      <c r="H553" s="49" t="str">
        <f t="shared" ca="1" si="551"/>
        <v>receipt</v>
      </c>
      <c r="I553" s="49" t="str">
        <f t="shared" ca="1" si="551"/>
        <v>receipt</v>
      </c>
      <c r="J553" s="49" t="str">
        <f t="shared" ca="1" si="551"/>
        <v>receipt</v>
      </c>
    </row>
    <row r="554" spans="1:10" ht="25.5" x14ac:dyDescent="0.2">
      <c r="A554" s="41" t="s">
        <v>581</v>
      </c>
      <c r="B554" s="41" t="s">
        <v>402</v>
      </c>
      <c r="C554" s="41" t="s">
        <v>19</v>
      </c>
      <c r="D554" s="40"/>
      <c r="E554" s="40"/>
      <c r="F554" s="49" t="str">
        <f t="shared" ref="F554:J554" ca="1" si="552">IFERROR(__xludf.DUMMYFUNCTION("if (A554 &lt;&gt; """", GOOGLETRANSLATE(A554, ""auto"", ""en""), """")"),"Cut the receipt")</f>
        <v>Cut the receipt</v>
      </c>
      <c r="G554" s="49" t="str">
        <f t="shared" ca="1" si="552"/>
        <v>Cut the receipt</v>
      </c>
      <c r="H554" s="49" t="str">
        <f t="shared" ca="1" si="552"/>
        <v>Cut the receipt</v>
      </c>
      <c r="I554" s="49" t="str">
        <f t="shared" ca="1" si="552"/>
        <v>Cut the receipt</v>
      </c>
      <c r="J554" s="49" t="str">
        <f t="shared" ca="1" si="552"/>
        <v>Cut the receipt</v>
      </c>
    </row>
    <row r="555" spans="1:10" ht="25.5" x14ac:dyDescent="0.2">
      <c r="A555" s="41" t="s">
        <v>582</v>
      </c>
      <c r="B555" s="40"/>
      <c r="C555" s="40"/>
      <c r="D555" s="40"/>
      <c r="E555" s="40"/>
      <c r="F555" s="49" t="str">
        <f t="shared" ref="F555:J555" ca="1" si="553">IFERROR(__xludf.DUMMYFUNCTION("if (A555 &lt;&gt; """", GOOGLETRANSLATE(A555, ""auto"", ""en""), """")"),"Receipt charged")</f>
        <v>Receipt charged</v>
      </c>
      <c r="G555" s="49" t="str">
        <f t="shared" ca="1" si="553"/>
        <v>Receipt charged</v>
      </c>
      <c r="H555" s="49" t="str">
        <f t="shared" ca="1" si="553"/>
        <v>Receipt charged</v>
      </c>
      <c r="I555" s="49" t="str">
        <f t="shared" ca="1" si="553"/>
        <v>Receipt charged</v>
      </c>
      <c r="J555" s="49" t="str">
        <f t="shared" ca="1" si="553"/>
        <v>Receipt charged</v>
      </c>
    </row>
    <row r="556" spans="1:10" ht="25.5" x14ac:dyDescent="0.2">
      <c r="A556" s="41" t="s">
        <v>583</v>
      </c>
      <c r="B556" s="40"/>
      <c r="C556" s="40"/>
      <c r="D556" s="40"/>
      <c r="E556" s="40"/>
      <c r="F556" s="49" t="str">
        <f t="shared" ref="F556:J556" ca="1" si="554">IFERROR(__xludf.DUMMYFUNCTION("if (A556 &lt;&gt; """", GOOGLETRANSLATE(A556, ""auto"", ""en""), """")"),"Please give me the receipt")</f>
        <v>Please give me the receipt</v>
      </c>
      <c r="G556" s="49" t="str">
        <f t="shared" ca="1" si="554"/>
        <v>Please give me the receipt</v>
      </c>
      <c r="H556" s="49" t="str">
        <f t="shared" ca="1" si="554"/>
        <v>Please give me the receipt</v>
      </c>
      <c r="I556" s="49" t="str">
        <f t="shared" ca="1" si="554"/>
        <v>Please give me the receipt</v>
      </c>
      <c r="J556" s="49" t="str">
        <f t="shared" ca="1" si="554"/>
        <v>Please give me the receipt</v>
      </c>
    </row>
    <row r="557" spans="1:10" ht="25.5" x14ac:dyDescent="0.2">
      <c r="A557" s="41" t="s">
        <v>584</v>
      </c>
      <c r="B557" s="40"/>
      <c r="C557" s="40"/>
      <c r="D557" s="40"/>
      <c r="E557" s="40"/>
      <c r="F557" s="49" t="str">
        <f t="shared" ref="F557:J557" ca="1" si="555">IFERROR(__xludf.DUMMYFUNCTION("if (A557 &lt;&gt; """", GOOGLETRANSLATE(A557, ""auto"", ""en""), """")"),"I want a receipt")</f>
        <v>I want a receipt</v>
      </c>
      <c r="G557" s="49" t="str">
        <f t="shared" ca="1" si="555"/>
        <v>I want a receipt</v>
      </c>
      <c r="H557" s="49" t="str">
        <f t="shared" ca="1" si="555"/>
        <v>I want a receipt</v>
      </c>
      <c r="I557" s="49" t="str">
        <f t="shared" ca="1" si="555"/>
        <v>I want a receipt</v>
      </c>
      <c r="J557" s="49" t="str">
        <f t="shared" ca="1" si="555"/>
        <v>I want a receipt</v>
      </c>
    </row>
    <row r="558" spans="1:10" ht="25.5" x14ac:dyDescent="0.2">
      <c r="A558" s="41" t="s">
        <v>585</v>
      </c>
      <c r="B558" s="40"/>
      <c r="C558" s="40"/>
      <c r="D558" s="40"/>
      <c r="E558" s="40"/>
      <c r="F558" s="49" t="str">
        <f t="shared" ref="F558:J558" ca="1" si="556">IFERROR(__xludf.DUMMYFUNCTION("if (A558 &lt;&gt; """", GOOGLETRANSLATE(A558, ""auto"", ""en""), """")"),"Do you get a receipt")</f>
        <v>Do you get a receipt</v>
      </c>
      <c r="G558" s="49" t="str">
        <f t="shared" ca="1" si="556"/>
        <v>Do you get a receipt</v>
      </c>
      <c r="H558" s="49" t="str">
        <f t="shared" ca="1" si="556"/>
        <v>Do you get a receipt</v>
      </c>
      <c r="I558" s="49" t="str">
        <f t="shared" ca="1" si="556"/>
        <v>Do you get a receipt</v>
      </c>
      <c r="J558" s="49" t="str">
        <f t="shared" ca="1" si="556"/>
        <v>Do you get a receipt</v>
      </c>
    </row>
    <row r="559" spans="1:10" ht="25.5" x14ac:dyDescent="0.2">
      <c r="A559" s="41" t="s">
        <v>158</v>
      </c>
      <c r="B559" s="40"/>
      <c r="C559" s="40"/>
      <c r="D559" s="40"/>
      <c r="E559" s="40"/>
      <c r="F559" s="49" t="str">
        <f t="shared" ref="F559:J559" ca="1" si="557">IFERROR(__xludf.DUMMYFUNCTION("if (A559 &lt;&gt; """", GOOGLETRANSLATE(A559, ""auto"", ""en""), """")"),"Issuance of receipt")</f>
        <v>Issuance of receipt</v>
      </c>
      <c r="G559" s="49" t="str">
        <f t="shared" ca="1" si="557"/>
        <v>Issuance of receipt</v>
      </c>
      <c r="H559" s="49" t="str">
        <f t="shared" ca="1" si="557"/>
        <v>Issuance of receipt</v>
      </c>
      <c r="I559" s="49" t="str">
        <f t="shared" ca="1" si="557"/>
        <v>Issuance of receipt</v>
      </c>
      <c r="J559" s="49" t="str">
        <f t="shared" ca="1" si="557"/>
        <v>Issuance of receipt</v>
      </c>
    </row>
    <row r="560" spans="1:10" ht="12.75" x14ac:dyDescent="0.2">
      <c r="A560" s="40"/>
      <c r="B560" s="41" t="s">
        <v>403</v>
      </c>
      <c r="C560" s="41" t="s">
        <v>24</v>
      </c>
      <c r="D560" s="41" t="s">
        <v>26</v>
      </c>
      <c r="E560" s="40"/>
      <c r="F560" s="49" t="str">
        <f t="shared" ref="F560:J560" ca="1" si="558">IFERROR(__xludf.DUMMYFUNCTION("if (A560 &lt;&gt; """", GOOGLETRANSLATE(A560, ""auto"", ""en""), """")"),"")</f>
        <v/>
      </c>
      <c r="G560" s="49" t="str">
        <f t="shared" ca="1" si="558"/>
        <v/>
      </c>
      <c r="H560" s="49" t="str">
        <f t="shared" ca="1" si="558"/>
        <v/>
      </c>
      <c r="I560" s="49" t="str">
        <f t="shared" ca="1" si="558"/>
        <v/>
      </c>
      <c r="J560" s="49" t="str">
        <f t="shared" ca="1" si="558"/>
        <v/>
      </c>
    </row>
    <row r="561" spans="1:10" ht="12.75" x14ac:dyDescent="0.2">
      <c r="A561" s="40"/>
      <c r="B561" s="41" t="s">
        <v>403</v>
      </c>
      <c r="C561" s="41" t="s">
        <v>32</v>
      </c>
      <c r="D561" s="41" t="s">
        <v>29</v>
      </c>
      <c r="E561" s="40"/>
      <c r="F561" s="49" t="str">
        <f t="shared" ref="F561:J561" ca="1" si="559">IFERROR(__xludf.DUMMYFUNCTION("if (A561 &lt;&gt; """", GOOGLETRANSLATE(A561, ""auto"", ""en""), """")"),"")</f>
        <v/>
      </c>
      <c r="G561" s="49" t="str">
        <f t="shared" ca="1" si="559"/>
        <v/>
      </c>
      <c r="H561" s="49" t="str">
        <f t="shared" ca="1" si="559"/>
        <v/>
      </c>
      <c r="I561" s="49" t="str">
        <f t="shared" ca="1" si="559"/>
        <v/>
      </c>
      <c r="J561" s="49" t="str">
        <f t="shared" ca="1" si="559"/>
        <v/>
      </c>
    </row>
    <row r="562" spans="1:10" ht="12.75" x14ac:dyDescent="0.2">
      <c r="A562" s="40"/>
      <c r="B562" s="41" t="s">
        <v>403</v>
      </c>
      <c r="C562" s="41" t="s">
        <v>25</v>
      </c>
      <c r="D562" s="41" t="s">
        <v>27</v>
      </c>
      <c r="E562" s="40"/>
      <c r="F562" s="49" t="str">
        <f t="shared" ref="F562:J562" ca="1" si="560">IFERROR(__xludf.DUMMYFUNCTION("if (A562 &lt;&gt; """", GOOGLETRANSLATE(A562, ""auto"", ""en""), """")"),"")</f>
        <v/>
      </c>
      <c r="G562" s="49" t="str">
        <f t="shared" ca="1" si="560"/>
        <v/>
      </c>
      <c r="H562" s="49" t="str">
        <f t="shared" ca="1" si="560"/>
        <v/>
      </c>
      <c r="I562" s="49" t="str">
        <f t="shared" ca="1" si="560"/>
        <v/>
      </c>
      <c r="J562" s="49" t="str">
        <f t="shared" ca="1" si="560"/>
        <v/>
      </c>
    </row>
    <row r="563" spans="1:10" ht="12.75" x14ac:dyDescent="0.2">
      <c r="A563" s="40"/>
      <c r="B563" s="41" t="s">
        <v>403</v>
      </c>
      <c r="C563" s="41" t="s">
        <v>30</v>
      </c>
      <c r="D563" s="41" t="s">
        <v>31</v>
      </c>
      <c r="E563" s="40"/>
      <c r="F563" s="49" t="str">
        <f t="shared" ref="F563:J563" ca="1" si="561">IFERROR(__xludf.DUMMYFUNCTION("if (A563 &lt;&gt; """", GOOGLETRANSLATE(A563, ""auto"", ""en""), """")"),"")</f>
        <v/>
      </c>
      <c r="G563" s="49" t="str">
        <f t="shared" ca="1" si="561"/>
        <v/>
      </c>
      <c r="H563" s="49" t="str">
        <f t="shared" ca="1" si="561"/>
        <v/>
      </c>
      <c r="I563" s="49" t="str">
        <f t="shared" ca="1" si="561"/>
        <v/>
      </c>
      <c r="J563" s="49" t="str">
        <f t="shared" ca="1" si="561"/>
        <v/>
      </c>
    </row>
    <row r="564" spans="1:10" ht="12.75" x14ac:dyDescent="0.2">
      <c r="A564" s="40"/>
      <c r="B564" s="40"/>
      <c r="C564" s="40"/>
      <c r="D564" s="40"/>
      <c r="E564" s="40"/>
      <c r="F564" s="49" t="str">
        <f t="shared" ref="F564:J564" ca="1" si="562">IFERROR(__xludf.DUMMYFUNCTION("if (A564 &lt;&gt; """", GOOGLETRANSLATE(A564, ""auto"", ""en""), """")"),"")</f>
        <v/>
      </c>
      <c r="G564" s="49" t="str">
        <f t="shared" ca="1" si="562"/>
        <v/>
      </c>
      <c r="H564" s="49" t="str">
        <f t="shared" ca="1" si="562"/>
        <v/>
      </c>
      <c r="I564" s="49" t="str">
        <f t="shared" ca="1" si="562"/>
        <v/>
      </c>
      <c r="J564" s="49" t="str">
        <f t="shared" ca="1" si="562"/>
        <v/>
      </c>
    </row>
    <row r="565" spans="1:10" ht="12.75" x14ac:dyDescent="0.2">
      <c r="A565" s="41" t="s">
        <v>142</v>
      </c>
      <c r="B565" s="40"/>
      <c r="C565" s="40"/>
      <c r="D565" s="40"/>
      <c r="E565" s="40"/>
      <c r="F565" s="49" t="str">
        <f t="shared" ref="F565:J565" ca="1" si="563">IFERROR(__xludf.DUMMYFUNCTION("if (A565 &lt;&gt; """", GOOGLETRANSLATE(A565, ""auto"", ""en""), """")"),"FAQ-Guest5")</f>
        <v>FAQ-Guest5</v>
      </c>
      <c r="G565" s="49" t="str">
        <f t="shared" ca="1" si="563"/>
        <v>FAQ-Guest5</v>
      </c>
      <c r="H565" s="49" t="str">
        <f t="shared" ca="1" si="563"/>
        <v>FAQ-Guest5</v>
      </c>
      <c r="I565" s="49" t="str">
        <f t="shared" ca="1" si="563"/>
        <v>FAQ-Guest5</v>
      </c>
      <c r="J565" s="49" t="str">
        <f t="shared" ca="1" si="563"/>
        <v>FAQ-Guest5</v>
      </c>
    </row>
    <row r="566" spans="1:10" ht="12.75" x14ac:dyDescent="0.2">
      <c r="A566" s="40"/>
      <c r="B566" s="41" t="s">
        <v>398</v>
      </c>
      <c r="C566" s="40"/>
      <c r="D566" s="40"/>
      <c r="E566" s="40"/>
      <c r="F566" s="49" t="str">
        <f t="shared" ref="F566:J566" ca="1" si="564">IFERROR(__xludf.DUMMYFUNCTION("if (A566 &lt;&gt; """", GOOGLETRANSLATE(A566, ""auto"", ""en""), """")"),"")</f>
        <v/>
      </c>
      <c r="G566" s="49" t="str">
        <f t="shared" ca="1" si="564"/>
        <v/>
      </c>
      <c r="H566" s="49" t="str">
        <f t="shared" ca="1" si="564"/>
        <v/>
      </c>
      <c r="I566" s="49" t="str">
        <f t="shared" ca="1" si="564"/>
        <v/>
      </c>
      <c r="J566" s="49" t="str">
        <f t="shared" ca="1" si="564"/>
        <v/>
      </c>
    </row>
    <row r="567" spans="1:10" ht="12.75" x14ac:dyDescent="0.2">
      <c r="A567" s="40"/>
      <c r="B567" s="41" t="s">
        <v>399</v>
      </c>
      <c r="C567" s="40"/>
      <c r="D567" s="40"/>
      <c r="E567" s="40"/>
      <c r="F567" s="49" t="str">
        <f t="shared" ref="F567:J567" ca="1" si="565">IFERROR(__xludf.DUMMYFUNCTION("if (A567 &lt;&gt; """", GOOGLETRANSLATE(A567, ""auto"", ""en""), """")"),"")</f>
        <v/>
      </c>
      <c r="G567" s="49" t="str">
        <f t="shared" ca="1" si="565"/>
        <v/>
      </c>
      <c r="H567" s="49" t="str">
        <f t="shared" ca="1" si="565"/>
        <v/>
      </c>
      <c r="I567" s="49" t="str">
        <f t="shared" ca="1" si="565"/>
        <v/>
      </c>
      <c r="J567" s="49" t="str">
        <f t="shared" ca="1" si="565"/>
        <v/>
      </c>
    </row>
    <row r="568" spans="1:10" ht="12.75" x14ac:dyDescent="0.2">
      <c r="A568" s="40"/>
      <c r="B568" s="41" t="s">
        <v>400</v>
      </c>
      <c r="C568" s="40"/>
      <c r="D568" s="40"/>
      <c r="E568" s="40"/>
      <c r="F568" s="49" t="str">
        <f t="shared" ref="F568:J568" ca="1" si="566">IFERROR(__xludf.DUMMYFUNCTION("if (A568 &lt;&gt; """", GOOGLETRANSLATE(A568, ""auto"", ""en""), """")"),"")</f>
        <v/>
      </c>
      <c r="G568" s="49" t="str">
        <f t="shared" ca="1" si="566"/>
        <v/>
      </c>
      <c r="H568" s="49" t="str">
        <f t="shared" ca="1" si="566"/>
        <v/>
      </c>
      <c r="I568" s="49" t="str">
        <f t="shared" ca="1" si="566"/>
        <v/>
      </c>
      <c r="J568" s="49" t="str">
        <f t="shared" ca="1" si="566"/>
        <v/>
      </c>
    </row>
    <row r="569" spans="1:10" ht="12.75" x14ac:dyDescent="0.2">
      <c r="A569" s="40"/>
      <c r="B569" s="41" t="s">
        <v>401</v>
      </c>
      <c r="C569" s="41" t="s">
        <v>142</v>
      </c>
      <c r="D569" s="40"/>
      <c r="E569" s="40"/>
      <c r="F569" s="49" t="str">
        <f t="shared" ref="F569:J569" ca="1" si="567">IFERROR(__xludf.DUMMYFUNCTION("if (A569 &lt;&gt; """", GOOGLETRANSLATE(A569, ""auto"", ""en""), """")"),"")</f>
        <v/>
      </c>
      <c r="G569" s="49" t="str">
        <f t="shared" ca="1" si="567"/>
        <v/>
      </c>
      <c r="H569" s="49" t="str">
        <f t="shared" ca="1" si="567"/>
        <v/>
      </c>
      <c r="I569" s="49" t="str">
        <f t="shared" ca="1" si="567"/>
        <v/>
      </c>
      <c r="J569" s="49" t="str">
        <f t="shared" ca="1" si="567"/>
        <v/>
      </c>
    </row>
    <row r="570" spans="1:10" ht="25.5" x14ac:dyDescent="0.2">
      <c r="A570" s="41" t="s">
        <v>587</v>
      </c>
      <c r="B570" s="41" t="s">
        <v>402</v>
      </c>
      <c r="C570" s="41" t="s">
        <v>144</v>
      </c>
      <c r="D570" s="40"/>
      <c r="E570" s="40"/>
      <c r="F570" s="49" t="str">
        <f t="shared" ref="F570:J570" ca="1" si="568">IFERROR(__xludf.DUMMYFUNCTION("if (A570 &lt;&gt; """", GOOGLETRANSLATE(A570, ""auto"", ""en""), """")"),"What about the room rate")</f>
        <v>What about the room rate</v>
      </c>
      <c r="G570" s="49" t="str">
        <f t="shared" ca="1" si="568"/>
        <v>What about the room rate</v>
      </c>
      <c r="H570" s="49" t="str">
        <f t="shared" ca="1" si="568"/>
        <v>What about the room rate</v>
      </c>
      <c r="I570" s="49" t="str">
        <f t="shared" ca="1" si="568"/>
        <v>What about the room rate</v>
      </c>
      <c r="J570" s="49" t="str">
        <f t="shared" ca="1" si="568"/>
        <v>What about the room rate</v>
      </c>
    </row>
    <row r="571" spans="1:10" ht="38.25" x14ac:dyDescent="0.2">
      <c r="A571" s="41" t="s">
        <v>588</v>
      </c>
      <c r="B571" s="40"/>
      <c r="C571" s="40"/>
      <c r="D571" s="40"/>
      <c r="E571" s="40"/>
      <c r="F571" s="49" t="str">
        <f t="shared" ref="F571:J571" ca="1" si="569">IFERROR(__xludf.DUMMYFUNCTION("if (A571 &lt;&gt; """", GOOGLETRANSLATE(A571, ""auto"", ""en""), """")"),"Money for accommodation")</f>
        <v>Money for accommodation</v>
      </c>
      <c r="G571" s="49" t="str">
        <f t="shared" ca="1" si="569"/>
        <v>Money for accommodation</v>
      </c>
      <c r="H571" s="49" t="str">
        <f t="shared" ca="1" si="569"/>
        <v>Money for accommodation</v>
      </c>
      <c r="I571" s="49" t="str">
        <f t="shared" ca="1" si="569"/>
        <v>Money for accommodation</v>
      </c>
      <c r="J571" s="49" t="str">
        <f t="shared" ca="1" si="569"/>
        <v>Money for accommodation</v>
      </c>
    </row>
    <row r="572" spans="1:10" ht="12.75" x14ac:dyDescent="0.2">
      <c r="A572" s="41" t="s">
        <v>589</v>
      </c>
      <c r="B572" s="40"/>
      <c r="C572" s="40"/>
      <c r="D572" s="40"/>
      <c r="E572" s="40"/>
      <c r="F572" s="49" t="str">
        <f t="shared" ref="F572:J572" ca="1" si="570">IFERROR(__xludf.DUMMYFUNCTION("if (A572 &lt;&gt; """", GOOGLETRANSLATE(A572, ""auto"", ""en""), """")"),"Rates to stay")</f>
        <v>Rates to stay</v>
      </c>
      <c r="G572" s="49" t="str">
        <f t="shared" ca="1" si="570"/>
        <v>Rates to stay</v>
      </c>
      <c r="H572" s="49" t="str">
        <f t="shared" ca="1" si="570"/>
        <v>Rates to stay</v>
      </c>
      <c r="I572" s="49" t="str">
        <f t="shared" ca="1" si="570"/>
        <v>Rates to stay</v>
      </c>
      <c r="J572" s="49" t="str">
        <f t="shared" ca="1" si="570"/>
        <v>Rates to stay</v>
      </c>
    </row>
    <row r="573" spans="1:10" ht="12.75" x14ac:dyDescent="0.2">
      <c r="A573" s="41" t="s">
        <v>143</v>
      </c>
      <c r="B573" s="40"/>
      <c r="C573" s="40"/>
      <c r="D573" s="40"/>
      <c r="E573" s="40"/>
      <c r="F573" s="49" t="str">
        <f t="shared" ref="F573:J573" ca="1" si="571">IFERROR(__xludf.DUMMYFUNCTION("if (A573 &lt;&gt; """", GOOGLETRANSLATE(A573, ""auto"", ""en""), """")"),"About Rates")</f>
        <v>About Rates</v>
      </c>
      <c r="G573" s="49" t="str">
        <f t="shared" ca="1" si="571"/>
        <v>About Rates</v>
      </c>
      <c r="H573" s="49" t="str">
        <f t="shared" ca="1" si="571"/>
        <v>About Rates</v>
      </c>
      <c r="I573" s="49" t="str">
        <f t="shared" ca="1" si="571"/>
        <v>About Rates</v>
      </c>
      <c r="J573" s="49" t="str">
        <f t="shared" ca="1" si="571"/>
        <v>About Rates</v>
      </c>
    </row>
    <row r="574" spans="1:10" ht="12.75" x14ac:dyDescent="0.2">
      <c r="A574" s="40"/>
      <c r="B574" s="41" t="s">
        <v>403</v>
      </c>
      <c r="C574" s="41" t="s">
        <v>145</v>
      </c>
      <c r="D574" s="41" t="s">
        <v>146</v>
      </c>
      <c r="E574" s="40"/>
      <c r="F574" s="49" t="str">
        <f t="shared" ref="F574:J574" ca="1" si="572">IFERROR(__xludf.DUMMYFUNCTION("if (A574 &lt;&gt; """", GOOGLETRANSLATE(A574, ""auto"", ""en""), """")"),"")</f>
        <v/>
      </c>
      <c r="G574" s="49" t="str">
        <f t="shared" ca="1" si="572"/>
        <v/>
      </c>
      <c r="H574" s="49" t="str">
        <f t="shared" ca="1" si="572"/>
        <v/>
      </c>
      <c r="I574" s="49" t="str">
        <f t="shared" ca="1" si="572"/>
        <v/>
      </c>
      <c r="J574" s="49" t="str">
        <f t="shared" ca="1" si="572"/>
        <v/>
      </c>
    </row>
    <row r="575" spans="1:10" ht="12.75" x14ac:dyDescent="0.2">
      <c r="A575" s="40"/>
      <c r="B575" s="41" t="s">
        <v>403</v>
      </c>
      <c r="C575" s="41" t="s">
        <v>152</v>
      </c>
      <c r="D575" s="41" t="s">
        <v>153</v>
      </c>
      <c r="E575" s="40"/>
      <c r="F575" s="49" t="str">
        <f t="shared" ref="F575:J575" ca="1" si="573">IFERROR(__xludf.DUMMYFUNCTION("if (A575 &lt;&gt; """", GOOGLETRANSLATE(A575, ""auto"", ""en""), """")"),"")</f>
        <v/>
      </c>
      <c r="G575" s="49" t="str">
        <f t="shared" ca="1" si="573"/>
        <v/>
      </c>
      <c r="H575" s="49" t="str">
        <f t="shared" ca="1" si="573"/>
        <v/>
      </c>
      <c r="I575" s="49" t="str">
        <f t="shared" ca="1" si="573"/>
        <v/>
      </c>
      <c r="J575" s="49" t="str">
        <f t="shared" ca="1" si="573"/>
        <v/>
      </c>
    </row>
    <row r="576" spans="1:10" ht="25.5" x14ac:dyDescent="0.2">
      <c r="A576" s="40"/>
      <c r="B576" s="41" t="s">
        <v>403</v>
      </c>
      <c r="C576" s="41" t="s">
        <v>155</v>
      </c>
      <c r="D576" s="41" t="s">
        <v>156</v>
      </c>
      <c r="E576" s="40"/>
      <c r="F576" s="49" t="str">
        <f t="shared" ref="F576:J576" ca="1" si="574">IFERROR(__xludf.DUMMYFUNCTION("if (A576 &lt;&gt; """", GOOGLETRANSLATE(A576, ""auto"", ""en""), """")"),"")</f>
        <v/>
      </c>
      <c r="G576" s="49" t="str">
        <f t="shared" ca="1" si="574"/>
        <v/>
      </c>
      <c r="H576" s="49" t="str">
        <f t="shared" ca="1" si="574"/>
        <v/>
      </c>
      <c r="I576" s="49" t="str">
        <f t="shared" ca="1" si="574"/>
        <v/>
      </c>
      <c r="J576" s="49" t="str">
        <f t="shared" ca="1" si="574"/>
        <v/>
      </c>
    </row>
    <row r="577" spans="1:10" ht="12.75" x14ac:dyDescent="0.2">
      <c r="A577" s="40"/>
      <c r="B577" s="41" t="s">
        <v>403</v>
      </c>
      <c r="C577" s="41" t="s">
        <v>158</v>
      </c>
      <c r="D577" s="41" t="s">
        <v>159</v>
      </c>
      <c r="E577" s="40"/>
      <c r="F577" s="49" t="str">
        <f t="shared" ref="F577:J577" ca="1" si="575">IFERROR(__xludf.DUMMYFUNCTION("if (A577 &lt;&gt; """", GOOGLETRANSLATE(A577, ""auto"", ""en""), """")"),"")</f>
        <v/>
      </c>
      <c r="G577" s="49" t="str">
        <f t="shared" ca="1" si="575"/>
        <v/>
      </c>
      <c r="H577" s="49" t="str">
        <f t="shared" ca="1" si="575"/>
        <v/>
      </c>
      <c r="I577" s="49" t="str">
        <f t="shared" ca="1" si="575"/>
        <v/>
      </c>
      <c r="J577" s="49" t="str">
        <f t="shared" ca="1" si="575"/>
        <v/>
      </c>
    </row>
    <row r="578" spans="1:10" ht="12.75" x14ac:dyDescent="0.2">
      <c r="A578" s="40"/>
      <c r="B578" s="41" t="s">
        <v>403</v>
      </c>
      <c r="C578" s="41" t="s">
        <v>24</v>
      </c>
      <c r="D578" s="41" t="s">
        <v>26</v>
      </c>
      <c r="E578" s="40"/>
      <c r="F578" s="49" t="str">
        <f t="shared" ref="F578:J578" ca="1" si="576">IFERROR(__xludf.DUMMYFUNCTION("if (A578 &lt;&gt; """", GOOGLETRANSLATE(A578, ""auto"", ""en""), """")"),"")</f>
        <v/>
      </c>
      <c r="G578" s="49" t="str">
        <f t="shared" ca="1" si="576"/>
        <v/>
      </c>
      <c r="H578" s="49" t="str">
        <f t="shared" ca="1" si="576"/>
        <v/>
      </c>
      <c r="I578" s="49" t="str">
        <f t="shared" ca="1" si="576"/>
        <v/>
      </c>
      <c r="J578" s="49" t="str">
        <f t="shared" ca="1" si="576"/>
        <v/>
      </c>
    </row>
    <row r="579" spans="1:10" ht="12.75" x14ac:dyDescent="0.2">
      <c r="A579" s="40"/>
      <c r="B579" s="40"/>
      <c r="C579" s="40"/>
      <c r="D579" s="40"/>
      <c r="E579" s="40"/>
      <c r="F579" s="49" t="str">
        <f t="shared" ref="F579:J579" ca="1" si="577">IFERROR(__xludf.DUMMYFUNCTION("if (A579 &lt;&gt; """", GOOGLETRANSLATE(A579, ""auto"", ""en""), """")"),"")</f>
        <v/>
      </c>
      <c r="G579" s="49" t="str">
        <f t="shared" ca="1" si="577"/>
        <v/>
      </c>
      <c r="H579" s="49" t="str">
        <f t="shared" ca="1" si="577"/>
        <v/>
      </c>
      <c r="I579" s="49" t="str">
        <f t="shared" ca="1" si="577"/>
        <v/>
      </c>
      <c r="J579" s="49" t="str">
        <f t="shared" ca="1" si="577"/>
        <v/>
      </c>
    </row>
    <row r="580" spans="1:10" ht="25.5" x14ac:dyDescent="0.2">
      <c r="A580" s="41" t="s">
        <v>167</v>
      </c>
      <c r="B580" s="40"/>
      <c r="C580" s="40"/>
      <c r="D580" s="40"/>
      <c r="E580" s="40"/>
      <c r="F580" s="49" t="str">
        <f t="shared" ref="F580:J580" ca="1" si="578">IFERROR(__xludf.DUMMYFUNCTION("if (A580 &lt;&gt; """", GOOGLETRANSLATE(A580, ""auto"", ""en""), """")"),"FAQ-Guest6-1")</f>
        <v>FAQ-Guest6-1</v>
      </c>
      <c r="G580" s="49" t="str">
        <f t="shared" ca="1" si="578"/>
        <v>FAQ-Guest6-1</v>
      </c>
      <c r="H580" s="49" t="str">
        <f t="shared" ca="1" si="578"/>
        <v>FAQ-Guest6-1</v>
      </c>
      <c r="I580" s="49" t="str">
        <f t="shared" ca="1" si="578"/>
        <v>FAQ-Guest6-1</v>
      </c>
      <c r="J580" s="49" t="str">
        <f t="shared" ca="1" si="578"/>
        <v>FAQ-Guest6-1</v>
      </c>
    </row>
    <row r="581" spans="1:10" ht="12.75" x14ac:dyDescent="0.2">
      <c r="A581" s="40"/>
      <c r="B581" s="41" t="s">
        <v>398</v>
      </c>
      <c r="C581" s="40"/>
      <c r="D581" s="40"/>
      <c r="E581" s="40"/>
      <c r="F581" s="49" t="str">
        <f t="shared" ref="F581:J581" ca="1" si="579">IFERROR(__xludf.DUMMYFUNCTION("if (A581 &lt;&gt; """", GOOGLETRANSLATE(A581, ""auto"", ""en""), """")"),"")</f>
        <v/>
      </c>
      <c r="G581" s="49" t="str">
        <f t="shared" ca="1" si="579"/>
        <v/>
      </c>
      <c r="H581" s="49" t="str">
        <f t="shared" ca="1" si="579"/>
        <v/>
      </c>
      <c r="I581" s="49" t="str">
        <f t="shared" ca="1" si="579"/>
        <v/>
      </c>
      <c r="J581" s="49" t="str">
        <f t="shared" ca="1" si="579"/>
        <v/>
      </c>
    </row>
    <row r="582" spans="1:10" ht="12.75" x14ac:dyDescent="0.2">
      <c r="A582" s="40"/>
      <c r="B582" s="41" t="s">
        <v>399</v>
      </c>
      <c r="C582" s="40"/>
      <c r="D582" s="40"/>
      <c r="E582" s="40"/>
      <c r="F582" s="49" t="str">
        <f t="shared" ref="F582:J582" ca="1" si="580">IFERROR(__xludf.DUMMYFUNCTION("if (A582 &lt;&gt; """", GOOGLETRANSLATE(A582, ""auto"", ""en""), """")"),"")</f>
        <v/>
      </c>
      <c r="G582" s="49" t="str">
        <f t="shared" ca="1" si="580"/>
        <v/>
      </c>
      <c r="H582" s="49" t="str">
        <f t="shared" ca="1" si="580"/>
        <v/>
      </c>
      <c r="I582" s="49" t="str">
        <f t="shared" ca="1" si="580"/>
        <v/>
      </c>
      <c r="J582" s="49" t="str">
        <f t="shared" ca="1" si="580"/>
        <v/>
      </c>
    </row>
    <row r="583" spans="1:10" ht="12.75" x14ac:dyDescent="0.2">
      <c r="A583" s="40"/>
      <c r="B583" s="41" t="s">
        <v>400</v>
      </c>
      <c r="C583" s="40"/>
      <c r="D583" s="40"/>
      <c r="E583" s="40"/>
      <c r="F583" s="49" t="str">
        <f t="shared" ref="F583:J583" ca="1" si="581">IFERROR(__xludf.DUMMYFUNCTION("if (A583 &lt;&gt; """", GOOGLETRANSLATE(A583, ""auto"", ""en""), """")"),"")</f>
        <v/>
      </c>
      <c r="G583" s="49" t="str">
        <f t="shared" ca="1" si="581"/>
        <v/>
      </c>
      <c r="H583" s="49" t="str">
        <f t="shared" ca="1" si="581"/>
        <v/>
      </c>
      <c r="I583" s="49" t="str">
        <f t="shared" ca="1" si="581"/>
        <v/>
      </c>
      <c r="J583" s="49" t="str">
        <f t="shared" ca="1" si="581"/>
        <v/>
      </c>
    </row>
    <row r="584" spans="1:10" ht="12.75" x14ac:dyDescent="0.2">
      <c r="A584" s="40"/>
      <c r="B584" s="41" t="s">
        <v>401</v>
      </c>
      <c r="C584" s="41" t="s">
        <v>167</v>
      </c>
      <c r="D584" s="40"/>
      <c r="E584" s="40"/>
      <c r="F584" s="49" t="str">
        <f t="shared" ref="F584:J584" ca="1" si="582">IFERROR(__xludf.DUMMYFUNCTION("if (A584 &lt;&gt; """", GOOGLETRANSLATE(A584, ""auto"", ""en""), """")"),"")</f>
        <v/>
      </c>
      <c r="G584" s="49" t="str">
        <f t="shared" ca="1" si="582"/>
        <v/>
      </c>
      <c r="H584" s="49" t="str">
        <f t="shared" ca="1" si="582"/>
        <v/>
      </c>
      <c r="I584" s="49" t="str">
        <f t="shared" ca="1" si="582"/>
        <v/>
      </c>
      <c r="J584" s="49" t="str">
        <f t="shared" ca="1" si="582"/>
        <v/>
      </c>
    </row>
    <row r="585" spans="1:10" ht="63.75" x14ac:dyDescent="0.2">
      <c r="A585" s="41" t="s">
        <v>590</v>
      </c>
      <c r="B585" s="41" t="s">
        <v>402</v>
      </c>
      <c r="C585" s="41" t="s">
        <v>381</v>
      </c>
      <c r="D585" s="40"/>
      <c r="E585" s="40"/>
      <c r="F585" s="49" t="str">
        <f t="shared" ref="F585:J585" ca="1" si="583">IFERROR(__xludf.DUMMYFUNCTION("if (A585 &lt;&gt; """", GOOGLETRANSLATE(A585, ""auto"", ""en""), """")"),"Restriction of account")</f>
        <v>Restriction of account</v>
      </c>
      <c r="G585" s="49" t="str">
        <f t="shared" ca="1" si="583"/>
        <v>Restriction of account</v>
      </c>
      <c r="H585" s="49" t="str">
        <f t="shared" ca="1" si="583"/>
        <v>Restriction of account</v>
      </c>
      <c r="I585" s="49" t="str">
        <f t="shared" ca="1" si="583"/>
        <v>Restriction of account</v>
      </c>
      <c r="J585" s="49" t="str">
        <f t="shared" ca="1" si="583"/>
        <v>Restriction of account</v>
      </c>
    </row>
    <row r="586" spans="1:10" ht="25.5" x14ac:dyDescent="0.2">
      <c r="A586" s="41" t="s">
        <v>591</v>
      </c>
      <c r="B586" s="41" t="s">
        <v>402</v>
      </c>
      <c r="C586" s="41" t="s">
        <v>19</v>
      </c>
      <c r="D586" s="40"/>
      <c r="E586" s="40"/>
      <c r="F586" s="49" t="str">
        <f t="shared" ref="F586:J586" ca="1" si="584">IFERROR(__xludf.DUMMYFUNCTION("if (A586 &lt;&gt; """", GOOGLETRANSLATE(A586, ""auto"", ""en""), """")"),"Delete Account")</f>
        <v>Delete Account</v>
      </c>
      <c r="G586" s="49" t="str">
        <f t="shared" ca="1" si="584"/>
        <v>Delete Account</v>
      </c>
      <c r="H586" s="49" t="str">
        <f t="shared" ca="1" si="584"/>
        <v>Delete Account</v>
      </c>
      <c r="I586" s="49" t="str">
        <f t="shared" ca="1" si="584"/>
        <v>Delete Account</v>
      </c>
      <c r="J586" s="49" t="str">
        <f t="shared" ca="1" si="584"/>
        <v>Delete Account</v>
      </c>
    </row>
    <row r="587" spans="1:10" ht="25.5" x14ac:dyDescent="0.2">
      <c r="A587" s="41" t="s">
        <v>592</v>
      </c>
      <c r="B587" s="40"/>
      <c r="C587" s="40"/>
      <c r="D587" s="40"/>
      <c r="E587" s="40"/>
      <c r="F587" s="49" t="str">
        <f t="shared" ref="F587:J587" ca="1" si="585">IFERROR(__xludf.DUMMYFUNCTION("if (A587 &lt;&gt; """", GOOGLETRANSLATE(A587, ""auto"", ""en""), """")"),"Account suspended")</f>
        <v>Account suspended</v>
      </c>
      <c r="G587" s="49" t="str">
        <f t="shared" ca="1" si="585"/>
        <v>Account suspended</v>
      </c>
      <c r="H587" s="49" t="str">
        <f t="shared" ca="1" si="585"/>
        <v>Account suspended</v>
      </c>
      <c r="I587" s="49" t="str">
        <f t="shared" ca="1" si="585"/>
        <v>Account suspended</v>
      </c>
      <c r="J587" s="49" t="str">
        <f t="shared" ca="1" si="585"/>
        <v>Account suspended</v>
      </c>
    </row>
    <row r="588" spans="1:10" ht="38.25" x14ac:dyDescent="0.2">
      <c r="A588" s="41" t="s">
        <v>593</v>
      </c>
      <c r="B588" s="40"/>
      <c r="C588" s="40"/>
      <c r="D588" s="40"/>
      <c r="E588" s="40"/>
      <c r="F588" s="49" t="str">
        <f t="shared" ref="F588:J588" ca="1" si="586">IFERROR(__xludf.DUMMYFUNCTION("if (A588 &lt;&gt; """", GOOGLETRANSLATE(A588, ""auto"", ""en""), """")"),"I can not log in even doing many times")</f>
        <v>I can not log in even doing many times</v>
      </c>
      <c r="G588" s="49" t="str">
        <f t="shared" ca="1" si="586"/>
        <v>I can not log in even doing many times</v>
      </c>
      <c r="H588" s="49" t="str">
        <f t="shared" ca="1" si="586"/>
        <v>I can not log in even doing many times</v>
      </c>
      <c r="I588" s="49" t="str">
        <f t="shared" ca="1" si="586"/>
        <v>I can not log in even doing many times</v>
      </c>
      <c r="J588" s="49" t="str">
        <f t="shared" ca="1" si="586"/>
        <v>I can not log in even doing many times</v>
      </c>
    </row>
    <row r="589" spans="1:10" ht="12.75" x14ac:dyDescent="0.2">
      <c r="A589" s="41" t="s">
        <v>594</v>
      </c>
      <c r="B589" s="40"/>
      <c r="C589" s="40"/>
      <c r="D589" s="40"/>
      <c r="E589" s="40"/>
      <c r="F589" s="49" t="str">
        <f t="shared" ref="F589:J589" ca="1" si="587">IFERROR(__xludf.DUMMYFUNCTION("if (A589 &lt;&gt; """", GOOGLETRANSLATE(A589, ""auto"", ""en""), """")"),"I can not login")</f>
        <v>I can not login</v>
      </c>
      <c r="G589" s="49" t="str">
        <f t="shared" ca="1" si="587"/>
        <v>I can not login</v>
      </c>
      <c r="H589" s="49" t="str">
        <f t="shared" ca="1" si="587"/>
        <v>I can not login</v>
      </c>
      <c r="I589" s="49" t="str">
        <f t="shared" ca="1" si="587"/>
        <v>I can not login</v>
      </c>
      <c r="J589" s="49" t="str">
        <f t="shared" ca="1" si="587"/>
        <v>I can not login</v>
      </c>
    </row>
    <row r="590" spans="1:10" ht="12.75" x14ac:dyDescent="0.2">
      <c r="A590" s="41" t="s">
        <v>595</v>
      </c>
      <c r="B590" s="40"/>
      <c r="C590" s="40"/>
      <c r="D590" s="40"/>
      <c r="E590" s="40"/>
      <c r="F590" s="49" t="str">
        <f t="shared" ref="F590:J590" ca="1" si="588">IFERROR(__xludf.DUMMYFUNCTION("if (A590 &lt;&gt; """", GOOGLETRANSLATE(A590, ""auto"", ""en""), """")"),"Login Error")</f>
        <v>Login Error</v>
      </c>
      <c r="G590" s="49" t="str">
        <f t="shared" ca="1" si="588"/>
        <v>Login Error</v>
      </c>
      <c r="H590" s="49" t="str">
        <f t="shared" ca="1" si="588"/>
        <v>Login Error</v>
      </c>
      <c r="I590" s="49" t="str">
        <f t="shared" ca="1" si="588"/>
        <v>Login Error</v>
      </c>
      <c r="J590" s="49" t="str">
        <f t="shared" ca="1" si="588"/>
        <v>Login Error</v>
      </c>
    </row>
    <row r="591" spans="1:10" ht="12.75" x14ac:dyDescent="0.2">
      <c r="A591" s="41" t="s">
        <v>596</v>
      </c>
      <c r="B591" s="40"/>
      <c r="C591" s="40"/>
      <c r="D591" s="40"/>
      <c r="E591" s="40"/>
      <c r="F591" s="49" t="str">
        <f t="shared" ref="F591:J591" ca="1" si="589">IFERROR(__xludf.DUMMYFUNCTION("if (A591 &lt;&gt; """", GOOGLETRANSLATE(A591, ""auto"", ""en""), """")"),"can not login")</f>
        <v>can not login</v>
      </c>
      <c r="G591" s="49" t="str">
        <f t="shared" ca="1" si="589"/>
        <v>can not login</v>
      </c>
      <c r="H591" s="49" t="str">
        <f t="shared" ca="1" si="589"/>
        <v>can not login</v>
      </c>
      <c r="I591" s="49" t="str">
        <f t="shared" ca="1" si="589"/>
        <v>can not login</v>
      </c>
      <c r="J591" s="49" t="str">
        <f t="shared" ca="1" si="589"/>
        <v>can not login</v>
      </c>
    </row>
    <row r="592" spans="1:10" ht="25.5" x14ac:dyDescent="0.2">
      <c r="A592" s="41" t="s">
        <v>166</v>
      </c>
      <c r="B592" s="40"/>
      <c r="C592" s="40"/>
      <c r="D592" s="40"/>
      <c r="E592" s="40"/>
      <c r="F592" s="49" t="str">
        <f t="shared" ref="F592:J592" ca="1" si="590">IFERROR(__xludf.DUMMYFUNCTION("if (A592 &lt;&gt; """", GOOGLETRANSLATE(A592, ""auto"", ""en""), """")"),"You can not log in")</f>
        <v>You can not log in</v>
      </c>
      <c r="G592" s="49" t="str">
        <f t="shared" ca="1" si="590"/>
        <v>You can not log in</v>
      </c>
      <c r="H592" s="49" t="str">
        <f t="shared" ca="1" si="590"/>
        <v>You can not log in</v>
      </c>
      <c r="I592" s="49" t="str">
        <f t="shared" ca="1" si="590"/>
        <v>You can not log in</v>
      </c>
      <c r="J592" s="49" t="str">
        <f t="shared" ca="1" si="590"/>
        <v>You can not log in</v>
      </c>
    </row>
    <row r="593" spans="1:10" ht="12.75" x14ac:dyDescent="0.2">
      <c r="A593" s="40"/>
      <c r="B593" s="41" t="s">
        <v>403</v>
      </c>
      <c r="C593" s="41" t="s">
        <v>24</v>
      </c>
      <c r="D593" s="41" t="s">
        <v>26</v>
      </c>
      <c r="E593" s="40"/>
      <c r="F593" s="49" t="str">
        <f t="shared" ref="F593:J593" ca="1" si="591">IFERROR(__xludf.DUMMYFUNCTION("if (A593 &lt;&gt; """", GOOGLETRANSLATE(A593, ""auto"", ""en""), """")"),"")</f>
        <v/>
      </c>
      <c r="G593" s="49" t="str">
        <f t="shared" ca="1" si="591"/>
        <v/>
      </c>
      <c r="H593" s="49" t="str">
        <f t="shared" ca="1" si="591"/>
        <v/>
      </c>
      <c r="I593" s="49" t="str">
        <f t="shared" ca="1" si="591"/>
        <v/>
      </c>
      <c r="J593" s="49" t="str">
        <f t="shared" ca="1" si="591"/>
        <v/>
      </c>
    </row>
    <row r="594" spans="1:10" ht="12.75" x14ac:dyDescent="0.2">
      <c r="A594" s="40"/>
      <c r="B594" s="41" t="s">
        <v>403</v>
      </c>
      <c r="C594" s="41" t="s">
        <v>32</v>
      </c>
      <c r="D594" s="41" t="s">
        <v>29</v>
      </c>
      <c r="E594" s="40"/>
      <c r="F594" s="49" t="str">
        <f t="shared" ref="F594:J594" ca="1" si="592">IFERROR(__xludf.DUMMYFUNCTION("if (A594 &lt;&gt; """", GOOGLETRANSLATE(A594, ""auto"", ""en""), """")"),"")</f>
        <v/>
      </c>
      <c r="G594" s="49" t="str">
        <f t="shared" ca="1" si="592"/>
        <v/>
      </c>
      <c r="H594" s="49" t="str">
        <f t="shared" ca="1" si="592"/>
        <v/>
      </c>
      <c r="I594" s="49" t="str">
        <f t="shared" ca="1" si="592"/>
        <v/>
      </c>
      <c r="J594" s="49" t="str">
        <f t="shared" ca="1" si="592"/>
        <v/>
      </c>
    </row>
    <row r="595" spans="1:10" ht="12.75" x14ac:dyDescent="0.2">
      <c r="A595" s="40"/>
      <c r="B595" s="41" t="s">
        <v>403</v>
      </c>
      <c r="C595" s="41" t="s">
        <v>25</v>
      </c>
      <c r="D595" s="41" t="s">
        <v>27</v>
      </c>
      <c r="E595" s="40"/>
      <c r="F595" s="49" t="str">
        <f t="shared" ref="F595:J595" ca="1" si="593">IFERROR(__xludf.DUMMYFUNCTION("if (A595 &lt;&gt; """", GOOGLETRANSLATE(A595, ""auto"", ""en""), """")"),"")</f>
        <v/>
      </c>
      <c r="G595" s="49" t="str">
        <f t="shared" ca="1" si="593"/>
        <v/>
      </c>
      <c r="H595" s="49" t="str">
        <f t="shared" ca="1" si="593"/>
        <v/>
      </c>
      <c r="I595" s="49" t="str">
        <f t="shared" ca="1" si="593"/>
        <v/>
      </c>
      <c r="J595" s="49" t="str">
        <f t="shared" ca="1" si="593"/>
        <v/>
      </c>
    </row>
    <row r="596" spans="1:10" ht="12.75" x14ac:dyDescent="0.2">
      <c r="A596" s="40"/>
      <c r="B596" s="41" t="s">
        <v>403</v>
      </c>
      <c r="C596" s="41" t="s">
        <v>30</v>
      </c>
      <c r="D596" s="41" t="s">
        <v>31</v>
      </c>
      <c r="E596" s="40"/>
      <c r="F596" s="49" t="str">
        <f t="shared" ref="F596:J596" ca="1" si="594">IFERROR(__xludf.DUMMYFUNCTION("if (A596 &lt;&gt; """", GOOGLETRANSLATE(A596, ""auto"", ""en""), """")"),"")</f>
        <v/>
      </c>
      <c r="G596" s="49" t="str">
        <f t="shared" ca="1" si="594"/>
        <v/>
      </c>
      <c r="H596" s="49" t="str">
        <f t="shared" ca="1" si="594"/>
        <v/>
      </c>
      <c r="I596" s="49" t="str">
        <f t="shared" ca="1" si="594"/>
        <v/>
      </c>
      <c r="J596" s="49" t="str">
        <f t="shared" ca="1" si="594"/>
        <v/>
      </c>
    </row>
    <row r="597" spans="1:10" ht="12.75" x14ac:dyDescent="0.2">
      <c r="A597" s="40"/>
      <c r="B597" s="40"/>
      <c r="C597" s="40"/>
      <c r="D597" s="40"/>
      <c r="E597" s="40"/>
      <c r="F597" s="49" t="str">
        <f t="shared" ref="F597:J597" ca="1" si="595">IFERROR(__xludf.DUMMYFUNCTION("if (A597 &lt;&gt; """", GOOGLETRANSLATE(A597, ""auto"", ""en""), """")"),"")</f>
        <v/>
      </c>
      <c r="G597" s="49" t="str">
        <f t="shared" ca="1" si="595"/>
        <v/>
      </c>
      <c r="H597" s="49" t="str">
        <f t="shared" ca="1" si="595"/>
        <v/>
      </c>
      <c r="I597" s="49" t="str">
        <f t="shared" ca="1" si="595"/>
        <v/>
      </c>
      <c r="J597" s="49" t="str">
        <f t="shared" ca="1" si="595"/>
        <v/>
      </c>
    </row>
    <row r="598" spans="1:10" ht="25.5" x14ac:dyDescent="0.2">
      <c r="A598" s="41" t="s">
        <v>174</v>
      </c>
      <c r="B598" s="40"/>
      <c r="C598" s="40"/>
      <c r="D598" s="40"/>
      <c r="E598" s="40"/>
      <c r="F598" s="49" t="str">
        <f t="shared" ref="F598:J598" ca="1" si="596">IFERROR(__xludf.DUMMYFUNCTION("if (A598 &lt;&gt; """", GOOGLETRANSLATE(A598, ""auto"", ""en""), """")"),"FAQ-Guest6-2")</f>
        <v>FAQ-Guest6-2</v>
      </c>
      <c r="G598" s="49" t="str">
        <f t="shared" ca="1" si="596"/>
        <v>FAQ-Guest6-2</v>
      </c>
      <c r="H598" s="49" t="str">
        <f t="shared" ca="1" si="596"/>
        <v>FAQ-Guest6-2</v>
      </c>
      <c r="I598" s="49" t="str">
        <f t="shared" ca="1" si="596"/>
        <v>FAQ-Guest6-2</v>
      </c>
      <c r="J598" s="49" t="str">
        <f t="shared" ca="1" si="596"/>
        <v>FAQ-Guest6-2</v>
      </c>
    </row>
    <row r="599" spans="1:10" ht="12.75" x14ac:dyDescent="0.2">
      <c r="A599" s="40"/>
      <c r="B599" s="41" t="s">
        <v>398</v>
      </c>
      <c r="C599" s="40"/>
      <c r="D599" s="40"/>
      <c r="E599" s="40"/>
      <c r="F599" s="49" t="str">
        <f t="shared" ref="F599:J599" ca="1" si="597">IFERROR(__xludf.DUMMYFUNCTION("if (A599 &lt;&gt; """", GOOGLETRANSLATE(A599, ""auto"", ""en""), """")"),"")</f>
        <v/>
      </c>
      <c r="G599" s="49" t="str">
        <f t="shared" ca="1" si="597"/>
        <v/>
      </c>
      <c r="H599" s="49" t="str">
        <f t="shared" ca="1" si="597"/>
        <v/>
      </c>
      <c r="I599" s="49" t="str">
        <f t="shared" ca="1" si="597"/>
        <v/>
      </c>
      <c r="J599" s="49" t="str">
        <f t="shared" ca="1" si="597"/>
        <v/>
      </c>
    </row>
    <row r="600" spans="1:10" ht="12.75" x14ac:dyDescent="0.2">
      <c r="A600" s="40"/>
      <c r="B600" s="41" t="s">
        <v>399</v>
      </c>
      <c r="C600" s="40"/>
      <c r="D600" s="40"/>
      <c r="E600" s="40"/>
      <c r="F600" s="49" t="str">
        <f t="shared" ref="F600:J600" ca="1" si="598">IFERROR(__xludf.DUMMYFUNCTION("if (A600 &lt;&gt; """", GOOGLETRANSLATE(A600, ""auto"", ""en""), """")"),"")</f>
        <v/>
      </c>
      <c r="G600" s="49" t="str">
        <f t="shared" ca="1" si="598"/>
        <v/>
      </c>
      <c r="H600" s="49" t="str">
        <f t="shared" ca="1" si="598"/>
        <v/>
      </c>
      <c r="I600" s="49" t="str">
        <f t="shared" ca="1" si="598"/>
        <v/>
      </c>
      <c r="J600" s="49" t="str">
        <f t="shared" ca="1" si="598"/>
        <v/>
      </c>
    </row>
    <row r="601" spans="1:10" ht="12.75" x14ac:dyDescent="0.2">
      <c r="A601" s="40"/>
      <c r="B601" s="41" t="s">
        <v>400</v>
      </c>
      <c r="C601" s="40"/>
      <c r="D601" s="40"/>
      <c r="E601" s="40"/>
      <c r="F601" s="49" t="str">
        <f t="shared" ref="F601:J601" ca="1" si="599">IFERROR(__xludf.DUMMYFUNCTION("if (A601 &lt;&gt; """", GOOGLETRANSLATE(A601, ""auto"", ""en""), """")"),"")</f>
        <v/>
      </c>
      <c r="G601" s="49" t="str">
        <f t="shared" ca="1" si="599"/>
        <v/>
      </c>
      <c r="H601" s="49" t="str">
        <f t="shared" ca="1" si="599"/>
        <v/>
      </c>
      <c r="I601" s="49" t="str">
        <f t="shared" ca="1" si="599"/>
        <v/>
      </c>
      <c r="J601" s="49" t="str">
        <f t="shared" ca="1" si="599"/>
        <v/>
      </c>
    </row>
    <row r="602" spans="1:10" ht="12.75" x14ac:dyDescent="0.2">
      <c r="A602" s="40"/>
      <c r="B602" s="41" t="s">
        <v>401</v>
      </c>
      <c r="C602" s="41" t="s">
        <v>174</v>
      </c>
      <c r="D602" s="40"/>
      <c r="E602" s="40"/>
      <c r="F602" s="49" t="str">
        <f t="shared" ref="F602:J602" ca="1" si="600">IFERROR(__xludf.DUMMYFUNCTION("if (A602 &lt;&gt; """", GOOGLETRANSLATE(A602, ""auto"", ""en""), """")"),"")</f>
        <v/>
      </c>
      <c r="G602" s="49" t="str">
        <f t="shared" ca="1" si="600"/>
        <v/>
      </c>
      <c r="H602" s="49" t="str">
        <f t="shared" ca="1" si="600"/>
        <v/>
      </c>
      <c r="I602" s="49" t="str">
        <f t="shared" ca="1" si="600"/>
        <v/>
      </c>
      <c r="J602" s="49" t="str">
        <f t="shared" ca="1" si="600"/>
        <v/>
      </c>
    </row>
    <row r="603" spans="1:10" ht="51" x14ac:dyDescent="0.2">
      <c r="A603" s="41" t="s">
        <v>597</v>
      </c>
      <c r="B603" s="41" t="s">
        <v>402</v>
      </c>
      <c r="C603" s="41" t="s">
        <v>383</v>
      </c>
      <c r="D603" s="40"/>
      <c r="E603" s="40"/>
      <c r="F603" s="49" t="str">
        <f t="shared" ref="F603:J603" ca="1" si="601">IFERROR(__xludf.DUMMYFUNCTION("if (A603 &lt;&gt; """", GOOGLETRANSLATE(A603, ""auto"", ""en""), """")"),"password")</f>
        <v>password</v>
      </c>
      <c r="G603" s="49" t="str">
        <f t="shared" ca="1" si="601"/>
        <v>password</v>
      </c>
      <c r="H603" s="49" t="str">
        <f t="shared" ca="1" si="601"/>
        <v>password</v>
      </c>
      <c r="I603" s="49" t="str">
        <f t="shared" ca="1" si="601"/>
        <v>password</v>
      </c>
      <c r="J603" s="49" t="str">
        <f t="shared" ca="1" si="601"/>
        <v>password</v>
      </c>
    </row>
    <row r="604" spans="1:10" ht="25.5" x14ac:dyDescent="0.2">
      <c r="A604" s="41" t="s">
        <v>598</v>
      </c>
      <c r="B604" s="41" t="s">
        <v>402</v>
      </c>
      <c r="C604" s="41" t="s">
        <v>19</v>
      </c>
      <c r="D604" s="40"/>
      <c r="E604" s="40"/>
      <c r="F604" s="49" t="str">
        <f t="shared" ref="F604:J604" ca="1" si="602">IFERROR(__xludf.DUMMYFUNCTION("if (A604 &lt;&gt; """", GOOGLETRANSLATE(A604, ""auto"", ""en""), """")"),"Reissue of password")</f>
        <v>Reissue of password</v>
      </c>
      <c r="G604" s="49" t="str">
        <f t="shared" ca="1" si="602"/>
        <v>Reissue of password</v>
      </c>
      <c r="H604" s="49" t="str">
        <f t="shared" ca="1" si="602"/>
        <v>Reissue of password</v>
      </c>
      <c r="I604" s="49" t="str">
        <f t="shared" ca="1" si="602"/>
        <v>Reissue of password</v>
      </c>
      <c r="J604" s="49" t="str">
        <f t="shared" ca="1" si="602"/>
        <v>Reissue of password</v>
      </c>
    </row>
    <row r="605" spans="1:10" ht="25.5" x14ac:dyDescent="0.2">
      <c r="A605" s="41" t="s">
        <v>599</v>
      </c>
      <c r="B605" s="40"/>
      <c r="C605" s="40"/>
      <c r="D605" s="40"/>
      <c r="E605" s="40"/>
      <c r="F605" s="49" t="str">
        <f t="shared" ref="F605:J605" ca="1" si="603">IFERROR(__xludf.DUMMYFUNCTION("if (A605 &lt;&gt; """", GOOGLETRANSLATE(A605, ""auto"", ""en""), """")"),"Forgot your password")</f>
        <v>Forgot your password</v>
      </c>
      <c r="G605" s="49" t="str">
        <f t="shared" ca="1" si="603"/>
        <v>Forgot your password</v>
      </c>
      <c r="H605" s="49" t="str">
        <f t="shared" ca="1" si="603"/>
        <v>Forgot your password</v>
      </c>
      <c r="I605" s="49" t="str">
        <f t="shared" ca="1" si="603"/>
        <v>Forgot your password</v>
      </c>
      <c r="J605" s="49" t="str">
        <f t="shared" ca="1" si="603"/>
        <v>Forgot your password</v>
      </c>
    </row>
    <row r="606" spans="1:10" ht="25.5" x14ac:dyDescent="0.2">
      <c r="A606" s="41" t="s">
        <v>600</v>
      </c>
      <c r="B606" s="40"/>
      <c r="C606" s="40"/>
      <c r="D606" s="40"/>
      <c r="E606" s="40"/>
      <c r="F606" s="49" t="str">
        <f t="shared" ref="F606:J606" ca="1" si="604">IFERROR(__xludf.DUMMYFUNCTION("if (A606 &lt;&gt; """", GOOGLETRANSLATE(A606, ""auto"", ""en""), """")"),"Password forget")</f>
        <v>Password forget</v>
      </c>
      <c r="G606" s="49" t="str">
        <f t="shared" ca="1" si="604"/>
        <v>Password forget</v>
      </c>
      <c r="H606" s="49" t="str">
        <f t="shared" ca="1" si="604"/>
        <v>Password forget</v>
      </c>
      <c r="I606" s="49" t="str">
        <f t="shared" ca="1" si="604"/>
        <v>Password forget</v>
      </c>
      <c r="J606" s="49" t="str">
        <f t="shared" ca="1" si="604"/>
        <v>Password forget</v>
      </c>
    </row>
    <row r="607" spans="1:10" ht="25.5" x14ac:dyDescent="0.2">
      <c r="A607" s="41" t="s">
        <v>173</v>
      </c>
      <c r="B607" s="40"/>
      <c r="C607" s="40"/>
      <c r="D607" s="40"/>
      <c r="E607" s="40"/>
      <c r="F607" s="49" t="str">
        <f t="shared" ref="F607:J607" ca="1" si="605">IFERROR(__xludf.DUMMYFUNCTION("if (A607 &lt;&gt; """", GOOGLETRANSLATE(A607, ""auto"", ""en""), """")"),"I forgot the password")</f>
        <v>I forgot the password</v>
      </c>
      <c r="G607" s="49" t="str">
        <f t="shared" ca="1" si="605"/>
        <v>I forgot the password</v>
      </c>
      <c r="H607" s="49" t="str">
        <f t="shared" ca="1" si="605"/>
        <v>I forgot the password</v>
      </c>
      <c r="I607" s="49" t="str">
        <f t="shared" ca="1" si="605"/>
        <v>I forgot the password</v>
      </c>
      <c r="J607" s="49" t="str">
        <f t="shared" ca="1" si="605"/>
        <v>I forgot the password</v>
      </c>
    </row>
    <row r="608" spans="1:10" ht="12.75" x14ac:dyDescent="0.2">
      <c r="A608" s="40"/>
      <c r="B608" s="41" t="s">
        <v>403</v>
      </c>
      <c r="C608" s="41" t="s">
        <v>24</v>
      </c>
      <c r="D608" s="41" t="s">
        <v>26</v>
      </c>
      <c r="E608" s="40"/>
      <c r="F608" s="49" t="str">
        <f t="shared" ref="F608:J608" ca="1" si="606">IFERROR(__xludf.DUMMYFUNCTION("if (A608 &lt;&gt; """", GOOGLETRANSLATE(A608, ""auto"", ""en""), """")"),"")</f>
        <v/>
      </c>
      <c r="G608" s="49" t="str">
        <f t="shared" ca="1" si="606"/>
        <v/>
      </c>
      <c r="H608" s="49" t="str">
        <f t="shared" ca="1" si="606"/>
        <v/>
      </c>
      <c r="I608" s="49" t="str">
        <f t="shared" ca="1" si="606"/>
        <v/>
      </c>
      <c r="J608" s="49" t="str">
        <f t="shared" ca="1" si="606"/>
        <v/>
      </c>
    </row>
    <row r="609" spans="1:10" ht="12.75" x14ac:dyDescent="0.2">
      <c r="A609" s="40"/>
      <c r="B609" s="41" t="s">
        <v>403</v>
      </c>
      <c r="C609" s="41" t="s">
        <v>32</v>
      </c>
      <c r="D609" s="41" t="s">
        <v>29</v>
      </c>
      <c r="E609" s="40"/>
      <c r="F609" s="49" t="str">
        <f t="shared" ref="F609:J609" ca="1" si="607">IFERROR(__xludf.DUMMYFUNCTION("if (A609 &lt;&gt; """", GOOGLETRANSLATE(A609, ""auto"", ""en""), """")"),"")</f>
        <v/>
      </c>
      <c r="G609" s="49" t="str">
        <f t="shared" ca="1" si="607"/>
        <v/>
      </c>
      <c r="H609" s="49" t="str">
        <f t="shared" ca="1" si="607"/>
        <v/>
      </c>
      <c r="I609" s="49" t="str">
        <f t="shared" ca="1" si="607"/>
        <v/>
      </c>
      <c r="J609" s="49" t="str">
        <f t="shared" ca="1" si="607"/>
        <v/>
      </c>
    </row>
    <row r="610" spans="1:10" ht="12.75" x14ac:dyDescent="0.2">
      <c r="A610" s="40"/>
      <c r="B610" s="41" t="s">
        <v>403</v>
      </c>
      <c r="C610" s="41" t="s">
        <v>25</v>
      </c>
      <c r="D610" s="41" t="s">
        <v>27</v>
      </c>
      <c r="E610" s="40"/>
      <c r="F610" s="49" t="str">
        <f t="shared" ref="F610:J610" ca="1" si="608">IFERROR(__xludf.DUMMYFUNCTION("if (A610 &lt;&gt; """", GOOGLETRANSLATE(A610, ""auto"", ""en""), """")"),"")</f>
        <v/>
      </c>
      <c r="G610" s="49" t="str">
        <f t="shared" ca="1" si="608"/>
        <v/>
      </c>
      <c r="H610" s="49" t="str">
        <f t="shared" ca="1" si="608"/>
        <v/>
      </c>
      <c r="I610" s="49" t="str">
        <f t="shared" ca="1" si="608"/>
        <v/>
      </c>
      <c r="J610" s="49" t="str">
        <f t="shared" ca="1" si="608"/>
        <v/>
      </c>
    </row>
    <row r="611" spans="1:10" ht="12.75" x14ac:dyDescent="0.2">
      <c r="A611" s="40"/>
      <c r="B611" s="41" t="s">
        <v>403</v>
      </c>
      <c r="C611" s="41" t="s">
        <v>30</v>
      </c>
      <c r="D611" s="41" t="s">
        <v>31</v>
      </c>
      <c r="E611" s="40"/>
      <c r="F611" s="49" t="str">
        <f t="shared" ref="F611:J611" ca="1" si="609">IFERROR(__xludf.DUMMYFUNCTION("if (A611 &lt;&gt; """", GOOGLETRANSLATE(A611, ""auto"", ""en""), """")"),"")</f>
        <v/>
      </c>
      <c r="G611" s="49" t="str">
        <f t="shared" ca="1" si="609"/>
        <v/>
      </c>
      <c r="H611" s="49" t="str">
        <f t="shared" ca="1" si="609"/>
        <v/>
      </c>
      <c r="I611" s="49" t="str">
        <f t="shared" ca="1" si="609"/>
        <v/>
      </c>
      <c r="J611" s="49" t="str">
        <f t="shared" ca="1" si="609"/>
        <v/>
      </c>
    </row>
    <row r="612" spans="1:10" ht="12.75" x14ac:dyDescent="0.2">
      <c r="A612" s="40"/>
      <c r="B612" s="40"/>
      <c r="C612" s="40"/>
      <c r="D612" s="40"/>
      <c r="E612" s="40"/>
      <c r="F612" s="49" t="str">
        <f t="shared" ref="F612:J612" ca="1" si="610">IFERROR(__xludf.DUMMYFUNCTION("if (A612 &lt;&gt; """", GOOGLETRANSLATE(A612, ""auto"", ""en""), """")"),"")</f>
        <v/>
      </c>
      <c r="G612" s="49" t="str">
        <f t="shared" ca="1" si="610"/>
        <v/>
      </c>
      <c r="H612" s="49" t="str">
        <f t="shared" ca="1" si="610"/>
        <v/>
      </c>
      <c r="I612" s="49" t="str">
        <f t="shared" ca="1" si="610"/>
        <v/>
      </c>
      <c r="J612" s="49" t="str">
        <f t="shared" ca="1" si="610"/>
        <v/>
      </c>
    </row>
    <row r="613" spans="1:10" ht="25.5" x14ac:dyDescent="0.2">
      <c r="A613" s="41" t="s">
        <v>178</v>
      </c>
      <c r="B613" s="40"/>
      <c r="C613" s="40"/>
      <c r="D613" s="40"/>
      <c r="E613" s="40"/>
      <c r="F613" s="49" t="str">
        <f t="shared" ref="F613:J613" ca="1" si="611">IFERROR(__xludf.DUMMYFUNCTION("if (A613 &lt;&gt; """", GOOGLETRANSLATE(A613, ""auto"", ""en""), """")"),"FAQ-Guest6-3")</f>
        <v>FAQ-Guest6-3</v>
      </c>
      <c r="G613" s="49" t="str">
        <f t="shared" ca="1" si="611"/>
        <v>FAQ-Guest6-3</v>
      </c>
      <c r="H613" s="49" t="str">
        <f t="shared" ca="1" si="611"/>
        <v>FAQ-Guest6-3</v>
      </c>
      <c r="I613" s="49" t="str">
        <f t="shared" ca="1" si="611"/>
        <v>FAQ-Guest6-3</v>
      </c>
      <c r="J613" s="49" t="str">
        <f t="shared" ca="1" si="611"/>
        <v>FAQ-Guest6-3</v>
      </c>
    </row>
    <row r="614" spans="1:10" ht="12.75" x14ac:dyDescent="0.2">
      <c r="A614" s="40"/>
      <c r="B614" s="41" t="s">
        <v>398</v>
      </c>
      <c r="C614" s="40"/>
      <c r="D614" s="40"/>
      <c r="E614" s="40"/>
      <c r="F614" s="49" t="str">
        <f t="shared" ref="F614:J614" ca="1" si="612">IFERROR(__xludf.DUMMYFUNCTION("if (A614 &lt;&gt; """", GOOGLETRANSLATE(A614, ""auto"", ""en""), """")"),"")</f>
        <v/>
      </c>
      <c r="G614" s="49" t="str">
        <f t="shared" ca="1" si="612"/>
        <v/>
      </c>
      <c r="H614" s="49" t="str">
        <f t="shared" ca="1" si="612"/>
        <v/>
      </c>
      <c r="I614" s="49" t="str">
        <f t="shared" ca="1" si="612"/>
        <v/>
      </c>
      <c r="J614" s="49" t="str">
        <f t="shared" ca="1" si="612"/>
        <v/>
      </c>
    </row>
    <row r="615" spans="1:10" ht="12.75" x14ac:dyDescent="0.2">
      <c r="A615" s="40"/>
      <c r="B615" s="41" t="s">
        <v>399</v>
      </c>
      <c r="C615" s="40"/>
      <c r="D615" s="40"/>
      <c r="E615" s="40"/>
      <c r="F615" s="49" t="str">
        <f t="shared" ref="F615:J615" ca="1" si="613">IFERROR(__xludf.DUMMYFUNCTION("if (A615 &lt;&gt; """", GOOGLETRANSLATE(A615, ""auto"", ""en""), """")"),"")</f>
        <v/>
      </c>
      <c r="G615" s="49" t="str">
        <f t="shared" ca="1" si="613"/>
        <v/>
      </c>
      <c r="H615" s="49" t="str">
        <f t="shared" ca="1" si="613"/>
        <v/>
      </c>
      <c r="I615" s="49" t="str">
        <f t="shared" ca="1" si="613"/>
        <v/>
      </c>
      <c r="J615" s="49" t="str">
        <f t="shared" ca="1" si="613"/>
        <v/>
      </c>
    </row>
    <row r="616" spans="1:10" ht="12.75" x14ac:dyDescent="0.2">
      <c r="A616" s="40"/>
      <c r="B616" s="41" t="s">
        <v>400</v>
      </c>
      <c r="C616" s="40"/>
      <c r="D616" s="40"/>
      <c r="E616" s="40"/>
      <c r="F616" s="49" t="str">
        <f t="shared" ref="F616:J616" ca="1" si="614">IFERROR(__xludf.DUMMYFUNCTION("if (A616 &lt;&gt; """", GOOGLETRANSLATE(A616, ""auto"", ""en""), """")"),"")</f>
        <v/>
      </c>
      <c r="G616" s="49" t="str">
        <f t="shared" ca="1" si="614"/>
        <v/>
      </c>
      <c r="H616" s="49" t="str">
        <f t="shared" ca="1" si="614"/>
        <v/>
      </c>
      <c r="I616" s="49" t="str">
        <f t="shared" ca="1" si="614"/>
        <v/>
      </c>
      <c r="J616" s="49" t="str">
        <f t="shared" ca="1" si="614"/>
        <v/>
      </c>
    </row>
    <row r="617" spans="1:10" ht="12.75" x14ac:dyDescent="0.2">
      <c r="A617" s="40"/>
      <c r="B617" s="41" t="s">
        <v>401</v>
      </c>
      <c r="C617" s="41" t="s">
        <v>178</v>
      </c>
      <c r="D617" s="40"/>
      <c r="E617" s="40"/>
      <c r="F617" s="49" t="str">
        <f t="shared" ref="F617:J617" ca="1" si="615">IFERROR(__xludf.DUMMYFUNCTION("if (A617 &lt;&gt; """", GOOGLETRANSLATE(A617, ""auto"", ""en""), """")"),"")</f>
        <v/>
      </c>
      <c r="G617" s="49" t="str">
        <f t="shared" ca="1" si="615"/>
        <v/>
      </c>
      <c r="H617" s="49" t="str">
        <f t="shared" ca="1" si="615"/>
        <v/>
      </c>
      <c r="I617" s="49" t="str">
        <f t="shared" ca="1" si="615"/>
        <v/>
      </c>
      <c r="J617" s="49" t="str">
        <f t="shared" ca="1" si="615"/>
        <v/>
      </c>
    </row>
    <row r="618" spans="1:10" ht="38.25" x14ac:dyDescent="0.2">
      <c r="A618" s="41" t="s">
        <v>601</v>
      </c>
      <c r="B618" s="41" t="s">
        <v>402</v>
      </c>
      <c r="C618" s="41" t="s">
        <v>602</v>
      </c>
      <c r="D618" s="40"/>
      <c r="E618" s="40"/>
      <c r="F618" s="49" t="str">
        <f t="shared" ref="F618:J618" ca="1" si="616">IFERROR(__xludf.DUMMYFUNCTION("if (A618 &lt;&gt; """", GOOGLETRANSLATE(A618, ""auto"", ""en""), """")"),"Delete registration")</f>
        <v>Delete registration</v>
      </c>
      <c r="G618" s="49" t="str">
        <f t="shared" ca="1" si="616"/>
        <v>Delete registration</v>
      </c>
      <c r="H618" s="49" t="str">
        <f t="shared" ca="1" si="616"/>
        <v>Delete registration</v>
      </c>
      <c r="I618" s="49" t="str">
        <f t="shared" ca="1" si="616"/>
        <v>Delete registration</v>
      </c>
      <c r="J618" s="49" t="str">
        <f t="shared" ca="1" si="616"/>
        <v>Delete registration</v>
      </c>
    </row>
    <row r="619" spans="1:10" ht="38.25" x14ac:dyDescent="0.2">
      <c r="A619" s="41" t="s">
        <v>603</v>
      </c>
      <c r="B619" s="41" t="s">
        <v>402</v>
      </c>
      <c r="C619" s="41" t="s">
        <v>19</v>
      </c>
      <c r="D619" s="40"/>
      <c r="E619" s="40"/>
      <c r="F619" s="49" t="str">
        <f t="shared" ref="F619:J619" ca="1" si="617">IFERROR(__xludf.DUMMYFUNCTION("if (A619 &lt;&gt; """", GOOGLETRANSLATE(A619, ""auto"", ""en""), """")"),"I want to delete a registration")</f>
        <v>I want to delete a registration</v>
      </c>
      <c r="G619" s="49" t="str">
        <f t="shared" ca="1" si="617"/>
        <v>I want to delete a registration</v>
      </c>
      <c r="H619" s="49" t="str">
        <f t="shared" ca="1" si="617"/>
        <v>I want to delete a registration</v>
      </c>
      <c r="I619" s="49" t="str">
        <f t="shared" ca="1" si="617"/>
        <v>I want to delete a registration</v>
      </c>
      <c r="J619" s="49" t="str">
        <f t="shared" ca="1" si="617"/>
        <v>I want to delete a registration</v>
      </c>
    </row>
    <row r="620" spans="1:10" ht="38.25" x14ac:dyDescent="0.2">
      <c r="A620" s="41" t="s">
        <v>604</v>
      </c>
      <c r="B620" s="40"/>
      <c r="C620" s="40"/>
      <c r="D620" s="40"/>
      <c r="E620" s="40"/>
      <c r="F620" s="49" t="str">
        <f t="shared" ref="F620:J620" ca="1" si="618">IFERROR(__xludf.DUMMYFUNCTION("if (A620 &lt;&gt; """", GOOGLETRANSLATE(A620, ""auto"", ""en""), """")"),"I want to delete the account")</f>
        <v>I want to delete the account</v>
      </c>
      <c r="G620" s="49" t="str">
        <f t="shared" ca="1" si="618"/>
        <v>I want to delete the account</v>
      </c>
      <c r="H620" s="49" t="str">
        <f t="shared" ca="1" si="618"/>
        <v>I want to delete the account</v>
      </c>
      <c r="I620" s="49" t="str">
        <f t="shared" ca="1" si="618"/>
        <v>I want to delete the account</v>
      </c>
      <c r="J620" s="49" t="str">
        <f t="shared" ca="1" si="618"/>
        <v>I want to delete the account</v>
      </c>
    </row>
    <row r="621" spans="1:10" ht="25.5" x14ac:dyDescent="0.2">
      <c r="A621" s="41" t="s">
        <v>591</v>
      </c>
      <c r="B621" s="40"/>
      <c r="C621" s="40"/>
      <c r="D621" s="40"/>
      <c r="E621" s="40"/>
      <c r="F621" s="49" t="str">
        <f t="shared" ref="F621:J621" ca="1" si="619">IFERROR(__xludf.DUMMYFUNCTION("if (A621 &lt;&gt; """", GOOGLETRANSLATE(A621, ""auto"", ""en""), """")"),"Delete Account")</f>
        <v>Delete Account</v>
      </c>
      <c r="G621" s="49" t="str">
        <f t="shared" ca="1" si="619"/>
        <v>Delete Account</v>
      </c>
      <c r="H621" s="49" t="str">
        <f t="shared" ca="1" si="619"/>
        <v>Delete Account</v>
      </c>
      <c r="I621" s="49" t="str">
        <f t="shared" ca="1" si="619"/>
        <v>Delete Account</v>
      </c>
      <c r="J621" s="49" t="str">
        <f t="shared" ca="1" si="619"/>
        <v>Delete Account</v>
      </c>
    </row>
    <row r="622" spans="1:10" ht="12.75" x14ac:dyDescent="0.2">
      <c r="A622" s="41" t="s">
        <v>605</v>
      </c>
      <c r="B622" s="40"/>
      <c r="C622" s="40"/>
      <c r="D622" s="40"/>
      <c r="E622" s="40"/>
      <c r="F622" s="49" t="str">
        <f t="shared" ref="F622:J622" ca="1" si="620">IFERROR(__xludf.DUMMYFUNCTION("if (A622 &lt;&gt; """", GOOGLETRANSLATE(A622, ""auto"", ""en""), """")"),"Unsubscribe")</f>
        <v>Unsubscribe</v>
      </c>
      <c r="G622" s="49" t="str">
        <f t="shared" ca="1" si="620"/>
        <v>Unsubscribe</v>
      </c>
      <c r="H622" s="49" t="str">
        <f t="shared" ca="1" si="620"/>
        <v>Unsubscribe</v>
      </c>
      <c r="I622" s="49" t="str">
        <f t="shared" ca="1" si="620"/>
        <v>Unsubscribe</v>
      </c>
      <c r="J622" s="49" t="str">
        <f t="shared" ca="1" si="620"/>
        <v>Unsubscribe</v>
      </c>
    </row>
    <row r="623" spans="1:10" ht="25.5" x14ac:dyDescent="0.2">
      <c r="A623" s="41" t="s">
        <v>606</v>
      </c>
      <c r="B623" s="40"/>
      <c r="C623" s="40"/>
      <c r="D623" s="40"/>
      <c r="E623" s="40"/>
      <c r="F623" s="49" t="str">
        <f t="shared" ref="F623:J623" ca="1" si="621">IFERROR(__xludf.DUMMYFUNCTION("if (A623 &lt;&gt; """", GOOGLETRANSLATE(A623, ""auto"", ""en""), """")"),"I want to unsubscribe")</f>
        <v>I want to unsubscribe</v>
      </c>
      <c r="G623" s="49" t="str">
        <f t="shared" ca="1" si="621"/>
        <v>I want to unsubscribe</v>
      </c>
      <c r="H623" s="49" t="str">
        <f t="shared" ca="1" si="621"/>
        <v>I want to unsubscribe</v>
      </c>
      <c r="I623" s="49" t="str">
        <f t="shared" ca="1" si="621"/>
        <v>I want to unsubscribe</v>
      </c>
      <c r="J623" s="49" t="str">
        <f t="shared" ca="1" si="621"/>
        <v>I want to unsubscribe</v>
      </c>
    </row>
    <row r="624" spans="1:10" ht="25.5" x14ac:dyDescent="0.2">
      <c r="A624" s="41" t="s">
        <v>177</v>
      </c>
      <c r="B624" s="40"/>
      <c r="C624" s="40"/>
      <c r="D624" s="40"/>
      <c r="E624" s="40"/>
      <c r="F624" s="49" t="str">
        <f t="shared" ref="F624:J624" ca="1" si="622">IFERROR(__xludf.DUMMYFUNCTION("if (A624 &lt;&gt; """", GOOGLETRANSLATE(A624, ""auto"", ""en""), """")"),"I want to unsubscribe")</f>
        <v>I want to unsubscribe</v>
      </c>
      <c r="G624" s="49" t="str">
        <f t="shared" ca="1" si="622"/>
        <v>I want to unsubscribe</v>
      </c>
      <c r="H624" s="49" t="str">
        <f t="shared" ca="1" si="622"/>
        <v>I want to unsubscribe</v>
      </c>
      <c r="I624" s="49" t="str">
        <f t="shared" ca="1" si="622"/>
        <v>I want to unsubscribe</v>
      </c>
      <c r="J624" s="49" t="str">
        <f t="shared" ca="1" si="622"/>
        <v>I want to unsubscribe</v>
      </c>
    </row>
    <row r="625" spans="1:10" ht="12.75" x14ac:dyDescent="0.2">
      <c r="A625" s="40"/>
      <c r="B625" s="41" t="s">
        <v>403</v>
      </c>
      <c r="C625" s="41" t="s">
        <v>24</v>
      </c>
      <c r="D625" s="41" t="s">
        <v>26</v>
      </c>
      <c r="E625" s="40"/>
      <c r="F625" s="49" t="str">
        <f t="shared" ref="F625:J625" ca="1" si="623">IFERROR(__xludf.DUMMYFUNCTION("if (A625 &lt;&gt; """", GOOGLETRANSLATE(A625, ""auto"", ""en""), """")"),"")</f>
        <v/>
      </c>
      <c r="G625" s="49" t="str">
        <f t="shared" ca="1" si="623"/>
        <v/>
      </c>
      <c r="H625" s="49" t="str">
        <f t="shared" ca="1" si="623"/>
        <v/>
      </c>
      <c r="I625" s="49" t="str">
        <f t="shared" ca="1" si="623"/>
        <v/>
      </c>
      <c r="J625" s="49" t="str">
        <f t="shared" ca="1" si="623"/>
        <v/>
      </c>
    </row>
    <row r="626" spans="1:10" ht="12.75" x14ac:dyDescent="0.2">
      <c r="A626" s="40"/>
      <c r="B626" s="41" t="s">
        <v>403</v>
      </c>
      <c r="C626" s="41" t="s">
        <v>32</v>
      </c>
      <c r="D626" s="41" t="s">
        <v>29</v>
      </c>
      <c r="E626" s="40"/>
      <c r="F626" s="49" t="str">
        <f t="shared" ref="F626:J626" ca="1" si="624">IFERROR(__xludf.DUMMYFUNCTION("if (A626 &lt;&gt; """", GOOGLETRANSLATE(A626, ""auto"", ""en""), """")"),"")</f>
        <v/>
      </c>
      <c r="G626" s="49" t="str">
        <f t="shared" ca="1" si="624"/>
        <v/>
      </c>
      <c r="H626" s="49" t="str">
        <f t="shared" ca="1" si="624"/>
        <v/>
      </c>
      <c r="I626" s="49" t="str">
        <f t="shared" ca="1" si="624"/>
        <v/>
      </c>
      <c r="J626" s="49" t="str">
        <f t="shared" ca="1" si="624"/>
        <v/>
      </c>
    </row>
    <row r="627" spans="1:10" ht="12.75" x14ac:dyDescent="0.2">
      <c r="A627" s="40"/>
      <c r="B627" s="41" t="s">
        <v>403</v>
      </c>
      <c r="C627" s="41" t="s">
        <v>25</v>
      </c>
      <c r="D627" s="41" t="s">
        <v>27</v>
      </c>
      <c r="E627" s="40"/>
      <c r="F627" s="49" t="str">
        <f t="shared" ref="F627:J627" ca="1" si="625">IFERROR(__xludf.DUMMYFUNCTION("if (A627 &lt;&gt; """", GOOGLETRANSLATE(A627, ""auto"", ""en""), """")"),"")</f>
        <v/>
      </c>
      <c r="G627" s="49" t="str">
        <f t="shared" ca="1" si="625"/>
        <v/>
      </c>
      <c r="H627" s="49" t="str">
        <f t="shared" ca="1" si="625"/>
        <v/>
      </c>
      <c r="I627" s="49" t="str">
        <f t="shared" ca="1" si="625"/>
        <v/>
      </c>
      <c r="J627" s="49" t="str">
        <f t="shared" ca="1" si="625"/>
        <v/>
      </c>
    </row>
    <row r="628" spans="1:10" ht="12.75" x14ac:dyDescent="0.2">
      <c r="A628" s="40"/>
      <c r="B628" s="41" t="s">
        <v>403</v>
      </c>
      <c r="C628" s="41" t="s">
        <v>30</v>
      </c>
      <c r="D628" s="41" t="s">
        <v>31</v>
      </c>
      <c r="E628" s="40"/>
      <c r="F628" s="49" t="str">
        <f t="shared" ref="F628:J628" ca="1" si="626">IFERROR(__xludf.DUMMYFUNCTION("if (A628 &lt;&gt; """", GOOGLETRANSLATE(A628, ""auto"", ""en""), """")"),"")</f>
        <v/>
      </c>
      <c r="G628" s="49" t="str">
        <f t="shared" ca="1" si="626"/>
        <v/>
      </c>
      <c r="H628" s="49" t="str">
        <f t="shared" ca="1" si="626"/>
        <v/>
      </c>
      <c r="I628" s="49" t="str">
        <f t="shared" ca="1" si="626"/>
        <v/>
      </c>
      <c r="J628" s="49" t="str">
        <f t="shared" ca="1" si="626"/>
        <v/>
      </c>
    </row>
    <row r="629" spans="1:10" ht="12.75" x14ac:dyDescent="0.2">
      <c r="A629" s="40"/>
      <c r="B629" s="40"/>
      <c r="C629" s="40"/>
      <c r="D629" s="40"/>
      <c r="E629" s="40"/>
      <c r="F629" s="49" t="str">
        <f t="shared" ref="F629:J629" ca="1" si="627">IFERROR(__xludf.DUMMYFUNCTION("if (A629 &lt;&gt; """", GOOGLETRANSLATE(A629, ""auto"", ""en""), """")"),"")</f>
        <v/>
      </c>
      <c r="G629" s="49" t="str">
        <f t="shared" ca="1" si="627"/>
        <v/>
      </c>
      <c r="H629" s="49" t="str">
        <f t="shared" ca="1" si="627"/>
        <v/>
      </c>
      <c r="I629" s="49" t="str">
        <f t="shared" ca="1" si="627"/>
        <v/>
      </c>
      <c r="J629" s="49" t="str">
        <f t="shared" ca="1" si="627"/>
        <v/>
      </c>
    </row>
    <row r="630" spans="1:10" ht="12.75" x14ac:dyDescent="0.2">
      <c r="A630" s="41" t="s">
        <v>164</v>
      </c>
      <c r="B630" s="40"/>
      <c r="C630" s="40"/>
      <c r="D630" s="40"/>
      <c r="E630" s="40"/>
      <c r="F630" s="49" t="str">
        <f t="shared" ref="F630:J630" ca="1" si="628">IFERROR(__xludf.DUMMYFUNCTION("if (A630 &lt;&gt; """", GOOGLETRANSLATE(A630, ""auto"", ""en""), """")"),"FAQ-Guest6")</f>
        <v>FAQ-Guest6</v>
      </c>
      <c r="G630" s="49" t="str">
        <f t="shared" ca="1" si="628"/>
        <v>FAQ-Guest6</v>
      </c>
      <c r="H630" s="49" t="str">
        <f t="shared" ca="1" si="628"/>
        <v>FAQ-Guest6</v>
      </c>
      <c r="I630" s="49" t="str">
        <f t="shared" ca="1" si="628"/>
        <v>FAQ-Guest6</v>
      </c>
      <c r="J630" s="49" t="str">
        <f t="shared" ca="1" si="628"/>
        <v>FAQ-Guest6</v>
      </c>
    </row>
    <row r="631" spans="1:10" ht="12.75" x14ac:dyDescent="0.2">
      <c r="A631" s="40"/>
      <c r="B631" s="41" t="s">
        <v>398</v>
      </c>
      <c r="C631" s="40"/>
      <c r="D631" s="40"/>
      <c r="E631" s="40"/>
      <c r="F631" s="49" t="str">
        <f t="shared" ref="F631:J631" ca="1" si="629">IFERROR(__xludf.DUMMYFUNCTION("if (A631 &lt;&gt; """", GOOGLETRANSLATE(A631, ""auto"", ""en""), """")"),"")</f>
        <v/>
      </c>
      <c r="G631" s="49" t="str">
        <f t="shared" ca="1" si="629"/>
        <v/>
      </c>
      <c r="H631" s="49" t="str">
        <f t="shared" ca="1" si="629"/>
        <v/>
      </c>
      <c r="I631" s="49" t="str">
        <f t="shared" ca="1" si="629"/>
        <v/>
      </c>
      <c r="J631" s="49" t="str">
        <f t="shared" ca="1" si="629"/>
        <v/>
      </c>
    </row>
    <row r="632" spans="1:10" ht="12.75" x14ac:dyDescent="0.2">
      <c r="A632" s="40"/>
      <c r="B632" s="41" t="s">
        <v>399</v>
      </c>
      <c r="C632" s="40"/>
      <c r="D632" s="40"/>
      <c r="E632" s="40"/>
      <c r="F632" s="49" t="str">
        <f t="shared" ref="F632:J632" ca="1" si="630">IFERROR(__xludf.DUMMYFUNCTION("if (A632 &lt;&gt; """", GOOGLETRANSLATE(A632, ""auto"", ""en""), """")"),"")</f>
        <v/>
      </c>
      <c r="G632" s="49" t="str">
        <f t="shared" ca="1" si="630"/>
        <v/>
      </c>
      <c r="H632" s="49" t="str">
        <f t="shared" ca="1" si="630"/>
        <v/>
      </c>
      <c r="I632" s="49" t="str">
        <f t="shared" ca="1" si="630"/>
        <v/>
      </c>
      <c r="J632" s="49" t="str">
        <f t="shared" ca="1" si="630"/>
        <v/>
      </c>
    </row>
    <row r="633" spans="1:10" ht="12.75" x14ac:dyDescent="0.2">
      <c r="A633" s="40"/>
      <c r="B633" s="41" t="s">
        <v>400</v>
      </c>
      <c r="C633" s="40"/>
      <c r="D633" s="40"/>
      <c r="E633" s="40"/>
      <c r="F633" s="49" t="str">
        <f t="shared" ref="F633:J633" ca="1" si="631">IFERROR(__xludf.DUMMYFUNCTION("if (A633 &lt;&gt; """", GOOGLETRANSLATE(A633, ""auto"", ""en""), """")"),"")</f>
        <v/>
      </c>
      <c r="G633" s="49" t="str">
        <f t="shared" ca="1" si="631"/>
        <v/>
      </c>
      <c r="H633" s="49" t="str">
        <f t="shared" ca="1" si="631"/>
        <v/>
      </c>
      <c r="I633" s="49" t="str">
        <f t="shared" ca="1" si="631"/>
        <v/>
      </c>
      <c r="J633" s="49" t="str">
        <f t="shared" ca="1" si="631"/>
        <v/>
      </c>
    </row>
    <row r="634" spans="1:10" ht="12.75" x14ac:dyDescent="0.2">
      <c r="A634" s="40"/>
      <c r="B634" s="41" t="s">
        <v>401</v>
      </c>
      <c r="C634" s="41" t="s">
        <v>164</v>
      </c>
      <c r="D634" s="40"/>
      <c r="E634" s="40"/>
      <c r="F634" s="49" t="str">
        <f t="shared" ref="F634:J634" ca="1" si="632">IFERROR(__xludf.DUMMYFUNCTION("if (A634 &lt;&gt; """", GOOGLETRANSLATE(A634, ""auto"", ""en""), """")"),"")</f>
        <v/>
      </c>
      <c r="G634" s="49" t="str">
        <f t="shared" ca="1" si="632"/>
        <v/>
      </c>
      <c r="H634" s="49" t="str">
        <f t="shared" ca="1" si="632"/>
        <v/>
      </c>
      <c r="I634" s="49" t="str">
        <f t="shared" ca="1" si="632"/>
        <v/>
      </c>
      <c r="J634" s="49" t="str">
        <f t="shared" ca="1" si="632"/>
        <v/>
      </c>
    </row>
    <row r="635" spans="1:10" ht="25.5" x14ac:dyDescent="0.2">
      <c r="A635" s="41" t="s">
        <v>607</v>
      </c>
      <c r="B635" s="41" t="s">
        <v>402</v>
      </c>
      <c r="C635" s="41" t="s">
        <v>165</v>
      </c>
      <c r="D635" s="40"/>
      <c r="E635" s="40"/>
      <c r="F635" s="49" t="str">
        <f t="shared" ref="F635:J635" ca="1" si="633">IFERROR(__xludf.DUMMYFUNCTION("if (A635 &lt;&gt; """", GOOGLETRANSLATE(A635, ""auto"", ""en""), """")"),"ID")</f>
        <v>ID</v>
      </c>
      <c r="G635" s="49" t="str">
        <f t="shared" ca="1" si="633"/>
        <v>ID</v>
      </c>
      <c r="H635" s="49" t="str">
        <f t="shared" ca="1" si="633"/>
        <v>ID</v>
      </c>
      <c r="I635" s="49" t="str">
        <f t="shared" ca="1" si="633"/>
        <v>ID</v>
      </c>
      <c r="J635" s="49" t="str">
        <f t="shared" ca="1" si="633"/>
        <v>ID</v>
      </c>
    </row>
    <row r="636" spans="1:10" ht="12.75" x14ac:dyDescent="0.2">
      <c r="A636" s="41" t="s">
        <v>608</v>
      </c>
      <c r="B636" s="40"/>
      <c r="C636" s="40"/>
      <c r="D636" s="40"/>
      <c r="E636" s="40"/>
      <c r="F636" s="49" t="str">
        <f t="shared" ref="F636:J636" ca="1" si="634">IFERROR(__xludf.DUMMYFUNCTION("if (A636 &lt;&gt; """", GOOGLETRANSLATE(A636, ""auto"", ""en""), """")"),"account")</f>
        <v>account</v>
      </c>
      <c r="G636" s="49" t="str">
        <f t="shared" ca="1" si="634"/>
        <v>account</v>
      </c>
      <c r="H636" s="49" t="str">
        <f t="shared" ca="1" si="634"/>
        <v>account</v>
      </c>
      <c r="I636" s="49" t="str">
        <f t="shared" ca="1" si="634"/>
        <v>account</v>
      </c>
      <c r="J636" s="49" t="str">
        <f t="shared" ca="1" si="634"/>
        <v>account</v>
      </c>
    </row>
    <row r="637" spans="1:10" ht="25.5" x14ac:dyDescent="0.2">
      <c r="A637" s="41" t="s">
        <v>53</v>
      </c>
      <c r="B637" s="40"/>
      <c r="C637" s="40"/>
      <c r="D637" s="40"/>
      <c r="E637" s="40"/>
      <c r="F637" s="49" t="str">
        <f t="shared" ref="F637:J637" ca="1" si="635">IFERROR(__xludf.DUMMYFUNCTION("if (A637 &lt;&gt; """", GOOGLETRANSLATE(A637, ""auto"", ""en""), """")"),"About account")</f>
        <v>About account</v>
      </c>
      <c r="G637" s="49" t="str">
        <f t="shared" ca="1" si="635"/>
        <v>About account</v>
      </c>
      <c r="H637" s="49" t="str">
        <f t="shared" ca="1" si="635"/>
        <v>About account</v>
      </c>
      <c r="I637" s="49" t="str">
        <f t="shared" ca="1" si="635"/>
        <v>About account</v>
      </c>
      <c r="J637" s="49" t="str">
        <f t="shared" ca="1" si="635"/>
        <v>About account</v>
      </c>
    </row>
    <row r="638" spans="1:10" ht="12.75" x14ac:dyDescent="0.2">
      <c r="A638" s="40"/>
      <c r="B638" s="41" t="s">
        <v>403</v>
      </c>
      <c r="C638" s="41" t="s">
        <v>166</v>
      </c>
      <c r="D638" s="41" t="s">
        <v>167</v>
      </c>
      <c r="E638" s="40"/>
      <c r="F638" s="49" t="str">
        <f t="shared" ref="F638:J638" ca="1" si="636">IFERROR(__xludf.DUMMYFUNCTION("if (A638 &lt;&gt; """", GOOGLETRANSLATE(A638, ""auto"", ""en""), """")"),"")</f>
        <v/>
      </c>
      <c r="G638" s="49" t="str">
        <f t="shared" ca="1" si="636"/>
        <v/>
      </c>
      <c r="H638" s="49" t="str">
        <f t="shared" ca="1" si="636"/>
        <v/>
      </c>
      <c r="I638" s="49" t="str">
        <f t="shared" ca="1" si="636"/>
        <v/>
      </c>
      <c r="J638" s="49" t="str">
        <f t="shared" ca="1" si="636"/>
        <v/>
      </c>
    </row>
    <row r="639" spans="1:10" ht="12.75" x14ac:dyDescent="0.2">
      <c r="A639" s="40"/>
      <c r="B639" s="41" t="s">
        <v>403</v>
      </c>
      <c r="C639" s="41" t="s">
        <v>173</v>
      </c>
      <c r="D639" s="41" t="s">
        <v>174</v>
      </c>
      <c r="E639" s="40"/>
      <c r="F639" s="49" t="str">
        <f t="shared" ref="F639:J639" ca="1" si="637">IFERROR(__xludf.DUMMYFUNCTION("if (A639 &lt;&gt; """", GOOGLETRANSLATE(A639, ""auto"", ""en""), """")"),"")</f>
        <v/>
      </c>
      <c r="G639" s="49" t="str">
        <f t="shared" ca="1" si="637"/>
        <v/>
      </c>
      <c r="H639" s="49" t="str">
        <f t="shared" ca="1" si="637"/>
        <v/>
      </c>
      <c r="I639" s="49" t="str">
        <f t="shared" ca="1" si="637"/>
        <v/>
      </c>
      <c r="J639" s="49" t="str">
        <f t="shared" ca="1" si="637"/>
        <v/>
      </c>
    </row>
    <row r="640" spans="1:10" ht="12.75" x14ac:dyDescent="0.2">
      <c r="A640" s="40"/>
      <c r="B640" s="41" t="s">
        <v>403</v>
      </c>
      <c r="C640" s="41" t="s">
        <v>177</v>
      </c>
      <c r="D640" s="41" t="s">
        <v>178</v>
      </c>
      <c r="E640" s="40"/>
      <c r="F640" s="49" t="str">
        <f t="shared" ref="F640:J640" ca="1" si="638">IFERROR(__xludf.DUMMYFUNCTION("if (A640 &lt;&gt; """", GOOGLETRANSLATE(A640, ""auto"", ""en""), """")"),"")</f>
        <v/>
      </c>
      <c r="G640" s="49" t="str">
        <f t="shared" ca="1" si="638"/>
        <v/>
      </c>
      <c r="H640" s="49" t="str">
        <f t="shared" ca="1" si="638"/>
        <v/>
      </c>
      <c r="I640" s="49" t="str">
        <f t="shared" ca="1" si="638"/>
        <v/>
      </c>
      <c r="J640" s="49" t="str">
        <f t="shared" ca="1" si="638"/>
        <v/>
      </c>
    </row>
    <row r="641" spans="1:10" ht="12.75" x14ac:dyDescent="0.2">
      <c r="A641" s="40"/>
      <c r="B641" s="41" t="s">
        <v>403</v>
      </c>
      <c r="C641" s="41" t="s">
        <v>24</v>
      </c>
      <c r="D641" s="41" t="s">
        <v>26</v>
      </c>
      <c r="E641" s="40"/>
      <c r="F641" s="49" t="str">
        <f t="shared" ref="F641:J641" ca="1" si="639">IFERROR(__xludf.DUMMYFUNCTION("if (A641 &lt;&gt; """", GOOGLETRANSLATE(A641, ""auto"", ""en""), """")"),"")</f>
        <v/>
      </c>
      <c r="G641" s="49" t="str">
        <f t="shared" ca="1" si="639"/>
        <v/>
      </c>
      <c r="H641" s="49" t="str">
        <f t="shared" ca="1" si="639"/>
        <v/>
      </c>
      <c r="I641" s="49" t="str">
        <f t="shared" ca="1" si="639"/>
        <v/>
      </c>
      <c r="J641" s="49" t="str">
        <f t="shared" ca="1" si="639"/>
        <v/>
      </c>
    </row>
    <row r="642" spans="1:10" ht="12.75" x14ac:dyDescent="0.2">
      <c r="A642" s="40"/>
      <c r="B642" s="41" t="s">
        <v>403</v>
      </c>
      <c r="C642" s="41" t="s">
        <v>32</v>
      </c>
      <c r="D642" s="41" t="s">
        <v>29</v>
      </c>
      <c r="E642" s="40"/>
      <c r="F642" s="49" t="str">
        <f t="shared" ref="F642:J642" ca="1" si="640">IFERROR(__xludf.DUMMYFUNCTION("if (A642 &lt;&gt; """", GOOGLETRANSLATE(A642, ""auto"", ""en""), """")"),"")</f>
        <v/>
      </c>
      <c r="G642" s="49" t="str">
        <f t="shared" ca="1" si="640"/>
        <v/>
      </c>
      <c r="H642" s="49" t="str">
        <f t="shared" ca="1" si="640"/>
        <v/>
      </c>
      <c r="I642" s="49" t="str">
        <f t="shared" ca="1" si="640"/>
        <v/>
      </c>
      <c r="J642" s="49" t="str">
        <f t="shared" ca="1" si="640"/>
        <v/>
      </c>
    </row>
    <row r="643" spans="1:10" ht="12.75" x14ac:dyDescent="0.2">
      <c r="A643" s="40"/>
      <c r="B643" s="40"/>
      <c r="C643" s="40"/>
      <c r="D643" s="40"/>
      <c r="E643" s="40"/>
      <c r="F643" s="49" t="str">
        <f t="shared" ref="F643:J643" ca="1" si="641">IFERROR(__xludf.DUMMYFUNCTION("if (A643 &lt;&gt; """", GOOGLETRANSLATE(A643, ""auto"", ""en""), """")"),"")</f>
        <v/>
      </c>
      <c r="G643" s="49" t="str">
        <f t="shared" ca="1" si="641"/>
        <v/>
      </c>
      <c r="H643" s="49" t="str">
        <f t="shared" ca="1" si="641"/>
        <v/>
      </c>
      <c r="I643" s="49" t="str">
        <f t="shared" ca="1" si="641"/>
        <v/>
      </c>
      <c r="J643" s="49" t="str">
        <f t="shared" ca="1" si="641"/>
        <v/>
      </c>
    </row>
    <row r="644" spans="1:10" ht="25.5" x14ac:dyDescent="0.2">
      <c r="A644" s="41" t="s">
        <v>29</v>
      </c>
      <c r="B644" s="40"/>
      <c r="C644" s="40"/>
      <c r="D644" s="40"/>
      <c r="E644" s="40"/>
      <c r="F644" s="49" t="str">
        <f t="shared" ref="F644:J644" ca="1" si="642">IFERROR(__xludf.DUMMYFUNCTION("if (A644 &lt;&gt; """", GOOGLETRANSLATE(A644, ""auto"", ""en""), """")"),"FAQ-Host-First")</f>
        <v>FAQ-Host-First</v>
      </c>
      <c r="G644" s="49" t="str">
        <f t="shared" ca="1" si="642"/>
        <v>FAQ-Host-First</v>
      </c>
      <c r="H644" s="49" t="str">
        <f t="shared" ca="1" si="642"/>
        <v>FAQ-Host-First</v>
      </c>
      <c r="I644" s="49" t="str">
        <f t="shared" ca="1" si="642"/>
        <v>FAQ-Host-First</v>
      </c>
      <c r="J644" s="49" t="str">
        <f t="shared" ca="1" si="642"/>
        <v>FAQ-Host-First</v>
      </c>
    </row>
    <row r="645" spans="1:10" ht="12.75" x14ac:dyDescent="0.2">
      <c r="A645" s="40"/>
      <c r="B645" s="41" t="s">
        <v>398</v>
      </c>
      <c r="C645" s="40"/>
      <c r="D645" s="40"/>
      <c r="E645" s="40"/>
      <c r="F645" s="49" t="str">
        <f t="shared" ref="F645:J645" ca="1" si="643">IFERROR(__xludf.DUMMYFUNCTION("if (A645 &lt;&gt; """", GOOGLETRANSLATE(A645, ""auto"", ""en""), """")"),"")</f>
        <v/>
      </c>
      <c r="G645" s="49" t="str">
        <f t="shared" ca="1" si="643"/>
        <v/>
      </c>
      <c r="H645" s="49" t="str">
        <f t="shared" ca="1" si="643"/>
        <v/>
      </c>
      <c r="I645" s="49" t="str">
        <f t="shared" ca="1" si="643"/>
        <v/>
      </c>
      <c r="J645" s="49" t="str">
        <f t="shared" ca="1" si="643"/>
        <v/>
      </c>
    </row>
    <row r="646" spans="1:10" ht="12.75" x14ac:dyDescent="0.2">
      <c r="A646" s="40"/>
      <c r="B646" s="41" t="s">
        <v>399</v>
      </c>
      <c r="C646" s="40"/>
      <c r="D646" s="40"/>
      <c r="E646" s="40"/>
      <c r="F646" s="49" t="str">
        <f t="shared" ref="F646:J646" ca="1" si="644">IFERROR(__xludf.DUMMYFUNCTION("if (A646 &lt;&gt; """", GOOGLETRANSLATE(A646, ""auto"", ""en""), """")"),"")</f>
        <v/>
      </c>
      <c r="G646" s="49" t="str">
        <f t="shared" ca="1" si="644"/>
        <v/>
      </c>
      <c r="H646" s="49" t="str">
        <f t="shared" ca="1" si="644"/>
        <v/>
      </c>
      <c r="I646" s="49" t="str">
        <f t="shared" ca="1" si="644"/>
        <v/>
      </c>
      <c r="J646" s="49" t="str">
        <f t="shared" ca="1" si="644"/>
        <v/>
      </c>
    </row>
    <row r="647" spans="1:10" ht="12.75" x14ac:dyDescent="0.2">
      <c r="A647" s="40"/>
      <c r="B647" s="41" t="s">
        <v>400</v>
      </c>
      <c r="C647" s="40"/>
      <c r="D647" s="40"/>
      <c r="E647" s="40"/>
      <c r="F647" s="49" t="str">
        <f t="shared" ref="F647:J647" ca="1" si="645">IFERROR(__xludf.DUMMYFUNCTION("if (A647 &lt;&gt; """", GOOGLETRANSLATE(A647, ""auto"", ""en""), """")"),"")</f>
        <v/>
      </c>
      <c r="G647" s="49" t="str">
        <f t="shared" ca="1" si="645"/>
        <v/>
      </c>
      <c r="H647" s="49" t="str">
        <f t="shared" ca="1" si="645"/>
        <v/>
      </c>
      <c r="I647" s="49" t="str">
        <f t="shared" ca="1" si="645"/>
        <v/>
      </c>
      <c r="J647" s="49" t="str">
        <f t="shared" ca="1" si="645"/>
        <v/>
      </c>
    </row>
    <row r="648" spans="1:10" ht="12.75" x14ac:dyDescent="0.2">
      <c r="A648" s="40"/>
      <c r="B648" s="41" t="s">
        <v>401</v>
      </c>
      <c r="C648" s="41" t="s">
        <v>29</v>
      </c>
      <c r="D648" s="40"/>
      <c r="E648" s="40"/>
      <c r="F648" s="49" t="str">
        <f t="shared" ref="F648:J648" ca="1" si="646">IFERROR(__xludf.DUMMYFUNCTION("if (A648 &lt;&gt; """", GOOGLETRANSLATE(A648, ""auto"", ""en""), """")"),"")</f>
        <v/>
      </c>
      <c r="G648" s="49" t="str">
        <f t="shared" ca="1" si="646"/>
        <v/>
      </c>
      <c r="H648" s="49" t="str">
        <f t="shared" ca="1" si="646"/>
        <v/>
      </c>
      <c r="I648" s="49" t="str">
        <f t="shared" ca="1" si="646"/>
        <v/>
      </c>
      <c r="J648" s="49" t="str">
        <f t="shared" ca="1" si="646"/>
        <v/>
      </c>
    </row>
    <row r="649" spans="1:10" ht="63.75" x14ac:dyDescent="0.2">
      <c r="A649" s="41" t="s">
        <v>609</v>
      </c>
      <c r="B649" s="41" t="s">
        <v>402</v>
      </c>
      <c r="C649" s="41" t="s">
        <v>647</v>
      </c>
      <c r="D649" s="40"/>
      <c r="E649" s="40"/>
      <c r="F649" s="49" t="str">
        <f t="shared" ref="F649:J649" ca="1" si="647">IFERROR(__xludf.DUMMYFUNCTION("if (A649 &lt;&gt; """", GOOGLETRANSLATE(A649, ""auto"", ""en""), """")"),"Ask a question about that lend the house")</f>
        <v>Ask a question about that lend the house</v>
      </c>
      <c r="G649" s="49" t="str">
        <f t="shared" ca="1" si="647"/>
        <v>Ask a question about that lend the house</v>
      </c>
      <c r="H649" s="49" t="str">
        <f t="shared" ca="1" si="647"/>
        <v>Ask a question about that lend the house</v>
      </c>
      <c r="I649" s="49" t="str">
        <f t="shared" ca="1" si="647"/>
        <v>Ask a question about that lend the house</v>
      </c>
      <c r="J649" s="49" t="str">
        <f t="shared" ca="1" si="647"/>
        <v>Ask a question about that lend the house</v>
      </c>
    </row>
    <row r="650" spans="1:10" ht="51" x14ac:dyDescent="0.2">
      <c r="A650" s="41" t="s">
        <v>610</v>
      </c>
      <c r="B650" s="40"/>
      <c r="C650" s="40"/>
      <c r="D650" s="40"/>
      <c r="E650" s="40"/>
      <c r="F650" s="49" t="str">
        <f t="shared" ref="F650:J650" ca="1" si="648">IFERROR(__xludf.DUMMYFUNCTION("if (A650 &lt;&gt; """", GOOGLETRANSLATE(A650, ""auto"", ""en""), """")"),"I want to rent a house, but there are questions")</f>
        <v>I want to rent a house, but there are questions</v>
      </c>
      <c r="G650" s="49" t="str">
        <f t="shared" ca="1" si="648"/>
        <v>I want to rent a house, but there are questions</v>
      </c>
      <c r="H650" s="49" t="str">
        <f t="shared" ca="1" si="648"/>
        <v>I want to rent a house, but there are questions</v>
      </c>
      <c r="I650" s="49" t="str">
        <f t="shared" ca="1" si="648"/>
        <v>I want to rent a house, but there are questions</v>
      </c>
      <c r="J650" s="49" t="str">
        <f t="shared" ca="1" si="648"/>
        <v>I want to rent a house, but there are questions</v>
      </c>
    </row>
    <row r="651" spans="1:10" ht="25.5" x14ac:dyDescent="0.2">
      <c r="A651" s="41" t="s">
        <v>611</v>
      </c>
      <c r="B651" s="40"/>
      <c r="C651" s="40"/>
      <c r="D651" s="40"/>
      <c r="E651" s="40"/>
      <c r="F651" s="49" t="str">
        <f t="shared" ref="F651:J651" ca="1" si="649">IFERROR(__xludf.DUMMYFUNCTION("if (A651 &lt;&gt; """", GOOGLETRANSLATE(A651, ""auto"", ""en""), """")"),"For that lend the property")</f>
        <v>For that lend the property</v>
      </c>
      <c r="G651" s="49" t="str">
        <f t="shared" ca="1" si="649"/>
        <v>For that lend the property</v>
      </c>
      <c r="H651" s="49" t="str">
        <f t="shared" ca="1" si="649"/>
        <v>For that lend the property</v>
      </c>
      <c r="I651" s="49" t="str">
        <f t="shared" ca="1" si="649"/>
        <v>For that lend the property</v>
      </c>
      <c r="J651" s="49" t="str">
        <f t="shared" ca="1" si="649"/>
        <v>For that lend the property</v>
      </c>
    </row>
    <row r="652" spans="1:10" ht="38.25" x14ac:dyDescent="0.2">
      <c r="A652" s="41" t="s">
        <v>612</v>
      </c>
      <c r="B652" s="40"/>
      <c r="C652" s="40"/>
      <c r="D652" s="40"/>
      <c r="E652" s="40"/>
      <c r="F652" s="49" t="str">
        <f t="shared" ref="F652:J652" ca="1" si="650">IFERROR(__xludf.DUMMYFUNCTION("if (A652 &lt;&gt; """", GOOGLETRANSLATE(A652, ""auto"", ""en""), """")"),"I want to know about that lend the room")</f>
        <v>I want to know about that lend the room</v>
      </c>
      <c r="G652" s="49" t="str">
        <f t="shared" ca="1" si="650"/>
        <v>I want to know about that lend the room</v>
      </c>
      <c r="H652" s="49" t="str">
        <f t="shared" ca="1" si="650"/>
        <v>I want to know about that lend the room</v>
      </c>
      <c r="I652" s="49" t="str">
        <f t="shared" ca="1" si="650"/>
        <v>I want to know about that lend the room</v>
      </c>
      <c r="J652" s="49" t="str">
        <f t="shared" ca="1" si="650"/>
        <v>I want to know about that lend the room</v>
      </c>
    </row>
    <row r="653" spans="1:10" ht="38.25" x14ac:dyDescent="0.2">
      <c r="A653" s="41" t="s">
        <v>613</v>
      </c>
      <c r="B653" s="40"/>
      <c r="C653" s="40"/>
      <c r="D653" s="40"/>
      <c r="E653" s="40"/>
      <c r="F653" s="49" t="str">
        <f t="shared" ref="F653:J653" ca="1" si="651">IFERROR(__xludf.DUMMYFUNCTION("if (A653 &lt;&gt; """", GOOGLETRANSLATE(A653, ""auto"", ""en""), """")"),"I want to hear about what lend the room")</f>
        <v>I want to hear about what lend the room</v>
      </c>
      <c r="G653" s="49" t="str">
        <f t="shared" ca="1" si="651"/>
        <v>I want to hear about what lend the room</v>
      </c>
      <c r="H653" s="49" t="str">
        <f t="shared" ca="1" si="651"/>
        <v>I want to hear about what lend the room</v>
      </c>
      <c r="I653" s="49" t="str">
        <f t="shared" ca="1" si="651"/>
        <v>I want to hear about what lend the room</v>
      </c>
      <c r="J653" s="49" t="str">
        <f t="shared" ca="1" si="651"/>
        <v>I want to hear about what lend the room</v>
      </c>
    </row>
    <row r="654" spans="1:10" ht="25.5" x14ac:dyDescent="0.2">
      <c r="A654" s="41" t="s">
        <v>614</v>
      </c>
      <c r="B654" s="40"/>
      <c r="C654" s="40"/>
      <c r="D654" s="40"/>
      <c r="E654" s="40"/>
      <c r="F654" s="49" t="str">
        <f t="shared" ref="F654:J654" ca="1" si="652">IFERROR(__xludf.DUMMYFUNCTION("if (A654 &lt;&gt; """", GOOGLETRANSLATE(A654, ""auto"", ""en""), """")"),"I want to hear about the host")</f>
        <v>I want to hear about the host</v>
      </c>
      <c r="G654" s="49" t="str">
        <f t="shared" ca="1" si="652"/>
        <v>I want to hear about the host</v>
      </c>
      <c r="H654" s="49" t="str">
        <f t="shared" ca="1" si="652"/>
        <v>I want to hear about the host</v>
      </c>
      <c r="I654" s="49" t="str">
        <f t="shared" ca="1" si="652"/>
        <v>I want to hear about the host</v>
      </c>
      <c r="J654" s="49" t="str">
        <f t="shared" ca="1" si="652"/>
        <v>I want to hear about the host</v>
      </c>
    </row>
    <row r="655" spans="1:10" ht="25.5" x14ac:dyDescent="0.2">
      <c r="A655" s="41" t="s">
        <v>615</v>
      </c>
      <c r="B655" s="40"/>
      <c r="C655" s="40"/>
      <c r="D655" s="40"/>
      <c r="E655" s="40"/>
      <c r="F655" s="49" t="str">
        <f t="shared" ref="F655:J655" ca="1" si="653">IFERROR(__xludf.DUMMYFUNCTION("if (A655 &lt;&gt; """", GOOGLETRANSLATE(A655, ""auto"", ""en""), """")"),"Questions as host")</f>
        <v>Questions as host</v>
      </c>
      <c r="G655" s="49" t="str">
        <f t="shared" ca="1" si="653"/>
        <v>Questions as host</v>
      </c>
      <c r="H655" s="49" t="str">
        <f t="shared" ca="1" si="653"/>
        <v>Questions as host</v>
      </c>
      <c r="I655" s="49" t="str">
        <f t="shared" ca="1" si="653"/>
        <v>Questions as host</v>
      </c>
      <c r="J655" s="49" t="str">
        <f t="shared" ca="1" si="653"/>
        <v>Questions as host</v>
      </c>
    </row>
    <row r="656" spans="1:10" ht="25.5" x14ac:dyDescent="0.2">
      <c r="A656" s="41" t="s">
        <v>616</v>
      </c>
      <c r="B656" s="40"/>
      <c r="C656" s="40"/>
      <c r="D656" s="40"/>
      <c r="E656" s="40"/>
      <c r="F656" s="49" t="str">
        <f t="shared" ref="F656:J656" ca="1" si="654">IFERROR(__xludf.DUMMYFUNCTION("if (A656 &lt;&gt; """", GOOGLETRANSLATE(A656, ""auto"", ""en""), """")"),"Question of the host")</f>
        <v>Question of the host</v>
      </c>
      <c r="G656" s="49" t="str">
        <f t="shared" ca="1" si="654"/>
        <v>Question of the host</v>
      </c>
      <c r="H656" s="49" t="str">
        <f t="shared" ca="1" si="654"/>
        <v>Question of the host</v>
      </c>
      <c r="I656" s="49" t="str">
        <f t="shared" ca="1" si="654"/>
        <v>Question of the host</v>
      </c>
      <c r="J656" s="49" t="str">
        <f t="shared" ca="1" si="654"/>
        <v>Question of the host</v>
      </c>
    </row>
    <row r="657" spans="1:10" ht="51" x14ac:dyDescent="0.2">
      <c r="A657" s="41" t="s">
        <v>56</v>
      </c>
      <c r="B657" s="40"/>
      <c r="C657" s="40"/>
      <c r="D657" s="40"/>
      <c r="E657" s="40"/>
      <c r="F657" s="49" t="str">
        <f t="shared" ref="F657:J657" ca="1" si="655">IFERROR(__xludf.DUMMYFUNCTION("if (A657 &lt;&gt; """", GOOGLETRANSLATE(A657, ""auto"", ""en""), """")"),"Want to question as the host (host)")</f>
        <v>Want to question as the host (host)</v>
      </c>
      <c r="G657" s="49" t="str">
        <f t="shared" ca="1" si="655"/>
        <v>Want to question as the host (host)</v>
      </c>
      <c r="H657" s="49" t="str">
        <f t="shared" ca="1" si="655"/>
        <v>Want to question as the host (host)</v>
      </c>
      <c r="I657" s="49" t="str">
        <f t="shared" ca="1" si="655"/>
        <v>Want to question as the host (host)</v>
      </c>
      <c r="J657" s="49" t="str">
        <f t="shared" ca="1" si="655"/>
        <v>Want to question as the host (host)</v>
      </c>
    </row>
    <row r="658" spans="1:10" ht="38.25" x14ac:dyDescent="0.2">
      <c r="A658" s="41" t="s">
        <v>32</v>
      </c>
      <c r="B658" s="40"/>
      <c r="C658" s="40"/>
      <c r="D658" s="40"/>
      <c r="E658" s="40"/>
      <c r="F658" s="49" t="str">
        <f t="shared" ref="F658:J658" ca="1" si="656">IFERROR(__xludf.DUMMYFUNCTION("if (A658 &lt;&gt; """", GOOGLETRANSLATE(A658, ""auto"", ""en""), """")"),"Other questions (host)")</f>
        <v>Other questions (host)</v>
      </c>
      <c r="G658" s="49" t="str">
        <f t="shared" ca="1" si="656"/>
        <v>Other questions (host)</v>
      </c>
      <c r="H658" s="49" t="str">
        <f t="shared" ca="1" si="656"/>
        <v>Other questions (host)</v>
      </c>
      <c r="I658" s="49" t="str">
        <f t="shared" ca="1" si="656"/>
        <v>Other questions (host)</v>
      </c>
      <c r="J658" s="49" t="str">
        <f t="shared" ca="1" si="656"/>
        <v>Other questions (host)</v>
      </c>
    </row>
    <row r="659" spans="1:10" ht="12.75" x14ac:dyDescent="0.2">
      <c r="A659" s="41" t="s">
        <v>28</v>
      </c>
      <c r="B659" s="40"/>
      <c r="C659" s="40"/>
      <c r="D659" s="40"/>
      <c r="E659" s="40"/>
      <c r="F659" s="49" t="str">
        <f t="shared" ref="F659:J659" ca="1" si="657">IFERROR(__xludf.DUMMYFUNCTION("if (A659 &lt;&gt; """", GOOGLETRANSLATE(A659, ""auto"", ""en""), """")"),"As a host")</f>
        <v>As a host</v>
      </c>
      <c r="G659" s="49" t="str">
        <f t="shared" ca="1" si="657"/>
        <v>As a host</v>
      </c>
      <c r="H659" s="49" t="str">
        <f t="shared" ca="1" si="657"/>
        <v>As a host</v>
      </c>
      <c r="I659" s="49" t="str">
        <f t="shared" ca="1" si="657"/>
        <v>As a host</v>
      </c>
      <c r="J659" s="49" t="str">
        <f t="shared" ca="1" si="657"/>
        <v>As a host</v>
      </c>
    </row>
    <row r="660" spans="1:10" ht="12.75" x14ac:dyDescent="0.2">
      <c r="A660" s="40"/>
      <c r="B660" s="41" t="s">
        <v>422</v>
      </c>
      <c r="C660" s="41" t="s">
        <v>508</v>
      </c>
      <c r="D660" s="41" t="s">
        <v>509</v>
      </c>
      <c r="E660" s="40"/>
      <c r="F660" s="49" t="str">
        <f t="shared" ref="F660:J660" ca="1" si="658">IFERROR(__xludf.DUMMYFUNCTION("if (A660 &lt;&gt; """", GOOGLETRANSLATE(A660, ""auto"", ""en""), """")"),"")</f>
        <v/>
      </c>
      <c r="G660" s="49" t="str">
        <f t="shared" ca="1" si="658"/>
        <v/>
      </c>
      <c r="H660" s="49" t="str">
        <f t="shared" ca="1" si="658"/>
        <v/>
      </c>
      <c r="I660" s="49" t="str">
        <f t="shared" ca="1" si="658"/>
        <v/>
      </c>
      <c r="J660" s="49" t="str">
        <f t="shared" ca="1" si="658"/>
        <v/>
      </c>
    </row>
    <row r="661" spans="1:10" ht="12.75" x14ac:dyDescent="0.2">
      <c r="A661" s="40"/>
      <c r="B661" s="41" t="s">
        <v>422</v>
      </c>
      <c r="C661" s="41" t="s">
        <v>423</v>
      </c>
      <c r="D661" s="41" t="s">
        <v>424</v>
      </c>
      <c r="E661" s="40"/>
      <c r="F661" s="49" t="str">
        <f t="shared" ref="F661:J661" ca="1" si="659">IFERROR(__xludf.DUMMYFUNCTION("if (A661 &lt;&gt; """", GOOGLETRANSLATE(A661, ""auto"", ""en""), """")"),"")</f>
        <v/>
      </c>
      <c r="G661" s="49" t="str">
        <f t="shared" ca="1" si="659"/>
        <v/>
      </c>
      <c r="H661" s="49" t="str">
        <f t="shared" ca="1" si="659"/>
        <v/>
      </c>
      <c r="I661" s="49" t="str">
        <f t="shared" ca="1" si="659"/>
        <v/>
      </c>
      <c r="J661" s="49" t="str">
        <f t="shared" ca="1" si="659"/>
        <v/>
      </c>
    </row>
    <row r="662" spans="1:10" ht="12.75" x14ac:dyDescent="0.2">
      <c r="A662" s="40"/>
      <c r="B662" s="41" t="s">
        <v>403</v>
      </c>
      <c r="C662" s="41" t="s">
        <v>617</v>
      </c>
      <c r="D662" s="41" t="s">
        <v>239</v>
      </c>
      <c r="E662" s="40"/>
      <c r="F662" s="49" t="str">
        <f t="shared" ref="F662:J662" ca="1" si="660">IFERROR(__xludf.DUMMYFUNCTION("if (A662 &lt;&gt; """", GOOGLETRANSLATE(A662, ""auto"", ""en""), """")"),"")</f>
        <v/>
      </c>
      <c r="G662" s="49" t="str">
        <f t="shared" ca="1" si="660"/>
        <v/>
      </c>
      <c r="H662" s="49" t="str">
        <f t="shared" ca="1" si="660"/>
        <v/>
      </c>
      <c r="I662" s="49" t="str">
        <f t="shared" ca="1" si="660"/>
        <v/>
      </c>
      <c r="J662" s="49" t="str">
        <f t="shared" ca="1" si="660"/>
        <v/>
      </c>
    </row>
    <row r="663" spans="1:10" ht="12.75" x14ac:dyDescent="0.2">
      <c r="A663" s="40"/>
      <c r="B663" s="41" t="s">
        <v>403</v>
      </c>
      <c r="C663" s="41" t="s">
        <v>618</v>
      </c>
      <c r="D663" s="41" t="s">
        <v>256</v>
      </c>
      <c r="E663" s="40"/>
      <c r="F663" s="49" t="str">
        <f t="shared" ref="F663:J663" ca="1" si="661">IFERROR(__xludf.DUMMYFUNCTION("if (A663 &lt;&gt; """", GOOGLETRANSLATE(A663, ""auto"", ""en""), """")"),"")</f>
        <v/>
      </c>
      <c r="G663" s="49" t="str">
        <f t="shared" ca="1" si="661"/>
        <v/>
      </c>
      <c r="H663" s="49" t="str">
        <f t="shared" ca="1" si="661"/>
        <v/>
      </c>
      <c r="I663" s="49" t="str">
        <f t="shared" ca="1" si="661"/>
        <v/>
      </c>
      <c r="J663" s="49" t="str">
        <f t="shared" ca="1" si="661"/>
        <v/>
      </c>
    </row>
    <row r="664" spans="1:10" ht="12.75" x14ac:dyDescent="0.2">
      <c r="A664" s="40"/>
      <c r="B664" s="41" t="s">
        <v>403</v>
      </c>
      <c r="C664" s="41" t="s">
        <v>229</v>
      </c>
      <c r="D664" s="41" t="s">
        <v>300</v>
      </c>
      <c r="E664" s="40"/>
      <c r="F664" s="49" t="str">
        <f t="shared" ref="F664:J664" ca="1" si="662">IFERROR(__xludf.DUMMYFUNCTION("if (A664 &lt;&gt; """", GOOGLETRANSLATE(A664, ""auto"", ""en""), """")"),"")</f>
        <v/>
      </c>
      <c r="G664" s="49" t="str">
        <f t="shared" ca="1" si="662"/>
        <v/>
      </c>
      <c r="H664" s="49" t="str">
        <f t="shared" ca="1" si="662"/>
        <v/>
      </c>
      <c r="I664" s="49" t="str">
        <f t="shared" ca="1" si="662"/>
        <v/>
      </c>
      <c r="J664" s="49" t="str">
        <f t="shared" ca="1" si="662"/>
        <v/>
      </c>
    </row>
    <row r="665" spans="1:10" ht="12.75" x14ac:dyDescent="0.2">
      <c r="A665" s="40"/>
      <c r="B665" s="41" t="s">
        <v>403</v>
      </c>
      <c r="C665" s="41" t="s">
        <v>232</v>
      </c>
      <c r="D665" s="41" t="s">
        <v>325</v>
      </c>
      <c r="E665" s="40"/>
      <c r="F665" s="49" t="str">
        <f t="shared" ref="F665:J665" ca="1" si="663">IFERROR(__xludf.DUMMYFUNCTION("if (A665 &lt;&gt; """", GOOGLETRANSLATE(A665, ""auto"", ""en""), """")"),"")</f>
        <v/>
      </c>
      <c r="G665" s="49" t="str">
        <f t="shared" ca="1" si="663"/>
        <v/>
      </c>
      <c r="H665" s="49" t="str">
        <f t="shared" ca="1" si="663"/>
        <v/>
      </c>
      <c r="I665" s="49" t="str">
        <f t="shared" ca="1" si="663"/>
        <v/>
      </c>
      <c r="J665" s="49" t="str">
        <f t="shared" ca="1" si="663"/>
        <v/>
      </c>
    </row>
    <row r="666" spans="1:10" ht="12.75" x14ac:dyDescent="0.2">
      <c r="A666" s="40"/>
      <c r="B666" s="41" t="s">
        <v>403</v>
      </c>
      <c r="C666" s="41" t="s">
        <v>53</v>
      </c>
      <c r="D666" s="41" t="s">
        <v>164</v>
      </c>
      <c r="E666" s="40"/>
      <c r="F666" s="49" t="str">
        <f t="shared" ref="F666:J666" ca="1" si="664">IFERROR(__xludf.DUMMYFUNCTION("if (A666 &lt;&gt; """", GOOGLETRANSLATE(A666, ""auto"", ""en""), """")"),"")</f>
        <v/>
      </c>
      <c r="G666" s="49" t="str">
        <f t="shared" ca="1" si="664"/>
        <v/>
      </c>
      <c r="H666" s="49" t="str">
        <f t="shared" ca="1" si="664"/>
        <v/>
      </c>
      <c r="I666" s="49" t="str">
        <f t="shared" ca="1" si="664"/>
        <v/>
      </c>
      <c r="J666" s="49" t="str">
        <f t="shared" ca="1" si="664"/>
        <v/>
      </c>
    </row>
    <row r="667" spans="1:10" ht="25.5" x14ac:dyDescent="0.2">
      <c r="A667" s="40"/>
      <c r="B667" s="41" t="s">
        <v>403</v>
      </c>
      <c r="C667" s="41" t="s">
        <v>38</v>
      </c>
      <c r="D667" s="41" t="s">
        <v>26</v>
      </c>
      <c r="E667" s="40"/>
      <c r="F667" s="49" t="str">
        <f t="shared" ref="F667:J667" ca="1" si="665">IFERROR(__xludf.DUMMYFUNCTION("if (A667 &lt;&gt; """", GOOGLETRANSLATE(A667, ""auto"", ""en""), """")"),"")</f>
        <v/>
      </c>
      <c r="G667" s="49" t="str">
        <f t="shared" ca="1" si="665"/>
        <v/>
      </c>
      <c r="H667" s="49" t="str">
        <f t="shared" ca="1" si="665"/>
        <v/>
      </c>
      <c r="I667" s="49" t="str">
        <f t="shared" ca="1" si="665"/>
        <v/>
      </c>
      <c r="J667" s="49" t="str">
        <f t="shared" ca="1" si="665"/>
        <v/>
      </c>
    </row>
    <row r="668" spans="1:10" ht="12.75" x14ac:dyDescent="0.2">
      <c r="A668" s="40"/>
      <c r="B668" s="40"/>
      <c r="C668" s="40"/>
      <c r="D668" s="40"/>
      <c r="E668" s="40"/>
      <c r="F668" s="49" t="str">
        <f t="shared" ref="F668:J668" ca="1" si="666">IFERROR(__xludf.DUMMYFUNCTION("if (A668 &lt;&gt; """", GOOGLETRANSLATE(A668, ""auto"", ""en""), """")"),"")</f>
        <v/>
      </c>
      <c r="G668" s="49" t="str">
        <f t="shared" ca="1" si="666"/>
        <v/>
      </c>
      <c r="H668" s="49" t="str">
        <f t="shared" ca="1" si="666"/>
        <v/>
      </c>
      <c r="I668" s="49" t="str">
        <f t="shared" ca="1" si="666"/>
        <v/>
      </c>
      <c r="J668" s="49" t="str">
        <f t="shared" ca="1" si="666"/>
        <v/>
      </c>
    </row>
    <row r="669" spans="1:10" ht="12.75" x14ac:dyDescent="0.2">
      <c r="A669" s="41" t="s">
        <v>244</v>
      </c>
      <c r="B669" s="40"/>
      <c r="C669" s="40"/>
      <c r="D669" s="40"/>
      <c r="E669" s="40"/>
      <c r="F669" s="49" t="str">
        <f t="shared" ref="F669:J669" ca="1" si="667">IFERROR(__xludf.DUMMYFUNCTION("if (A669 &lt;&gt; """", GOOGLETRANSLATE(A669, ""auto"", ""en""), """")"),"FAQ-Host1-1")</f>
        <v>FAQ-Host1-1</v>
      </c>
      <c r="G669" s="49" t="str">
        <f t="shared" ca="1" si="667"/>
        <v>FAQ-Host1-1</v>
      </c>
      <c r="H669" s="49" t="str">
        <f t="shared" ca="1" si="667"/>
        <v>FAQ-Host1-1</v>
      </c>
      <c r="I669" s="49" t="str">
        <f t="shared" ca="1" si="667"/>
        <v>FAQ-Host1-1</v>
      </c>
      <c r="J669" s="49" t="str">
        <f t="shared" ca="1" si="667"/>
        <v>FAQ-Host1-1</v>
      </c>
    </row>
    <row r="670" spans="1:10" ht="12.75" x14ac:dyDescent="0.2">
      <c r="A670" s="40"/>
      <c r="B670" s="41" t="s">
        <v>398</v>
      </c>
      <c r="C670" s="40"/>
      <c r="D670" s="40"/>
      <c r="E670" s="40"/>
      <c r="F670" s="49" t="str">
        <f t="shared" ref="F670:J670" ca="1" si="668">IFERROR(__xludf.DUMMYFUNCTION("if (A670 &lt;&gt; """", GOOGLETRANSLATE(A670, ""auto"", ""en""), """")"),"")</f>
        <v/>
      </c>
      <c r="G670" s="49" t="str">
        <f t="shared" ca="1" si="668"/>
        <v/>
      </c>
      <c r="H670" s="49" t="str">
        <f t="shared" ca="1" si="668"/>
        <v/>
      </c>
      <c r="I670" s="49" t="str">
        <f t="shared" ca="1" si="668"/>
        <v/>
      </c>
      <c r="J670" s="49" t="str">
        <f t="shared" ca="1" si="668"/>
        <v/>
      </c>
    </row>
    <row r="671" spans="1:10" ht="12.75" x14ac:dyDescent="0.2">
      <c r="A671" s="40"/>
      <c r="B671" s="41" t="s">
        <v>399</v>
      </c>
      <c r="C671" s="40"/>
      <c r="D671" s="40"/>
      <c r="E671" s="40"/>
      <c r="F671" s="49" t="str">
        <f t="shared" ref="F671:J671" ca="1" si="669">IFERROR(__xludf.DUMMYFUNCTION("if (A671 &lt;&gt; """", GOOGLETRANSLATE(A671, ""auto"", ""en""), """")"),"")</f>
        <v/>
      </c>
      <c r="G671" s="49" t="str">
        <f t="shared" ca="1" si="669"/>
        <v/>
      </c>
      <c r="H671" s="49" t="str">
        <f t="shared" ca="1" si="669"/>
        <v/>
      </c>
      <c r="I671" s="49" t="str">
        <f t="shared" ca="1" si="669"/>
        <v/>
      </c>
      <c r="J671" s="49" t="str">
        <f t="shared" ca="1" si="669"/>
        <v/>
      </c>
    </row>
    <row r="672" spans="1:10" ht="12.75" x14ac:dyDescent="0.2">
      <c r="A672" s="40"/>
      <c r="B672" s="41" t="s">
        <v>400</v>
      </c>
      <c r="C672" s="40"/>
      <c r="D672" s="40"/>
      <c r="E672" s="40"/>
      <c r="F672" s="49" t="str">
        <f t="shared" ref="F672:J672" ca="1" si="670">IFERROR(__xludf.DUMMYFUNCTION("if (A672 &lt;&gt; """", GOOGLETRANSLATE(A672, ""auto"", ""en""), """")"),"")</f>
        <v/>
      </c>
      <c r="G672" s="49" t="str">
        <f t="shared" ca="1" si="670"/>
        <v/>
      </c>
      <c r="H672" s="49" t="str">
        <f t="shared" ca="1" si="670"/>
        <v/>
      </c>
      <c r="I672" s="49" t="str">
        <f t="shared" ca="1" si="670"/>
        <v/>
      </c>
      <c r="J672" s="49" t="str">
        <f t="shared" ca="1" si="670"/>
        <v/>
      </c>
    </row>
    <row r="673" spans="1:10" ht="12.75" x14ac:dyDescent="0.2">
      <c r="A673" s="40"/>
      <c r="B673" s="41" t="s">
        <v>401</v>
      </c>
      <c r="C673" s="41" t="s">
        <v>244</v>
      </c>
      <c r="D673" s="40"/>
      <c r="E673" s="40"/>
      <c r="F673" s="49" t="str">
        <f t="shared" ref="F673:J673" ca="1" si="671">IFERROR(__xludf.DUMMYFUNCTION("if (A673 &lt;&gt; """", GOOGLETRANSLATE(A673, ""auto"", ""en""), """")"),"")</f>
        <v/>
      </c>
      <c r="G673" s="49" t="str">
        <f t="shared" ca="1" si="671"/>
        <v/>
      </c>
      <c r="H673" s="49" t="str">
        <f t="shared" ca="1" si="671"/>
        <v/>
      </c>
      <c r="I673" s="49" t="str">
        <f t="shared" ca="1" si="671"/>
        <v/>
      </c>
      <c r="J673" s="49" t="str">
        <f t="shared" ca="1" si="671"/>
        <v/>
      </c>
    </row>
    <row r="674" spans="1:10" ht="63.75" x14ac:dyDescent="0.2">
      <c r="A674" s="41" t="s">
        <v>619</v>
      </c>
      <c r="B674" s="41" t="s">
        <v>402</v>
      </c>
      <c r="C674" s="41" t="s">
        <v>620</v>
      </c>
      <c r="D674" s="40"/>
      <c r="E674" s="40"/>
      <c r="F674" s="49" t="str">
        <f t="shared" ref="F674:J674" ca="1" si="672">IFERROR(__xludf.DUMMYFUNCTION("if (A674 &lt;&gt; """", GOOGLETRANSLATE(A674, ""auto"", ""en""), """")"),"Business license is required")</f>
        <v>Business license is required</v>
      </c>
      <c r="G674" s="49" t="str">
        <f t="shared" ca="1" si="672"/>
        <v>Business license is required</v>
      </c>
      <c r="H674" s="49" t="str">
        <f t="shared" ca="1" si="672"/>
        <v>Business license is required</v>
      </c>
      <c r="I674" s="49" t="str">
        <f t="shared" ca="1" si="672"/>
        <v>Business license is required</v>
      </c>
      <c r="J674" s="49" t="str">
        <f t="shared" ca="1" si="672"/>
        <v>Business license is required</v>
      </c>
    </row>
    <row r="675" spans="1:10" ht="38.25" x14ac:dyDescent="0.2">
      <c r="A675" s="41" t="s">
        <v>621</v>
      </c>
      <c r="B675" s="41" t="s">
        <v>402</v>
      </c>
      <c r="C675" s="41" t="s">
        <v>19</v>
      </c>
      <c r="D675" s="40"/>
      <c r="E675" s="40"/>
      <c r="F675" s="49" t="str">
        <f t="shared" ref="F675:J675" ca="1" si="673">IFERROR(__xludf.DUMMYFUNCTION("if (A675 &lt;&gt; """", GOOGLETRANSLATE(A675, ""auto"", ""en""), """")"),"Do I need a business license")</f>
        <v>Do I need a business license</v>
      </c>
      <c r="G675" s="49" t="str">
        <f t="shared" ca="1" si="673"/>
        <v>Do I need a business license</v>
      </c>
      <c r="H675" s="49" t="str">
        <f t="shared" ca="1" si="673"/>
        <v>Do I need a business license</v>
      </c>
      <c r="I675" s="49" t="str">
        <f t="shared" ca="1" si="673"/>
        <v>Do I need a business license</v>
      </c>
      <c r="J675" s="49" t="str">
        <f t="shared" ca="1" si="673"/>
        <v>Do I need a business license</v>
      </c>
    </row>
    <row r="676" spans="1:10" ht="25.5" x14ac:dyDescent="0.2">
      <c r="A676" s="41" t="s">
        <v>622</v>
      </c>
      <c r="B676" s="40"/>
      <c r="C676" s="40"/>
      <c r="D676" s="40"/>
      <c r="E676" s="40"/>
      <c r="F676" s="49" t="str">
        <f t="shared" ref="F676:J676" ca="1" si="674">IFERROR(__xludf.DUMMYFUNCTION("if (A676 &lt;&gt; """", GOOGLETRANSLATE(A676, ""auto"", ""en""), """")"),"Business license")</f>
        <v>Business license</v>
      </c>
      <c r="G676" s="49" t="str">
        <f t="shared" ca="1" si="674"/>
        <v>Business license</v>
      </c>
      <c r="H676" s="49" t="str">
        <f t="shared" ca="1" si="674"/>
        <v>Business license</v>
      </c>
      <c r="I676" s="49" t="str">
        <f t="shared" ca="1" si="674"/>
        <v>Business license</v>
      </c>
      <c r="J676" s="49" t="str">
        <f t="shared" ca="1" si="674"/>
        <v>Business license</v>
      </c>
    </row>
    <row r="677" spans="1:10" ht="25.5" x14ac:dyDescent="0.2">
      <c r="A677" s="41" t="s">
        <v>623</v>
      </c>
      <c r="B677" s="40"/>
      <c r="C677" s="40"/>
      <c r="D677" s="40"/>
      <c r="E677" s="40"/>
      <c r="F677" s="49" t="str">
        <f t="shared" ref="F677:J677" ca="1" si="675">IFERROR(__xludf.DUMMYFUNCTION("if (A677 &lt;&gt; """", GOOGLETRANSLATE(A677, ""auto"", ""en""), """")"),"Certificate is required")</f>
        <v>Certificate is required</v>
      </c>
      <c r="G677" s="49" t="str">
        <f t="shared" ca="1" si="675"/>
        <v>Certificate is required</v>
      </c>
      <c r="H677" s="49" t="str">
        <f t="shared" ca="1" si="675"/>
        <v>Certificate is required</v>
      </c>
      <c r="I677" s="49" t="str">
        <f t="shared" ca="1" si="675"/>
        <v>Certificate is required</v>
      </c>
      <c r="J677" s="49" t="str">
        <f t="shared" ca="1" si="675"/>
        <v>Certificate is required</v>
      </c>
    </row>
    <row r="678" spans="1:10" ht="25.5" x14ac:dyDescent="0.2">
      <c r="A678" s="41" t="s">
        <v>624</v>
      </c>
      <c r="B678" s="40"/>
      <c r="C678" s="40"/>
      <c r="D678" s="40"/>
      <c r="E678" s="40"/>
      <c r="F678" s="49" t="str">
        <f t="shared" ref="F678:J678" ca="1" si="676">IFERROR(__xludf.DUMMYFUNCTION("if (A678 &lt;&gt; """", GOOGLETRANSLATE(A678, ""auto"", ""en""), """")"),"Do you need a certificate")</f>
        <v>Do you need a certificate</v>
      </c>
      <c r="G678" s="49" t="str">
        <f t="shared" ca="1" si="676"/>
        <v>Do you need a certificate</v>
      </c>
      <c r="H678" s="49" t="str">
        <f t="shared" ca="1" si="676"/>
        <v>Do you need a certificate</v>
      </c>
      <c r="I678" s="49" t="str">
        <f t="shared" ca="1" si="676"/>
        <v>Do you need a certificate</v>
      </c>
      <c r="J678" s="49" t="str">
        <f t="shared" ca="1" si="676"/>
        <v>Do you need a certificate</v>
      </c>
    </row>
    <row r="679" spans="1:10" ht="25.5" x14ac:dyDescent="0.2">
      <c r="A679" s="41" t="s">
        <v>625</v>
      </c>
      <c r="B679" s="40"/>
      <c r="C679" s="40"/>
      <c r="D679" s="40"/>
      <c r="E679" s="40"/>
      <c r="F679" s="49" t="str">
        <f t="shared" ref="F679:J679" ca="1" si="677">IFERROR(__xludf.DUMMYFUNCTION("if (A679 &lt;&gt; """", GOOGLETRANSLATE(A679, ""auto"", ""en""), """")"),"Certification and is")</f>
        <v>Certification and is</v>
      </c>
      <c r="G679" s="49" t="str">
        <f t="shared" ca="1" si="677"/>
        <v>Certification and is</v>
      </c>
      <c r="H679" s="49" t="str">
        <f t="shared" ca="1" si="677"/>
        <v>Certification and is</v>
      </c>
      <c r="I679" s="49" t="str">
        <f t="shared" ca="1" si="677"/>
        <v>Certification and is</v>
      </c>
      <c r="J679" s="49" t="str">
        <f t="shared" ca="1" si="677"/>
        <v>Certification and is</v>
      </c>
    </row>
    <row r="680" spans="1:10" ht="12.75" x14ac:dyDescent="0.2">
      <c r="A680" s="41" t="s">
        <v>626</v>
      </c>
      <c r="B680" s="40"/>
      <c r="C680" s="40"/>
      <c r="D680" s="40"/>
      <c r="E680" s="40"/>
      <c r="F680" s="49" t="str">
        <f t="shared" ref="F680:J680" ca="1" si="678">IFERROR(__xludf.DUMMYFUNCTION("if (A680 &lt;&gt; """", GOOGLETRANSLATE(A680, ""auto"", ""en""), """")"),"I certificate")</f>
        <v>I certificate</v>
      </c>
      <c r="G680" s="49" t="str">
        <f t="shared" ca="1" si="678"/>
        <v>I certificate</v>
      </c>
      <c r="H680" s="49" t="str">
        <f t="shared" ca="1" si="678"/>
        <v>I certificate</v>
      </c>
      <c r="I680" s="49" t="str">
        <f t="shared" ca="1" si="678"/>
        <v>I certificate</v>
      </c>
      <c r="J680" s="49" t="str">
        <f t="shared" ca="1" si="678"/>
        <v>I certificate</v>
      </c>
    </row>
    <row r="681" spans="1:10" ht="25.5" x14ac:dyDescent="0.2">
      <c r="A681" s="41" t="s">
        <v>243</v>
      </c>
      <c r="B681" s="40"/>
      <c r="C681" s="40"/>
      <c r="D681" s="40"/>
      <c r="E681" s="40"/>
      <c r="F681" s="49" t="str">
        <f t="shared" ref="F681:J681" ca="1" si="679">IFERROR(__xludf.DUMMYFUNCTION("if (A681 &lt;&gt; """", GOOGLETRANSLATE(A681, ""auto"", ""en""), """")"),"About certification")</f>
        <v>About certification</v>
      </c>
      <c r="G681" s="49" t="str">
        <f t="shared" ca="1" si="679"/>
        <v>About certification</v>
      </c>
      <c r="H681" s="49" t="str">
        <f t="shared" ca="1" si="679"/>
        <v>About certification</v>
      </c>
      <c r="I681" s="49" t="str">
        <f t="shared" ca="1" si="679"/>
        <v>About certification</v>
      </c>
      <c r="J681" s="49" t="str">
        <f t="shared" ca="1" si="679"/>
        <v>About certification</v>
      </c>
    </row>
    <row r="682" spans="1:10" ht="12.75" x14ac:dyDescent="0.2">
      <c r="A682" s="40"/>
      <c r="B682" s="41" t="s">
        <v>403</v>
      </c>
      <c r="C682" s="41" t="s">
        <v>24</v>
      </c>
      <c r="D682" s="41" t="s">
        <v>26</v>
      </c>
      <c r="E682" s="40"/>
      <c r="F682" s="49" t="str">
        <f t="shared" ref="F682:J682" ca="1" si="680">IFERROR(__xludf.DUMMYFUNCTION("if (A682 &lt;&gt; """", GOOGLETRANSLATE(A682, ""auto"", ""en""), """")"),"")</f>
        <v/>
      </c>
      <c r="G682" s="49" t="str">
        <f t="shared" ca="1" si="680"/>
        <v/>
      </c>
      <c r="H682" s="49" t="str">
        <f t="shared" ca="1" si="680"/>
        <v/>
      </c>
      <c r="I682" s="49" t="str">
        <f t="shared" ca="1" si="680"/>
        <v/>
      </c>
      <c r="J682" s="49" t="str">
        <f t="shared" ca="1" si="680"/>
        <v/>
      </c>
    </row>
    <row r="683" spans="1:10" ht="12.75" x14ac:dyDescent="0.2">
      <c r="A683" s="40"/>
      <c r="B683" s="41" t="s">
        <v>403</v>
      </c>
      <c r="C683" s="41" t="s">
        <v>32</v>
      </c>
      <c r="D683" s="41" t="s">
        <v>29</v>
      </c>
      <c r="E683" s="40"/>
      <c r="F683" s="49" t="str">
        <f t="shared" ref="F683:J683" ca="1" si="681">IFERROR(__xludf.DUMMYFUNCTION("if (A683 &lt;&gt; """", GOOGLETRANSLATE(A683, ""auto"", ""en""), """")"),"")</f>
        <v/>
      </c>
      <c r="G683" s="49" t="str">
        <f t="shared" ca="1" si="681"/>
        <v/>
      </c>
      <c r="H683" s="49" t="str">
        <f t="shared" ca="1" si="681"/>
        <v/>
      </c>
      <c r="I683" s="49" t="str">
        <f t="shared" ca="1" si="681"/>
        <v/>
      </c>
      <c r="J683" s="49" t="str">
        <f t="shared" ca="1" si="681"/>
        <v/>
      </c>
    </row>
    <row r="684" spans="1:10" ht="12.75" x14ac:dyDescent="0.2">
      <c r="A684" s="40"/>
      <c r="B684" s="41" t="s">
        <v>403</v>
      </c>
      <c r="C684" s="41" t="s">
        <v>25</v>
      </c>
      <c r="D684" s="41" t="s">
        <v>27</v>
      </c>
      <c r="E684" s="40"/>
      <c r="F684" s="49" t="str">
        <f t="shared" ref="F684:J684" ca="1" si="682">IFERROR(__xludf.DUMMYFUNCTION("if (A684 &lt;&gt; """", GOOGLETRANSLATE(A684, ""auto"", ""en""), """")"),"")</f>
        <v/>
      </c>
      <c r="G684" s="49" t="str">
        <f t="shared" ca="1" si="682"/>
        <v/>
      </c>
      <c r="H684" s="49" t="str">
        <f t="shared" ca="1" si="682"/>
        <v/>
      </c>
      <c r="I684" s="49" t="str">
        <f t="shared" ca="1" si="682"/>
        <v/>
      </c>
      <c r="J684" s="49" t="str">
        <f t="shared" ca="1" si="682"/>
        <v/>
      </c>
    </row>
    <row r="685" spans="1:10" ht="12.75" x14ac:dyDescent="0.2">
      <c r="A685" s="40"/>
      <c r="B685" s="41" t="s">
        <v>403</v>
      </c>
      <c r="C685" s="41" t="s">
        <v>30</v>
      </c>
      <c r="D685" s="41" t="s">
        <v>31</v>
      </c>
      <c r="E685" s="40"/>
      <c r="F685" s="49" t="str">
        <f t="shared" ref="F685:J685" ca="1" si="683">IFERROR(__xludf.DUMMYFUNCTION("if (A685 &lt;&gt; """", GOOGLETRANSLATE(A685, ""auto"", ""en""), """")"),"")</f>
        <v/>
      </c>
      <c r="G685" s="49" t="str">
        <f t="shared" ca="1" si="683"/>
        <v/>
      </c>
      <c r="H685" s="49" t="str">
        <f t="shared" ca="1" si="683"/>
        <v/>
      </c>
      <c r="I685" s="49" t="str">
        <f t="shared" ca="1" si="683"/>
        <v/>
      </c>
      <c r="J685" s="49" t="str">
        <f t="shared" ca="1" si="683"/>
        <v/>
      </c>
    </row>
    <row r="686" spans="1:10" ht="12.75" x14ac:dyDescent="0.2">
      <c r="A686" s="40"/>
      <c r="B686" s="40"/>
      <c r="C686" s="40"/>
      <c r="D686" s="40"/>
      <c r="E686" s="40"/>
      <c r="F686" s="49" t="str">
        <f t="shared" ref="F686:J686" ca="1" si="684">IFERROR(__xludf.DUMMYFUNCTION("if (A686 &lt;&gt; """", GOOGLETRANSLATE(A686, ""auto"", ""en""), """")"),"")</f>
        <v/>
      </c>
      <c r="G686" s="49" t="str">
        <f t="shared" ca="1" si="684"/>
        <v/>
      </c>
      <c r="H686" s="49" t="str">
        <f t="shared" ca="1" si="684"/>
        <v/>
      </c>
      <c r="I686" s="49" t="str">
        <f t="shared" ca="1" si="684"/>
        <v/>
      </c>
      <c r="J686" s="49" t="str">
        <f t="shared" ca="1" si="684"/>
        <v/>
      </c>
    </row>
    <row r="687" spans="1:10" ht="12.75" x14ac:dyDescent="0.2">
      <c r="A687" s="41" t="s">
        <v>239</v>
      </c>
      <c r="B687" s="40"/>
      <c r="C687" s="40"/>
      <c r="D687" s="40"/>
      <c r="E687" s="40"/>
      <c r="F687" s="49" t="str">
        <f t="shared" ref="F687:J687" ca="1" si="685">IFERROR(__xludf.DUMMYFUNCTION("if (A687 &lt;&gt; """", GOOGLETRANSLATE(A687, ""auto"", ""en""), """")"),"FAQ-Host1")</f>
        <v>FAQ-Host1</v>
      </c>
      <c r="G687" s="49" t="str">
        <f t="shared" ca="1" si="685"/>
        <v>FAQ-Host1</v>
      </c>
      <c r="H687" s="49" t="str">
        <f t="shared" ca="1" si="685"/>
        <v>FAQ-Host1</v>
      </c>
      <c r="I687" s="49" t="str">
        <f t="shared" ca="1" si="685"/>
        <v>FAQ-Host1</v>
      </c>
      <c r="J687" s="49" t="str">
        <f t="shared" ca="1" si="685"/>
        <v>FAQ-Host1</v>
      </c>
    </row>
    <row r="688" spans="1:10" ht="12.75" x14ac:dyDescent="0.2">
      <c r="A688" s="40"/>
      <c r="B688" s="41" t="s">
        <v>398</v>
      </c>
      <c r="C688" s="40"/>
      <c r="D688" s="40"/>
      <c r="E688" s="40"/>
      <c r="F688" s="49" t="str">
        <f t="shared" ref="F688:J688" ca="1" si="686">IFERROR(__xludf.DUMMYFUNCTION("if (A688 &lt;&gt; """", GOOGLETRANSLATE(A688, ""auto"", ""en""), """")"),"")</f>
        <v/>
      </c>
      <c r="G688" s="49" t="str">
        <f t="shared" ca="1" si="686"/>
        <v/>
      </c>
      <c r="H688" s="49" t="str">
        <f t="shared" ca="1" si="686"/>
        <v/>
      </c>
      <c r="I688" s="49" t="str">
        <f t="shared" ca="1" si="686"/>
        <v/>
      </c>
      <c r="J688" s="49" t="str">
        <f t="shared" ca="1" si="686"/>
        <v/>
      </c>
    </row>
    <row r="689" spans="1:10" ht="12.75" x14ac:dyDescent="0.2">
      <c r="A689" s="40"/>
      <c r="B689" s="41" t="s">
        <v>399</v>
      </c>
      <c r="C689" s="40"/>
      <c r="D689" s="40"/>
      <c r="E689" s="40"/>
      <c r="F689" s="49" t="str">
        <f t="shared" ref="F689:J689" ca="1" si="687">IFERROR(__xludf.DUMMYFUNCTION("if (A689 &lt;&gt; """", GOOGLETRANSLATE(A689, ""auto"", ""en""), """")"),"")</f>
        <v/>
      </c>
      <c r="G689" s="49" t="str">
        <f t="shared" ca="1" si="687"/>
        <v/>
      </c>
      <c r="H689" s="49" t="str">
        <f t="shared" ca="1" si="687"/>
        <v/>
      </c>
      <c r="I689" s="49" t="str">
        <f t="shared" ca="1" si="687"/>
        <v/>
      </c>
      <c r="J689" s="49" t="str">
        <f t="shared" ca="1" si="687"/>
        <v/>
      </c>
    </row>
    <row r="690" spans="1:10" ht="12.75" x14ac:dyDescent="0.2">
      <c r="A690" s="40"/>
      <c r="B690" s="41" t="s">
        <v>400</v>
      </c>
      <c r="C690" s="40"/>
      <c r="D690" s="40"/>
      <c r="E690" s="40"/>
      <c r="F690" s="49" t="str">
        <f t="shared" ref="F690:J690" ca="1" si="688">IFERROR(__xludf.DUMMYFUNCTION("if (A690 &lt;&gt; """", GOOGLETRANSLATE(A690, ""auto"", ""en""), """")"),"")</f>
        <v/>
      </c>
      <c r="G690" s="49" t="str">
        <f t="shared" ca="1" si="688"/>
        <v/>
      </c>
      <c r="H690" s="49" t="str">
        <f t="shared" ca="1" si="688"/>
        <v/>
      </c>
      <c r="I690" s="49" t="str">
        <f t="shared" ca="1" si="688"/>
        <v/>
      </c>
      <c r="J690" s="49" t="str">
        <f t="shared" ca="1" si="688"/>
        <v/>
      </c>
    </row>
    <row r="691" spans="1:10" ht="12.75" x14ac:dyDescent="0.2">
      <c r="A691" s="40"/>
      <c r="B691" s="41" t="s">
        <v>401</v>
      </c>
      <c r="C691" s="41" t="s">
        <v>239</v>
      </c>
      <c r="D691" s="40"/>
      <c r="E691" s="40"/>
      <c r="F691" s="49" t="str">
        <f t="shared" ref="F691:J691" ca="1" si="689">IFERROR(__xludf.DUMMYFUNCTION("if (A691 &lt;&gt; """", GOOGLETRANSLATE(A691, ""auto"", ""en""), """")"),"")</f>
        <v/>
      </c>
      <c r="G691" s="49" t="str">
        <f t="shared" ca="1" si="689"/>
        <v/>
      </c>
      <c r="H691" s="49" t="str">
        <f t="shared" ca="1" si="689"/>
        <v/>
      </c>
      <c r="I691" s="49" t="str">
        <f t="shared" ca="1" si="689"/>
        <v/>
      </c>
      <c r="J691" s="49" t="str">
        <f t="shared" ca="1" si="689"/>
        <v/>
      </c>
    </row>
    <row r="692" spans="1:10" ht="25.5" x14ac:dyDescent="0.2">
      <c r="A692" s="41" t="s">
        <v>627</v>
      </c>
      <c r="B692" s="41" t="s">
        <v>402</v>
      </c>
      <c r="C692" s="41" t="s">
        <v>241</v>
      </c>
      <c r="D692" s="40"/>
      <c r="E692" s="40"/>
      <c r="F692" s="49" t="str">
        <f t="shared" ref="F692:J692" ca="1" si="690">IFERROR(__xludf.DUMMYFUNCTION("if (A692 &lt;&gt; """", GOOGLETRANSLATE(A692, ""auto"", ""en""), """")"),"Host Registration")</f>
        <v>Host Registration</v>
      </c>
      <c r="G692" s="49" t="str">
        <f t="shared" ca="1" si="690"/>
        <v>Host Registration</v>
      </c>
      <c r="H692" s="49" t="str">
        <f t="shared" ca="1" si="690"/>
        <v>Host Registration</v>
      </c>
      <c r="I692" s="49" t="str">
        <f t="shared" ca="1" si="690"/>
        <v>Host Registration</v>
      </c>
      <c r="J692" s="49" t="str">
        <f t="shared" ca="1" si="690"/>
        <v>Host Registration</v>
      </c>
    </row>
    <row r="693" spans="1:10" ht="38.25" x14ac:dyDescent="0.2">
      <c r="A693" s="41" t="s">
        <v>215</v>
      </c>
      <c r="B693" s="40"/>
      <c r="C693" s="40"/>
      <c r="D693" s="40"/>
      <c r="E693" s="40"/>
      <c r="F693" s="49" t="str">
        <f t="shared" ref="F693:J693" ca="1" si="691">IFERROR(__xludf.DUMMYFUNCTION("if (A693 &lt;&gt; """", GOOGLETRANSLATE(A693, ""auto"", ""en""), """")"),"For registration of the host")</f>
        <v>For registration of the host</v>
      </c>
      <c r="G693" s="49" t="str">
        <f t="shared" ca="1" si="691"/>
        <v>For registration of the host</v>
      </c>
      <c r="H693" s="49" t="str">
        <f t="shared" ca="1" si="691"/>
        <v>For registration of the host</v>
      </c>
      <c r="I693" s="49" t="str">
        <f t="shared" ca="1" si="691"/>
        <v>For registration of the host</v>
      </c>
      <c r="J693" s="49" t="str">
        <f t="shared" ca="1" si="691"/>
        <v>For registration of the host</v>
      </c>
    </row>
    <row r="694" spans="1:10" ht="12.75" x14ac:dyDescent="0.2">
      <c r="A694" s="40"/>
      <c r="B694" s="41" t="s">
        <v>422</v>
      </c>
      <c r="C694" s="41" t="s">
        <v>508</v>
      </c>
      <c r="D694" s="41" t="s">
        <v>509</v>
      </c>
      <c r="E694" s="40"/>
      <c r="F694" s="49" t="str">
        <f t="shared" ref="F694:J694" ca="1" si="692">IFERROR(__xludf.DUMMYFUNCTION("if (A694 &lt;&gt; """", GOOGLETRANSLATE(A694, ""auto"", ""en""), """")"),"")</f>
        <v/>
      </c>
      <c r="G694" s="49" t="str">
        <f t="shared" ca="1" si="692"/>
        <v/>
      </c>
      <c r="H694" s="49" t="str">
        <f t="shared" ca="1" si="692"/>
        <v/>
      </c>
      <c r="I694" s="49" t="str">
        <f t="shared" ca="1" si="692"/>
        <v/>
      </c>
      <c r="J694" s="49" t="str">
        <f t="shared" ca="1" si="692"/>
        <v/>
      </c>
    </row>
    <row r="695" spans="1:10" ht="12.75" x14ac:dyDescent="0.2">
      <c r="A695" s="40"/>
      <c r="B695" s="41" t="s">
        <v>403</v>
      </c>
      <c r="C695" s="41" t="s">
        <v>243</v>
      </c>
      <c r="D695" s="41" t="s">
        <v>244</v>
      </c>
      <c r="E695" s="40"/>
      <c r="F695" s="49" t="str">
        <f t="shared" ref="F695:J695" ca="1" si="693">IFERROR(__xludf.DUMMYFUNCTION("if (A695 &lt;&gt; """", GOOGLETRANSLATE(A695, ""auto"", ""en""), """")"),"")</f>
        <v/>
      </c>
      <c r="G695" s="49" t="str">
        <f t="shared" ca="1" si="693"/>
        <v/>
      </c>
      <c r="H695" s="49" t="str">
        <f t="shared" ca="1" si="693"/>
        <v/>
      </c>
      <c r="I695" s="49" t="str">
        <f t="shared" ca="1" si="693"/>
        <v/>
      </c>
      <c r="J695" s="49" t="str">
        <f t="shared" ca="1" si="693"/>
        <v/>
      </c>
    </row>
    <row r="696" spans="1:10" ht="12.75" x14ac:dyDescent="0.2">
      <c r="A696" s="40"/>
      <c r="B696" s="41" t="s">
        <v>403</v>
      </c>
      <c r="C696" s="41" t="s">
        <v>37</v>
      </c>
      <c r="D696" s="41" t="s">
        <v>36</v>
      </c>
      <c r="E696" s="40"/>
      <c r="F696" s="49" t="str">
        <f t="shared" ref="F696:J696" ca="1" si="694">IFERROR(__xludf.DUMMYFUNCTION("if (A696 &lt;&gt; """", GOOGLETRANSLATE(A696, ""auto"", ""en""), """")"),"")</f>
        <v/>
      </c>
      <c r="G696" s="49" t="str">
        <f t="shared" ca="1" si="694"/>
        <v/>
      </c>
      <c r="H696" s="49" t="str">
        <f t="shared" ca="1" si="694"/>
        <v/>
      </c>
      <c r="I696" s="49" t="str">
        <f t="shared" ca="1" si="694"/>
        <v/>
      </c>
      <c r="J696" s="49" t="str">
        <f t="shared" ca="1" si="694"/>
        <v/>
      </c>
    </row>
    <row r="697" spans="1:10" ht="12.75" x14ac:dyDescent="0.2">
      <c r="A697" s="40"/>
      <c r="B697" s="41" t="s">
        <v>403</v>
      </c>
      <c r="C697" s="41" t="s">
        <v>58</v>
      </c>
      <c r="D697" s="41" t="s">
        <v>55</v>
      </c>
      <c r="E697" s="40"/>
      <c r="F697" s="49" t="str">
        <f t="shared" ref="F697:J697" ca="1" si="695">IFERROR(__xludf.DUMMYFUNCTION("if (A697 &lt;&gt; """", GOOGLETRANSLATE(A697, ""auto"", ""en""), """")"),"")</f>
        <v/>
      </c>
      <c r="G697" s="49" t="str">
        <f t="shared" ca="1" si="695"/>
        <v/>
      </c>
      <c r="H697" s="49" t="str">
        <f t="shared" ca="1" si="695"/>
        <v/>
      </c>
      <c r="I697" s="49" t="str">
        <f t="shared" ca="1" si="695"/>
        <v/>
      </c>
      <c r="J697" s="49" t="str">
        <f t="shared" ca="1" si="695"/>
        <v/>
      </c>
    </row>
    <row r="698" spans="1:10" ht="12.75" x14ac:dyDescent="0.2">
      <c r="A698" s="40"/>
      <c r="B698" s="41" t="s">
        <v>403</v>
      </c>
      <c r="C698" s="41" t="s">
        <v>83</v>
      </c>
      <c r="D698" s="41" t="s">
        <v>84</v>
      </c>
      <c r="E698" s="40"/>
      <c r="F698" s="49" t="str">
        <f t="shared" ref="F698:J698" ca="1" si="696">IFERROR(__xludf.DUMMYFUNCTION("if (A698 &lt;&gt; """", GOOGLETRANSLATE(A698, ""auto"", ""en""), """")"),"")</f>
        <v/>
      </c>
      <c r="G698" s="49" t="str">
        <f t="shared" ca="1" si="696"/>
        <v/>
      </c>
      <c r="H698" s="49" t="str">
        <f t="shared" ca="1" si="696"/>
        <v/>
      </c>
      <c r="I698" s="49" t="str">
        <f t="shared" ca="1" si="696"/>
        <v/>
      </c>
      <c r="J698" s="49" t="str">
        <f t="shared" ca="1" si="696"/>
        <v/>
      </c>
    </row>
    <row r="699" spans="1:10" ht="12.75" x14ac:dyDescent="0.2">
      <c r="A699" s="40"/>
      <c r="B699" s="41" t="s">
        <v>403</v>
      </c>
      <c r="C699" s="41" t="s">
        <v>32</v>
      </c>
      <c r="D699" s="41" t="s">
        <v>29</v>
      </c>
      <c r="E699" s="40"/>
      <c r="F699" s="49" t="str">
        <f t="shared" ref="F699:J699" ca="1" si="697">IFERROR(__xludf.DUMMYFUNCTION("if (A699 &lt;&gt; """", GOOGLETRANSLATE(A699, ""auto"", ""en""), """")"),"")</f>
        <v/>
      </c>
      <c r="G699" s="49" t="str">
        <f t="shared" ca="1" si="697"/>
        <v/>
      </c>
      <c r="H699" s="49" t="str">
        <f t="shared" ca="1" si="697"/>
        <v/>
      </c>
      <c r="I699" s="49" t="str">
        <f t="shared" ca="1" si="697"/>
        <v/>
      </c>
      <c r="J699" s="49" t="str">
        <f t="shared" ca="1" si="697"/>
        <v/>
      </c>
    </row>
    <row r="700" spans="1:10" ht="12.75" x14ac:dyDescent="0.2">
      <c r="A700" s="40"/>
      <c r="B700" s="40"/>
      <c r="C700" s="40"/>
      <c r="D700" s="40"/>
      <c r="E700" s="40"/>
      <c r="F700" s="49" t="str">
        <f t="shared" ref="F700:J700" ca="1" si="698">IFERROR(__xludf.DUMMYFUNCTION("if (A700 &lt;&gt; """", GOOGLETRANSLATE(A700, ""auto"", ""en""), """")"),"")</f>
        <v/>
      </c>
      <c r="G700" s="49" t="str">
        <f t="shared" ca="1" si="698"/>
        <v/>
      </c>
      <c r="H700" s="49" t="str">
        <f t="shared" ca="1" si="698"/>
        <v/>
      </c>
      <c r="I700" s="49" t="str">
        <f t="shared" ca="1" si="698"/>
        <v/>
      </c>
      <c r="J700" s="49" t="str">
        <f t="shared" ca="1" si="698"/>
        <v/>
      </c>
    </row>
    <row r="701" spans="1:10" ht="12.75" x14ac:dyDescent="0.2">
      <c r="A701" s="41" t="s">
        <v>261</v>
      </c>
      <c r="B701" s="40"/>
      <c r="C701" s="40"/>
      <c r="D701" s="40"/>
      <c r="E701" s="40"/>
      <c r="F701" s="49" t="str">
        <f t="shared" ref="F701:J701" ca="1" si="699">IFERROR(__xludf.DUMMYFUNCTION("if (A701 &lt;&gt; """", GOOGLETRANSLATE(A701, ""auto"", ""en""), """")"),"FAQ-Host2-1")</f>
        <v>FAQ-Host2-1</v>
      </c>
      <c r="G701" s="49" t="str">
        <f t="shared" ca="1" si="699"/>
        <v>FAQ-Host2-1</v>
      </c>
      <c r="H701" s="49" t="str">
        <f t="shared" ca="1" si="699"/>
        <v>FAQ-Host2-1</v>
      </c>
      <c r="I701" s="49" t="str">
        <f t="shared" ca="1" si="699"/>
        <v>FAQ-Host2-1</v>
      </c>
      <c r="J701" s="49" t="str">
        <f t="shared" ca="1" si="699"/>
        <v>FAQ-Host2-1</v>
      </c>
    </row>
    <row r="702" spans="1:10" ht="12.75" x14ac:dyDescent="0.2">
      <c r="A702" s="40"/>
      <c r="B702" s="41" t="s">
        <v>398</v>
      </c>
      <c r="C702" s="40"/>
      <c r="D702" s="40"/>
      <c r="E702" s="40"/>
      <c r="F702" s="49" t="str">
        <f t="shared" ref="F702:J702" ca="1" si="700">IFERROR(__xludf.DUMMYFUNCTION("if (A702 &lt;&gt; """", GOOGLETRANSLATE(A702, ""auto"", ""en""), """")"),"")</f>
        <v/>
      </c>
      <c r="G702" s="49" t="str">
        <f t="shared" ca="1" si="700"/>
        <v/>
      </c>
      <c r="H702" s="49" t="str">
        <f t="shared" ca="1" si="700"/>
        <v/>
      </c>
      <c r="I702" s="49" t="str">
        <f t="shared" ca="1" si="700"/>
        <v/>
      </c>
      <c r="J702" s="49" t="str">
        <f t="shared" ca="1" si="700"/>
        <v/>
      </c>
    </row>
    <row r="703" spans="1:10" ht="12.75" x14ac:dyDescent="0.2">
      <c r="A703" s="40"/>
      <c r="B703" s="41" t="s">
        <v>399</v>
      </c>
      <c r="C703" s="40"/>
      <c r="D703" s="40"/>
      <c r="E703" s="40"/>
      <c r="F703" s="49" t="str">
        <f t="shared" ref="F703:J703" ca="1" si="701">IFERROR(__xludf.DUMMYFUNCTION("if (A703 &lt;&gt; """", GOOGLETRANSLATE(A703, ""auto"", ""en""), """")"),"")</f>
        <v/>
      </c>
      <c r="G703" s="49" t="str">
        <f t="shared" ca="1" si="701"/>
        <v/>
      </c>
      <c r="H703" s="49" t="str">
        <f t="shared" ca="1" si="701"/>
        <v/>
      </c>
      <c r="I703" s="49" t="str">
        <f t="shared" ca="1" si="701"/>
        <v/>
      </c>
      <c r="J703" s="49" t="str">
        <f t="shared" ca="1" si="701"/>
        <v/>
      </c>
    </row>
    <row r="704" spans="1:10" ht="12.75" x14ac:dyDescent="0.2">
      <c r="A704" s="40"/>
      <c r="B704" s="41" t="s">
        <v>400</v>
      </c>
      <c r="C704" s="40"/>
      <c r="D704" s="40"/>
      <c r="E704" s="40"/>
      <c r="F704" s="49" t="str">
        <f t="shared" ref="F704:J704" ca="1" si="702">IFERROR(__xludf.DUMMYFUNCTION("if (A704 &lt;&gt; """", GOOGLETRANSLATE(A704, ""auto"", ""en""), """")"),"")</f>
        <v/>
      </c>
      <c r="G704" s="49" t="str">
        <f t="shared" ca="1" si="702"/>
        <v/>
      </c>
      <c r="H704" s="49" t="str">
        <f t="shared" ca="1" si="702"/>
        <v/>
      </c>
      <c r="I704" s="49" t="str">
        <f t="shared" ca="1" si="702"/>
        <v/>
      </c>
      <c r="J704" s="49" t="str">
        <f t="shared" ca="1" si="702"/>
        <v/>
      </c>
    </row>
    <row r="705" spans="1:10" ht="12.75" x14ac:dyDescent="0.2">
      <c r="A705" s="40"/>
      <c r="B705" s="41" t="s">
        <v>401</v>
      </c>
      <c r="C705" s="41" t="s">
        <v>261</v>
      </c>
      <c r="D705" s="40"/>
      <c r="E705" s="40"/>
      <c r="F705" s="49" t="str">
        <f t="shared" ref="F705:J705" ca="1" si="703">IFERROR(__xludf.DUMMYFUNCTION("if (A705 &lt;&gt; """", GOOGLETRANSLATE(A705, ""auto"", ""en""), """")"),"")</f>
        <v/>
      </c>
      <c r="G705" s="49" t="str">
        <f t="shared" ca="1" si="703"/>
        <v/>
      </c>
      <c r="H705" s="49" t="str">
        <f t="shared" ca="1" si="703"/>
        <v/>
      </c>
      <c r="I705" s="49" t="str">
        <f t="shared" ca="1" si="703"/>
        <v/>
      </c>
      <c r="J705" s="49" t="str">
        <f t="shared" ca="1" si="703"/>
        <v/>
      </c>
    </row>
    <row r="706" spans="1:10" ht="38.25" x14ac:dyDescent="0.2">
      <c r="A706" s="41" t="s">
        <v>628</v>
      </c>
      <c r="B706" s="41" t="s">
        <v>402</v>
      </c>
      <c r="C706" s="41" t="s">
        <v>372</v>
      </c>
      <c r="D706" s="40"/>
      <c r="E706" s="40"/>
      <c r="F706" s="49" t="str">
        <f t="shared" ref="F706:J706" ca="1" si="704">IFERROR(__xludf.DUMMYFUNCTION("if (A706 &lt;&gt; """", GOOGLETRANSLATE(A706, ""auto"", ""en""), """")"),"Do you Rent also can be registered")</f>
        <v>Do you Rent also can be registered</v>
      </c>
      <c r="G706" s="49" t="str">
        <f t="shared" ca="1" si="704"/>
        <v>Do you Rent also can be registered</v>
      </c>
      <c r="H706" s="49" t="str">
        <f t="shared" ca="1" si="704"/>
        <v>Do you Rent also can be registered</v>
      </c>
      <c r="I706" s="49" t="str">
        <f t="shared" ca="1" si="704"/>
        <v>Do you Rent also can be registered</v>
      </c>
      <c r="J706" s="49" t="str">
        <f t="shared" ca="1" si="704"/>
        <v>Do you Rent also can be registered</v>
      </c>
    </row>
    <row r="707" spans="1:10" ht="63.75" x14ac:dyDescent="0.2">
      <c r="A707" s="41" t="s">
        <v>629</v>
      </c>
      <c r="B707" s="41" t="s">
        <v>402</v>
      </c>
      <c r="C707" s="41" t="s">
        <v>19</v>
      </c>
      <c r="D707" s="40"/>
      <c r="E707" s="40"/>
      <c r="F707" s="49" t="str">
        <f t="shared" ref="F707:J707" ca="1" si="705">IFERROR(__xludf.DUMMYFUNCTION("if (A707 &lt;&gt; """", GOOGLETRANSLATE(A707, ""auto"", ""en""), """")"),"Do you properties also can be registered that are leased")</f>
        <v>Do you properties also can be registered that are leased</v>
      </c>
      <c r="G707" s="49" t="str">
        <f t="shared" ca="1" si="705"/>
        <v>Do you properties also can be registered that are leased</v>
      </c>
      <c r="H707" s="49" t="str">
        <f t="shared" ca="1" si="705"/>
        <v>Do you properties also can be registered that are leased</v>
      </c>
      <c r="I707" s="49" t="str">
        <f t="shared" ca="1" si="705"/>
        <v>Do you properties also can be registered that are leased</v>
      </c>
      <c r="J707" s="49" t="str">
        <f t="shared" ca="1" si="705"/>
        <v>Do you properties also can be registered that are leased</v>
      </c>
    </row>
    <row r="708" spans="1:10" ht="51" x14ac:dyDescent="0.2">
      <c r="A708" s="41" t="s">
        <v>630</v>
      </c>
      <c r="B708" s="40"/>
      <c r="C708" s="40"/>
      <c r="D708" s="40"/>
      <c r="E708" s="40"/>
      <c r="F708" s="49" t="str">
        <f t="shared" ref="F708:J708" ca="1" si="706">IFERROR(__xludf.DUMMYFUNCTION("if (A708 &lt;&gt; """", GOOGLETRANSLATE(A708, ""auto"", ""en""), """")"),"Do you lend also properties that are leased")</f>
        <v>Do you lend also properties that are leased</v>
      </c>
      <c r="G708" s="49" t="str">
        <f t="shared" ca="1" si="706"/>
        <v>Do you lend also properties that are leased</v>
      </c>
      <c r="H708" s="49" t="str">
        <f t="shared" ca="1" si="706"/>
        <v>Do you lend also properties that are leased</v>
      </c>
      <c r="I708" s="49" t="str">
        <f t="shared" ca="1" si="706"/>
        <v>Do you lend also properties that are leased</v>
      </c>
      <c r="J708" s="49" t="str">
        <f t="shared" ca="1" si="706"/>
        <v>Do you lend also properties that are leased</v>
      </c>
    </row>
    <row r="709" spans="1:10" ht="38.25" x14ac:dyDescent="0.2">
      <c r="A709" s="41" t="s">
        <v>631</v>
      </c>
      <c r="B709" s="40"/>
      <c r="C709" s="40"/>
      <c r="D709" s="40"/>
      <c r="E709" s="40"/>
      <c r="F709" s="49" t="str">
        <f t="shared" ref="F709:J709" ca="1" si="707">IFERROR(__xludf.DUMMYFUNCTION("if (A709 &lt;&gt; """", GOOGLETRANSLATE(A709, ""auto"", ""en""), """")"),"Or property is also okay to have leased")</f>
        <v>Or property is also okay to have leased</v>
      </c>
      <c r="G709" s="49" t="str">
        <f t="shared" ca="1" si="707"/>
        <v>Or property is also okay to have leased</v>
      </c>
      <c r="H709" s="49" t="str">
        <f t="shared" ca="1" si="707"/>
        <v>Or property is also okay to have leased</v>
      </c>
      <c r="I709" s="49" t="str">
        <f t="shared" ca="1" si="707"/>
        <v>Or property is also okay to have leased</v>
      </c>
      <c r="J709" s="49" t="str">
        <f t="shared" ca="1" si="707"/>
        <v>Or property is also okay to have leased</v>
      </c>
    </row>
    <row r="710" spans="1:10" ht="38.25" x14ac:dyDescent="0.2">
      <c r="A710" s="41" t="s">
        <v>632</v>
      </c>
      <c r="B710" s="40"/>
      <c r="C710" s="40"/>
      <c r="D710" s="40"/>
      <c r="E710" s="40"/>
      <c r="F710" s="49" t="str">
        <f t="shared" ref="F710:J710" ca="1" si="708">IFERROR(__xludf.DUMMYFUNCTION("if (A710 &lt;&gt; """", GOOGLETRANSLATE(A710, ""auto"", ""en""), """")"),"It's properties that are leased")</f>
        <v>It's properties that are leased</v>
      </c>
      <c r="G710" s="49" t="str">
        <f t="shared" ca="1" si="708"/>
        <v>It's properties that are leased</v>
      </c>
      <c r="H710" s="49" t="str">
        <f t="shared" ca="1" si="708"/>
        <v>It's properties that are leased</v>
      </c>
      <c r="I710" s="49" t="str">
        <f t="shared" ca="1" si="708"/>
        <v>It's properties that are leased</v>
      </c>
      <c r="J710" s="49" t="str">
        <f t="shared" ca="1" si="708"/>
        <v>It's properties that are leased</v>
      </c>
    </row>
    <row r="711" spans="1:10" ht="12.75" x14ac:dyDescent="0.2">
      <c r="A711" s="41" t="s">
        <v>633</v>
      </c>
      <c r="B711" s="40"/>
      <c r="C711" s="40"/>
      <c r="D711" s="40"/>
      <c r="E711" s="40"/>
      <c r="F711" s="49" t="str">
        <f t="shared" ref="F711:J711" ca="1" si="709">IFERROR(__xludf.DUMMYFUNCTION("if (A711 &lt;&gt; """", GOOGLETRANSLATE(A711, ""auto"", ""en""), """")"),"Okay in rent")</f>
        <v>Okay in rent</v>
      </c>
      <c r="G711" s="49" t="str">
        <f t="shared" ca="1" si="709"/>
        <v>Okay in rent</v>
      </c>
      <c r="H711" s="49" t="str">
        <f t="shared" ca="1" si="709"/>
        <v>Okay in rent</v>
      </c>
      <c r="I711" s="49" t="str">
        <f t="shared" ca="1" si="709"/>
        <v>Okay in rent</v>
      </c>
      <c r="J711" s="49" t="str">
        <f t="shared" ca="1" si="709"/>
        <v>Okay in rent</v>
      </c>
    </row>
    <row r="712" spans="1:10" ht="25.5" x14ac:dyDescent="0.2">
      <c r="A712" s="41" t="s">
        <v>634</v>
      </c>
      <c r="B712" s="40"/>
      <c r="C712" s="40"/>
      <c r="D712" s="40"/>
      <c r="E712" s="40"/>
      <c r="F712" s="49" t="str">
        <f t="shared" ref="F712:J712" ca="1" si="710">IFERROR(__xludf.DUMMYFUNCTION("if (A712 &lt;&gt; """", GOOGLETRANSLATE(A712, ""auto"", ""en""), """")"),"Do you lend Rent is")</f>
        <v>Do you lend Rent is</v>
      </c>
      <c r="G712" s="49" t="str">
        <f t="shared" ca="1" si="710"/>
        <v>Do you lend Rent is</v>
      </c>
      <c r="H712" s="49" t="str">
        <f t="shared" ca="1" si="710"/>
        <v>Do you lend Rent is</v>
      </c>
      <c r="I712" s="49" t="str">
        <f t="shared" ca="1" si="710"/>
        <v>Do you lend Rent is</v>
      </c>
      <c r="J712" s="49" t="str">
        <f t="shared" ca="1" si="710"/>
        <v>Do you lend Rent is</v>
      </c>
    </row>
    <row r="713" spans="1:10" ht="12.75" x14ac:dyDescent="0.2">
      <c r="A713" s="41" t="s">
        <v>635</v>
      </c>
      <c r="B713" s="40"/>
      <c r="C713" s="40"/>
      <c r="D713" s="40"/>
      <c r="E713" s="40"/>
      <c r="F713" s="49" t="str">
        <f t="shared" ref="F713:J713" ca="1" si="711">IFERROR(__xludf.DUMMYFUNCTION("if (A713 &lt;&gt; """", GOOGLETRANSLATE(A713, ""auto"", ""en""), """")"),"Okay Rent")</f>
        <v>Okay Rent</v>
      </c>
      <c r="G713" s="49" t="str">
        <f t="shared" ca="1" si="711"/>
        <v>Okay Rent</v>
      </c>
      <c r="H713" s="49" t="str">
        <f t="shared" ca="1" si="711"/>
        <v>Okay Rent</v>
      </c>
      <c r="I713" s="49" t="str">
        <f t="shared" ca="1" si="711"/>
        <v>Okay Rent</v>
      </c>
      <c r="J713" s="49" t="str">
        <f t="shared" ca="1" si="711"/>
        <v>Okay Rent</v>
      </c>
    </row>
    <row r="714" spans="1:10" ht="38.25" x14ac:dyDescent="0.2">
      <c r="A714" s="41" t="s">
        <v>260</v>
      </c>
      <c r="B714" s="40"/>
      <c r="C714" s="40"/>
      <c r="D714" s="40"/>
      <c r="E714" s="40"/>
      <c r="F714" s="49" t="str">
        <f t="shared" ref="F714:J714" ca="1" si="712">IFERROR(__xludf.DUMMYFUNCTION("if (A714 &lt;&gt; """", GOOGLETRANSLATE(A714, ""auto"", ""en""), """")"),"For registration of rental property")</f>
        <v>For registration of rental property</v>
      </c>
      <c r="G714" s="49" t="str">
        <f t="shared" ca="1" si="712"/>
        <v>For registration of rental property</v>
      </c>
      <c r="H714" s="49" t="str">
        <f t="shared" ca="1" si="712"/>
        <v>For registration of rental property</v>
      </c>
      <c r="I714" s="49" t="str">
        <f t="shared" ca="1" si="712"/>
        <v>For registration of rental property</v>
      </c>
      <c r="J714" s="49" t="str">
        <f t="shared" ca="1" si="712"/>
        <v>For registration of rental property</v>
      </c>
    </row>
    <row r="715" spans="1:10" ht="12.75" x14ac:dyDescent="0.2">
      <c r="A715" s="40"/>
      <c r="B715" s="41" t="s">
        <v>422</v>
      </c>
      <c r="C715" s="41" t="s">
        <v>423</v>
      </c>
      <c r="D715" s="41" t="s">
        <v>424</v>
      </c>
      <c r="E715" s="40"/>
      <c r="F715" s="49" t="str">
        <f t="shared" ref="F715:J715" ca="1" si="713">IFERROR(__xludf.DUMMYFUNCTION("if (A715 &lt;&gt; """", GOOGLETRANSLATE(A715, ""auto"", ""en""), """")"),"")</f>
        <v/>
      </c>
      <c r="G715" s="49" t="str">
        <f t="shared" ca="1" si="713"/>
        <v/>
      </c>
      <c r="H715" s="49" t="str">
        <f t="shared" ca="1" si="713"/>
        <v/>
      </c>
      <c r="I715" s="49" t="str">
        <f t="shared" ca="1" si="713"/>
        <v/>
      </c>
      <c r="J715" s="49" t="str">
        <f t="shared" ca="1" si="713"/>
        <v/>
      </c>
    </row>
    <row r="716" spans="1:10" ht="12.75" x14ac:dyDescent="0.2">
      <c r="A716" s="40"/>
      <c r="B716" s="41" t="s">
        <v>403</v>
      </c>
      <c r="C716" s="41" t="s">
        <v>24</v>
      </c>
      <c r="D716" s="41" t="s">
        <v>26</v>
      </c>
      <c r="E716" s="40"/>
      <c r="F716" s="49" t="str">
        <f t="shared" ref="F716:J716" ca="1" si="714">IFERROR(__xludf.DUMMYFUNCTION("if (A716 &lt;&gt; """", GOOGLETRANSLATE(A716, ""auto"", ""en""), """")"),"")</f>
        <v/>
      </c>
      <c r="G716" s="49" t="str">
        <f t="shared" ca="1" si="714"/>
        <v/>
      </c>
      <c r="H716" s="49" t="str">
        <f t="shared" ca="1" si="714"/>
        <v/>
      </c>
      <c r="I716" s="49" t="str">
        <f t="shared" ca="1" si="714"/>
        <v/>
      </c>
      <c r="J716" s="49" t="str">
        <f t="shared" ca="1" si="714"/>
        <v/>
      </c>
    </row>
    <row r="717" spans="1:10" ht="12.75" x14ac:dyDescent="0.2">
      <c r="A717" s="40"/>
      <c r="B717" s="41" t="s">
        <v>403</v>
      </c>
      <c r="C717" s="41" t="s">
        <v>32</v>
      </c>
      <c r="D717" s="41" t="s">
        <v>29</v>
      </c>
      <c r="E717" s="40"/>
      <c r="F717" s="49" t="str">
        <f t="shared" ref="F717:J717" ca="1" si="715">IFERROR(__xludf.DUMMYFUNCTION("if (A717 &lt;&gt; """", GOOGLETRANSLATE(A717, ""auto"", ""en""), """")"),"")</f>
        <v/>
      </c>
      <c r="G717" s="49" t="str">
        <f t="shared" ca="1" si="715"/>
        <v/>
      </c>
      <c r="H717" s="49" t="str">
        <f t="shared" ca="1" si="715"/>
        <v/>
      </c>
      <c r="I717" s="49" t="str">
        <f t="shared" ca="1" si="715"/>
        <v/>
      </c>
      <c r="J717" s="49" t="str">
        <f t="shared" ca="1" si="715"/>
        <v/>
      </c>
    </row>
    <row r="718" spans="1:10" ht="12.75" x14ac:dyDescent="0.2">
      <c r="A718" s="40"/>
      <c r="B718" s="41" t="s">
        <v>403</v>
      </c>
      <c r="C718" s="41" t="s">
        <v>25</v>
      </c>
      <c r="D718" s="41" t="s">
        <v>27</v>
      </c>
      <c r="E718" s="40"/>
      <c r="F718" s="49" t="str">
        <f t="shared" ref="F718:J718" ca="1" si="716">IFERROR(__xludf.DUMMYFUNCTION("if (A718 &lt;&gt; """", GOOGLETRANSLATE(A718, ""auto"", ""en""), """")"),"")</f>
        <v/>
      </c>
      <c r="G718" s="49" t="str">
        <f t="shared" ca="1" si="716"/>
        <v/>
      </c>
      <c r="H718" s="49" t="str">
        <f t="shared" ca="1" si="716"/>
        <v/>
      </c>
      <c r="I718" s="49" t="str">
        <f t="shared" ca="1" si="716"/>
        <v/>
      </c>
      <c r="J718" s="49" t="str">
        <f t="shared" ca="1" si="716"/>
        <v/>
      </c>
    </row>
    <row r="719" spans="1:10" ht="12.75" x14ac:dyDescent="0.2">
      <c r="A719" s="40"/>
      <c r="B719" s="41" t="s">
        <v>403</v>
      </c>
      <c r="C719" s="41" t="s">
        <v>30</v>
      </c>
      <c r="D719" s="41" t="s">
        <v>31</v>
      </c>
      <c r="E719" s="40"/>
      <c r="F719" s="49" t="str">
        <f t="shared" ref="F719:J719" ca="1" si="717">IFERROR(__xludf.DUMMYFUNCTION("if (A719 &lt;&gt; """", GOOGLETRANSLATE(A719, ""auto"", ""en""), """")"),"")</f>
        <v/>
      </c>
      <c r="G719" s="49" t="str">
        <f t="shared" ca="1" si="717"/>
        <v/>
      </c>
      <c r="H719" s="49" t="str">
        <f t="shared" ca="1" si="717"/>
        <v/>
      </c>
      <c r="I719" s="49" t="str">
        <f t="shared" ca="1" si="717"/>
        <v/>
      </c>
      <c r="J719" s="49" t="str">
        <f t="shared" ca="1" si="717"/>
        <v/>
      </c>
    </row>
    <row r="720" spans="1:10" ht="12.75" x14ac:dyDescent="0.2">
      <c r="A720" s="40"/>
      <c r="B720" s="40"/>
      <c r="C720" s="40"/>
      <c r="D720" s="40"/>
      <c r="E720" s="40"/>
      <c r="F720" s="49" t="str">
        <f t="shared" ref="F720:J720" ca="1" si="718">IFERROR(__xludf.DUMMYFUNCTION("if (A720 &lt;&gt; """", GOOGLETRANSLATE(A720, ""auto"", ""en""), """")"),"")</f>
        <v/>
      </c>
      <c r="G720" s="49" t="str">
        <f t="shared" ca="1" si="718"/>
        <v/>
      </c>
      <c r="H720" s="49" t="str">
        <f t="shared" ca="1" si="718"/>
        <v/>
      </c>
      <c r="I720" s="49" t="str">
        <f t="shared" ca="1" si="718"/>
        <v/>
      </c>
      <c r="J720" s="49" t="str">
        <f t="shared" ca="1" si="718"/>
        <v/>
      </c>
    </row>
    <row r="721" spans="1:10" ht="12.75" x14ac:dyDescent="0.2">
      <c r="A721" s="41" t="s">
        <v>272</v>
      </c>
      <c r="B721" s="40"/>
      <c r="C721" s="40"/>
      <c r="D721" s="40"/>
      <c r="E721" s="40"/>
      <c r="F721" s="49" t="str">
        <f t="shared" ref="F721:J721" ca="1" si="719">IFERROR(__xludf.DUMMYFUNCTION("if (A721 &lt;&gt; """", GOOGLETRANSLATE(A721, ""auto"", ""en""), """")"),"FAQ-Host2-2")</f>
        <v>FAQ-Host2-2</v>
      </c>
      <c r="G721" s="49" t="str">
        <f t="shared" ca="1" si="719"/>
        <v>FAQ-Host2-2</v>
      </c>
      <c r="H721" s="49" t="str">
        <f t="shared" ca="1" si="719"/>
        <v>FAQ-Host2-2</v>
      </c>
      <c r="I721" s="49" t="str">
        <f t="shared" ca="1" si="719"/>
        <v>FAQ-Host2-2</v>
      </c>
      <c r="J721" s="49" t="str">
        <f t="shared" ca="1" si="719"/>
        <v>FAQ-Host2-2</v>
      </c>
    </row>
    <row r="722" spans="1:10" ht="12.75" x14ac:dyDescent="0.2">
      <c r="A722" s="40"/>
      <c r="B722" s="41" t="s">
        <v>398</v>
      </c>
      <c r="C722" s="40"/>
      <c r="D722" s="40"/>
      <c r="E722" s="40"/>
      <c r="F722" s="49" t="str">
        <f t="shared" ref="F722:J722" ca="1" si="720">IFERROR(__xludf.DUMMYFUNCTION("if (A722 &lt;&gt; """", GOOGLETRANSLATE(A722, ""auto"", ""en""), """")"),"")</f>
        <v/>
      </c>
      <c r="G722" s="49" t="str">
        <f t="shared" ca="1" si="720"/>
        <v/>
      </c>
      <c r="H722" s="49" t="str">
        <f t="shared" ca="1" si="720"/>
        <v/>
      </c>
      <c r="I722" s="49" t="str">
        <f t="shared" ca="1" si="720"/>
        <v/>
      </c>
      <c r="J722" s="49" t="str">
        <f t="shared" ca="1" si="720"/>
        <v/>
      </c>
    </row>
    <row r="723" spans="1:10" ht="12.75" x14ac:dyDescent="0.2">
      <c r="A723" s="40"/>
      <c r="B723" s="41" t="s">
        <v>399</v>
      </c>
      <c r="C723" s="40"/>
      <c r="D723" s="40"/>
      <c r="E723" s="40"/>
      <c r="F723" s="49" t="str">
        <f t="shared" ref="F723:J723" ca="1" si="721">IFERROR(__xludf.DUMMYFUNCTION("if (A723 &lt;&gt; """", GOOGLETRANSLATE(A723, ""auto"", ""en""), """")"),"")</f>
        <v/>
      </c>
      <c r="G723" s="49" t="str">
        <f t="shared" ca="1" si="721"/>
        <v/>
      </c>
      <c r="H723" s="49" t="str">
        <f t="shared" ca="1" si="721"/>
        <v/>
      </c>
      <c r="I723" s="49" t="str">
        <f t="shared" ca="1" si="721"/>
        <v/>
      </c>
      <c r="J723" s="49" t="str">
        <f t="shared" ca="1" si="721"/>
        <v/>
      </c>
    </row>
    <row r="724" spans="1:10" ht="12.75" x14ac:dyDescent="0.2">
      <c r="A724" s="40"/>
      <c r="B724" s="41" t="s">
        <v>400</v>
      </c>
      <c r="C724" s="40"/>
      <c r="D724" s="40"/>
      <c r="E724" s="40"/>
      <c r="F724" s="49" t="str">
        <f t="shared" ref="F724:J724" ca="1" si="722">IFERROR(__xludf.DUMMYFUNCTION("if (A724 &lt;&gt; """", GOOGLETRANSLATE(A724, ""auto"", ""en""), """")"),"")</f>
        <v/>
      </c>
      <c r="G724" s="49" t="str">
        <f t="shared" ca="1" si="722"/>
        <v/>
      </c>
      <c r="H724" s="49" t="str">
        <f t="shared" ca="1" si="722"/>
        <v/>
      </c>
      <c r="I724" s="49" t="str">
        <f t="shared" ca="1" si="722"/>
        <v/>
      </c>
      <c r="J724" s="49" t="str">
        <f t="shared" ca="1" si="722"/>
        <v/>
      </c>
    </row>
    <row r="725" spans="1:10" ht="12.75" x14ac:dyDescent="0.2">
      <c r="A725" s="40"/>
      <c r="B725" s="41" t="s">
        <v>401</v>
      </c>
      <c r="C725" s="41" t="s">
        <v>272</v>
      </c>
      <c r="D725" s="40"/>
      <c r="E725" s="40"/>
      <c r="F725" s="49" t="str">
        <f t="shared" ref="F725:J725" ca="1" si="723">IFERROR(__xludf.DUMMYFUNCTION("if (A725 &lt;&gt; """", GOOGLETRANSLATE(A725, ""auto"", ""en""), """")"),"")</f>
        <v/>
      </c>
      <c r="G725" s="49" t="str">
        <f t="shared" ca="1" si="723"/>
        <v/>
      </c>
      <c r="H725" s="49" t="str">
        <f t="shared" ca="1" si="723"/>
        <v/>
      </c>
      <c r="I725" s="49" t="str">
        <f t="shared" ca="1" si="723"/>
        <v/>
      </c>
      <c r="J725" s="49" t="str">
        <f t="shared" ca="1" si="723"/>
        <v/>
      </c>
    </row>
    <row r="726" spans="1:10" ht="63.75" x14ac:dyDescent="0.2">
      <c r="A726" s="41" t="s">
        <v>637</v>
      </c>
      <c r="B726" s="41" t="s">
        <v>402</v>
      </c>
      <c r="C726" s="41" t="s">
        <v>376</v>
      </c>
      <c r="D726" s="40"/>
      <c r="E726" s="40"/>
      <c r="F726" s="49" t="str">
        <f t="shared" ref="F726:J726" ca="1" si="724">IFERROR(__xludf.DUMMYFUNCTION("if (A726 &lt;&gt; """", GOOGLETRANSLATE(A726, ""auto"", ""en""), """")"),"I want to register for each apartment")</f>
        <v>I want to register for each apartment</v>
      </c>
      <c r="G726" s="49" t="str">
        <f t="shared" ca="1" si="724"/>
        <v>I want to register for each apartment</v>
      </c>
      <c r="H726" s="49" t="str">
        <f t="shared" ca="1" si="724"/>
        <v>I want to register for each apartment</v>
      </c>
      <c r="I726" s="49" t="str">
        <f t="shared" ca="1" si="724"/>
        <v>I want to register for each apartment</v>
      </c>
      <c r="J726" s="49" t="str">
        <f t="shared" ca="1" si="724"/>
        <v>I want to register for each apartment</v>
      </c>
    </row>
    <row r="727" spans="1:10" ht="38.25" x14ac:dyDescent="0.2">
      <c r="A727" s="41" t="s">
        <v>638</v>
      </c>
      <c r="B727" s="41" t="s">
        <v>402</v>
      </c>
      <c r="C727" s="41" t="s">
        <v>19</v>
      </c>
      <c r="D727" s="40"/>
      <c r="E727" s="40"/>
      <c r="F727" s="49" t="str">
        <f t="shared" ref="F727:J727" ca="1" si="725">IFERROR(__xludf.DUMMYFUNCTION("if (A727 &lt;&gt; """", GOOGLETRANSLATE(A727, ""auto"", ""en""), """")"),"Registration of collective housing")</f>
        <v>Registration of collective housing</v>
      </c>
      <c r="G727" s="49" t="str">
        <f t="shared" ca="1" si="725"/>
        <v>Registration of collective housing</v>
      </c>
      <c r="H727" s="49" t="str">
        <f t="shared" ca="1" si="725"/>
        <v>Registration of collective housing</v>
      </c>
      <c r="I727" s="49" t="str">
        <f t="shared" ca="1" si="725"/>
        <v>Registration of collective housing</v>
      </c>
      <c r="J727" s="49" t="str">
        <f t="shared" ca="1" si="725"/>
        <v>Registration of collective housing</v>
      </c>
    </row>
    <row r="728" spans="1:10" ht="25.5" x14ac:dyDescent="0.2">
      <c r="A728" s="41" t="s">
        <v>639</v>
      </c>
      <c r="B728" s="40"/>
      <c r="C728" s="40"/>
      <c r="D728" s="40"/>
      <c r="E728" s="40"/>
      <c r="F728" s="49" t="str">
        <f t="shared" ref="F728:J728" ca="1" si="726">IFERROR(__xludf.DUMMYFUNCTION("if (A728 &lt;&gt; """", GOOGLETRANSLATE(A728, ""auto"", ""en""), """")"),"Mansion registration of")</f>
        <v>Mansion registration of</v>
      </c>
      <c r="G728" s="49" t="str">
        <f t="shared" ca="1" si="726"/>
        <v>Mansion registration of</v>
      </c>
      <c r="H728" s="49" t="str">
        <f t="shared" ca="1" si="726"/>
        <v>Mansion registration of</v>
      </c>
      <c r="I728" s="49" t="str">
        <f t="shared" ca="1" si="726"/>
        <v>Mansion registration of</v>
      </c>
      <c r="J728" s="49" t="str">
        <f t="shared" ca="1" si="726"/>
        <v>Mansion registration of</v>
      </c>
    </row>
    <row r="729" spans="1:10" ht="38.25" x14ac:dyDescent="0.2">
      <c r="A729" s="41" t="s">
        <v>640</v>
      </c>
      <c r="B729" s="40"/>
      <c r="C729" s="40"/>
      <c r="D729" s="40"/>
      <c r="E729" s="40"/>
      <c r="F729" s="49" t="str">
        <f t="shared" ref="F729:J729" ca="1" si="727">IFERROR(__xludf.DUMMYFUNCTION("if (A729 &lt;&gt; """", GOOGLETRANSLATE(A729, ""auto"", ""en""), """")"),"We have a two room in the house")</f>
        <v>We have a two room in the house</v>
      </c>
      <c r="G729" s="49" t="str">
        <f t="shared" ca="1" si="727"/>
        <v>We have a two room in the house</v>
      </c>
      <c r="H729" s="49" t="str">
        <f t="shared" ca="1" si="727"/>
        <v>We have a two room in the house</v>
      </c>
      <c r="I729" s="49" t="str">
        <f t="shared" ca="1" si="727"/>
        <v>We have a two room in the house</v>
      </c>
      <c r="J729" s="49" t="str">
        <f t="shared" ca="1" si="727"/>
        <v>We have a two room in the house</v>
      </c>
    </row>
    <row r="730" spans="1:10" ht="51" x14ac:dyDescent="0.2">
      <c r="A730" s="41" t="s">
        <v>641</v>
      </c>
      <c r="B730" s="40"/>
      <c r="C730" s="40"/>
      <c r="D730" s="40"/>
      <c r="E730" s="40"/>
      <c r="F730" s="49" t="str">
        <f t="shared" ref="F730:J730" ca="1" si="728">IFERROR(__xludf.DUMMYFUNCTION("if (A730 &lt;&gt; """", GOOGLETRANSLATE(A730, ""auto"", ""en""), """")"),"Way of registration of the apartment room")</f>
        <v>Way of registration of the apartment room</v>
      </c>
      <c r="G730" s="49" t="str">
        <f t="shared" ca="1" si="728"/>
        <v>Way of registration of the apartment room</v>
      </c>
      <c r="H730" s="49" t="str">
        <f t="shared" ca="1" si="728"/>
        <v>Way of registration of the apartment room</v>
      </c>
      <c r="I730" s="49" t="str">
        <f t="shared" ca="1" si="728"/>
        <v>Way of registration of the apartment room</v>
      </c>
      <c r="J730" s="49" t="str">
        <f t="shared" ca="1" si="728"/>
        <v>Way of registration of the apartment room</v>
      </c>
    </row>
    <row r="731" spans="1:10" ht="51" x14ac:dyDescent="0.2">
      <c r="A731" s="41" t="s">
        <v>642</v>
      </c>
      <c r="B731" s="40"/>
      <c r="C731" s="40"/>
      <c r="D731" s="40"/>
      <c r="E731" s="40"/>
      <c r="F731" s="49" t="str">
        <f t="shared" ref="F731:J731" ca="1" si="729">IFERROR(__xludf.DUMMYFUNCTION("if (A731 &lt;&gt; """", GOOGLETRANSLATE(A731, ""auto"", ""en""), """")"),"Registration method of the apartment room")</f>
        <v>Registration method of the apartment room</v>
      </c>
      <c r="G731" s="49" t="str">
        <f t="shared" ca="1" si="729"/>
        <v>Registration method of the apartment room</v>
      </c>
      <c r="H731" s="49" t="str">
        <f t="shared" ca="1" si="729"/>
        <v>Registration method of the apartment room</v>
      </c>
      <c r="I731" s="49" t="str">
        <f t="shared" ca="1" si="729"/>
        <v>Registration method of the apartment room</v>
      </c>
      <c r="J731" s="49" t="str">
        <f t="shared" ca="1" si="729"/>
        <v>Registration method of the apartment room</v>
      </c>
    </row>
    <row r="732" spans="1:10" ht="51" x14ac:dyDescent="0.2">
      <c r="A732" s="41" t="s">
        <v>643</v>
      </c>
      <c r="B732" s="40"/>
      <c r="C732" s="40"/>
      <c r="D732" s="40"/>
      <c r="E732" s="40"/>
      <c r="F732" s="49" t="str">
        <f t="shared" ref="F732:J732" ca="1" si="730">IFERROR(__xludf.DUMMYFUNCTION("if (A732 &lt;&gt; """", GOOGLETRANSLATE(A732, ""auto"", ""en""), """")"),"I want to register the apartment in a room at once")</f>
        <v>I want to register the apartment in a room at once</v>
      </c>
      <c r="G732" s="49" t="str">
        <f t="shared" ca="1" si="730"/>
        <v>I want to register the apartment in a room at once</v>
      </c>
      <c r="H732" s="49" t="str">
        <f t="shared" ca="1" si="730"/>
        <v>I want to register the apartment in a room at once</v>
      </c>
      <c r="I732" s="49" t="str">
        <f t="shared" ca="1" si="730"/>
        <v>I want to register the apartment in a room at once</v>
      </c>
      <c r="J732" s="49" t="str">
        <f t="shared" ca="1" si="730"/>
        <v>I want to register the apartment in a room at once</v>
      </c>
    </row>
    <row r="733" spans="1:10" ht="51" x14ac:dyDescent="0.2">
      <c r="A733" s="41" t="s">
        <v>644</v>
      </c>
      <c r="B733" s="40"/>
      <c r="C733" s="40"/>
      <c r="D733" s="40"/>
      <c r="E733" s="40"/>
      <c r="F733" s="49" t="str">
        <f t="shared" ref="F733:J733" ca="1" si="731">IFERROR(__xludf.DUMMYFUNCTION("if (A733 &lt;&gt; """", GOOGLETRANSLATE(A733, ""auto"", ""en""), """")"),"It is to register one by one room annoying")</f>
        <v>It is to register one by one room annoying</v>
      </c>
      <c r="G733" s="49" t="str">
        <f t="shared" ca="1" si="731"/>
        <v>It is to register one by one room annoying</v>
      </c>
      <c r="H733" s="49" t="str">
        <f t="shared" ca="1" si="731"/>
        <v>It is to register one by one room annoying</v>
      </c>
      <c r="I733" s="49" t="str">
        <f t="shared" ca="1" si="731"/>
        <v>It is to register one by one room annoying</v>
      </c>
      <c r="J733" s="49" t="str">
        <f t="shared" ca="1" si="731"/>
        <v>It is to register one by one room annoying</v>
      </c>
    </row>
    <row r="734" spans="1:10" ht="38.25" x14ac:dyDescent="0.2">
      <c r="A734" s="41" t="s">
        <v>645</v>
      </c>
      <c r="B734" s="40"/>
      <c r="C734" s="40"/>
      <c r="D734" s="40"/>
      <c r="E734" s="40"/>
      <c r="F734" s="49" t="str">
        <f t="shared" ref="F734:J734" ca="1" si="732">IFERROR(__xludf.DUMMYFUNCTION("if (A734 &lt;&gt; """", GOOGLETRANSLATE(A734, ""auto"", ""en""), """")"),"I want to register multiple room")</f>
        <v>I want to register multiple room</v>
      </c>
      <c r="G734" s="49" t="str">
        <f t="shared" ca="1" si="732"/>
        <v>I want to register multiple room</v>
      </c>
      <c r="H734" s="49" t="str">
        <f t="shared" ca="1" si="732"/>
        <v>I want to register multiple room</v>
      </c>
      <c r="I734" s="49" t="str">
        <f t="shared" ca="1" si="732"/>
        <v>I want to register multiple room</v>
      </c>
      <c r="J734" s="49" t="str">
        <f t="shared" ca="1" si="732"/>
        <v>I want to register multiple room</v>
      </c>
    </row>
    <row r="735" spans="1:10" ht="38.25" x14ac:dyDescent="0.2">
      <c r="A735" s="41" t="s">
        <v>271</v>
      </c>
      <c r="B735" s="40"/>
      <c r="C735" s="40"/>
      <c r="D735" s="40"/>
      <c r="E735" s="40"/>
      <c r="F735" s="49" t="str">
        <f t="shared" ref="F735:J735" ca="1" si="733">IFERROR(__xludf.DUMMYFUNCTION("if (A735 &lt;&gt; """", GOOGLETRANSLATE(A735, ""auto"", ""en""), """")"),"For multiple registration of the room")</f>
        <v>For multiple registration of the room</v>
      </c>
      <c r="G735" s="49" t="str">
        <f t="shared" ca="1" si="733"/>
        <v>For multiple registration of the room</v>
      </c>
      <c r="H735" s="49" t="str">
        <f t="shared" ca="1" si="733"/>
        <v>For multiple registration of the room</v>
      </c>
      <c r="I735" s="49" t="str">
        <f t="shared" ca="1" si="733"/>
        <v>For multiple registration of the room</v>
      </c>
      <c r="J735" s="49" t="str">
        <f t="shared" ca="1" si="733"/>
        <v>For multiple registration of the room</v>
      </c>
    </row>
    <row r="736" spans="1:10" ht="12.75" x14ac:dyDescent="0.2">
      <c r="A736" s="40"/>
      <c r="B736" s="41" t="s">
        <v>422</v>
      </c>
      <c r="C736" s="41" t="s">
        <v>423</v>
      </c>
      <c r="D736" s="41" t="s">
        <v>424</v>
      </c>
      <c r="E736" s="40"/>
      <c r="F736" s="49" t="str">
        <f t="shared" ref="F736:J736" ca="1" si="734">IFERROR(__xludf.DUMMYFUNCTION("if (A736 &lt;&gt; """", GOOGLETRANSLATE(A736, ""auto"", ""en""), """")"),"")</f>
        <v/>
      </c>
      <c r="G736" s="49" t="str">
        <f t="shared" ca="1" si="734"/>
        <v/>
      </c>
      <c r="H736" s="49" t="str">
        <f t="shared" ca="1" si="734"/>
        <v/>
      </c>
      <c r="I736" s="49" t="str">
        <f t="shared" ca="1" si="734"/>
        <v/>
      </c>
      <c r="J736" s="49" t="str">
        <f t="shared" ca="1" si="734"/>
        <v/>
      </c>
    </row>
    <row r="737" spans="1:10" ht="12.75" x14ac:dyDescent="0.2">
      <c r="A737" s="40"/>
      <c r="B737" s="41" t="s">
        <v>422</v>
      </c>
      <c r="C737" s="41" t="s">
        <v>646</v>
      </c>
      <c r="D737" s="41" t="s">
        <v>424</v>
      </c>
      <c r="E737" s="40"/>
      <c r="F737" s="49" t="str">
        <f t="shared" ref="F737:J737" ca="1" si="735">IFERROR(__xludf.DUMMYFUNCTION("if (A737 &lt;&gt; """", GOOGLETRANSLATE(A737, ""auto"", ""en""), """")"),"")</f>
        <v/>
      </c>
      <c r="G737" s="49" t="str">
        <f t="shared" ca="1" si="735"/>
        <v/>
      </c>
      <c r="H737" s="49" t="str">
        <f t="shared" ca="1" si="735"/>
        <v/>
      </c>
      <c r="I737" s="49" t="str">
        <f t="shared" ca="1" si="735"/>
        <v/>
      </c>
      <c r="J737" s="49" t="str">
        <f t="shared" ca="1" si="735"/>
        <v/>
      </c>
    </row>
    <row r="738" spans="1:10" ht="12.75" x14ac:dyDescent="0.2">
      <c r="A738" s="40"/>
      <c r="B738" s="41" t="s">
        <v>422</v>
      </c>
      <c r="C738" s="41" t="s">
        <v>488</v>
      </c>
      <c r="D738" s="41" t="s">
        <v>489</v>
      </c>
      <c r="E738" s="40"/>
      <c r="F738" s="49" t="str">
        <f t="shared" ref="F738:J738" ca="1" si="736">IFERROR(__xludf.DUMMYFUNCTION("if (A738 &lt;&gt; """", GOOGLETRANSLATE(A738, ""auto"", ""en""), """")"),"")</f>
        <v/>
      </c>
      <c r="G738" s="49" t="str">
        <f t="shared" ca="1" si="736"/>
        <v/>
      </c>
      <c r="H738" s="49" t="str">
        <f t="shared" ca="1" si="736"/>
        <v/>
      </c>
      <c r="I738" s="49" t="str">
        <f t="shared" ca="1" si="736"/>
        <v/>
      </c>
      <c r="J738" s="49" t="str">
        <f t="shared" ca="1" si="736"/>
        <v/>
      </c>
    </row>
    <row r="739" spans="1:10" ht="12.75" x14ac:dyDescent="0.2">
      <c r="A739" s="40"/>
      <c r="B739" s="41" t="s">
        <v>403</v>
      </c>
      <c r="C739" s="41" t="s">
        <v>24</v>
      </c>
      <c r="D739" s="41" t="s">
        <v>26</v>
      </c>
      <c r="E739" s="40"/>
      <c r="F739" s="49" t="str">
        <f t="shared" ref="F739:J739" ca="1" si="737">IFERROR(__xludf.DUMMYFUNCTION("if (A739 &lt;&gt; """", GOOGLETRANSLATE(A739, ""auto"", ""en""), """")"),"")</f>
        <v/>
      </c>
      <c r="G739" s="49" t="str">
        <f t="shared" ca="1" si="737"/>
        <v/>
      </c>
      <c r="H739" s="49" t="str">
        <f t="shared" ca="1" si="737"/>
        <v/>
      </c>
      <c r="I739" s="49" t="str">
        <f t="shared" ca="1" si="737"/>
        <v/>
      </c>
      <c r="J739" s="49" t="str">
        <f t="shared" ca="1" si="737"/>
        <v/>
      </c>
    </row>
    <row r="740" spans="1:10" ht="12.75" x14ac:dyDescent="0.2">
      <c r="A740" s="40"/>
      <c r="B740" s="41" t="s">
        <v>403</v>
      </c>
      <c r="C740" s="41" t="s">
        <v>32</v>
      </c>
      <c r="D740" s="41" t="s">
        <v>29</v>
      </c>
      <c r="E740" s="40"/>
      <c r="F740" s="49" t="str">
        <f t="shared" ref="F740:J740" ca="1" si="738">IFERROR(__xludf.DUMMYFUNCTION("if (A740 &lt;&gt; """", GOOGLETRANSLATE(A740, ""auto"", ""en""), """")"),"")</f>
        <v/>
      </c>
      <c r="G740" s="49" t="str">
        <f t="shared" ca="1" si="738"/>
        <v/>
      </c>
      <c r="H740" s="49" t="str">
        <f t="shared" ca="1" si="738"/>
        <v/>
      </c>
      <c r="I740" s="49" t="str">
        <f t="shared" ca="1" si="738"/>
        <v/>
      </c>
      <c r="J740" s="49" t="str">
        <f t="shared" ca="1" si="738"/>
        <v/>
      </c>
    </row>
    <row r="741" spans="1:10" ht="12.75" x14ac:dyDescent="0.2">
      <c r="A741" s="40"/>
      <c r="B741" s="41" t="s">
        <v>403</v>
      </c>
      <c r="C741" s="41" t="s">
        <v>25</v>
      </c>
      <c r="D741" s="41" t="s">
        <v>27</v>
      </c>
      <c r="E741" s="40"/>
      <c r="F741" s="49" t="str">
        <f t="shared" ref="F741:J741" ca="1" si="739">IFERROR(__xludf.DUMMYFUNCTION("if (A741 &lt;&gt; """", GOOGLETRANSLATE(A741, ""auto"", ""en""), """")"),"")</f>
        <v/>
      </c>
      <c r="G741" s="49" t="str">
        <f t="shared" ca="1" si="739"/>
        <v/>
      </c>
      <c r="H741" s="49" t="str">
        <f t="shared" ca="1" si="739"/>
        <v/>
      </c>
      <c r="I741" s="49" t="str">
        <f t="shared" ca="1" si="739"/>
        <v/>
      </c>
      <c r="J741" s="49" t="str">
        <f t="shared" ca="1" si="739"/>
        <v/>
      </c>
    </row>
    <row r="742" spans="1:10" ht="12.75" x14ac:dyDescent="0.2">
      <c r="A742" s="40"/>
      <c r="B742" s="41" t="s">
        <v>403</v>
      </c>
      <c r="C742" s="41" t="s">
        <v>30</v>
      </c>
      <c r="D742" s="41" t="s">
        <v>31</v>
      </c>
      <c r="E742" s="40"/>
      <c r="F742" s="49" t="str">
        <f t="shared" ref="F742:J742" ca="1" si="740">IFERROR(__xludf.DUMMYFUNCTION("if (A742 &lt;&gt; """", GOOGLETRANSLATE(A742, ""auto"", ""en""), """")"),"")</f>
        <v/>
      </c>
      <c r="G742" s="49" t="str">
        <f t="shared" ca="1" si="740"/>
        <v/>
      </c>
      <c r="H742" s="49" t="str">
        <f t="shared" ca="1" si="740"/>
        <v/>
      </c>
      <c r="I742" s="49" t="str">
        <f t="shared" ca="1" si="740"/>
        <v/>
      </c>
      <c r="J742" s="49" t="str">
        <f t="shared" ca="1" si="740"/>
        <v/>
      </c>
    </row>
    <row r="743" spans="1:10" ht="12.75" x14ac:dyDescent="0.2">
      <c r="A743" s="40"/>
      <c r="B743" s="40"/>
      <c r="C743" s="40"/>
      <c r="D743" s="40"/>
      <c r="E743" s="40"/>
      <c r="F743" s="49" t="str">
        <f t="shared" ref="F743:J743" ca="1" si="741">IFERROR(__xludf.DUMMYFUNCTION("if (A743 &lt;&gt; """", GOOGLETRANSLATE(A743, ""auto"", ""en""), """")"),"")</f>
        <v/>
      </c>
      <c r="G743" s="49" t="str">
        <f t="shared" ca="1" si="741"/>
        <v/>
      </c>
      <c r="H743" s="49" t="str">
        <f t="shared" ca="1" si="741"/>
        <v/>
      </c>
      <c r="I743" s="49" t="str">
        <f t="shared" ca="1" si="741"/>
        <v/>
      </c>
      <c r="J743" s="49" t="str">
        <f t="shared" ca="1" si="741"/>
        <v/>
      </c>
    </row>
    <row r="744" spans="1:10" ht="12.75" x14ac:dyDescent="0.2">
      <c r="A744" s="41" t="s">
        <v>276</v>
      </c>
      <c r="B744" s="40"/>
      <c r="C744" s="40"/>
      <c r="D744" s="40"/>
      <c r="E744" s="40"/>
      <c r="F744" s="49" t="str">
        <f t="shared" ref="F744:J744" ca="1" si="742">IFERROR(__xludf.DUMMYFUNCTION("if (A744 &lt;&gt; """", GOOGLETRANSLATE(A744, ""auto"", ""en""), """")"),"FAQ-Host2-3")</f>
        <v>FAQ-Host2-3</v>
      </c>
      <c r="G744" s="49" t="str">
        <f t="shared" ca="1" si="742"/>
        <v>FAQ-Host2-3</v>
      </c>
      <c r="H744" s="49" t="str">
        <f t="shared" ca="1" si="742"/>
        <v>FAQ-Host2-3</v>
      </c>
      <c r="I744" s="49" t="str">
        <f t="shared" ca="1" si="742"/>
        <v>FAQ-Host2-3</v>
      </c>
      <c r="J744" s="49" t="str">
        <f t="shared" ca="1" si="742"/>
        <v>FAQ-Host2-3</v>
      </c>
    </row>
    <row r="745" spans="1:10" ht="12.75" x14ac:dyDescent="0.2">
      <c r="A745" s="40"/>
      <c r="B745" s="41" t="s">
        <v>398</v>
      </c>
      <c r="C745" s="40"/>
      <c r="D745" s="40"/>
      <c r="E745" s="40"/>
      <c r="F745" s="49" t="str">
        <f t="shared" ref="F745:J745" ca="1" si="743">IFERROR(__xludf.DUMMYFUNCTION("if (A745 &lt;&gt; """", GOOGLETRANSLATE(A745, ""auto"", ""en""), """")"),"")</f>
        <v/>
      </c>
      <c r="G745" s="49" t="str">
        <f t="shared" ca="1" si="743"/>
        <v/>
      </c>
      <c r="H745" s="49" t="str">
        <f t="shared" ca="1" si="743"/>
        <v/>
      </c>
      <c r="I745" s="49" t="str">
        <f t="shared" ca="1" si="743"/>
        <v/>
      </c>
      <c r="J745" s="49" t="str">
        <f t="shared" ca="1" si="743"/>
        <v/>
      </c>
    </row>
    <row r="746" spans="1:10" ht="12.75" x14ac:dyDescent="0.2">
      <c r="A746" s="40"/>
      <c r="B746" s="41" t="s">
        <v>399</v>
      </c>
      <c r="C746" s="40"/>
      <c r="D746" s="40"/>
      <c r="E746" s="40"/>
      <c r="F746" s="49" t="str">
        <f t="shared" ref="F746:J746" ca="1" si="744">IFERROR(__xludf.DUMMYFUNCTION("if (A746 &lt;&gt; """", GOOGLETRANSLATE(A746, ""auto"", ""en""), """")"),"")</f>
        <v/>
      </c>
      <c r="G746" s="49" t="str">
        <f t="shared" ca="1" si="744"/>
        <v/>
      </c>
      <c r="H746" s="49" t="str">
        <f t="shared" ca="1" si="744"/>
        <v/>
      </c>
      <c r="I746" s="49" t="str">
        <f t="shared" ca="1" si="744"/>
        <v/>
      </c>
      <c r="J746" s="49" t="str">
        <f t="shared" ca="1" si="744"/>
        <v/>
      </c>
    </row>
    <row r="747" spans="1:10" ht="12.75" x14ac:dyDescent="0.2">
      <c r="A747" s="40"/>
      <c r="B747" s="41" t="s">
        <v>400</v>
      </c>
      <c r="C747" s="40"/>
      <c r="D747" s="40"/>
      <c r="E747" s="40"/>
      <c r="F747" s="49" t="str">
        <f t="shared" ref="F747:J747" ca="1" si="745">IFERROR(__xludf.DUMMYFUNCTION("if (A747 &lt;&gt; """", GOOGLETRANSLATE(A747, ""auto"", ""en""), """")"),"")</f>
        <v/>
      </c>
      <c r="G747" s="49" t="str">
        <f t="shared" ca="1" si="745"/>
        <v/>
      </c>
      <c r="H747" s="49" t="str">
        <f t="shared" ca="1" si="745"/>
        <v/>
      </c>
      <c r="I747" s="49" t="str">
        <f t="shared" ca="1" si="745"/>
        <v/>
      </c>
      <c r="J747" s="49" t="str">
        <f t="shared" ca="1" si="745"/>
        <v/>
      </c>
    </row>
    <row r="748" spans="1:10" ht="12.75" x14ac:dyDescent="0.2">
      <c r="A748" s="40"/>
      <c r="B748" s="41" t="s">
        <v>401</v>
      </c>
      <c r="C748" s="41" t="s">
        <v>276</v>
      </c>
      <c r="D748" s="40"/>
      <c r="E748" s="40"/>
      <c r="F748" s="49" t="str">
        <f t="shared" ref="F748:J748" ca="1" si="746">IFERROR(__xludf.DUMMYFUNCTION("if (A748 &lt;&gt; """", GOOGLETRANSLATE(A748, ""auto"", ""en""), """")"),"")</f>
        <v/>
      </c>
      <c r="G748" s="49" t="str">
        <f t="shared" ca="1" si="746"/>
        <v/>
      </c>
      <c r="H748" s="49" t="str">
        <f t="shared" ca="1" si="746"/>
        <v/>
      </c>
      <c r="I748" s="49" t="str">
        <f t="shared" ca="1" si="746"/>
        <v/>
      </c>
      <c r="J748" s="49" t="str">
        <f t="shared" ca="1" si="746"/>
        <v/>
      </c>
    </row>
    <row r="749" spans="1:10" ht="89.25" x14ac:dyDescent="0.2">
      <c r="A749" s="41" t="s">
        <v>648</v>
      </c>
      <c r="B749" s="41" t="s">
        <v>402</v>
      </c>
      <c r="C749" s="41" t="s">
        <v>382</v>
      </c>
      <c r="D749" s="40"/>
      <c r="E749" s="40"/>
      <c r="F749" s="49" t="str">
        <f t="shared" ref="F749:J749" ca="1" si="747">IFERROR(__xludf.DUMMYFUNCTION("if (A749 &lt;&gt; """", GOOGLETRANSLATE(A749, ""auto"", ""en""), """")"),"Edit the contents noted")</f>
        <v>Edit the contents noted</v>
      </c>
      <c r="G749" s="49" t="str">
        <f t="shared" ca="1" si="747"/>
        <v>Edit the contents noted</v>
      </c>
      <c r="H749" s="49" t="str">
        <f t="shared" ca="1" si="747"/>
        <v>Edit the contents noted</v>
      </c>
      <c r="I749" s="49" t="str">
        <f t="shared" ca="1" si="747"/>
        <v>Edit the contents noted</v>
      </c>
      <c r="J749" s="49" t="str">
        <f t="shared" ca="1" si="747"/>
        <v>Edit the contents noted</v>
      </c>
    </row>
    <row r="750" spans="1:10" ht="25.5" x14ac:dyDescent="0.2">
      <c r="A750" s="41" t="s">
        <v>649</v>
      </c>
      <c r="B750" s="41" t="s">
        <v>402</v>
      </c>
      <c r="C750" s="41" t="s">
        <v>19</v>
      </c>
      <c r="D750" s="40"/>
      <c r="E750" s="40"/>
      <c r="F750" s="49" t="str">
        <f t="shared" ref="F750:J750" ca="1" si="748">IFERROR(__xludf.DUMMYFUNCTION("if (A750 &lt;&gt; """", GOOGLETRANSLATE(A750, ""auto"", ""en""), """")"),"I want to change Rates")</f>
        <v>I want to change Rates</v>
      </c>
      <c r="G750" s="49" t="str">
        <f t="shared" ca="1" si="748"/>
        <v>I want to change Rates</v>
      </c>
      <c r="H750" s="49" t="str">
        <f t="shared" ca="1" si="748"/>
        <v>I want to change Rates</v>
      </c>
      <c r="I750" s="49" t="str">
        <f t="shared" ca="1" si="748"/>
        <v>I want to change Rates</v>
      </c>
      <c r="J750" s="49" t="str">
        <f t="shared" ca="1" si="748"/>
        <v>I want to change Rates</v>
      </c>
    </row>
    <row r="751" spans="1:10" ht="25.5" x14ac:dyDescent="0.2">
      <c r="A751" s="41" t="s">
        <v>650</v>
      </c>
      <c r="B751" s="40"/>
      <c r="C751" s="40"/>
      <c r="D751" s="40"/>
      <c r="E751" s="40"/>
      <c r="F751" s="49" t="str">
        <f t="shared" ref="F751:J751" ca="1" si="749">IFERROR(__xludf.DUMMYFUNCTION("if (A751 &lt;&gt; """", GOOGLETRANSLATE(A751, ""auto"", ""en""), """")"),"I want to change Rates")</f>
        <v>I want to change Rates</v>
      </c>
      <c r="G751" s="49" t="str">
        <f t="shared" ca="1" si="749"/>
        <v>I want to change Rates</v>
      </c>
      <c r="H751" s="49" t="str">
        <f t="shared" ca="1" si="749"/>
        <v>I want to change Rates</v>
      </c>
      <c r="I751" s="49" t="str">
        <f t="shared" ca="1" si="749"/>
        <v>I want to change Rates</v>
      </c>
      <c r="J751" s="49" t="str">
        <f t="shared" ca="1" si="749"/>
        <v>I want to change Rates</v>
      </c>
    </row>
    <row r="752" spans="1:10" ht="38.25" x14ac:dyDescent="0.2">
      <c r="A752" s="41" t="s">
        <v>651</v>
      </c>
      <c r="B752" s="40"/>
      <c r="C752" s="40"/>
      <c r="D752" s="40"/>
      <c r="E752" s="40"/>
      <c r="F752" s="49" t="str">
        <f t="shared" ref="F752:J752" ca="1" si="750">IFERROR(__xludf.DUMMYFUNCTION("if (A752 &lt;&gt; """", GOOGLETRANSLATE(A752, ""auto"", ""en""), """")"),"Changing the photo of the property")</f>
        <v>Changing the photo of the property</v>
      </c>
      <c r="G752" s="49" t="str">
        <f t="shared" ca="1" si="750"/>
        <v>Changing the photo of the property</v>
      </c>
      <c r="H752" s="49" t="str">
        <f t="shared" ca="1" si="750"/>
        <v>Changing the photo of the property</v>
      </c>
      <c r="I752" s="49" t="str">
        <f t="shared" ca="1" si="750"/>
        <v>Changing the photo of the property</v>
      </c>
      <c r="J752" s="49" t="str">
        <f t="shared" ca="1" si="750"/>
        <v>Changing the photo of the property</v>
      </c>
    </row>
    <row r="753" spans="1:10" ht="51" x14ac:dyDescent="0.2">
      <c r="A753" s="41" t="s">
        <v>652</v>
      </c>
      <c r="B753" s="40"/>
      <c r="C753" s="40"/>
      <c r="D753" s="40"/>
      <c r="E753" s="40"/>
      <c r="F753" s="49" t="str">
        <f t="shared" ref="F753:J753" ca="1" si="751">IFERROR(__xludf.DUMMYFUNCTION("if (A753 &lt;&gt; """", GOOGLETRANSLATE(A753, ""auto"", ""en""), """")"),"I want to change the photos of the property")</f>
        <v>I want to change the photos of the property</v>
      </c>
      <c r="G753" s="49" t="str">
        <f t="shared" ca="1" si="751"/>
        <v>I want to change the photos of the property</v>
      </c>
      <c r="H753" s="49" t="str">
        <f t="shared" ca="1" si="751"/>
        <v>I want to change the photos of the property</v>
      </c>
      <c r="I753" s="49" t="str">
        <f t="shared" ca="1" si="751"/>
        <v>I want to change the photos of the property</v>
      </c>
      <c r="J753" s="49" t="str">
        <f t="shared" ca="1" si="751"/>
        <v>I want to change the photos of the property</v>
      </c>
    </row>
    <row r="754" spans="1:10" ht="51" x14ac:dyDescent="0.2">
      <c r="A754" s="41" t="s">
        <v>653</v>
      </c>
      <c r="B754" s="40"/>
      <c r="C754" s="40"/>
      <c r="D754" s="40"/>
      <c r="E754" s="40"/>
      <c r="F754" s="49" t="str">
        <f t="shared" ref="F754:J754" ca="1" si="752">IFERROR(__xludf.DUMMYFUNCTION("if (A754 &lt;&gt; """", GOOGLETRANSLATE(A754, ""auto"", ""en""), """")"),"I want to change the photo of the property")</f>
        <v>I want to change the photo of the property</v>
      </c>
      <c r="G754" s="49" t="str">
        <f t="shared" ca="1" si="752"/>
        <v>I want to change the photo of the property</v>
      </c>
      <c r="H754" s="49" t="str">
        <f t="shared" ca="1" si="752"/>
        <v>I want to change the photo of the property</v>
      </c>
      <c r="I754" s="49" t="str">
        <f t="shared" ca="1" si="752"/>
        <v>I want to change the photo of the property</v>
      </c>
      <c r="J754" s="49" t="str">
        <f t="shared" ca="1" si="752"/>
        <v>I want to change the photo of the property</v>
      </c>
    </row>
    <row r="755" spans="1:10" ht="51" x14ac:dyDescent="0.2">
      <c r="A755" s="41" t="s">
        <v>654</v>
      </c>
      <c r="B755" s="40"/>
      <c r="C755" s="40"/>
      <c r="D755" s="40"/>
      <c r="E755" s="40"/>
      <c r="F755" s="49" t="str">
        <f t="shared" ref="F755:J755" ca="1" si="753">IFERROR(__xludf.DUMMYFUNCTION("if (A755 &lt;&gt; """", GOOGLETRANSLATE(A755, ""auto"", ""en""), """")"),"I want to change the property photos")</f>
        <v>I want to change the property photos</v>
      </c>
      <c r="G755" s="49" t="str">
        <f t="shared" ca="1" si="753"/>
        <v>I want to change the property photos</v>
      </c>
      <c r="H755" s="49" t="str">
        <f t="shared" ca="1" si="753"/>
        <v>I want to change the property photos</v>
      </c>
      <c r="I755" s="49" t="str">
        <f t="shared" ca="1" si="753"/>
        <v>I want to change the property photos</v>
      </c>
      <c r="J755" s="49" t="str">
        <f t="shared" ca="1" si="753"/>
        <v>I want to change the property photos</v>
      </c>
    </row>
    <row r="756" spans="1:10" ht="51" x14ac:dyDescent="0.2">
      <c r="A756" s="41" t="s">
        <v>655</v>
      </c>
      <c r="B756" s="40"/>
      <c r="C756" s="40"/>
      <c r="D756" s="40"/>
      <c r="E756" s="40"/>
      <c r="F756" s="49" t="str">
        <f t="shared" ref="F756:J756" ca="1" si="754">IFERROR(__xludf.DUMMYFUNCTION("if (A756 &lt;&gt; """", GOOGLETRANSLATE(A756, ""auto"", ""en""), """")"),"I want to change the published contents")</f>
        <v>I want to change the published contents</v>
      </c>
      <c r="G756" s="49" t="str">
        <f t="shared" ca="1" si="754"/>
        <v>I want to change the published contents</v>
      </c>
      <c r="H756" s="49" t="str">
        <f t="shared" ca="1" si="754"/>
        <v>I want to change the published contents</v>
      </c>
      <c r="I756" s="49" t="str">
        <f t="shared" ca="1" si="754"/>
        <v>I want to change the published contents</v>
      </c>
      <c r="J756" s="49" t="str">
        <f t="shared" ca="1" si="754"/>
        <v>I want to change the published contents</v>
      </c>
    </row>
    <row r="757" spans="1:10" ht="51" x14ac:dyDescent="0.2">
      <c r="A757" s="41" t="s">
        <v>656</v>
      </c>
      <c r="B757" s="40"/>
      <c r="C757" s="40"/>
      <c r="D757" s="40"/>
      <c r="E757" s="40"/>
      <c r="F757" s="49" t="str">
        <f t="shared" ref="F757:J757" ca="1" si="755">IFERROR(__xludf.DUMMYFUNCTION("if (A757 &lt;&gt; """", GOOGLETRANSLATE(A757, ""auto"", ""en""), """")"),"Where can do is change the contents noted")</f>
        <v>Where can do is change the contents noted</v>
      </c>
      <c r="G757" s="49" t="str">
        <f t="shared" ca="1" si="755"/>
        <v>Where can do is change the contents noted</v>
      </c>
      <c r="H757" s="49" t="str">
        <f t="shared" ca="1" si="755"/>
        <v>Where can do is change the contents noted</v>
      </c>
      <c r="I757" s="49" t="str">
        <f t="shared" ca="1" si="755"/>
        <v>Where can do is change the contents noted</v>
      </c>
      <c r="J757" s="49" t="str">
        <f t="shared" ca="1" si="755"/>
        <v>Where can do is change the contents noted</v>
      </c>
    </row>
    <row r="758" spans="1:10" ht="51" x14ac:dyDescent="0.2">
      <c r="A758" s="41" t="s">
        <v>657</v>
      </c>
      <c r="B758" s="40"/>
      <c r="C758" s="40"/>
      <c r="D758" s="40"/>
      <c r="E758" s="40"/>
      <c r="F758" s="49" t="str">
        <f t="shared" ref="F758:J758" ca="1" si="756">IFERROR(__xludf.DUMMYFUNCTION("if (A758 &lt;&gt; """", GOOGLETRANSLATE(A758, ""auto"", ""en""), """")"),"How to change the contents noted")</f>
        <v>How to change the contents noted</v>
      </c>
      <c r="G758" s="49" t="str">
        <f t="shared" ca="1" si="756"/>
        <v>How to change the contents noted</v>
      </c>
      <c r="H758" s="49" t="str">
        <f t="shared" ca="1" si="756"/>
        <v>How to change the contents noted</v>
      </c>
      <c r="I758" s="49" t="str">
        <f t="shared" ca="1" si="756"/>
        <v>How to change the contents noted</v>
      </c>
      <c r="J758" s="49" t="str">
        <f t="shared" ca="1" si="756"/>
        <v>How to change the contents noted</v>
      </c>
    </row>
    <row r="759" spans="1:10" ht="51" x14ac:dyDescent="0.2">
      <c r="A759" s="41" t="s">
        <v>658</v>
      </c>
      <c r="B759" s="40"/>
      <c r="C759" s="40"/>
      <c r="D759" s="40"/>
      <c r="E759" s="40"/>
      <c r="F759" s="49" t="str">
        <f t="shared" ref="F759:J759" ca="1" si="757">IFERROR(__xludf.DUMMYFUNCTION("if (A759 &lt;&gt; """", GOOGLETRANSLATE(A759, ""auto"", ""en""), """")"),"How to change the contents noted")</f>
        <v>How to change the contents noted</v>
      </c>
      <c r="G759" s="49" t="str">
        <f t="shared" ca="1" si="757"/>
        <v>How to change the contents noted</v>
      </c>
      <c r="H759" s="49" t="str">
        <f t="shared" ca="1" si="757"/>
        <v>How to change the contents noted</v>
      </c>
      <c r="I759" s="49" t="str">
        <f t="shared" ca="1" si="757"/>
        <v>How to change the contents noted</v>
      </c>
      <c r="J759" s="49" t="str">
        <f t="shared" ca="1" si="757"/>
        <v>How to change the contents noted</v>
      </c>
    </row>
    <row r="760" spans="1:10" ht="76.5" x14ac:dyDescent="0.2">
      <c r="A760" s="41" t="s">
        <v>275</v>
      </c>
      <c r="B760" s="40"/>
      <c r="C760" s="40"/>
      <c r="D760" s="40"/>
      <c r="E760" s="40"/>
      <c r="F760" s="49" t="str">
        <f t="shared" ref="F760:J760" ca="1" si="758">IFERROR(__xludf.DUMMYFUNCTION("if (A760 &lt;&gt; """", GOOGLETRANSLATE(A760, ""auto"", ""en""), """")"),"For information about changing the contents noted")</f>
        <v>For information about changing the contents noted</v>
      </c>
      <c r="G760" s="49" t="str">
        <f t="shared" ca="1" si="758"/>
        <v>For information about changing the contents noted</v>
      </c>
      <c r="H760" s="49" t="str">
        <f t="shared" ca="1" si="758"/>
        <v>For information about changing the contents noted</v>
      </c>
      <c r="I760" s="49" t="str">
        <f t="shared" ca="1" si="758"/>
        <v>For information about changing the contents noted</v>
      </c>
      <c r="J760" s="49" t="str">
        <f t="shared" ca="1" si="758"/>
        <v>For information about changing the contents noted</v>
      </c>
    </row>
    <row r="761" spans="1:10" ht="12.75" x14ac:dyDescent="0.2">
      <c r="A761" s="40"/>
      <c r="B761" s="41" t="s">
        <v>422</v>
      </c>
      <c r="C761" s="41" t="s">
        <v>423</v>
      </c>
      <c r="D761" s="41" t="s">
        <v>424</v>
      </c>
      <c r="E761" s="40"/>
      <c r="F761" s="49" t="str">
        <f t="shared" ref="F761:J761" ca="1" si="759">IFERROR(__xludf.DUMMYFUNCTION("if (A761 &lt;&gt; """", GOOGLETRANSLATE(A761, ""auto"", ""en""), """")"),"")</f>
        <v/>
      </c>
      <c r="G761" s="49" t="str">
        <f t="shared" ca="1" si="759"/>
        <v/>
      </c>
      <c r="H761" s="49" t="str">
        <f t="shared" ca="1" si="759"/>
        <v/>
      </c>
      <c r="I761" s="49" t="str">
        <f t="shared" ca="1" si="759"/>
        <v/>
      </c>
      <c r="J761" s="49" t="str">
        <f t="shared" ca="1" si="759"/>
        <v/>
      </c>
    </row>
    <row r="762" spans="1:10" ht="12.75" x14ac:dyDescent="0.2">
      <c r="A762" s="40"/>
      <c r="B762" s="41" t="s">
        <v>403</v>
      </c>
      <c r="C762" s="41" t="s">
        <v>24</v>
      </c>
      <c r="D762" s="41" t="s">
        <v>26</v>
      </c>
      <c r="E762" s="40"/>
      <c r="F762" s="49" t="str">
        <f t="shared" ref="F762:J762" ca="1" si="760">IFERROR(__xludf.DUMMYFUNCTION("if (A762 &lt;&gt; """", GOOGLETRANSLATE(A762, ""auto"", ""en""), """")"),"")</f>
        <v/>
      </c>
      <c r="G762" s="49" t="str">
        <f t="shared" ca="1" si="760"/>
        <v/>
      </c>
      <c r="H762" s="49" t="str">
        <f t="shared" ca="1" si="760"/>
        <v/>
      </c>
      <c r="I762" s="49" t="str">
        <f t="shared" ca="1" si="760"/>
        <v/>
      </c>
      <c r="J762" s="49" t="str">
        <f t="shared" ca="1" si="760"/>
        <v/>
      </c>
    </row>
    <row r="763" spans="1:10" ht="12.75" x14ac:dyDescent="0.2">
      <c r="A763" s="40"/>
      <c r="B763" s="41" t="s">
        <v>403</v>
      </c>
      <c r="C763" s="41" t="s">
        <v>32</v>
      </c>
      <c r="D763" s="41" t="s">
        <v>29</v>
      </c>
      <c r="E763" s="40"/>
      <c r="F763" s="49" t="str">
        <f t="shared" ref="F763:J763" ca="1" si="761">IFERROR(__xludf.DUMMYFUNCTION("if (A763 &lt;&gt; """", GOOGLETRANSLATE(A763, ""auto"", ""en""), """")"),"")</f>
        <v/>
      </c>
      <c r="G763" s="49" t="str">
        <f t="shared" ca="1" si="761"/>
        <v/>
      </c>
      <c r="H763" s="49" t="str">
        <f t="shared" ca="1" si="761"/>
        <v/>
      </c>
      <c r="I763" s="49" t="str">
        <f t="shared" ca="1" si="761"/>
        <v/>
      </c>
      <c r="J763" s="49" t="str">
        <f t="shared" ca="1" si="761"/>
        <v/>
      </c>
    </row>
    <row r="764" spans="1:10" ht="12.75" x14ac:dyDescent="0.2">
      <c r="A764" s="40"/>
      <c r="B764" s="41" t="s">
        <v>403</v>
      </c>
      <c r="C764" s="41" t="s">
        <v>25</v>
      </c>
      <c r="D764" s="41" t="s">
        <v>27</v>
      </c>
      <c r="E764" s="40"/>
      <c r="F764" s="49" t="str">
        <f t="shared" ref="F764:J764" ca="1" si="762">IFERROR(__xludf.DUMMYFUNCTION("if (A764 &lt;&gt; """", GOOGLETRANSLATE(A764, ""auto"", ""en""), """")"),"")</f>
        <v/>
      </c>
      <c r="G764" s="49" t="str">
        <f t="shared" ca="1" si="762"/>
        <v/>
      </c>
      <c r="H764" s="49" t="str">
        <f t="shared" ca="1" si="762"/>
        <v/>
      </c>
      <c r="I764" s="49" t="str">
        <f t="shared" ca="1" si="762"/>
        <v/>
      </c>
      <c r="J764" s="49" t="str">
        <f t="shared" ca="1" si="762"/>
        <v/>
      </c>
    </row>
    <row r="765" spans="1:10" ht="12.75" x14ac:dyDescent="0.2">
      <c r="A765" s="40"/>
      <c r="B765" s="41" t="s">
        <v>403</v>
      </c>
      <c r="C765" s="41" t="s">
        <v>30</v>
      </c>
      <c r="D765" s="41" t="s">
        <v>31</v>
      </c>
      <c r="E765" s="40"/>
      <c r="F765" s="49" t="str">
        <f t="shared" ref="F765:J765" ca="1" si="763">IFERROR(__xludf.DUMMYFUNCTION("if (A765 &lt;&gt; """", GOOGLETRANSLATE(A765, ""auto"", ""en""), """")"),"")</f>
        <v/>
      </c>
      <c r="G765" s="49" t="str">
        <f t="shared" ca="1" si="763"/>
        <v/>
      </c>
      <c r="H765" s="49" t="str">
        <f t="shared" ca="1" si="763"/>
        <v/>
      </c>
      <c r="I765" s="49" t="str">
        <f t="shared" ca="1" si="763"/>
        <v/>
      </c>
      <c r="J765" s="49" t="str">
        <f t="shared" ca="1" si="763"/>
        <v/>
      </c>
    </row>
    <row r="766" spans="1:10" ht="12.75" x14ac:dyDescent="0.2">
      <c r="A766" s="40"/>
      <c r="B766" s="40"/>
      <c r="C766" s="40"/>
      <c r="D766" s="40"/>
      <c r="E766" s="40"/>
      <c r="F766" s="49" t="str">
        <f t="shared" ref="F766:J766" ca="1" si="764">IFERROR(__xludf.DUMMYFUNCTION("if (A766 &lt;&gt; """", GOOGLETRANSLATE(A766, ""auto"", ""en""), """")"),"")</f>
        <v/>
      </c>
      <c r="G766" s="49" t="str">
        <f t="shared" ca="1" si="764"/>
        <v/>
      </c>
      <c r="H766" s="49" t="str">
        <f t="shared" ca="1" si="764"/>
        <v/>
      </c>
      <c r="I766" s="49" t="str">
        <f t="shared" ca="1" si="764"/>
        <v/>
      </c>
      <c r="J766" s="49" t="str">
        <f t="shared" ca="1" si="764"/>
        <v/>
      </c>
    </row>
    <row r="767" spans="1:10" ht="12.75" x14ac:dyDescent="0.2">
      <c r="A767" s="41" t="s">
        <v>279</v>
      </c>
      <c r="B767" s="40"/>
      <c r="C767" s="40"/>
      <c r="D767" s="40"/>
      <c r="E767" s="40"/>
      <c r="F767" s="49" t="str">
        <f t="shared" ref="F767:J767" ca="1" si="765">IFERROR(__xludf.DUMMYFUNCTION("if (A767 &lt;&gt; """", GOOGLETRANSLATE(A767, ""auto"", ""en""), """")"),"FAQ-Host2-4")</f>
        <v>FAQ-Host2-4</v>
      </c>
      <c r="G767" s="49" t="str">
        <f t="shared" ca="1" si="765"/>
        <v>FAQ-Host2-4</v>
      </c>
      <c r="H767" s="49" t="str">
        <f t="shared" ca="1" si="765"/>
        <v>FAQ-Host2-4</v>
      </c>
      <c r="I767" s="49" t="str">
        <f t="shared" ca="1" si="765"/>
        <v>FAQ-Host2-4</v>
      </c>
      <c r="J767" s="49" t="str">
        <f t="shared" ca="1" si="765"/>
        <v>FAQ-Host2-4</v>
      </c>
    </row>
    <row r="768" spans="1:10" ht="12.75" x14ac:dyDescent="0.2">
      <c r="A768" s="40"/>
      <c r="B768" s="41" t="s">
        <v>398</v>
      </c>
      <c r="C768" s="40"/>
      <c r="D768" s="40"/>
      <c r="E768" s="40"/>
      <c r="F768" s="49" t="str">
        <f t="shared" ref="F768:J768" ca="1" si="766">IFERROR(__xludf.DUMMYFUNCTION("if (A768 &lt;&gt; """", GOOGLETRANSLATE(A768, ""auto"", ""en""), """")"),"")</f>
        <v/>
      </c>
      <c r="G768" s="49" t="str">
        <f t="shared" ca="1" si="766"/>
        <v/>
      </c>
      <c r="H768" s="49" t="str">
        <f t="shared" ca="1" si="766"/>
        <v/>
      </c>
      <c r="I768" s="49" t="str">
        <f t="shared" ca="1" si="766"/>
        <v/>
      </c>
      <c r="J768" s="49" t="str">
        <f t="shared" ca="1" si="766"/>
        <v/>
      </c>
    </row>
    <row r="769" spans="1:10" ht="12.75" x14ac:dyDescent="0.2">
      <c r="A769" s="40"/>
      <c r="B769" s="41" t="s">
        <v>399</v>
      </c>
      <c r="C769" s="40"/>
      <c r="D769" s="40"/>
      <c r="E769" s="40"/>
      <c r="F769" s="49" t="str">
        <f t="shared" ref="F769:J769" ca="1" si="767">IFERROR(__xludf.DUMMYFUNCTION("if (A769 &lt;&gt; """", GOOGLETRANSLATE(A769, ""auto"", ""en""), """")"),"")</f>
        <v/>
      </c>
      <c r="G769" s="49" t="str">
        <f t="shared" ca="1" si="767"/>
        <v/>
      </c>
      <c r="H769" s="49" t="str">
        <f t="shared" ca="1" si="767"/>
        <v/>
      </c>
      <c r="I769" s="49" t="str">
        <f t="shared" ca="1" si="767"/>
        <v/>
      </c>
      <c r="J769" s="49" t="str">
        <f t="shared" ca="1" si="767"/>
        <v/>
      </c>
    </row>
    <row r="770" spans="1:10" ht="12.75" x14ac:dyDescent="0.2">
      <c r="A770" s="40"/>
      <c r="B770" s="41" t="s">
        <v>400</v>
      </c>
      <c r="C770" s="40"/>
      <c r="D770" s="40"/>
      <c r="E770" s="40"/>
      <c r="F770" s="49" t="str">
        <f t="shared" ref="F770:J770" ca="1" si="768">IFERROR(__xludf.DUMMYFUNCTION("if (A770 &lt;&gt; """", GOOGLETRANSLATE(A770, ""auto"", ""en""), """")"),"")</f>
        <v/>
      </c>
      <c r="G770" s="49" t="str">
        <f t="shared" ca="1" si="768"/>
        <v/>
      </c>
      <c r="H770" s="49" t="str">
        <f t="shared" ca="1" si="768"/>
        <v/>
      </c>
      <c r="I770" s="49" t="str">
        <f t="shared" ca="1" si="768"/>
        <v/>
      </c>
      <c r="J770" s="49" t="str">
        <f t="shared" ca="1" si="768"/>
        <v/>
      </c>
    </row>
    <row r="771" spans="1:10" ht="12.75" x14ac:dyDescent="0.2">
      <c r="A771" s="40"/>
      <c r="B771" s="41" t="s">
        <v>401</v>
      </c>
      <c r="C771" s="41" t="s">
        <v>279</v>
      </c>
      <c r="D771" s="40"/>
      <c r="E771" s="40"/>
      <c r="F771" s="49" t="str">
        <f t="shared" ref="F771:J771" ca="1" si="769">IFERROR(__xludf.DUMMYFUNCTION("if (A771 &lt;&gt; """", GOOGLETRANSLATE(A771, ""auto"", ""en""), """")"),"")</f>
        <v/>
      </c>
      <c r="G771" s="49" t="str">
        <f t="shared" ca="1" si="769"/>
        <v/>
      </c>
      <c r="H771" s="49" t="str">
        <f t="shared" ca="1" si="769"/>
        <v/>
      </c>
      <c r="I771" s="49" t="str">
        <f t="shared" ca="1" si="769"/>
        <v/>
      </c>
      <c r="J771" s="49" t="str">
        <f t="shared" ca="1" si="769"/>
        <v/>
      </c>
    </row>
    <row r="772" spans="1:10" ht="63.75" x14ac:dyDescent="0.2">
      <c r="A772" s="41" t="s">
        <v>659</v>
      </c>
      <c r="B772" s="41" t="s">
        <v>402</v>
      </c>
      <c r="C772" s="41" t="s">
        <v>384</v>
      </c>
      <c r="D772" s="40"/>
      <c r="E772" s="40"/>
      <c r="F772" s="49" t="str">
        <f t="shared" ref="F772:J772" ca="1" si="770">IFERROR(__xludf.DUMMYFUNCTION("if (A772 &lt;&gt; """", GOOGLETRANSLATE(A772, ""auto"", ""en""), """")"),"The method of removal of property")</f>
        <v>The method of removal of property</v>
      </c>
      <c r="G772" s="49" t="str">
        <f t="shared" ca="1" si="770"/>
        <v>The method of removal of property</v>
      </c>
      <c r="H772" s="49" t="str">
        <f t="shared" ca="1" si="770"/>
        <v>The method of removal of property</v>
      </c>
      <c r="I772" s="49" t="str">
        <f t="shared" ca="1" si="770"/>
        <v>The method of removal of property</v>
      </c>
      <c r="J772" s="49" t="str">
        <f t="shared" ca="1" si="770"/>
        <v>The method of removal of property</v>
      </c>
    </row>
    <row r="773" spans="1:10" ht="38.25" x14ac:dyDescent="0.2">
      <c r="A773" s="41" t="s">
        <v>660</v>
      </c>
      <c r="B773" s="41" t="s">
        <v>402</v>
      </c>
      <c r="C773" s="41" t="s">
        <v>19</v>
      </c>
      <c r="D773" s="40"/>
      <c r="E773" s="40"/>
      <c r="F773" s="49" t="str">
        <f t="shared" ref="F773:J773" ca="1" si="771">IFERROR(__xludf.DUMMYFUNCTION("if (A773 &lt;&gt; """", GOOGLETRANSLATE(A773, ""auto"", ""en""), """")"),"Delete of the way the property")</f>
        <v>Delete of the way the property</v>
      </c>
      <c r="G773" s="49" t="str">
        <f t="shared" ca="1" si="771"/>
        <v>Delete of the way the property</v>
      </c>
      <c r="H773" s="49" t="str">
        <f t="shared" ca="1" si="771"/>
        <v>Delete of the way the property</v>
      </c>
      <c r="I773" s="49" t="str">
        <f t="shared" ca="1" si="771"/>
        <v>Delete of the way the property</v>
      </c>
      <c r="J773" s="49" t="str">
        <f t="shared" ca="1" si="771"/>
        <v>Delete of the way the property</v>
      </c>
    </row>
    <row r="774" spans="1:10" ht="51" x14ac:dyDescent="0.2">
      <c r="A774" s="41" t="s">
        <v>661</v>
      </c>
      <c r="B774" s="40"/>
      <c r="C774" s="40"/>
      <c r="D774" s="40"/>
      <c r="E774" s="40"/>
      <c r="F774" s="49" t="str">
        <f t="shared" ref="F774:J774" ca="1" si="772">IFERROR(__xludf.DUMMYFUNCTION("if (A774 &lt;&gt; """", GOOGLETRANSLATE(A774, ""auto"", ""en""), """")"),"I want to erase the information of the property")</f>
        <v>I want to erase the information of the property</v>
      </c>
      <c r="G774" s="49" t="str">
        <f t="shared" ca="1" si="772"/>
        <v>I want to erase the information of the property</v>
      </c>
      <c r="H774" s="49" t="str">
        <f t="shared" ca="1" si="772"/>
        <v>I want to erase the information of the property</v>
      </c>
      <c r="I774" s="49" t="str">
        <f t="shared" ca="1" si="772"/>
        <v>I want to erase the information of the property</v>
      </c>
      <c r="J774" s="49" t="str">
        <f t="shared" ca="1" si="772"/>
        <v>I want to erase the information of the property</v>
      </c>
    </row>
    <row r="775" spans="1:10" ht="25.5" x14ac:dyDescent="0.2">
      <c r="A775" s="41" t="s">
        <v>662</v>
      </c>
      <c r="B775" s="40"/>
      <c r="C775" s="40"/>
      <c r="D775" s="40"/>
      <c r="E775" s="40"/>
      <c r="F775" s="49" t="str">
        <f t="shared" ref="F775:J775" ca="1" si="773">IFERROR(__xludf.DUMMYFUNCTION("if (A775 &lt;&gt; """", GOOGLETRANSLATE(A775, ""auto"", ""en""), """")"),"I want to erase property")</f>
        <v>I want to erase property</v>
      </c>
      <c r="G775" s="49" t="str">
        <f t="shared" ca="1" si="773"/>
        <v>I want to erase property</v>
      </c>
      <c r="H775" s="49" t="str">
        <f t="shared" ca="1" si="773"/>
        <v>I want to erase property</v>
      </c>
      <c r="I775" s="49" t="str">
        <f t="shared" ca="1" si="773"/>
        <v>I want to erase property</v>
      </c>
      <c r="J775" s="49" t="str">
        <f t="shared" ca="1" si="773"/>
        <v>I want to erase property</v>
      </c>
    </row>
    <row r="776" spans="1:10" ht="38.25" x14ac:dyDescent="0.2">
      <c r="A776" s="41" t="s">
        <v>663</v>
      </c>
      <c r="B776" s="40"/>
      <c r="C776" s="40"/>
      <c r="D776" s="40"/>
      <c r="E776" s="40"/>
      <c r="F776" s="49" t="str">
        <f t="shared" ref="F776:J776" ca="1" si="774">IFERROR(__xludf.DUMMYFUNCTION("if (A776 &lt;&gt; """", GOOGLETRANSLATE(A776, ""auto"", ""en""), """")"),"I want to remove the property")</f>
        <v>I want to remove the property</v>
      </c>
      <c r="G776" s="49" t="str">
        <f t="shared" ca="1" si="774"/>
        <v>I want to remove the property</v>
      </c>
      <c r="H776" s="49" t="str">
        <f t="shared" ca="1" si="774"/>
        <v>I want to remove the property</v>
      </c>
      <c r="I776" s="49" t="str">
        <f t="shared" ca="1" si="774"/>
        <v>I want to remove the property</v>
      </c>
      <c r="J776" s="49" t="str">
        <f t="shared" ca="1" si="774"/>
        <v>I want to remove the property</v>
      </c>
    </row>
    <row r="777" spans="1:10" ht="25.5" x14ac:dyDescent="0.2">
      <c r="A777" s="41" t="s">
        <v>664</v>
      </c>
      <c r="B777" s="40"/>
      <c r="C777" s="40"/>
      <c r="D777" s="40"/>
      <c r="E777" s="40"/>
      <c r="F777" s="49" t="str">
        <f t="shared" ref="F777:J777" ca="1" si="775">IFERROR(__xludf.DUMMYFUNCTION("if (A777 &lt;&gt; """", GOOGLETRANSLATE(A777, ""auto"", ""en""), """")"),"Delete the property")</f>
        <v>Delete the property</v>
      </c>
      <c r="G777" s="49" t="str">
        <f t="shared" ca="1" si="775"/>
        <v>Delete the property</v>
      </c>
      <c r="H777" s="49" t="str">
        <f t="shared" ca="1" si="775"/>
        <v>Delete the property</v>
      </c>
      <c r="I777" s="49" t="str">
        <f t="shared" ca="1" si="775"/>
        <v>Delete the property</v>
      </c>
      <c r="J777" s="49" t="str">
        <f t="shared" ca="1" si="775"/>
        <v>Delete the property</v>
      </c>
    </row>
    <row r="778" spans="1:10" ht="38.25" x14ac:dyDescent="0.2">
      <c r="A778" s="41" t="s">
        <v>278</v>
      </c>
      <c r="B778" s="40"/>
      <c r="C778" s="40"/>
      <c r="D778" s="40"/>
      <c r="E778" s="40"/>
      <c r="F778" s="49" t="str">
        <f t="shared" ref="F778:J778" ca="1" si="776">IFERROR(__xludf.DUMMYFUNCTION("if (A778 &lt;&gt; """", GOOGLETRANSLATE(A778, ""auto"", ""en""), """")"),"For deletion of the registered property")</f>
        <v>For deletion of the registered property</v>
      </c>
      <c r="G778" s="49" t="str">
        <f t="shared" ca="1" si="776"/>
        <v>For deletion of the registered property</v>
      </c>
      <c r="H778" s="49" t="str">
        <f t="shared" ca="1" si="776"/>
        <v>For deletion of the registered property</v>
      </c>
      <c r="I778" s="49" t="str">
        <f t="shared" ca="1" si="776"/>
        <v>For deletion of the registered property</v>
      </c>
      <c r="J778" s="49" t="str">
        <f t="shared" ca="1" si="776"/>
        <v>For deletion of the registered property</v>
      </c>
    </row>
    <row r="779" spans="1:10" ht="12.75" x14ac:dyDescent="0.2">
      <c r="A779" s="40"/>
      <c r="B779" s="41" t="s">
        <v>422</v>
      </c>
      <c r="C779" s="41" t="s">
        <v>423</v>
      </c>
      <c r="D779" s="41" t="s">
        <v>424</v>
      </c>
      <c r="E779" s="40"/>
      <c r="F779" s="49" t="str">
        <f t="shared" ref="F779:J779" ca="1" si="777">IFERROR(__xludf.DUMMYFUNCTION("if (A779 &lt;&gt; """", GOOGLETRANSLATE(A779, ""auto"", ""en""), """")"),"")</f>
        <v/>
      </c>
      <c r="G779" s="49" t="str">
        <f t="shared" ca="1" si="777"/>
        <v/>
      </c>
      <c r="H779" s="49" t="str">
        <f t="shared" ca="1" si="777"/>
        <v/>
      </c>
      <c r="I779" s="49" t="str">
        <f t="shared" ca="1" si="777"/>
        <v/>
      </c>
      <c r="J779" s="49" t="str">
        <f t="shared" ca="1" si="777"/>
        <v/>
      </c>
    </row>
    <row r="780" spans="1:10" ht="12.75" x14ac:dyDescent="0.2">
      <c r="A780" s="40"/>
      <c r="B780" s="41" t="s">
        <v>403</v>
      </c>
      <c r="C780" s="41" t="s">
        <v>24</v>
      </c>
      <c r="D780" s="41" t="s">
        <v>26</v>
      </c>
      <c r="E780" s="40"/>
      <c r="F780" s="49" t="str">
        <f t="shared" ref="F780:J780" ca="1" si="778">IFERROR(__xludf.DUMMYFUNCTION("if (A780 &lt;&gt; """", GOOGLETRANSLATE(A780, ""auto"", ""en""), """")"),"")</f>
        <v/>
      </c>
      <c r="G780" s="49" t="str">
        <f t="shared" ca="1" si="778"/>
        <v/>
      </c>
      <c r="H780" s="49" t="str">
        <f t="shared" ca="1" si="778"/>
        <v/>
      </c>
      <c r="I780" s="49" t="str">
        <f t="shared" ca="1" si="778"/>
        <v/>
      </c>
      <c r="J780" s="49" t="str">
        <f t="shared" ca="1" si="778"/>
        <v/>
      </c>
    </row>
    <row r="781" spans="1:10" ht="12.75" x14ac:dyDescent="0.2">
      <c r="A781" s="40"/>
      <c r="B781" s="41" t="s">
        <v>403</v>
      </c>
      <c r="C781" s="41" t="s">
        <v>32</v>
      </c>
      <c r="D781" s="41" t="s">
        <v>29</v>
      </c>
      <c r="E781" s="40"/>
      <c r="F781" s="49" t="str">
        <f t="shared" ref="F781:J781" ca="1" si="779">IFERROR(__xludf.DUMMYFUNCTION("if (A781 &lt;&gt; """", GOOGLETRANSLATE(A781, ""auto"", ""en""), """")"),"")</f>
        <v/>
      </c>
      <c r="G781" s="49" t="str">
        <f t="shared" ca="1" si="779"/>
        <v/>
      </c>
      <c r="H781" s="49" t="str">
        <f t="shared" ca="1" si="779"/>
        <v/>
      </c>
      <c r="I781" s="49" t="str">
        <f t="shared" ca="1" si="779"/>
        <v/>
      </c>
      <c r="J781" s="49" t="str">
        <f t="shared" ca="1" si="779"/>
        <v/>
      </c>
    </row>
    <row r="782" spans="1:10" ht="12.75" x14ac:dyDescent="0.2">
      <c r="A782" s="40"/>
      <c r="B782" s="41" t="s">
        <v>403</v>
      </c>
      <c r="C782" s="41" t="s">
        <v>25</v>
      </c>
      <c r="D782" s="41" t="s">
        <v>27</v>
      </c>
      <c r="E782" s="40"/>
      <c r="F782" s="49" t="str">
        <f t="shared" ref="F782:J782" ca="1" si="780">IFERROR(__xludf.DUMMYFUNCTION("if (A782 &lt;&gt; """", GOOGLETRANSLATE(A782, ""auto"", ""en""), """")"),"")</f>
        <v/>
      </c>
      <c r="G782" s="49" t="str">
        <f t="shared" ca="1" si="780"/>
        <v/>
      </c>
      <c r="H782" s="49" t="str">
        <f t="shared" ca="1" si="780"/>
        <v/>
      </c>
      <c r="I782" s="49" t="str">
        <f t="shared" ca="1" si="780"/>
        <v/>
      </c>
      <c r="J782" s="49" t="str">
        <f t="shared" ca="1" si="780"/>
        <v/>
      </c>
    </row>
    <row r="783" spans="1:10" ht="12.75" x14ac:dyDescent="0.2">
      <c r="A783" s="40"/>
      <c r="B783" s="41" t="s">
        <v>403</v>
      </c>
      <c r="C783" s="41" t="s">
        <v>30</v>
      </c>
      <c r="D783" s="41" t="s">
        <v>31</v>
      </c>
      <c r="E783" s="40"/>
      <c r="F783" s="49" t="str">
        <f t="shared" ref="F783:J783" ca="1" si="781">IFERROR(__xludf.DUMMYFUNCTION("if (A783 &lt;&gt; """", GOOGLETRANSLATE(A783, ""auto"", ""en""), """")"),"")</f>
        <v/>
      </c>
      <c r="G783" s="49" t="str">
        <f t="shared" ca="1" si="781"/>
        <v/>
      </c>
      <c r="H783" s="49" t="str">
        <f t="shared" ca="1" si="781"/>
        <v/>
      </c>
      <c r="I783" s="49" t="str">
        <f t="shared" ca="1" si="781"/>
        <v/>
      </c>
      <c r="J783" s="49" t="str">
        <f t="shared" ca="1" si="781"/>
        <v/>
      </c>
    </row>
    <row r="784" spans="1:10" ht="12.75" x14ac:dyDescent="0.2">
      <c r="A784" s="40"/>
      <c r="B784" s="40"/>
      <c r="C784" s="40"/>
      <c r="D784" s="40"/>
      <c r="E784" s="40"/>
      <c r="F784" s="49" t="str">
        <f t="shared" ref="F784:J784" ca="1" si="782">IFERROR(__xludf.DUMMYFUNCTION("if (A784 &lt;&gt; """", GOOGLETRANSLATE(A784, ""auto"", ""en""), """")"),"")</f>
        <v/>
      </c>
      <c r="G784" s="49" t="str">
        <f t="shared" ca="1" si="782"/>
        <v/>
      </c>
      <c r="H784" s="49" t="str">
        <f t="shared" ca="1" si="782"/>
        <v/>
      </c>
      <c r="I784" s="49" t="str">
        <f t="shared" ca="1" si="782"/>
        <v/>
      </c>
      <c r="J784" s="49" t="str">
        <f t="shared" ca="1" si="782"/>
        <v/>
      </c>
    </row>
    <row r="785" spans="1:10" ht="12.75" x14ac:dyDescent="0.2">
      <c r="A785" s="41" t="s">
        <v>282</v>
      </c>
      <c r="B785" s="40"/>
      <c r="C785" s="40"/>
      <c r="D785" s="40"/>
      <c r="E785" s="40"/>
      <c r="F785" s="49" t="str">
        <f t="shared" ref="F785:J785" ca="1" si="783">IFERROR(__xludf.DUMMYFUNCTION("if (A785 &lt;&gt; """", GOOGLETRANSLATE(A785, ""auto"", ""en""), """")"),"FAQ-Host2-5")</f>
        <v>FAQ-Host2-5</v>
      </c>
      <c r="G785" s="49" t="str">
        <f t="shared" ca="1" si="783"/>
        <v>FAQ-Host2-5</v>
      </c>
      <c r="H785" s="49" t="str">
        <f t="shared" ca="1" si="783"/>
        <v>FAQ-Host2-5</v>
      </c>
      <c r="I785" s="49" t="str">
        <f t="shared" ca="1" si="783"/>
        <v>FAQ-Host2-5</v>
      </c>
      <c r="J785" s="49" t="str">
        <f t="shared" ca="1" si="783"/>
        <v>FAQ-Host2-5</v>
      </c>
    </row>
    <row r="786" spans="1:10" ht="12.75" x14ac:dyDescent="0.2">
      <c r="A786" s="40"/>
      <c r="B786" s="41" t="s">
        <v>398</v>
      </c>
      <c r="C786" s="40"/>
      <c r="D786" s="40"/>
      <c r="E786" s="40"/>
      <c r="F786" s="49" t="str">
        <f t="shared" ref="F786:J786" ca="1" si="784">IFERROR(__xludf.DUMMYFUNCTION("if (A786 &lt;&gt; """", GOOGLETRANSLATE(A786, ""auto"", ""en""), """")"),"")</f>
        <v/>
      </c>
      <c r="G786" s="49" t="str">
        <f t="shared" ca="1" si="784"/>
        <v/>
      </c>
      <c r="H786" s="49" t="str">
        <f t="shared" ca="1" si="784"/>
        <v/>
      </c>
      <c r="I786" s="49" t="str">
        <f t="shared" ca="1" si="784"/>
        <v/>
      </c>
      <c r="J786" s="49" t="str">
        <f t="shared" ca="1" si="784"/>
        <v/>
      </c>
    </row>
    <row r="787" spans="1:10" ht="12.75" x14ac:dyDescent="0.2">
      <c r="A787" s="40"/>
      <c r="B787" s="41" t="s">
        <v>399</v>
      </c>
      <c r="C787" s="40"/>
      <c r="D787" s="40"/>
      <c r="E787" s="40"/>
      <c r="F787" s="49" t="str">
        <f t="shared" ref="F787:J787" ca="1" si="785">IFERROR(__xludf.DUMMYFUNCTION("if (A787 &lt;&gt; """", GOOGLETRANSLATE(A787, ""auto"", ""en""), """")"),"")</f>
        <v/>
      </c>
      <c r="G787" s="49" t="str">
        <f t="shared" ca="1" si="785"/>
        <v/>
      </c>
      <c r="H787" s="49" t="str">
        <f t="shared" ca="1" si="785"/>
        <v/>
      </c>
      <c r="I787" s="49" t="str">
        <f t="shared" ca="1" si="785"/>
        <v/>
      </c>
      <c r="J787" s="49" t="str">
        <f t="shared" ca="1" si="785"/>
        <v/>
      </c>
    </row>
    <row r="788" spans="1:10" ht="12.75" x14ac:dyDescent="0.2">
      <c r="A788" s="40"/>
      <c r="B788" s="41" t="s">
        <v>400</v>
      </c>
      <c r="C788" s="40"/>
      <c r="D788" s="40"/>
      <c r="E788" s="40"/>
      <c r="F788" s="49" t="str">
        <f t="shared" ref="F788:J788" ca="1" si="786">IFERROR(__xludf.DUMMYFUNCTION("if (A788 &lt;&gt; """", GOOGLETRANSLATE(A788, ""auto"", ""en""), """")"),"")</f>
        <v/>
      </c>
      <c r="G788" s="49" t="str">
        <f t="shared" ca="1" si="786"/>
        <v/>
      </c>
      <c r="H788" s="49" t="str">
        <f t="shared" ca="1" si="786"/>
        <v/>
      </c>
      <c r="I788" s="49" t="str">
        <f t="shared" ca="1" si="786"/>
        <v/>
      </c>
      <c r="J788" s="49" t="str">
        <f t="shared" ca="1" si="786"/>
        <v/>
      </c>
    </row>
    <row r="789" spans="1:10" ht="12.75" x14ac:dyDescent="0.2">
      <c r="A789" s="40"/>
      <c r="B789" s="41" t="s">
        <v>401</v>
      </c>
      <c r="C789" s="41" t="s">
        <v>282</v>
      </c>
      <c r="D789" s="40"/>
      <c r="E789" s="40"/>
      <c r="F789" s="49" t="str">
        <f t="shared" ref="F789:J789" ca="1" si="787">IFERROR(__xludf.DUMMYFUNCTION("if (A789 &lt;&gt; """", GOOGLETRANSLATE(A789, ""auto"", ""en""), """")"),"")</f>
        <v/>
      </c>
      <c r="G789" s="49" t="str">
        <f t="shared" ca="1" si="787"/>
        <v/>
      </c>
      <c r="H789" s="49" t="str">
        <f t="shared" ca="1" si="787"/>
        <v/>
      </c>
      <c r="I789" s="49" t="str">
        <f t="shared" ca="1" si="787"/>
        <v/>
      </c>
      <c r="J789" s="49" t="str">
        <f t="shared" ca="1" si="787"/>
        <v/>
      </c>
    </row>
    <row r="790" spans="1:10" ht="51" x14ac:dyDescent="0.2">
      <c r="A790" s="41" t="s">
        <v>665</v>
      </c>
      <c r="B790" s="41" t="s">
        <v>402</v>
      </c>
      <c r="C790" s="41" t="s">
        <v>388</v>
      </c>
      <c r="D790" s="40"/>
      <c r="E790" s="40"/>
      <c r="F790" s="49" t="str">
        <f t="shared" ref="F790:J790" ca="1" si="788">IFERROR(__xludf.DUMMYFUNCTION("if (A790 &lt;&gt; """", GOOGLETRANSLATE(A790, ""auto"", ""en""), """")"),"I want you to take a photo of the property")</f>
        <v>I want you to take a photo of the property</v>
      </c>
      <c r="G790" s="49" t="str">
        <f t="shared" ca="1" si="788"/>
        <v>I want you to take a photo of the property</v>
      </c>
      <c r="H790" s="49" t="str">
        <f t="shared" ca="1" si="788"/>
        <v>I want you to take a photo of the property</v>
      </c>
      <c r="I790" s="49" t="str">
        <f t="shared" ca="1" si="788"/>
        <v>I want you to take a photo of the property</v>
      </c>
      <c r="J790" s="49" t="str">
        <f t="shared" ca="1" si="788"/>
        <v>I want you to take a photo of the property</v>
      </c>
    </row>
    <row r="791" spans="1:10" ht="51" x14ac:dyDescent="0.2">
      <c r="A791" s="41" t="s">
        <v>666</v>
      </c>
      <c r="B791" s="41" t="s">
        <v>402</v>
      </c>
      <c r="C791" s="41" t="s">
        <v>19</v>
      </c>
      <c r="D791" s="40"/>
      <c r="E791" s="40"/>
      <c r="F791" s="49" t="str">
        <f t="shared" ref="F791:J791" ca="1" si="789">IFERROR(__xludf.DUMMYFUNCTION("if (A791 &lt;&gt; """", GOOGLETRANSLATE(A791, ""auto"", ""en""), """")"),"The method of properties of photo-shooting")</f>
        <v>The method of properties of photo-shooting</v>
      </c>
      <c r="G791" s="49" t="str">
        <f t="shared" ca="1" si="789"/>
        <v>The method of properties of photo-shooting</v>
      </c>
      <c r="H791" s="49" t="str">
        <f t="shared" ca="1" si="789"/>
        <v>The method of properties of photo-shooting</v>
      </c>
      <c r="I791" s="49" t="str">
        <f t="shared" ca="1" si="789"/>
        <v>The method of properties of photo-shooting</v>
      </c>
      <c r="J791" s="49" t="str">
        <f t="shared" ca="1" si="789"/>
        <v>The method of properties of photo-shooting</v>
      </c>
    </row>
    <row r="792" spans="1:10" ht="51" x14ac:dyDescent="0.2">
      <c r="A792" s="41" t="s">
        <v>667</v>
      </c>
      <c r="B792" s="40"/>
      <c r="C792" s="40"/>
      <c r="D792" s="40"/>
      <c r="E792" s="40"/>
      <c r="F792" s="49" t="str">
        <f t="shared" ref="F792:J792" ca="1" si="790">IFERROR(__xludf.DUMMYFUNCTION("if (A792 &lt;&gt; """", GOOGLETRANSLATE(A792, ""auto"", ""en""), """")"),"How the property of photo-shooting")</f>
        <v>How the property of photo-shooting</v>
      </c>
      <c r="G792" s="49" t="str">
        <f t="shared" ca="1" si="790"/>
        <v>How the property of photo-shooting</v>
      </c>
      <c r="H792" s="49" t="str">
        <f t="shared" ca="1" si="790"/>
        <v>How the property of photo-shooting</v>
      </c>
      <c r="I792" s="49" t="str">
        <f t="shared" ca="1" si="790"/>
        <v>How the property of photo-shooting</v>
      </c>
      <c r="J792" s="49" t="str">
        <f t="shared" ca="1" si="790"/>
        <v>How the property of photo-shooting</v>
      </c>
    </row>
    <row r="793" spans="1:10" ht="38.25" x14ac:dyDescent="0.2">
      <c r="A793" s="41" t="s">
        <v>668</v>
      </c>
      <c r="B793" s="40"/>
      <c r="C793" s="40"/>
      <c r="D793" s="40"/>
      <c r="E793" s="40"/>
      <c r="F793" s="49" t="str">
        <f t="shared" ref="F793:J793" ca="1" si="791">IFERROR(__xludf.DUMMYFUNCTION("if (A793 &lt;&gt; """", GOOGLETRANSLATE(A793, ""auto"", ""en""), """")"),"For properties of photo-shooting")</f>
        <v>For properties of photo-shooting</v>
      </c>
      <c r="G793" s="49" t="str">
        <f t="shared" ca="1" si="791"/>
        <v>For properties of photo-shooting</v>
      </c>
      <c r="H793" s="49" t="str">
        <f t="shared" ca="1" si="791"/>
        <v>For properties of photo-shooting</v>
      </c>
      <c r="I793" s="49" t="str">
        <f t="shared" ca="1" si="791"/>
        <v>For properties of photo-shooting</v>
      </c>
      <c r="J793" s="49" t="str">
        <f t="shared" ca="1" si="791"/>
        <v>For properties of photo-shooting</v>
      </c>
    </row>
    <row r="794" spans="1:10" ht="25.5" x14ac:dyDescent="0.2">
      <c r="A794" s="41" t="s">
        <v>669</v>
      </c>
      <c r="B794" s="40"/>
      <c r="C794" s="40"/>
      <c r="D794" s="40"/>
      <c r="E794" s="40"/>
      <c r="F794" s="49" t="str">
        <f t="shared" ref="F794:J794" ca="1" si="792">IFERROR(__xludf.DUMMYFUNCTION("if (A794 &lt;&gt; """", GOOGLETRANSLATE(A794, ""auto"", ""en""), """")"),"For property photo of")</f>
        <v>For property photo of</v>
      </c>
      <c r="G794" s="49" t="str">
        <f t="shared" ca="1" si="792"/>
        <v>For property photo of</v>
      </c>
      <c r="H794" s="49" t="str">
        <f t="shared" ca="1" si="792"/>
        <v>For property photo of</v>
      </c>
      <c r="I794" s="49" t="str">
        <f t="shared" ca="1" si="792"/>
        <v>For property photo of</v>
      </c>
      <c r="J794" s="49" t="str">
        <f t="shared" ca="1" si="792"/>
        <v>For property photo of</v>
      </c>
    </row>
    <row r="795" spans="1:10" ht="25.5" x14ac:dyDescent="0.2">
      <c r="A795" s="41" t="s">
        <v>281</v>
      </c>
      <c r="B795" s="40"/>
      <c r="C795" s="40"/>
      <c r="D795" s="40"/>
      <c r="E795" s="40"/>
      <c r="F795" s="49" t="str">
        <f t="shared" ref="F795:J795" ca="1" si="793">IFERROR(__xludf.DUMMYFUNCTION("if (A795 &lt;&gt; """", GOOGLETRANSLATE(A795, ""auto"", ""en""), """")"),"For taking photos")</f>
        <v>For taking photos</v>
      </c>
      <c r="G795" s="49" t="str">
        <f t="shared" ca="1" si="793"/>
        <v>For taking photos</v>
      </c>
      <c r="H795" s="49" t="str">
        <f t="shared" ca="1" si="793"/>
        <v>For taking photos</v>
      </c>
      <c r="I795" s="49" t="str">
        <f t="shared" ca="1" si="793"/>
        <v>For taking photos</v>
      </c>
      <c r="J795" s="49" t="str">
        <f t="shared" ca="1" si="793"/>
        <v>For taking photos</v>
      </c>
    </row>
    <row r="796" spans="1:10" ht="12.75" x14ac:dyDescent="0.2">
      <c r="A796" s="40"/>
      <c r="B796" s="41" t="s">
        <v>422</v>
      </c>
      <c r="C796" s="41" t="s">
        <v>423</v>
      </c>
      <c r="D796" s="41" t="s">
        <v>424</v>
      </c>
      <c r="E796" s="40"/>
      <c r="F796" s="49" t="str">
        <f t="shared" ref="F796:J796" ca="1" si="794">IFERROR(__xludf.DUMMYFUNCTION("if (A796 &lt;&gt; """", GOOGLETRANSLATE(A796, ""auto"", ""en""), """")"),"")</f>
        <v/>
      </c>
      <c r="G796" s="49" t="str">
        <f t="shared" ca="1" si="794"/>
        <v/>
      </c>
      <c r="H796" s="49" t="str">
        <f t="shared" ca="1" si="794"/>
        <v/>
      </c>
      <c r="I796" s="49" t="str">
        <f t="shared" ca="1" si="794"/>
        <v/>
      </c>
      <c r="J796" s="49" t="str">
        <f t="shared" ca="1" si="794"/>
        <v/>
      </c>
    </row>
    <row r="797" spans="1:10" ht="12.75" x14ac:dyDescent="0.2">
      <c r="A797" s="40"/>
      <c r="B797" s="41" t="s">
        <v>403</v>
      </c>
      <c r="C797" s="41" t="s">
        <v>24</v>
      </c>
      <c r="D797" s="41" t="s">
        <v>26</v>
      </c>
      <c r="E797" s="40"/>
      <c r="F797" s="49" t="str">
        <f t="shared" ref="F797:J797" ca="1" si="795">IFERROR(__xludf.DUMMYFUNCTION("if (A797 &lt;&gt; """", GOOGLETRANSLATE(A797, ""auto"", ""en""), """")"),"")</f>
        <v/>
      </c>
      <c r="G797" s="49" t="str">
        <f t="shared" ca="1" si="795"/>
        <v/>
      </c>
      <c r="H797" s="49" t="str">
        <f t="shared" ca="1" si="795"/>
        <v/>
      </c>
      <c r="I797" s="49" t="str">
        <f t="shared" ca="1" si="795"/>
        <v/>
      </c>
      <c r="J797" s="49" t="str">
        <f t="shared" ca="1" si="795"/>
        <v/>
      </c>
    </row>
    <row r="798" spans="1:10" ht="12.75" x14ac:dyDescent="0.2">
      <c r="A798" s="40"/>
      <c r="B798" s="41" t="s">
        <v>403</v>
      </c>
      <c r="C798" s="41" t="s">
        <v>32</v>
      </c>
      <c r="D798" s="41" t="s">
        <v>29</v>
      </c>
      <c r="E798" s="40"/>
      <c r="F798" s="49" t="str">
        <f t="shared" ref="F798:J798" ca="1" si="796">IFERROR(__xludf.DUMMYFUNCTION("if (A798 &lt;&gt; """", GOOGLETRANSLATE(A798, ""auto"", ""en""), """")"),"")</f>
        <v/>
      </c>
      <c r="G798" s="49" t="str">
        <f t="shared" ca="1" si="796"/>
        <v/>
      </c>
      <c r="H798" s="49" t="str">
        <f t="shared" ca="1" si="796"/>
        <v/>
      </c>
      <c r="I798" s="49" t="str">
        <f t="shared" ca="1" si="796"/>
        <v/>
      </c>
      <c r="J798" s="49" t="str">
        <f t="shared" ca="1" si="796"/>
        <v/>
      </c>
    </row>
    <row r="799" spans="1:10" ht="12.75" x14ac:dyDescent="0.2">
      <c r="A799" s="40"/>
      <c r="B799" s="41" t="s">
        <v>403</v>
      </c>
      <c r="C799" s="41" t="s">
        <v>25</v>
      </c>
      <c r="D799" s="41" t="s">
        <v>27</v>
      </c>
      <c r="E799" s="40"/>
      <c r="F799" s="49" t="str">
        <f t="shared" ref="F799:J799" ca="1" si="797">IFERROR(__xludf.DUMMYFUNCTION("if (A799 &lt;&gt; """", GOOGLETRANSLATE(A799, ""auto"", ""en""), """")"),"")</f>
        <v/>
      </c>
      <c r="G799" s="49" t="str">
        <f t="shared" ca="1" si="797"/>
        <v/>
      </c>
      <c r="H799" s="49" t="str">
        <f t="shared" ca="1" si="797"/>
        <v/>
      </c>
      <c r="I799" s="49" t="str">
        <f t="shared" ca="1" si="797"/>
        <v/>
      </c>
      <c r="J799" s="49" t="str">
        <f t="shared" ca="1" si="797"/>
        <v/>
      </c>
    </row>
    <row r="800" spans="1:10" ht="12.75" x14ac:dyDescent="0.2">
      <c r="A800" s="40"/>
      <c r="B800" s="41" t="s">
        <v>403</v>
      </c>
      <c r="C800" s="41" t="s">
        <v>30</v>
      </c>
      <c r="D800" s="41" t="s">
        <v>31</v>
      </c>
      <c r="E800" s="40"/>
      <c r="F800" s="49" t="str">
        <f t="shared" ref="F800:J800" ca="1" si="798">IFERROR(__xludf.DUMMYFUNCTION("if (A800 &lt;&gt; """", GOOGLETRANSLATE(A800, ""auto"", ""en""), """")"),"")</f>
        <v/>
      </c>
      <c r="G800" s="49" t="str">
        <f t="shared" ca="1" si="798"/>
        <v/>
      </c>
      <c r="H800" s="49" t="str">
        <f t="shared" ca="1" si="798"/>
        <v/>
      </c>
      <c r="I800" s="49" t="str">
        <f t="shared" ca="1" si="798"/>
        <v/>
      </c>
      <c r="J800" s="49" t="str">
        <f t="shared" ca="1" si="798"/>
        <v/>
      </c>
    </row>
    <row r="801" spans="1:10" ht="12.75" x14ac:dyDescent="0.2">
      <c r="A801" s="40"/>
      <c r="B801" s="40"/>
      <c r="C801" s="40"/>
      <c r="D801" s="40"/>
      <c r="E801" s="40"/>
      <c r="F801" s="49" t="str">
        <f t="shared" ref="F801:J801" ca="1" si="799">IFERROR(__xludf.DUMMYFUNCTION("if (A801 &lt;&gt; """", GOOGLETRANSLATE(A801, ""auto"", ""en""), """")"),"")</f>
        <v/>
      </c>
      <c r="G801" s="49" t="str">
        <f t="shared" ca="1" si="799"/>
        <v/>
      </c>
      <c r="H801" s="49" t="str">
        <f t="shared" ca="1" si="799"/>
        <v/>
      </c>
      <c r="I801" s="49" t="str">
        <f t="shared" ca="1" si="799"/>
        <v/>
      </c>
      <c r="J801" s="49" t="str">
        <f t="shared" ca="1" si="799"/>
        <v/>
      </c>
    </row>
    <row r="802" spans="1:10" ht="12.75" x14ac:dyDescent="0.2">
      <c r="A802" s="41" t="s">
        <v>286</v>
      </c>
      <c r="B802" s="40"/>
      <c r="C802" s="40"/>
      <c r="D802" s="40"/>
      <c r="E802" s="40"/>
      <c r="F802" s="49" t="str">
        <f t="shared" ref="F802:J802" ca="1" si="800">IFERROR(__xludf.DUMMYFUNCTION("if (A802 &lt;&gt; """", GOOGLETRANSLATE(A802, ""auto"", ""en""), """")"),"FAQ-Host2-6")</f>
        <v>FAQ-Host2-6</v>
      </c>
      <c r="G802" s="49" t="str">
        <f t="shared" ca="1" si="800"/>
        <v>FAQ-Host2-6</v>
      </c>
      <c r="H802" s="49" t="str">
        <f t="shared" ca="1" si="800"/>
        <v>FAQ-Host2-6</v>
      </c>
      <c r="I802" s="49" t="str">
        <f t="shared" ca="1" si="800"/>
        <v>FAQ-Host2-6</v>
      </c>
      <c r="J802" s="49" t="str">
        <f t="shared" ca="1" si="800"/>
        <v>FAQ-Host2-6</v>
      </c>
    </row>
    <row r="803" spans="1:10" ht="12.75" x14ac:dyDescent="0.2">
      <c r="A803" s="40"/>
      <c r="B803" s="41" t="s">
        <v>398</v>
      </c>
      <c r="C803" s="40"/>
      <c r="D803" s="40"/>
      <c r="E803" s="40"/>
      <c r="F803" s="49" t="str">
        <f t="shared" ref="F803:J803" ca="1" si="801">IFERROR(__xludf.DUMMYFUNCTION("if (A803 &lt;&gt; """", GOOGLETRANSLATE(A803, ""auto"", ""en""), """")"),"")</f>
        <v/>
      </c>
      <c r="G803" s="49" t="str">
        <f t="shared" ca="1" si="801"/>
        <v/>
      </c>
      <c r="H803" s="49" t="str">
        <f t="shared" ca="1" si="801"/>
        <v/>
      </c>
      <c r="I803" s="49" t="str">
        <f t="shared" ca="1" si="801"/>
        <v/>
      </c>
      <c r="J803" s="49" t="str">
        <f t="shared" ca="1" si="801"/>
        <v/>
      </c>
    </row>
    <row r="804" spans="1:10" ht="12.75" x14ac:dyDescent="0.2">
      <c r="A804" s="40"/>
      <c r="B804" s="41" t="s">
        <v>399</v>
      </c>
      <c r="C804" s="40"/>
      <c r="D804" s="40"/>
      <c r="E804" s="40"/>
      <c r="F804" s="49" t="str">
        <f t="shared" ref="F804:J804" ca="1" si="802">IFERROR(__xludf.DUMMYFUNCTION("if (A804 &lt;&gt; """", GOOGLETRANSLATE(A804, ""auto"", ""en""), """")"),"")</f>
        <v/>
      </c>
      <c r="G804" s="49" t="str">
        <f t="shared" ca="1" si="802"/>
        <v/>
      </c>
      <c r="H804" s="49" t="str">
        <f t="shared" ca="1" si="802"/>
        <v/>
      </c>
      <c r="I804" s="49" t="str">
        <f t="shared" ca="1" si="802"/>
        <v/>
      </c>
      <c r="J804" s="49" t="str">
        <f t="shared" ca="1" si="802"/>
        <v/>
      </c>
    </row>
    <row r="805" spans="1:10" ht="12.75" x14ac:dyDescent="0.2">
      <c r="A805" s="40"/>
      <c r="B805" s="41" t="s">
        <v>400</v>
      </c>
      <c r="C805" s="40"/>
      <c r="D805" s="40"/>
      <c r="E805" s="40"/>
      <c r="F805" s="49" t="str">
        <f t="shared" ref="F805:J805" ca="1" si="803">IFERROR(__xludf.DUMMYFUNCTION("if (A805 &lt;&gt; """", GOOGLETRANSLATE(A805, ""auto"", ""en""), """")"),"")</f>
        <v/>
      </c>
      <c r="G805" s="49" t="str">
        <f t="shared" ca="1" si="803"/>
        <v/>
      </c>
      <c r="H805" s="49" t="str">
        <f t="shared" ca="1" si="803"/>
        <v/>
      </c>
      <c r="I805" s="49" t="str">
        <f t="shared" ca="1" si="803"/>
        <v/>
      </c>
      <c r="J805" s="49" t="str">
        <f t="shared" ca="1" si="803"/>
        <v/>
      </c>
    </row>
    <row r="806" spans="1:10" ht="12.75" x14ac:dyDescent="0.2">
      <c r="A806" s="40"/>
      <c r="B806" s="41" t="s">
        <v>401</v>
      </c>
      <c r="C806" s="41" t="s">
        <v>286</v>
      </c>
      <c r="D806" s="40"/>
      <c r="E806" s="40"/>
      <c r="F806" s="49" t="str">
        <f t="shared" ref="F806:J806" ca="1" si="804">IFERROR(__xludf.DUMMYFUNCTION("if (A806 &lt;&gt; """", GOOGLETRANSLATE(A806, ""auto"", ""en""), """")"),"")</f>
        <v/>
      </c>
      <c r="G806" s="49" t="str">
        <f t="shared" ca="1" si="804"/>
        <v/>
      </c>
      <c r="H806" s="49" t="str">
        <f t="shared" ca="1" si="804"/>
        <v/>
      </c>
      <c r="I806" s="49" t="str">
        <f t="shared" ca="1" si="804"/>
        <v/>
      </c>
      <c r="J806" s="49" t="str">
        <f t="shared" ca="1" si="804"/>
        <v/>
      </c>
    </row>
    <row r="807" spans="1:10" ht="38.25" x14ac:dyDescent="0.2">
      <c r="A807" s="41" t="s">
        <v>670</v>
      </c>
      <c r="B807" s="41" t="s">
        <v>402</v>
      </c>
      <c r="C807" s="41" t="s">
        <v>389</v>
      </c>
      <c r="D807" s="40"/>
      <c r="E807" s="40"/>
      <c r="F807" s="49" t="str">
        <f t="shared" ref="F807:J807" ca="1" si="805">IFERROR(__xludf.DUMMYFUNCTION("if (A807 &lt;&gt; """", GOOGLETRANSLATE(A807, ""auto"", ""en""), """")"),"How much cancellation fee")</f>
        <v>How much cancellation fee</v>
      </c>
      <c r="G807" s="49" t="str">
        <f t="shared" ca="1" si="805"/>
        <v>How much cancellation fee</v>
      </c>
      <c r="H807" s="49" t="str">
        <f t="shared" ca="1" si="805"/>
        <v>How much cancellation fee</v>
      </c>
      <c r="I807" s="49" t="str">
        <f t="shared" ca="1" si="805"/>
        <v>How much cancellation fee</v>
      </c>
      <c r="J807" s="49" t="str">
        <f t="shared" ca="1" si="805"/>
        <v>How much cancellation fee</v>
      </c>
    </row>
    <row r="808" spans="1:10" ht="25.5" x14ac:dyDescent="0.2">
      <c r="A808" s="41" t="s">
        <v>671</v>
      </c>
      <c r="B808" s="41" t="s">
        <v>402</v>
      </c>
      <c r="C808" s="41" t="s">
        <v>19</v>
      </c>
      <c r="D808" s="40"/>
      <c r="E808" s="40"/>
      <c r="F808" s="49" t="str">
        <f t="shared" ref="F808:J808" ca="1" si="806">IFERROR(__xludf.DUMMYFUNCTION("if (A808 &lt;&gt; """", GOOGLETRANSLATE(A808, ""auto"", ""en""), """")"),"Cancellation fee")</f>
        <v>Cancellation fee</v>
      </c>
      <c r="G808" s="49" t="str">
        <f t="shared" ca="1" si="806"/>
        <v>Cancellation fee</v>
      </c>
      <c r="H808" s="49" t="str">
        <f t="shared" ca="1" si="806"/>
        <v>Cancellation fee</v>
      </c>
      <c r="I808" s="49" t="str">
        <f t="shared" ca="1" si="806"/>
        <v>Cancellation fee</v>
      </c>
      <c r="J808" s="49" t="str">
        <f t="shared" ca="1" si="806"/>
        <v>Cancellation fee</v>
      </c>
    </row>
    <row r="809" spans="1:10" ht="38.25" x14ac:dyDescent="0.2">
      <c r="A809" s="41" t="s">
        <v>672</v>
      </c>
      <c r="B809" s="40"/>
      <c r="C809" s="40"/>
      <c r="D809" s="40"/>
      <c r="E809" s="40"/>
      <c r="F809" s="49" t="str">
        <f t="shared" ref="F809:J809" ca="1" si="807">IFERROR(__xludf.DUMMYFUNCTION("if (A809 &lt;&gt; """", GOOGLETRANSLATE(A809, ""auto"", ""en""), """")"),"How much cancellation fee")</f>
        <v>How much cancellation fee</v>
      </c>
      <c r="G809" s="49" t="str">
        <f t="shared" ca="1" si="807"/>
        <v>How much cancellation fee</v>
      </c>
      <c r="H809" s="49" t="str">
        <f t="shared" ca="1" si="807"/>
        <v>How much cancellation fee</v>
      </c>
      <c r="I809" s="49" t="str">
        <f t="shared" ca="1" si="807"/>
        <v>How much cancellation fee</v>
      </c>
      <c r="J809" s="49" t="str">
        <f t="shared" ca="1" si="807"/>
        <v>How much cancellation fee</v>
      </c>
    </row>
    <row r="810" spans="1:10" ht="25.5" x14ac:dyDescent="0.2">
      <c r="A810" s="41" t="s">
        <v>673</v>
      </c>
      <c r="B810" s="40"/>
      <c r="C810" s="40"/>
      <c r="D810" s="40"/>
      <c r="E810" s="40"/>
      <c r="F810" s="49" t="str">
        <f t="shared" ref="F810:J810" ca="1" si="808">IFERROR(__xludf.DUMMYFUNCTION("if (A810 &lt;&gt; """", GOOGLETRANSLATE(A810, ""auto"", ""en""), """")"),"cancellation charge")</f>
        <v>cancellation charge</v>
      </c>
      <c r="G810" s="49" t="str">
        <f t="shared" ca="1" si="808"/>
        <v>cancellation charge</v>
      </c>
      <c r="H810" s="49" t="str">
        <f t="shared" ca="1" si="808"/>
        <v>cancellation charge</v>
      </c>
      <c r="I810" s="49" t="str">
        <f t="shared" ca="1" si="808"/>
        <v>cancellation charge</v>
      </c>
      <c r="J810" s="49" t="str">
        <f t="shared" ca="1" si="808"/>
        <v>cancellation charge</v>
      </c>
    </row>
    <row r="811" spans="1:10" ht="63.75" x14ac:dyDescent="0.2">
      <c r="A811" s="41" t="s">
        <v>674</v>
      </c>
      <c r="B811" s="40"/>
      <c r="C811" s="40"/>
      <c r="D811" s="40"/>
      <c r="E811" s="40"/>
      <c r="F811" s="49" t="str">
        <f t="shared" ref="F811:J811" ca="1" si="809">IFERROR(__xludf.DUMMYFUNCTION("if (A811 &lt;&gt; """", GOOGLETRANSLATE(A811, ""auto"", ""en""), """")"),"What happens is canceled Once you money")</f>
        <v>What happens is canceled Once you money</v>
      </c>
      <c r="G811" s="49" t="str">
        <f t="shared" ca="1" si="809"/>
        <v>What happens is canceled Once you money</v>
      </c>
      <c r="H811" s="49" t="str">
        <f t="shared" ca="1" si="809"/>
        <v>What happens is canceled Once you money</v>
      </c>
      <c r="I811" s="49" t="str">
        <f t="shared" ca="1" si="809"/>
        <v>What happens is canceled Once you money</v>
      </c>
      <c r="J811" s="49" t="str">
        <f t="shared" ca="1" si="809"/>
        <v>What happens is canceled Once you money</v>
      </c>
    </row>
    <row r="812" spans="1:10" ht="38.25" x14ac:dyDescent="0.2">
      <c r="A812" s="41" t="s">
        <v>675</v>
      </c>
      <c r="B812" s="40"/>
      <c r="C812" s="40"/>
      <c r="D812" s="40"/>
      <c r="E812" s="40"/>
      <c r="F812" s="49" t="str">
        <f t="shared" ref="F812:J812" ca="1" si="810">IFERROR(__xludf.DUMMYFUNCTION("if (A812 &lt;&gt; """", GOOGLETRANSLATE(A812, ""auto"", ""en""), """")"),"What happens if you cancel")</f>
        <v>What happens if you cancel</v>
      </c>
      <c r="G812" s="49" t="str">
        <f t="shared" ca="1" si="810"/>
        <v>What happens if you cancel</v>
      </c>
      <c r="H812" s="49" t="str">
        <f t="shared" ca="1" si="810"/>
        <v>What happens if you cancel</v>
      </c>
      <c r="I812" s="49" t="str">
        <f t="shared" ca="1" si="810"/>
        <v>What happens if you cancel</v>
      </c>
      <c r="J812" s="49" t="str">
        <f t="shared" ca="1" si="810"/>
        <v>What happens if you cancel</v>
      </c>
    </row>
    <row r="813" spans="1:10" ht="25.5" x14ac:dyDescent="0.2">
      <c r="A813" s="41" t="s">
        <v>285</v>
      </c>
      <c r="B813" s="40"/>
      <c r="C813" s="40"/>
      <c r="D813" s="40"/>
      <c r="E813" s="40"/>
      <c r="F813" s="49" t="str">
        <f t="shared" ref="F813:J813" ca="1" si="811">IFERROR(__xludf.DUMMYFUNCTION("if (A813 &lt;&gt; """", GOOGLETRANSLATE(A813, ""auto"", ""en""), """")"),"Cancellation Policy")</f>
        <v>Cancellation Policy</v>
      </c>
      <c r="G813" s="49" t="str">
        <f t="shared" ca="1" si="811"/>
        <v>Cancellation Policy</v>
      </c>
      <c r="H813" s="49" t="str">
        <f t="shared" ca="1" si="811"/>
        <v>Cancellation Policy</v>
      </c>
      <c r="I813" s="49" t="str">
        <f t="shared" ca="1" si="811"/>
        <v>Cancellation Policy</v>
      </c>
      <c r="J813" s="49" t="str">
        <f t="shared" ca="1" si="811"/>
        <v>Cancellation Policy</v>
      </c>
    </row>
    <row r="814" spans="1:10" ht="12.75" x14ac:dyDescent="0.2">
      <c r="A814" s="40"/>
      <c r="B814" s="41" t="s">
        <v>403</v>
      </c>
      <c r="C814" s="41" t="s">
        <v>24</v>
      </c>
      <c r="D814" s="41" t="s">
        <v>26</v>
      </c>
      <c r="E814" s="40"/>
      <c r="F814" s="49" t="str">
        <f t="shared" ref="F814:J814" ca="1" si="812">IFERROR(__xludf.DUMMYFUNCTION("if (A814 &lt;&gt; """", GOOGLETRANSLATE(A814, ""auto"", ""en""), """")"),"")</f>
        <v/>
      </c>
      <c r="G814" s="49" t="str">
        <f t="shared" ca="1" si="812"/>
        <v/>
      </c>
      <c r="H814" s="49" t="str">
        <f t="shared" ca="1" si="812"/>
        <v/>
      </c>
      <c r="I814" s="49" t="str">
        <f t="shared" ca="1" si="812"/>
        <v/>
      </c>
      <c r="J814" s="49" t="str">
        <f t="shared" ca="1" si="812"/>
        <v/>
      </c>
    </row>
    <row r="815" spans="1:10" ht="12.75" x14ac:dyDescent="0.2">
      <c r="A815" s="40"/>
      <c r="B815" s="41" t="s">
        <v>403</v>
      </c>
      <c r="C815" s="41" t="s">
        <v>32</v>
      </c>
      <c r="D815" s="41" t="s">
        <v>29</v>
      </c>
      <c r="E815" s="40"/>
      <c r="F815" s="49" t="str">
        <f t="shared" ref="F815:J815" ca="1" si="813">IFERROR(__xludf.DUMMYFUNCTION("if (A815 &lt;&gt; """", GOOGLETRANSLATE(A815, ""auto"", ""en""), """")"),"")</f>
        <v/>
      </c>
      <c r="G815" s="49" t="str">
        <f t="shared" ca="1" si="813"/>
        <v/>
      </c>
      <c r="H815" s="49" t="str">
        <f t="shared" ca="1" si="813"/>
        <v/>
      </c>
      <c r="I815" s="49" t="str">
        <f t="shared" ca="1" si="813"/>
        <v/>
      </c>
      <c r="J815" s="49" t="str">
        <f t="shared" ca="1" si="813"/>
        <v/>
      </c>
    </row>
    <row r="816" spans="1:10" ht="12.75" x14ac:dyDescent="0.2">
      <c r="A816" s="40"/>
      <c r="B816" s="41" t="s">
        <v>403</v>
      </c>
      <c r="C816" s="41" t="s">
        <v>25</v>
      </c>
      <c r="D816" s="41" t="s">
        <v>27</v>
      </c>
      <c r="E816" s="40"/>
      <c r="F816" s="49" t="str">
        <f t="shared" ref="F816:J816" ca="1" si="814">IFERROR(__xludf.DUMMYFUNCTION("if (A816 &lt;&gt; """", GOOGLETRANSLATE(A816, ""auto"", ""en""), """")"),"")</f>
        <v/>
      </c>
      <c r="G816" s="49" t="str">
        <f t="shared" ca="1" si="814"/>
        <v/>
      </c>
      <c r="H816" s="49" t="str">
        <f t="shared" ca="1" si="814"/>
        <v/>
      </c>
      <c r="I816" s="49" t="str">
        <f t="shared" ca="1" si="814"/>
        <v/>
      </c>
      <c r="J816" s="49" t="str">
        <f t="shared" ca="1" si="814"/>
        <v/>
      </c>
    </row>
    <row r="817" spans="1:10" ht="12.75" x14ac:dyDescent="0.2">
      <c r="A817" s="40"/>
      <c r="B817" s="41" t="s">
        <v>403</v>
      </c>
      <c r="C817" s="41" t="s">
        <v>30</v>
      </c>
      <c r="D817" s="41" t="s">
        <v>31</v>
      </c>
      <c r="E817" s="40"/>
      <c r="F817" s="49" t="str">
        <f t="shared" ref="F817:J817" ca="1" si="815">IFERROR(__xludf.DUMMYFUNCTION("if (A817 &lt;&gt; """", GOOGLETRANSLATE(A817, ""auto"", ""en""), """")"),"")</f>
        <v/>
      </c>
      <c r="G817" s="49" t="str">
        <f t="shared" ca="1" si="815"/>
        <v/>
      </c>
      <c r="H817" s="49" t="str">
        <f t="shared" ca="1" si="815"/>
        <v/>
      </c>
      <c r="I817" s="49" t="str">
        <f t="shared" ca="1" si="815"/>
        <v/>
      </c>
      <c r="J817" s="49" t="str">
        <f t="shared" ca="1" si="815"/>
        <v/>
      </c>
    </row>
    <row r="818" spans="1:10" ht="12.75" x14ac:dyDescent="0.2">
      <c r="A818" s="40"/>
      <c r="B818" s="40"/>
      <c r="C818" s="40"/>
      <c r="D818" s="40"/>
      <c r="E818" s="40"/>
      <c r="F818" s="49" t="str">
        <f t="shared" ref="F818:J818" ca="1" si="816">IFERROR(__xludf.DUMMYFUNCTION("if (A818 &lt;&gt; """", GOOGLETRANSLATE(A818, ""auto"", ""en""), """")"),"")</f>
        <v/>
      </c>
      <c r="G818" s="49" t="str">
        <f t="shared" ca="1" si="816"/>
        <v/>
      </c>
      <c r="H818" s="49" t="str">
        <f t="shared" ca="1" si="816"/>
        <v/>
      </c>
      <c r="I818" s="49" t="str">
        <f t="shared" ca="1" si="816"/>
        <v/>
      </c>
      <c r="J818" s="49" t="str">
        <f t="shared" ca="1" si="816"/>
        <v/>
      </c>
    </row>
    <row r="819" spans="1:10" ht="12.75" x14ac:dyDescent="0.2">
      <c r="A819" s="41" t="s">
        <v>289</v>
      </c>
      <c r="B819" s="40"/>
      <c r="C819" s="40"/>
      <c r="D819" s="40"/>
      <c r="E819" s="40"/>
      <c r="F819" s="49" t="str">
        <f t="shared" ref="F819:J819" ca="1" si="817">IFERROR(__xludf.DUMMYFUNCTION("if (A819 &lt;&gt; """", GOOGLETRANSLATE(A819, ""auto"", ""en""), """")"),"FAQ-Host2-7")</f>
        <v>FAQ-Host2-7</v>
      </c>
      <c r="G819" s="49" t="str">
        <f t="shared" ca="1" si="817"/>
        <v>FAQ-Host2-7</v>
      </c>
      <c r="H819" s="49" t="str">
        <f t="shared" ca="1" si="817"/>
        <v>FAQ-Host2-7</v>
      </c>
      <c r="I819" s="49" t="str">
        <f t="shared" ca="1" si="817"/>
        <v>FAQ-Host2-7</v>
      </c>
      <c r="J819" s="49" t="str">
        <f t="shared" ca="1" si="817"/>
        <v>FAQ-Host2-7</v>
      </c>
    </row>
    <row r="820" spans="1:10" ht="12.75" x14ac:dyDescent="0.2">
      <c r="A820" s="40"/>
      <c r="B820" s="41" t="s">
        <v>398</v>
      </c>
      <c r="C820" s="40"/>
      <c r="D820" s="40"/>
      <c r="E820" s="40"/>
      <c r="F820" s="49" t="str">
        <f t="shared" ref="F820:J820" ca="1" si="818">IFERROR(__xludf.DUMMYFUNCTION("if (A820 &lt;&gt; """", GOOGLETRANSLATE(A820, ""auto"", ""en""), """")"),"")</f>
        <v/>
      </c>
      <c r="G820" s="49" t="str">
        <f t="shared" ca="1" si="818"/>
        <v/>
      </c>
      <c r="H820" s="49" t="str">
        <f t="shared" ca="1" si="818"/>
        <v/>
      </c>
      <c r="I820" s="49" t="str">
        <f t="shared" ca="1" si="818"/>
        <v/>
      </c>
      <c r="J820" s="49" t="str">
        <f t="shared" ca="1" si="818"/>
        <v/>
      </c>
    </row>
    <row r="821" spans="1:10" ht="12.75" x14ac:dyDescent="0.2">
      <c r="A821" s="40"/>
      <c r="B821" s="41" t="s">
        <v>399</v>
      </c>
      <c r="C821" s="40"/>
      <c r="D821" s="40"/>
      <c r="E821" s="40"/>
      <c r="F821" s="49" t="str">
        <f t="shared" ref="F821:J821" ca="1" si="819">IFERROR(__xludf.DUMMYFUNCTION("if (A821 &lt;&gt; """", GOOGLETRANSLATE(A821, ""auto"", ""en""), """")"),"")</f>
        <v/>
      </c>
      <c r="G821" s="49" t="str">
        <f t="shared" ca="1" si="819"/>
        <v/>
      </c>
      <c r="H821" s="49" t="str">
        <f t="shared" ca="1" si="819"/>
        <v/>
      </c>
      <c r="I821" s="49" t="str">
        <f t="shared" ca="1" si="819"/>
        <v/>
      </c>
      <c r="J821" s="49" t="str">
        <f t="shared" ca="1" si="819"/>
        <v/>
      </c>
    </row>
    <row r="822" spans="1:10" ht="12.75" x14ac:dyDescent="0.2">
      <c r="A822" s="40"/>
      <c r="B822" s="41" t="s">
        <v>400</v>
      </c>
      <c r="C822" s="40"/>
      <c r="D822" s="40"/>
      <c r="E822" s="40"/>
      <c r="F822" s="49" t="str">
        <f t="shared" ref="F822:J822" ca="1" si="820">IFERROR(__xludf.DUMMYFUNCTION("if (A822 &lt;&gt; """", GOOGLETRANSLATE(A822, ""auto"", ""en""), """")"),"")</f>
        <v/>
      </c>
      <c r="G822" s="49" t="str">
        <f t="shared" ca="1" si="820"/>
        <v/>
      </c>
      <c r="H822" s="49" t="str">
        <f t="shared" ca="1" si="820"/>
        <v/>
      </c>
      <c r="I822" s="49" t="str">
        <f t="shared" ca="1" si="820"/>
        <v/>
      </c>
      <c r="J822" s="49" t="str">
        <f t="shared" ca="1" si="820"/>
        <v/>
      </c>
    </row>
    <row r="823" spans="1:10" ht="12.75" x14ac:dyDescent="0.2">
      <c r="A823" s="40"/>
      <c r="B823" s="41" t="s">
        <v>401</v>
      </c>
      <c r="C823" s="41" t="s">
        <v>289</v>
      </c>
      <c r="D823" s="40"/>
      <c r="E823" s="40"/>
      <c r="F823" s="49" t="str">
        <f t="shared" ref="F823:J823" ca="1" si="821">IFERROR(__xludf.DUMMYFUNCTION("if (A823 &lt;&gt; """", GOOGLETRANSLATE(A823, ""auto"", ""en""), """")"),"")</f>
        <v/>
      </c>
      <c r="G823" s="49" t="str">
        <f t="shared" ca="1" si="821"/>
        <v/>
      </c>
      <c r="H823" s="49" t="str">
        <f t="shared" ca="1" si="821"/>
        <v/>
      </c>
      <c r="I823" s="49" t="str">
        <f t="shared" ca="1" si="821"/>
        <v/>
      </c>
      <c r="J823" s="49" t="str">
        <f t="shared" ca="1" si="821"/>
        <v/>
      </c>
    </row>
    <row r="824" spans="1:10" ht="51" x14ac:dyDescent="0.2">
      <c r="A824" s="41" t="s">
        <v>676</v>
      </c>
      <c r="B824" s="41" t="s">
        <v>402</v>
      </c>
      <c r="C824" s="41" t="s">
        <v>393</v>
      </c>
      <c r="D824" s="40"/>
      <c r="E824" s="40"/>
      <c r="F824" s="49" t="str">
        <f t="shared" ref="F824:J824" ca="1" si="822">IFERROR(__xludf.DUMMYFUNCTION("if (A824 &lt;&gt; """", GOOGLETRANSLATE(A824, ""auto"", ""en""), """")"),"Do we accept a number of house registration")</f>
        <v>Do we accept a number of house registration</v>
      </c>
      <c r="G824" s="49" t="str">
        <f t="shared" ca="1" si="822"/>
        <v>Do we accept a number of house registration</v>
      </c>
      <c r="H824" s="49" t="str">
        <f t="shared" ca="1" si="822"/>
        <v>Do we accept a number of house registration</v>
      </c>
      <c r="I824" s="49" t="str">
        <f t="shared" ca="1" si="822"/>
        <v>Do we accept a number of house registration</v>
      </c>
      <c r="J824" s="49" t="str">
        <f t="shared" ca="1" si="822"/>
        <v>Do we accept a number of house registration</v>
      </c>
    </row>
    <row r="825" spans="1:10" ht="51" x14ac:dyDescent="0.2">
      <c r="A825" s="41" t="s">
        <v>677</v>
      </c>
      <c r="B825" s="41" t="s">
        <v>402</v>
      </c>
      <c r="C825" s="41" t="s">
        <v>19</v>
      </c>
      <c r="D825" s="40"/>
      <c r="E825" s="40"/>
      <c r="F825" s="49" t="str">
        <f t="shared" ref="F825:J825" ca="1" si="823">IFERROR(__xludf.DUMMYFUNCTION("if (A825 &lt;&gt; """", GOOGLETRANSLATE(A825, ""auto"", ""en""), """")"),"The upper limit of the house registration")</f>
        <v>The upper limit of the house registration</v>
      </c>
      <c r="G825" s="49" t="str">
        <f t="shared" ca="1" si="823"/>
        <v>The upper limit of the house registration</v>
      </c>
      <c r="H825" s="49" t="str">
        <f t="shared" ca="1" si="823"/>
        <v>The upper limit of the house registration</v>
      </c>
      <c r="I825" s="49" t="str">
        <f t="shared" ca="1" si="823"/>
        <v>The upper limit of the house registration</v>
      </c>
      <c r="J825" s="49" t="str">
        <f t="shared" ca="1" si="823"/>
        <v>The upper limit of the house registration</v>
      </c>
    </row>
    <row r="826" spans="1:10" ht="51" x14ac:dyDescent="0.2">
      <c r="A826" s="41" t="s">
        <v>678</v>
      </c>
      <c r="B826" s="40"/>
      <c r="C826" s="40"/>
      <c r="D826" s="40"/>
      <c r="E826" s="40"/>
      <c r="F826" s="49" t="str">
        <f t="shared" ref="F826:J826" ca="1" si="824">IFERROR(__xludf.DUMMYFUNCTION("if (A826 &lt;&gt; """", GOOGLETRANSLATE(A826, ""auto"", ""en""), """")"),"Do you have a house of registration restrictions")</f>
        <v>Do you have a house of registration restrictions</v>
      </c>
      <c r="G826" s="49" t="str">
        <f t="shared" ca="1" si="824"/>
        <v>Do you have a house of registration restrictions</v>
      </c>
      <c r="H826" s="49" t="str">
        <f t="shared" ca="1" si="824"/>
        <v>Do you have a house of registration restrictions</v>
      </c>
      <c r="I826" s="49" t="str">
        <f t="shared" ca="1" si="824"/>
        <v>Do you have a house of registration restrictions</v>
      </c>
      <c r="J826" s="49" t="str">
        <f t="shared" ca="1" si="824"/>
        <v>Do you have a house of registration restrictions</v>
      </c>
    </row>
    <row r="827" spans="1:10" ht="38.25" x14ac:dyDescent="0.2">
      <c r="A827" s="41" t="s">
        <v>679</v>
      </c>
      <c r="B827" s="40"/>
      <c r="C827" s="40"/>
      <c r="D827" s="40"/>
      <c r="E827" s="40"/>
      <c r="F827" s="49" t="str">
        <f t="shared" ref="F827:J827" ca="1" si="825">IFERROR(__xludf.DUMMYFUNCTION("if (A827 &lt;&gt; """", GOOGLETRANSLATE(A827, ""auto"", ""en""), """")"),"Limitation of the house of registration")</f>
        <v>Limitation of the house of registration</v>
      </c>
      <c r="G827" s="49" t="str">
        <f t="shared" ca="1" si="825"/>
        <v>Limitation of the house of registration</v>
      </c>
      <c r="H827" s="49" t="str">
        <f t="shared" ca="1" si="825"/>
        <v>Limitation of the house of registration</v>
      </c>
      <c r="I827" s="49" t="str">
        <f t="shared" ca="1" si="825"/>
        <v>Limitation of the house of registration</v>
      </c>
      <c r="J827" s="49" t="str">
        <f t="shared" ca="1" si="825"/>
        <v>Limitation of the house of registration</v>
      </c>
    </row>
    <row r="828" spans="1:10" ht="51" x14ac:dyDescent="0.2">
      <c r="A828" s="41" t="s">
        <v>288</v>
      </c>
      <c r="B828" s="40"/>
      <c r="C828" s="40"/>
      <c r="D828" s="40"/>
      <c r="E828" s="40"/>
      <c r="F828" s="49" t="str">
        <f t="shared" ref="F828:J828" ca="1" si="826">IFERROR(__xludf.DUMMYFUNCTION("if (A828 &lt;&gt; """", GOOGLETRANSLATE(A828, ""auto"", ""en""), """")"),"For registration limit on the number of")</f>
        <v>For registration limit on the number of</v>
      </c>
      <c r="G828" s="49" t="str">
        <f t="shared" ca="1" si="826"/>
        <v>For registration limit on the number of</v>
      </c>
      <c r="H828" s="49" t="str">
        <f t="shared" ca="1" si="826"/>
        <v>For registration limit on the number of</v>
      </c>
      <c r="I828" s="49" t="str">
        <f t="shared" ca="1" si="826"/>
        <v>For registration limit on the number of</v>
      </c>
      <c r="J828" s="49" t="str">
        <f t="shared" ca="1" si="826"/>
        <v>For registration limit on the number of</v>
      </c>
    </row>
    <row r="829" spans="1:10" ht="12.75" x14ac:dyDescent="0.2">
      <c r="A829" s="40"/>
      <c r="B829" s="41" t="s">
        <v>422</v>
      </c>
      <c r="C829" s="41" t="s">
        <v>423</v>
      </c>
      <c r="D829" s="41" t="s">
        <v>424</v>
      </c>
      <c r="E829" s="40"/>
      <c r="F829" s="49" t="str">
        <f t="shared" ref="F829:J829" ca="1" si="827">IFERROR(__xludf.DUMMYFUNCTION("if (A829 &lt;&gt; """", GOOGLETRANSLATE(A829, ""auto"", ""en""), """")"),"")</f>
        <v/>
      </c>
      <c r="G829" s="49" t="str">
        <f t="shared" ca="1" si="827"/>
        <v/>
      </c>
      <c r="H829" s="49" t="str">
        <f t="shared" ca="1" si="827"/>
        <v/>
      </c>
      <c r="I829" s="49" t="str">
        <f t="shared" ca="1" si="827"/>
        <v/>
      </c>
      <c r="J829" s="49" t="str">
        <f t="shared" ca="1" si="827"/>
        <v/>
      </c>
    </row>
    <row r="830" spans="1:10" ht="12.75" x14ac:dyDescent="0.2">
      <c r="A830" s="40"/>
      <c r="B830" s="41" t="s">
        <v>403</v>
      </c>
      <c r="C830" s="41" t="s">
        <v>24</v>
      </c>
      <c r="D830" s="41" t="s">
        <v>26</v>
      </c>
      <c r="E830" s="40"/>
      <c r="F830" s="49" t="str">
        <f t="shared" ref="F830:J830" ca="1" si="828">IFERROR(__xludf.DUMMYFUNCTION("if (A830 &lt;&gt; """", GOOGLETRANSLATE(A830, ""auto"", ""en""), """")"),"")</f>
        <v/>
      </c>
      <c r="G830" s="49" t="str">
        <f t="shared" ca="1" si="828"/>
        <v/>
      </c>
      <c r="H830" s="49" t="str">
        <f t="shared" ca="1" si="828"/>
        <v/>
      </c>
      <c r="I830" s="49" t="str">
        <f t="shared" ca="1" si="828"/>
        <v/>
      </c>
      <c r="J830" s="49" t="str">
        <f t="shared" ca="1" si="828"/>
        <v/>
      </c>
    </row>
    <row r="831" spans="1:10" ht="12.75" x14ac:dyDescent="0.2">
      <c r="A831" s="40"/>
      <c r="B831" s="41" t="s">
        <v>403</v>
      </c>
      <c r="C831" s="41" t="s">
        <v>32</v>
      </c>
      <c r="D831" s="41" t="s">
        <v>29</v>
      </c>
      <c r="E831" s="40"/>
      <c r="F831" s="49" t="str">
        <f t="shared" ref="F831:J831" ca="1" si="829">IFERROR(__xludf.DUMMYFUNCTION("if (A831 &lt;&gt; """", GOOGLETRANSLATE(A831, ""auto"", ""en""), """")"),"")</f>
        <v/>
      </c>
      <c r="G831" s="49" t="str">
        <f t="shared" ca="1" si="829"/>
        <v/>
      </c>
      <c r="H831" s="49" t="str">
        <f t="shared" ca="1" si="829"/>
        <v/>
      </c>
      <c r="I831" s="49" t="str">
        <f t="shared" ca="1" si="829"/>
        <v/>
      </c>
      <c r="J831" s="49" t="str">
        <f t="shared" ca="1" si="829"/>
        <v/>
      </c>
    </row>
    <row r="832" spans="1:10" ht="12.75" x14ac:dyDescent="0.2">
      <c r="A832" s="40"/>
      <c r="B832" s="41" t="s">
        <v>403</v>
      </c>
      <c r="C832" s="41" t="s">
        <v>25</v>
      </c>
      <c r="D832" s="41" t="s">
        <v>27</v>
      </c>
      <c r="E832" s="40"/>
      <c r="F832" s="49" t="str">
        <f t="shared" ref="F832:J832" ca="1" si="830">IFERROR(__xludf.DUMMYFUNCTION("if (A832 &lt;&gt; """", GOOGLETRANSLATE(A832, ""auto"", ""en""), """")"),"")</f>
        <v/>
      </c>
      <c r="G832" s="49" t="str">
        <f t="shared" ca="1" si="830"/>
        <v/>
      </c>
      <c r="H832" s="49" t="str">
        <f t="shared" ca="1" si="830"/>
        <v/>
      </c>
      <c r="I832" s="49" t="str">
        <f t="shared" ca="1" si="830"/>
        <v/>
      </c>
      <c r="J832" s="49" t="str">
        <f t="shared" ca="1" si="830"/>
        <v/>
      </c>
    </row>
    <row r="833" spans="1:10" ht="12.75" x14ac:dyDescent="0.2">
      <c r="A833" s="40"/>
      <c r="B833" s="41" t="s">
        <v>403</v>
      </c>
      <c r="C833" s="41" t="s">
        <v>30</v>
      </c>
      <c r="D833" s="41" t="s">
        <v>31</v>
      </c>
      <c r="E833" s="40"/>
      <c r="F833" s="49" t="str">
        <f t="shared" ref="F833:J833" ca="1" si="831">IFERROR(__xludf.DUMMYFUNCTION("if (A833 &lt;&gt; """", GOOGLETRANSLATE(A833, ""auto"", ""en""), """")"),"")</f>
        <v/>
      </c>
      <c r="G833" s="49" t="str">
        <f t="shared" ca="1" si="831"/>
        <v/>
      </c>
      <c r="H833" s="49" t="str">
        <f t="shared" ca="1" si="831"/>
        <v/>
      </c>
      <c r="I833" s="49" t="str">
        <f t="shared" ca="1" si="831"/>
        <v/>
      </c>
      <c r="J833" s="49" t="str">
        <f t="shared" ca="1" si="831"/>
        <v/>
      </c>
    </row>
    <row r="834" spans="1:10" ht="12.75" x14ac:dyDescent="0.2">
      <c r="A834" s="40"/>
      <c r="B834" s="40"/>
      <c r="C834" s="40"/>
      <c r="D834" s="40"/>
      <c r="E834" s="40"/>
      <c r="F834" s="49" t="str">
        <f t="shared" ref="F834:J834" ca="1" si="832">IFERROR(__xludf.DUMMYFUNCTION("if (A834 &lt;&gt; """", GOOGLETRANSLATE(A834, ""auto"", ""en""), """")"),"")</f>
        <v/>
      </c>
      <c r="G834" s="49" t="str">
        <f t="shared" ca="1" si="832"/>
        <v/>
      </c>
      <c r="H834" s="49" t="str">
        <f t="shared" ca="1" si="832"/>
        <v/>
      </c>
      <c r="I834" s="49" t="str">
        <f t="shared" ca="1" si="832"/>
        <v/>
      </c>
      <c r="J834" s="49" t="str">
        <f t="shared" ca="1" si="832"/>
        <v/>
      </c>
    </row>
    <row r="835" spans="1:10" ht="12.75" x14ac:dyDescent="0.2">
      <c r="A835" s="41" t="s">
        <v>294</v>
      </c>
      <c r="B835" s="40"/>
      <c r="C835" s="40"/>
      <c r="D835" s="40"/>
      <c r="E835" s="40"/>
      <c r="F835" s="49" t="str">
        <f t="shared" ref="F835:J835" ca="1" si="833">IFERROR(__xludf.DUMMYFUNCTION("if (A835 &lt;&gt; """", GOOGLETRANSLATE(A835, ""auto"", ""en""), """")"),"FAQ-Host2-8")</f>
        <v>FAQ-Host2-8</v>
      </c>
      <c r="G835" s="49" t="str">
        <f t="shared" ca="1" si="833"/>
        <v>FAQ-Host2-8</v>
      </c>
      <c r="H835" s="49" t="str">
        <f t="shared" ca="1" si="833"/>
        <v>FAQ-Host2-8</v>
      </c>
      <c r="I835" s="49" t="str">
        <f t="shared" ca="1" si="833"/>
        <v>FAQ-Host2-8</v>
      </c>
      <c r="J835" s="49" t="str">
        <f t="shared" ca="1" si="833"/>
        <v>FAQ-Host2-8</v>
      </c>
    </row>
    <row r="836" spans="1:10" ht="12.75" x14ac:dyDescent="0.2">
      <c r="A836" s="40"/>
      <c r="B836" s="41" t="s">
        <v>398</v>
      </c>
      <c r="C836" s="40"/>
      <c r="D836" s="40"/>
      <c r="E836" s="40"/>
      <c r="F836" s="49" t="str">
        <f t="shared" ref="F836:J836" ca="1" si="834">IFERROR(__xludf.DUMMYFUNCTION("if (A836 &lt;&gt; """", GOOGLETRANSLATE(A836, ""auto"", ""en""), """")"),"")</f>
        <v/>
      </c>
      <c r="G836" s="49" t="str">
        <f t="shared" ca="1" si="834"/>
        <v/>
      </c>
      <c r="H836" s="49" t="str">
        <f t="shared" ca="1" si="834"/>
        <v/>
      </c>
      <c r="I836" s="49" t="str">
        <f t="shared" ca="1" si="834"/>
        <v/>
      </c>
      <c r="J836" s="49" t="str">
        <f t="shared" ca="1" si="834"/>
        <v/>
      </c>
    </row>
    <row r="837" spans="1:10" ht="12.75" x14ac:dyDescent="0.2">
      <c r="A837" s="40"/>
      <c r="B837" s="41" t="s">
        <v>399</v>
      </c>
      <c r="C837" s="40"/>
      <c r="D837" s="40"/>
      <c r="E837" s="40"/>
      <c r="F837" s="49" t="str">
        <f t="shared" ref="F837:J837" ca="1" si="835">IFERROR(__xludf.DUMMYFUNCTION("if (A837 &lt;&gt; """", GOOGLETRANSLATE(A837, ""auto"", ""en""), """")"),"")</f>
        <v/>
      </c>
      <c r="G837" s="49" t="str">
        <f t="shared" ca="1" si="835"/>
        <v/>
      </c>
      <c r="H837" s="49" t="str">
        <f t="shared" ca="1" si="835"/>
        <v/>
      </c>
      <c r="I837" s="49" t="str">
        <f t="shared" ca="1" si="835"/>
        <v/>
      </c>
      <c r="J837" s="49" t="str">
        <f t="shared" ca="1" si="835"/>
        <v/>
      </c>
    </row>
    <row r="838" spans="1:10" ht="12.75" x14ac:dyDescent="0.2">
      <c r="A838" s="40"/>
      <c r="B838" s="41" t="s">
        <v>400</v>
      </c>
      <c r="C838" s="40"/>
      <c r="D838" s="40"/>
      <c r="E838" s="40"/>
      <c r="F838" s="49" t="str">
        <f t="shared" ref="F838:J838" ca="1" si="836">IFERROR(__xludf.DUMMYFUNCTION("if (A838 &lt;&gt; """", GOOGLETRANSLATE(A838, ""auto"", ""en""), """")"),"")</f>
        <v/>
      </c>
      <c r="G838" s="49" t="str">
        <f t="shared" ca="1" si="836"/>
        <v/>
      </c>
      <c r="H838" s="49" t="str">
        <f t="shared" ca="1" si="836"/>
        <v/>
      </c>
      <c r="I838" s="49" t="str">
        <f t="shared" ca="1" si="836"/>
        <v/>
      </c>
      <c r="J838" s="49" t="str">
        <f t="shared" ca="1" si="836"/>
        <v/>
      </c>
    </row>
    <row r="839" spans="1:10" ht="12.75" x14ac:dyDescent="0.2">
      <c r="A839" s="40"/>
      <c r="B839" s="41" t="s">
        <v>401</v>
      </c>
      <c r="C839" s="41" t="s">
        <v>294</v>
      </c>
      <c r="D839" s="40"/>
      <c r="E839" s="40"/>
      <c r="F839" s="49" t="str">
        <f t="shared" ref="F839:J839" ca="1" si="837">IFERROR(__xludf.DUMMYFUNCTION("if (A839 &lt;&gt; """", GOOGLETRANSLATE(A839, ""auto"", ""en""), """")"),"")</f>
        <v/>
      </c>
      <c r="G839" s="49" t="str">
        <f t="shared" ca="1" si="837"/>
        <v/>
      </c>
      <c r="H839" s="49" t="str">
        <f t="shared" ca="1" si="837"/>
        <v/>
      </c>
      <c r="I839" s="49" t="str">
        <f t="shared" ca="1" si="837"/>
        <v/>
      </c>
      <c r="J839" s="49" t="str">
        <f t="shared" ca="1" si="837"/>
        <v/>
      </c>
    </row>
    <row r="840" spans="1:10" ht="63.75" x14ac:dyDescent="0.2">
      <c r="A840" s="41" t="s">
        <v>680</v>
      </c>
      <c r="B840" s="41" t="s">
        <v>402</v>
      </c>
      <c r="C840" s="41" t="s">
        <v>404</v>
      </c>
      <c r="D840" s="40"/>
      <c r="E840" s="40"/>
      <c r="F840" s="49" t="str">
        <f t="shared" ref="F840:J840" ca="1" si="838">IFERROR(__xludf.DUMMYFUNCTION("if (A840 &lt;&gt; """", GOOGLETRANSLATE(A840, ""auto"", ""en""), """")"),"Do you lend even in the old house")</f>
        <v>Do you lend even in the old house</v>
      </c>
      <c r="G840" s="49" t="str">
        <f t="shared" ca="1" si="838"/>
        <v>Do you lend even in the old house</v>
      </c>
      <c r="H840" s="49" t="str">
        <f t="shared" ca="1" si="838"/>
        <v>Do you lend even in the old house</v>
      </c>
      <c r="I840" s="49" t="str">
        <f t="shared" ca="1" si="838"/>
        <v>Do you lend even in the old house</v>
      </c>
      <c r="J840" s="49" t="str">
        <f t="shared" ca="1" si="838"/>
        <v>Do you lend even in the old house</v>
      </c>
    </row>
    <row r="841" spans="1:10" ht="38.25" x14ac:dyDescent="0.2">
      <c r="A841" s="41" t="s">
        <v>681</v>
      </c>
      <c r="B841" s="41" t="s">
        <v>402</v>
      </c>
      <c r="C841" s="41" t="s">
        <v>19</v>
      </c>
      <c r="D841" s="40"/>
      <c r="E841" s="40"/>
      <c r="F841" s="49" t="str">
        <f t="shared" ref="F841:J841" ca="1" si="839">IFERROR(__xludf.DUMMYFUNCTION("if (A841 &lt;&gt; """", GOOGLETRANSLATE(A841, ""auto"", ""en""), """")"),"There is no problem in the old house")</f>
        <v>There is no problem in the old house</v>
      </c>
      <c r="G841" s="49" t="str">
        <f t="shared" ca="1" si="839"/>
        <v>There is no problem in the old house</v>
      </c>
      <c r="H841" s="49" t="str">
        <f t="shared" ca="1" si="839"/>
        <v>There is no problem in the old house</v>
      </c>
      <c r="I841" s="49" t="str">
        <f t="shared" ca="1" si="839"/>
        <v>There is no problem in the old house</v>
      </c>
      <c r="J841" s="49" t="str">
        <f t="shared" ca="1" si="839"/>
        <v>There is no problem in the old house</v>
      </c>
    </row>
    <row r="842" spans="1:10" ht="25.5" x14ac:dyDescent="0.2">
      <c r="A842" s="41" t="s">
        <v>682</v>
      </c>
      <c r="B842" s="40"/>
      <c r="C842" s="40"/>
      <c r="D842" s="40"/>
      <c r="E842" s="40"/>
      <c r="F842" s="49" t="str">
        <f t="shared" ref="F842:J842" ca="1" si="840">IFERROR(__xludf.DUMMYFUNCTION("if (A842 &lt;&gt; """", GOOGLETRANSLATE(A842, ""auto"", ""en""), """")"),"Okay in the old house")</f>
        <v>Okay in the old house</v>
      </c>
      <c r="G842" s="49" t="str">
        <f t="shared" ca="1" si="840"/>
        <v>Okay in the old house</v>
      </c>
      <c r="H842" s="49" t="str">
        <f t="shared" ca="1" si="840"/>
        <v>Okay in the old house</v>
      </c>
      <c r="I842" s="49" t="str">
        <f t="shared" ca="1" si="840"/>
        <v>Okay in the old house</v>
      </c>
      <c r="J842" s="49" t="str">
        <f t="shared" ca="1" si="840"/>
        <v>Okay in the old house</v>
      </c>
    </row>
    <row r="843" spans="1:10" ht="25.5" x14ac:dyDescent="0.2">
      <c r="A843" s="41" t="s">
        <v>683</v>
      </c>
      <c r="B843" s="40"/>
      <c r="C843" s="40"/>
      <c r="D843" s="40"/>
      <c r="E843" s="40"/>
      <c r="F843" s="49" t="str">
        <f t="shared" ref="F843:J843" ca="1" si="841">IFERROR(__xludf.DUMMYFUNCTION("if (A843 &lt;&gt; """", GOOGLETRANSLATE(A843, ""auto"", ""en""), """")"),"House but old is")</f>
        <v>House but old is</v>
      </c>
      <c r="G843" s="49" t="str">
        <f t="shared" ca="1" si="841"/>
        <v>House but old is</v>
      </c>
      <c r="H843" s="49" t="str">
        <f t="shared" ca="1" si="841"/>
        <v>House but old is</v>
      </c>
      <c r="I843" s="49" t="str">
        <f t="shared" ca="1" si="841"/>
        <v>House but old is</v>
      </c>
      <c r="J843" s="49" t="str">
        <f t="shared" ca="1" si="841"/>
        <v>House but old is</v>
      </c>
    </row>
    <row r="844" spans="1:10" ht="25.5" x14ac:dyDescent="0.2">
      <c r="A844" s="41" t="s">
        <v>684</v>
      </c>
      <c r="B844" s="40"/>
      <c r="C844" s="40"/>
      <c r="D844" s="40"/>
      <c r="E844" s="40"/>
      <c r="F844" s="49" t="str">
        <f t="shared" ref="F844:J844" ca="1" si="842">IFERROR(__xludf.DUMMYFUNCTION("if (A844 &lt;&gt; """", GOOGLETRANSLATE(A844, ""auto"", ""en""), """")"),"Is it safe in the old house")</f>
        <v>Is it safe in the old house</v>
      </c>
      <c r="G844" s="49" t="str">
        <f t="shared" ca="1" si="842"/>
        <v>Is it safe in the old house</v>
      </c>
      <c r="H844" s="49" t="str">
        <f t="shared" ca="1" si="842"/>
        <v>Is it safe in the old house</v>
      </c>
      <c r="I844" s="49" t="str">
        <f t="shared" ca="1" si="842"/>
        <v>Is it safe in the old house</v>
      </c>
      <c r="J844" s="49" t="str">
        <f t="shared" ca="1" si="842"/>
        <v>Is it safe in the old house</v>
      </c>
    </row>
    <row r="845" spans="1:10" ht="25.5" x14ac:dyDescent="0.2">
      <c r="A845" s="41" t="s">
        <v>685</v>
      </c>
      <c r="B845" s="40"/>
      <c r="C845" s="40"/>
      <c r="D845" s="40"/>
      <c r="E845" s="40"/>
      <c r="F845" s="49" t="str">
        <f t="shared" ref="F845:J845" ca="1" si="843">IFERROR(__xludf.DUMMYFUNCTION("if (A845 &lt;&gt; """", GOOGLETRANSLATE(A845, ""auto"", ""en""), """")"),"Okay in the old house")</f>
        <v>Okay in the old house</v>
      </c>
      <c r="G845" s="49" t="str">
        <f t="shared" ca="1" si="843"/>
        <v>Okay in the old house</v>
      </c>
      <c r="H845" s="49" t="str">
        <f t="shared" ca="1" si="843"/>
        <v>Okay in the old house</v>
      </c>
      <c r="I845" s="49" t="str">
        <f t="shared" ca="1" si="843"/>
        <v>Okay in the old house</v>
      </c>
      <c r="J845" s="49" t="str">
        <f t="shared" ca="1" si="843"/>
        <v>Okay in the old house</v>
      </c>
    </row>
    <row r="846" spans="1:10" ht="38.25" x14ac:dyDescent="0.2">
      <c r="A846" s="41" t="s">
        <v>686</v>
      </c>
      <c r="B846" s="40"/>
      <c r="C846" s="40"/>
      <c r="D846" s="40"/>
      <c r="E846" s="40"/>
      <c r="F846" s="49" t="str">
        <f t="shared" ref="F846:J846" ca="1" si="844">IFERROR(__xludf.DUMMYFUNCTION("if (A846 &lt;&gt; """", GOOGLETRANSLATE(A846, ""auto"", ""en""), """")"),"I want to renovation of the old house")</f>
        <v>I want to renovation of the old house</v>
      </c>
      <c r="G846" s="49" t="str">
        <f t="shared" ca="1" si="844"/>
        <v>I want to renovation of the old house</v>
      </c>
      <c r="H846" s="49" t="str">
        <f t="shared" ca="1" si="844"/>
        <v>I want to renovation of the old house</v>
      </c>
      <c r="I846" s="49" t="str">
        <f t="shared" ca="1" si="844"/>
        <v>I want to renovation of the old house</v>
      </c>
      <c r="J846" s="49" t="str">
        <f t="shared" ca="1" si="844"/>
        <v>I want to renovation of the old house</v>
      </c>
    </row>
    <row r="847" spans="1:10" ht="38.25" x14ac:dyDescent="0.2">
      <c r="A847" s="41" t="s">
        <v>687</v>
      </c>
      <c r="B847" s="40"/>
      <c r="C847" s="40"/>
      <c r="D847" s="40"/>
      <c r="E847" s="40"/>
      <c r="F847" s="49" t="str">
        <f t="shared" ref="F847:J847" ca="1" si="845">IFERROR(__xludf.DUMMYFUNCTION("if (A847 &lt;&gt; """", GOOGLETRANSLATE(A847, ""auto"", ""en""), """")"),"I want to use the old houses")</f>
        <v>I want to use the old houses</v>
      </c>
      <c r="G847" s="49" t="str">
        <f t="shared" ca="1" si="845"/>
        <v>I want to use the old houses</v>
      </c>
      <c r="H847" s="49" t="str">
        <f t="shared" ca="1" si="845"/>
        <v>I want to use the old houses</v>
      </c>
      <c r="I847" s="49" t="str">
        <f t="shared" ca="1" si="845"/>
        <v>I want to use the old houses</v>
      </c>
      <c r="J847" s="49" t="str">
        <f t="shared" ca="1" si="845"/>
        <v>I want to use the old houses</v>
      </c>
    </row>
    <row r="848" spans="1:10" ht="25.5" x14ac:dyDescent="0.2">
      <c r="A848" s="41" t="s">
        <v>293</v>
      </c>
      <c r="B848" s="40"/>
      <c r="C848" s="40"/>
      <c r="D848" s="40"/>
      <c r="E848" s="40"/>
      <c r="F848" s="49" t="str">
        <f t="shared" ref="F848:J848" ca="1" si="846">IFERROR(__xludf.DUMMYFUNCTION("if (A848 &lt;&gt; """", GOOGLETRANSLATE(A848, ""auto"", ""en""), """")"),"For the use of old houses")</f>
        <v>For the use of old houses</v>
      </c>
      <c r="G848" s="49" t="str">
        <f t="shared" ca="1" si="846"/>
        <v>For the use of old houses</v>
      </c>
      <c r="H848" s="49" t="str">
        <f t="shared" ca="1" si="846"/>
        <v>For the use of old houses</v>
      </c>
      <c r="I848" s="49" t="str">
        <f t="shared" ca="1" si="846"/>
        <v>For the use of old houses</v>
      </c>
      <c r="J848" s="49" t="str">
        <f t="shared" ca="1" si="846"/>
        <v>For the use of old houses</v>
      </c>
    </row>
    <row r="849" spans="1:10" ht="12.75" x14ac:dyDescent="0.2">
      <c r="A849" s="40"/>
      <c r="B849" s="41" t="s">
        <v>422</v>
      </c>
      <c r="C849" s="41" t="s">
        <v>423</v>
      </c>
      <c r="D849" s="41" t="s">
        <v>424</v>
      </c>
      <c r="E849" s="40"/>
      <c r="F849" s="49" t="str">
        <f t="shared" ref="F849:J849" ca="1" si="847">IFERROR(__xludf.DUMMYFUNCTION("if (A849 &lt;&gt; """", GOOGLETRANSLATE(A849, ""auto"", ""en""), """")"),"")</f>
        <v/>
      </c>
      <c r="G849" s="49" t="str">
        <f t="shared" ca="1" si="847"/>
        <v/>
      </c>
      <c r="H849" s="49" t="str">
        <f t="shared" ca="1" si="847"/>
        <v/>
      </c>
      <c r="I849" s="49" t="str">
        <f t="shared" ca="1" si="847"/>
        <v/>
      </c>
      <c r="J849" s="49" t="str">
        <f t="shared" ca="1" si="847"/>
        <v/>
      </c>
    </row>
    <row r="850" spans="1:10" ht="12.75" x14ac:dyDescent="0.2">
      <c r="A850" s="40"/>
      <c r="B850" s="41" t="s">
        <v>422</v>
      </c>
      <c r="C850" s="41" t="s">
        <v>688</v>
      </c>
      <c r="D850" s="41" t="s">
        <v>689</v>
      </c>
      <c r="E850" s="40"/>
      <c r="F850" s="49" t="str">
        <f t="shared" ref="F850:J850" ca="1" si="848">IFERROR(__xludf.DUMMYFUNCTION("if (A850 &lt;&gt; """", GOOGLETRANSLATE(A850, ""auto"", ""en""), """")"),"")</f>
        <v/>
      </c>
      <c r="G850" s="49" t="str">
        <f t="shared" ca="1" si="848"/>
        <v/>
      </c>
      <c r="H850" s="49" t="str">
        <f t="shared" ca="1" si="848"/>
        <v/>
      </c>
      <c r="I850" s="49" t="str">
        <f t="shared" ca="1" si="848"/>
        <v/>
      </c>
      <c r="J850" s="49" t="str">
        <f t="shared" ca="1" si="848"/>
        <v/>
      </c>
    </row>
    <row r="851" spans="1:10" ht="12.75" x14ac:dyDescent="0.2">
      <c r="A851" s="40"/>
      <c r="B851" s="41" t="s">
        <v>403</v>
      </c>
      <c r="C851" s="41" t="s">
        <v>24</v>
      </c>
      <c r="D851" s="41" t="s">
        <v>26</v>
      </c>
      <c r="E851" s="40"/>
      <c r="F851" s="49" t="str">
        <f t="shared" ref="F851:J851" ca="1" si="849">IFERROR(__xludf.DUMMYFUNCTION("if (A851 &lt;&gt; """", GOOGLETRANSLATE(A851, ""auto"", ""en""), """")"),"")</f>
        <v/>
      </c>
      <c r="G851" s="49" t="str">
        <f t="shared" ca="1" si="849"/>
        <v/>
      </c>
      <c r="H851" s="49" t="str">
        <f t="shared" ca="1" si="849"/>
        <v/>
      </c>
      <c r="I851" s="49" t="str">
        <f t="shared" ca="1" si="849"/>
        <v/>
      </c>
      <c r="J851" s="49" t="str">
        <f t="shared" ca="1" si="849"/>
        <v/>
      </c>
    </row>
    <row r="852" spans="1:10" ht="12.75" x14ac:dyDescent="0.2">
      <c r="A852" s="40"/>
      <c r="B852" s="41" t="s">
        <v>403</v>
      </c>
      <c r="C852" s="41" t="s">
        <v>32</v>
      </c>
      <c r="D852" s="41" t="s">
        <v>29</v>
      </c>
      <c r="E852" s="40"/>
      <c r="F852" s="49" t="str">
        <f t="shared" ref="F852:J852" ca="1" si="850">IFERROR(__xludf.DUMMYFUNCTION("if (A852 &lt;&gt; """", GOOGLETRANSLATE(A852, ""auto"", ""en""), """")"),"")</f>
        <v/>
      </c>
      <c r="G852" s="49" t="str">
        <f t="shared" ca="1" si="850"/>
        <v/>
      </c>
      <c r="H852" s="49" t="str">
        <f t="shared" ca="1" si="850"/>
        <v/>
      </c>
      <c r="I852" s="49" t="str">
        <f t="shared" ca="1" si="850"/>
        <v/>
      </c>
      <c r="J852" s="49" t="str">
        <f t="shared" ca="1" si="850"/>
        <v/>
      </c>
    </row>
    <row r="853" spans="1:10" ht="12.75" x14ac:dyDescent="0.2">
      <c r="A853" s="40"/>
      <c r="B853" s="41" t="s">
        <v>403</v>
      </c>
      <c r="C853" s="41" t="s">
        <v>25</v>
      </c>
      <c r="D853" s="41" t="s">
        <v>27</v>
      </c>
      <c r="E853" s="40"/>
      <c r="F853" s="49" t="str">
        <f t="shared" ref="F853:J853" ca="1" si="851">IFERROR(__xludf.DUMMYFUNCTION("if (A853 &lt;&gt; """", GOOGLETRANSLATE(A853, ""auto"", ""en""), """")"),"")</f>
        <v/>
      </c>
      <c r="G853" s="49" t="str">
        <f t="shared" ca="1" si="851"/>
        <v/>
      </c>
      <c r="H853" s="49" t="str">
        <f t="shared" ca="1" si="851"/>
        <v/>
      </c>
      <c r="I853" s="49" t="str">
        <f t="shared" ca="1" si="851"/>
        <v/>
      </c>
      <c r="J853" s="49" t="str">
        <f t="shared" ca="1" si="851"/>
        <v/>
      </c>
    </row>
    <row r="854" spans="1:10" ht="12.75" x14ac:dyDescent="0.2">
      <c r="A854" s="40"/>
      <c r="B854" s="41" t="s">
        <v>403</v>
      </c>
      <c r="C854" s="41" t="s">
        <v>30</v>
      </c>
      <c r="D854" s="41" t="s">
        <v>31</v>
      </c>
      <c r="E854" s="40"/>
      <c r="F854" s="49" t="str">
        <f t="shared" ref="F854:J854" ca="1" si="852">IFERROR(__xludf.DUMMYFUNCTION("if (A854 &lt;&gt; """", GOOGLETRANSLATE(A854, ""auto"", ""en""), """")"),"")</f>
        <v/>
      </c>
      <c r="G854" s="49" t="str">
        <f t="shared" ca="1" si="852"/>
        <v/>
      </c>
      <c r="H854" s="49" t="str">
        <f t="shared" ca="1" si="852"/>
        <v/>
      </c>
      <c r="I854" s="49" t="str">
        <f t="shared" ca="1" si="852"/>
        <v/>
      </c>
      <c r="J854" s="49" t="str">
        <f t="shared" ca="1" si="852"/>
        <v/>
      </c>
    </row>
    <row r="855" spans="1:10" ht="12.75" x14ac:dyDescent="0.2">
      <c r="A855" s="40"/>
      <c r="B855" s="40"/>
      <c r="C855" s="40"/>
      <c r="D855" s="40"/>
      <c r="E855" s="40"/>
      <c r="F855" s="49" t="str">
        <f t="shared" ref="F855:J855" ca="1" si="853">IFERROR(__xludf.DUMMYFUNCTION("if (A855 &lt;&gt; """", GOOGLETRANSLATE(A855, ""auto"", ""en""), """")"),"")</f>
        <v/>
      </c>
      <c r="G855" s="49" t="str">
        <f t="shared" ca="1" si="853"/>
        <v/>
      </c>
      <c r="H855" s="49" t="str">
        <f t="shared" ca="1" si="853"/>
        <v/>
      </c>
      <c r="I855" s="49" t="str">
        <f t="shared" ca="1" si="853"/>
        <v/>
      </c>
      <c r="J855" s="49" t="str">
        <f t="shared" ca="1" si="853"/>
        <v/>
      </c>
    </row>
    <row r="856" spans="1:10" ht="12.75" x14ac:dyDescent="0.2">
      <c r="A856" s="41" t="s">
        <v>297</v>
      </c>
      <c r="B856" s="40"/>
      <c r="C856" s="40"/>
      <c r="D856" s="40"/>
      <c r="E856" s="40"/>
      <c r="F856" s="49" t="str">
        <f t="shared" ref="F856:J856" ca="1" si="854">IFERROR(__xludf.DUMMYFUNCTION("if (A856 &lt;&gt; """", GOOGLETRANSLATE(A856, ""auto"", ""en""), """")"),"FAQ-Host2-9")</f>
        <v>FAQ-Host2-9</v>
      </c>
      <c r="G856" s="49" t="str">
        <f t="shared" ca="1" si="854"/>
        <v>FAQ-Host2-9</v>
      </c>
      <c r="H856" s="49" t="str">
        <f t="shared" ca="1" si="854"/>
        <v>FAQ-Host2-9</v>
      </c>
      <c r="I856" s="49" t="str">
        <f t="shared" ca="1" si="854"/>
        <v>FAQ-Host2-9</v>
      </c>
      <c r="J856" s="49" t="str">
        <f t="shared" ca="1" si="854"/>
        <v>FAQ-Host2-9</v>
      </c>
    </row>
    <row r="857" spans="1:10" ht="12.75" x14ac:dyDescent="0.2">
      <c r="A857" s="40"/>
      <c r="B857" s="41" t="s">
        <v>398</v>
      </c>
      <c r="C857" s="40"/>
      <c r="D857" s="40"/>
      <c r="E857" s="40"/>
      <c r="F857" s="49" t="str">
        <f t="shared" ref="F857:J857" ca="1" si="855">IFERROR(__xludf.DUMMYFUNCTION("if (A857 &lt;&gt; """", GOOGLETRANSLATE(A857, ""auto"", ""en""), """")"),"")</f>
        <v/>
      </c>
      <c r="G857" s="49" t="str">
        <f t="shared" ca="1" si="855"/>
        <v/>
      </c>
      <c r="H857" s="49" t="str">
        <f t="shared" ca="1" si="855"/>
        <v/>
      </c>
      <c r="I857" s="49" t="str">
        <f t="shared" ca="1" si="855"/>
        <v/>
      </c>
      <c r="J857" s="49" t="str">
        <f t="shared" ca="1" si="855"/>
        <v/>
      </c>
    </row>
    <row r="858" spans="1:10" ht="12.75" x14ac:dyDescent="0.2">
      <c r="A858" s="40"/>
      <c r="B858" s="41" t="s">
        <v>399</v>
      </c>
      <c r="C858" s="40"/>
      <c r="D858" s="40"/>
      <c r="E858" s="40"/>
      <c r="F858" s="49" t="str">
        <f t="shared" ref="F858:J858" ca="1" si="856">IFERROR(__xludf.DUMMYFUNCTION("if (A858 &lt;&gt; """", GOOGLETRANSLATE(A858, ""auto"", ""en""), """")"),"")</f>
        <v/>
      </c>
      <c r="G858" s="49" t="str">
        <f t="shared" ca="1" si="856"/>
        <v/>
      </c>
      <c r="H858" s="49" t="str">
        <f t="shared" ca="1" si="856"/>
        <v/>
      </c>
      <c r="I858" s="49" t="str">
        <f t="shared" ca="1" si="856"/>
        <v/>
      </c>
      <c r="J858" s="49" t="str">
        <f t="shared" ca="1" si="856"/>
        <v/>
      </c>
    </row>
    <row r="859" spans="1:10" ht="12.75" x14ac:dyDescent="0.2">
      <c r="A859" s="40"/>
      <c r="B859" s="41" t="s">
        <v>400</v>
      </c>
      <c r="C859" s="40"/>
      <c r="D859" s="40"/>
      <c r="E859" s="40"/>
      <c r="F859" s="49" t="str">
        <f t="shared" ref="F859:J859" ca="1" si="857">IFERROR(__xludf.DUMMYFUNCTION("if (A859 &lt;&gt; """", GOOGLETRANSLATE(A859, ""auto"", ""en""), """")"),"")</f>
        <v/>
      </c>
      <c r="G859" s="49" t="str">
        <f t="shared" ca="1" si="857"/>
        <v/>
      </c>
      <c r="H859" s="49" t="str">
        <f t="shared" ca="1" si="857"/>
        <v/>
      </c>
      <c r="I859" s="49" t="str">
        <f t="shared" ca="1" si="857"/>
        <v/>
      </c>
      <c r="J859" s="49" t="str">
        <f t="shared" ca="1" si="857"/>
        <v/>
      </c>
    </row>
    <row r="860" spans="1:10" ht="12.75" x14ac:dyDescent="0.2">
      <c r="A860" s="40"/>
      <c r="B860" s="41" t="s">
        <v>401</v>
      </c>
      <c r="C860" s="41" t="s">
        <v>297</v>
      </c>
      <c r="D860" s="40"/>
      <c r="E860" s="40"/>
      <c r="F860" s="49" t="str">
        <f t="shared" ref="F860:J860" ca="1" si="858">IFERROR(__xludf.DUMMYFUNCTION("if (A860 &lt;&gt; """", GOOGLETRANSLATE(A860, ""auto"", ""en""), """")"),"")</f>
        <v/>
      </c>
      <c r="G860" s="49" t="str">
        <f t="shared" ca="1" si="858"/>
        <v/>
      </c>
      <c r="H860" s="49" t="str">
        <f t="shared" ca="1" si="858"/>
        <v/>
      </c>
      <c r="I860" s="49" t="str">
        <f t="shared" ca="1" si="858"/>
        <v/>
      </c>
      <c r="J860" s="49" t="str">
        <f t="shared" ca="1" si="858"/>
        <v/>
      </c>
    </row>
    <row r="861" spans="1:10" ht="51" x14ac:dyDescent="0.2">
      <c r="A861" s="41" t="s">
        <v>690</v>
      </c>
      <c r="B861" s="41" t="s">
        <v>402</v>
      </c>
      <c r="C861" s="41" t="s">
        <v>443</v>
      </c>
      <c r="D861" s="40"/>
      <c r="E861" s="40"/>
      <c r="F861" s="49" t="str">
        <f t="shared" ref="F861:J861" ca="1" si="859">IFERROR(__xludf.DUMMYFUNCTION("if (A861 &lt;&gt; """", GOOGLETRANSLATE(A861, ""auto"", ""en""), """")"),"Reviews deletion of")</f>
        <v>Reviews deletion of</v>
      </c>
      <c r="G861" s="49" t="str">
        <f t="shared" ca="1" si="859"/>
        <v>Reviews deletion of</v>
      </c>
      <c r="H861" s="49" t="str">
        <f t="shared" ca="1" si="859"/>
        <v>Reviews deletion of</v>
      </c>
      <c r="I861" s="49" t="str">
        <f t="shared" ca="1" si="859"/>
        <v>Reviews deletion of</v>
      </c>
      <c r="J861" s="49" t="str">
        <f t="shared" ca="1" si="859"/>
        <v>Reviews deletion of</v>
      </c>
    </row>
    <row r="862" spans="1:10" ht="25.5" x14ac:dyDescent="0.2">
      <c r="A862" s="41" t="s">
        <v>691</v>
      </c>
      <c r="B862" s="41" t="s">
        <v>402</v>
      </c>
      <c r="C862" s="41" t="s">
        <v>19</v>
      </c>
      <c r="D862" s="40"/>
      <c r="E862" s="40"/>
      <c r="F862" s="49" t="str">
        <f t="shared" ref="F862:J862" ca="1" si="860">IFERROR(__xludf.DUMMYFUNCTION("if (A862 &lt;&gt; """", GOOGLETRANSLATE(A862, ""auto"", ""en""), """")"),"Review of monitors")</f>
        <v>Review of monitors</v>
      </c>
      <c r="G862" s="49" t="str">
        <f t="shared" ca="1" si="860"/>
        <v>Review of monitors</v>
      </c>
      <c r="H862" s="49" t="str">
        <f t="shared" ca="1" si="860"/>
        <v>Review of monitors</v>
      </c>
      <c r="I862" s="49" t="str">
        <f t="shared" ca="1" si="860"/>
        <v>Review of monitors</v>
      </c>
      <c r="J862" s="49" t="str">
        <f t="shared" ca="1" si="860"/>
        <v>Review of monitors</v>
      </c>
    </row>
    <row r="863" spans="1:10" ht="25.5" x14ac:dyDescent="0.2">
      <c r="A863" s="41" t="s">
        <v>692</v>
      </c>
      <c r="B863" s="40"/>
      <c r="C863" s="40"/>
      <c r="D863" s="40"/>
      <c r="E863" s="40"/>
      <c r="F863" s="49" t="str">
        <f t="shared" ref="F863:J863" ca="1" si="861">IFERROR(__xludf.DUMMYFUNCTION("if (A863 &lt;&gt; """", GOOGLETRANSLATE(A863, ""auto"", ""en""), """")"),"Reviews are checked")</f>
        <v>Reviews are checked</v>
      </c>
      <c r="G863" s="49" t="str">
        <f t="shared" ca="1" si="861"/>
        <v>Reviews are checked</v>
      </c>
      <c r="H863" s="49" t="str">
        <f t="shared" ca="1" si="861"/>
        <v>Reviews are checked</v>
      </c>
      <c r="I863" s="49" t="str">
        <f t="shared" ca="1" si="861"/>
        <v>Reviews are checked</v>
      </c>
      <c r="J863" s="49" t="str">
        <f t="shared" ca="1" si="861"/>
        <v>Reviews are checked</v>
      </c>
    </row>
    <row r="864" spans="1:10" ht="25.5" x14ac:dyDescent="0.2">
      <c r="A864" s="41" t="s">
        <v>693</v>
      </c>
      <c r="B864" s="40"/>
      <c r="C864" s="40"/>
      <c r="D864" s="40"/>
      <c r="E864" s="40"/>
      <c r="F864" s="49" t="str">
        <f t="shared" ref="F864:J864" ca="1" si="862">IFERROR(__xludf.DUMMYFUNCTION("if (A864 &lt;&gt; """", GOOGLETRANSLATE(A864, ""auto"", ""en""), """")"),"The review is expected")</f>
        <v>The review is expected</v>
      </c>
      <c r="G864" s="49" t="str">
        <f t="shared" ca="1" si="862"/>
        <v>The review is expected</v>
      </c>
      <c r="H864" s="49" t="str">
        <f t="shared" ca="1" si="862"/>
        <v>The review is expected</v>
      </c>
      <c r="I864" s="49" t="str">
        <f t="shared" ca="1" si="862"/>
        <v>The review is expected</v>
      </c>
      <c r="J864" s="49" t="str">
        <f t="shared" ca="1" si="862"/>
        <v>The review is expected</v>
      </c>
    </row>
    <row r="865" spans="1:10" ht="38.25" x14ac:dyDescent="0.2">
      <c r="A865" s="41" t="s">
        <v>296</v>
      </c>
      <c r="B865" s="40"/>
      <c r="C865" s="40"/>
      <c r="D865" s="40"/>
      <c r="E865" s="40"/>
      <c r="F865" s="49" t="str">
        <f t="shared" ref="F865:J865" ca="1" si="863">IFERROR(__xludf.DUMMYFUNCTION("if (A865 &lt;&gt; """", GOOGLETRANSLATE(A865, ""auto"", ""en""), """")"),"For review of the examination")</f>
        <v>For review of the examination</v>
      </c>
      <c r="G865" s="49" t="str">
        <f t="shared" ca="1" si="863"/>
        <v>For review of the examination</v>
      </c>
      <c r="H865" s="49" t="str">
        <f t="shared" ca="1" si="863"/>
        <v>For review of the examination</v>
      </c>
      <c r="I865" s="49" t="str">
        <f t="shared" ca="1" si="863"/>
        <v>For review of the examination</v>
      </c>
      <c r="J865" s="49" t="str">
        <f t="shared" ca="1" si="863"/>
        <v>For review of the examination</v>
      </c>
    </row>
    <row r="866" spans="1:10" ht="12.75" x14ac:dyDescent="0.2">
      <c r="A866" s="40"/>
      <c r="B866" s="41" t="s">
        <v>403</v>
      </c>
      <c r="C866" s="41" t="s">
        <v>24</v>
      </c>
      <c r="D866" s="41" t="s">
        <v>26</v>
      </c>
      <c r="E866" s="40"/>
      <c r="F866" s="49" t="str">
        <f t="shared" ref="F866:J866" ca="1" si="864">IFERROR(__xludf.DUMMYFUNCTION("if (A866 &lt;&gt; """", GOOGLETRANSLATE(A866, ""auto"", ""en""), """")"),"")</f>
        <v/>
      </c>
      <c r="G866" s="49" t="str">
        <f t="shared" ca="1" si="864"/>
        <v/>
      </c>
      <c r="H866" s="49" t="str">
        <f t="shared" ca="1" si="864"/>
        <v/>
      </c>
      <c r="I866" s="49" t="str">
        <f t="shared" ca="1" si="864"/>
        <v/>
      </c>
      <c r="J866" s="49" t="str">
        <f t="shared" ca="1" si="864"/>
        <v/>
      </c>
    </row>
    <row r="867" spans="1:10" ht="12.75" x14ac:dyDescent="0.2">
      <c r="A867" s="40"/>
      <c r="B867" s="41" t="s">
        <v>403</v>
      </c>
      <c r="C867" s="41" t="s">
        <v>32</v>
      </c>
      <c r="D867" s="41" t="s">
        <v>29</v>
      </c>
      <c r="E867" s="40"/>
      <c r="F867" s="49" t="str">
        <f t="shared" ref="F867:J867" ca="1" si="865">IFERROR(__xludf.DUMMYFUNCTION("if (A867 &lt;&gt; """", GOOGLETRANSLATE(A867, ""auto"", ""en""), """")"),"")</f>
        <v/>
      </c>
      <c r="G867" s="49" t="str">
        <f t="shared" ca="1" si="865"/>
        <v/>
      </c>
      <c r="H867" s="49" t="str">
        <f t="shared" ca="1" si="865"/>
        <v/>
      </c>
      <c r="I867" s="49" t="str">
        <f t="shared" ca="1" si="865"/>
        <v/>
      </c>
      <c r="J867" s="49" t="str">
        <f t="shared" ca="1" si="865"/>
        <v/>
      </c>
    </row>
    <row r="868" spans="1:10" ht="12.75" x14ac:dyDescent="0.2">
      <c r="A868" s="40"/>
      <c r="B868" s="41" t="s">
        <v>403</v>
      </c>
      <c r="C868" s="41" t="s">
        <v>25</v>
      </c>
      <c r="D868" s="41" t="s">
        <v>27</v>
      </c>
      <c r="E868" s="40"/>
      <c r="F868" s="49" t="str">
        <f t="shared" ref="F868:J868" ca="1" si="866">IFERROR(__xludf.DUMMYFUNCTION("if (A868 &lt;&gt; """", GOOGLETRANSLATE(A868, ""auto"", ""en""), """")"),"")</f>
        <v/>
      </c>
      <c r="G868" s="49" t="str">
        <f t="shared" ca="1" si="866"/>
        <v/>
      </c>
      <c r="H868" s="49" t="str">
        <f t="shared" ca="1" si="866"/>
        <v/>
      </c>
      <c r="I868" s="49" t="str">
        <f t="shared" ca="1" si="866"/>
        <v/>
      </c>
      <c r="J868" s="49" t="str">
        <f t="shared" ca="1" si="866"/>
        <v/>
      </c>
    </row>
    <row r="869" spans="1:10" ht="12.75" x14ac:dyDescent="0.2">
      <c r="A869" s="40"/>
      <c r="B869" s="41" t="s">
        <v>403</v>
      </c>
      <c r="C869" s="41" t="s">
        <v>30</v>
      </c>
      <c r="D869" s="41" t="s">
        <v>31</v>
      </c>
      <c r="E869" s="40"/>
      <c r="F869" s="49" t="str">
        <f t="shared" ref="F869:J869" ca="1" si="867">IFERROR(__xludf.DUMMYFUNCTION("if (A869 &lt;&gt; """", GOOGLETRANSLATE(A869, ""auto"", ""en""), """")"),"")</f>
        <v/>
      </c>
      <c r="G869" s="49" t="str">
        <f t="shared" ca="1" si="867"/>
        <v/>
      </c>
      <c r="H869" s="49" t="str">
        <f t="shared" ca="1" si="867"/>
        <v/>
      </c>
      <c r="I869" s="49" t="str">
        <f t="shared" ca="1" si="867"/>
        <v/>
      </c>
      <c r="J869" s="49" t="str">
        <f t="shared" ca="1" si="867"/>
        <v/>
      </c>
    </row>
    <row r="870" spans="1:10" ht="12.75" x14ac:dyDescent="0.2">
      <c r="A870" s="40"/>
      <c r="B870" s="40"/>
      <c r="C870" s="40"/>
      <c r="D870" s="40"/>
      <c r="E870" s="40"/>
      <c r="F870" s="49" t="str">
        <f t="shared" ref="F870:J870" ca="1" si="868">IFERROR(__xludf.DUMMYFUNCTION("if (A870 &lt;&gt; """", GOOGLETRANSLATE(A870, ""auto"", ""en""), """")"),"")</f>
        <v/>
      </c>
      <c r="G870" s="49" t="str">
        <f t="shared" ca="1" si="868"/>
        <v/>
      </c>
      <c r="H870" s="49" t="str">
        <f t="shared" ca="1" si="868"/>
        <v/>
      </c>
      <c r="I870" s="49" t="str">
        <f t="shared" ca="1" si="868"/>
        <v/>
      </c>
      <c r="J870" s="49" t="str">
        <f t="shared" ca="1" si="868"/>
        <v/>
      </c>
    </row>
    <row r="871" spans="1:10" ht="12.75" x14ac:dyDescent="0.2">
      <c r="A871" s="41" t="s">
        <v>256</v>
      </c>
      <c r="B871" s="40"/>
      <c r="C871" s="40"/>
      <c r="D871" s="40"/>
      <c r="E871" s="40"/>
      <c r="F871" s="49" t="str">
        <f t="shared" ref="F871:J871" ca="1" si="869">IFERROR(__xludf.DUMMYFUNCTION("if (A871 &lt;&gt; """", GOOGLETRANSLATE(A871, ""auto"", ""en""), """")"),"FAQ-Host2")</f>
        <v>FAQ-Host2</v>
      </c>
      <c r="G871" s="49" t="str">
        <f t="shared" ca="1" si="869"/>
        <v>FAQ-Host2</v>
      </c>
      <c r="H871" s="49" t="str">
        <f t="shared" ca="1" si="869"/>
        <v>FAQ-Host2</v>
      </c>
      <c r="I871" s="49" t="str">
        <f t="shared" ca="1" si="869"/>
        <v>FAQ-Host2</v>
      </c>
      <c r="J871" s="49" t="str">
        <f t="shared" ca="1" si="869"/>
        <v>FAQ-Host2</v>
      </c>
    </row>
    <row r="872" spans="1:10" ht="12.75" x14ac:dyDescent="0.2">
      <c r="A872" s="40"/>
      <c r="B872" s="41" t="s">
        <v>398</v>
      </c>
      <c r="C872" s="40"/>
      <c r="D872" s="40"/>
      <c r="E872" s="40"/>
      <c r="F872" s="49" t="str">
        <f t="shared" ref="F872:J872" ca="1" si="870">IFERROR(__xludf.DUMMYFUNCTION("if (A872 &lt;&gt; """", GOOGLETRANSLATE(A872, ""auto"", ""en""), """")"),"")</f>
        <v/>
      </c>
      <c r="G872" s="49" t="str">
        <f t="shared" ca="1" si="870"/>
        <v/>
      </c>
      <c r="H872" s="49" t="str">
        <f t="shared" ca="1" si="870"/>
        <v/>
      </c>
      <c r="I872" s="49" t="str">
        <f t="shared" ca="1" si="870"/>
        <v/>
      </c>
      <c r="J872" s="49" t="str">
        <f t="shared" ca="1" si="870"/>
        <v/>
      </c>
    </row>
    <row r="873" spans="1:10" ht="12.75" x14ac:dyDescent="0.2">
      <c r="A873" s="40"/>
      <c r="B873" s="41" t="s">
        <v>399</v>
      </c>
      <c r="C873" s="40"/>
      <c r="D873" s="40"/>
      <c r="E873" s="40"/>
      <c r="F873" s="49" t="str">
        <f t="shared" ref="F873:J873" ca="1" si="871">IFERROR(__xludf.DUMMYFUNCTION("if (A873 &lt;&gt; """", GOOGLETRANSLATE(A873, ""auto"", ""en""), """")"),"")</f>
        <v/>
      </c>
      <c r="G873" s="49" t="str">
        <f t="shared" ca="1" si="871"/>
        <v/>
      </c>
      <c r="H873" s="49" t="str">
        <f t="shared" ca="1" si="871"/>
        <v/>
      </c>
      <c r="I873" s="49" t="str">
        <f t="shared" ca="1" si="871"/>
        <v/>
      </c>
      <c r="J873" s="49" t="str">
        <f t="shared" ca="1" si="871"/>
        <v/>
      </c>
    </row>
    <row r="874" spans="1:10" ht="12.75" x14ac:dyDescent="0.2">
      <c r="A874" s="40"/>
      <c r="B874" s="41" t="s">
        <v>400</v>
      </c>
      <c r="C874" s="40"/>
      <c r="D874" s="40"/>
      <c r="E874" s="40"/>
      <c r="F874" s="49" t="str">
        <f t="shared" ref="F874:J874" ca="1" si="872">IFERROR(__xludf.DUMMYFUNCTION("if (A874 &lt;&gt; """", GOOGLETRANSLATE(A874, ""auto"", ""en""), """")"),"")</f>
        <v/>
      </c>
      <c r="G874" s="49" t="str">
        <f t="shared" ca="1" si="872"/>
        <v/>
      </c>
      <c r="H874" s="49" t="str">
        <f t="shared" ca="1" si="872"/>
        <v/>
      </c>
      <c r="I874" s="49" t="str">
        <f t="shared" ca="1" si="872"/>
        <v/>
      </c>
      <c r="J874" s="49" t="str">
        <f t="shared" ca="1" si="872"/>
        <v/>
      </c>
    </row>
    <row r="875" spans="1:10" ht="12.75" x14ac:dyDescent="0.2">
      <c r="A875" s="40"/>
      <c r="B875" s="41" t="s">
        <v>401</v>
      </c>
      <c r="C875" s="41" t="s">
        <v>256</v>
      </c>
      <c r="D875" s="40"/>
      <c r="E875" s="40"/>
      <c r="F875" s="49" t="str">
        <f t="shared" ref="F875:J875" ca="1" si="873">IFERROR(__xludf.DUMMYFUNCTION("if (A875 &lt;&gt; """", GOOGLETRANSLATE(A875, ""auto"", ""en""), """")"),"")</f>
        <v/>
      </c>
      <c r="G875" s="49" t="str">
        <f t="shared" ca="1" si="873"/>
        <v/>
      </c>
      <c r="H875" s="49" t="str">
        <f t="shared" ca="1" si="873"/>
        <v/>
      </c>
      <c r="I875" s="49" t="str">
        <f t="shared" ca="1" si="873"/>
        <v/>
      </c>
      <c r="J875" s="49" t="str">
        <f t="shared" ca="1" si="873"/>
        <v/>
      </c>
    </row>
    <row r="876" spans="1:10" ht="51" x14ac:dyDescent="0.2">
      <c r="A876" s="41" t="s">
        <v>695</v>
      </c>
      <c r="B876" s="41" t="s">
        <v>402</v>
      </c>
      <c r="C876" s="41" t="s">
        <v>258</v>
      </c>
      <c r="D876" s="40"/>
      <c r="E876" s="40"/>
      <c r="F876" s="49" t="str">
        <f t="shared" ref="F876:J876" ca="1" si="874">IFERROR(__xludf.DUMMYFUNCTION("if (A876 &lt;&gt; """", GOOGLETRANSLATE(A876, ""auto"", ""en""), """")"),"Tell us about the registration of property")</f>
        <v>Tell us about the registration of property</v>
      </c>
      <c r="G876" s="49" t="str">
        <f t="shared" ca="1" si="874"/>
        <v>Tell us about the registration of property</v>
      </c>
      <c r="H876" s="49" t="str">
        <f t="shared" ca="1" si="874"/>
        <v>Tell us about the registration of property</v>
      </c>
      <c r="I876" s="49" t="str">
        <f t="shared" ca="1" si="874"/>
        <v>Tell us about the registration of property</v>
      </c>
      <c r="J876" s="49" t="str">
        <f t="shared" ca="1" si="874"/>
        <v>Tell us about the registration of property</v>
      </c>
    </row>
    <row r="877" spans="1:10" ht="51" x14ac:dyDescent="0.2">
      <c r="A877" s="41" t="s">
        <v>696</v>
      </c>
      <c r="B877" s="40"/>
      <c r="C877" s="40"/>
      <c r="D877" s="40"/>
      <c r="E877" s="40"/>
      <c r="F877" s="49" t="str">
        <f t="shared" ref="F877:J877" ca="1" si="875">IFERROR(__xludf.DUMMYFUNCTION("if (A877 &lt;&gt; """", GOOGLETRANSLATE(A877, ""auto"", ""en""), """")"),"I want to know about the registration of property")</f>
        <v>I want to know about the registration of property</v>
      </c>
      <c r="G877" s="49" t="str">
        <f t="shared" ca="1" si="875"/>
        <v>I want to know about the registration of property</v>
      </c>
      <c r="H877" s="49" t="str">
        <f t="shared" ca="1" si="875"/>
        <v>I want to know about the registration of property</v>
      </c>
      <c r="I877" s="49" t="str">
        <f t="shared" ca="1" si="875"/>
        <v>I want to know about the registration of property</v>
      </c>
      <c r="J877" s="49" t="str">
        <f t="shared" ca="1" si="875"/>
        <v>I want to know about the registration of property</v>
      </c>
    </row>
    <row r="878" spans="1:10" ht="25.5" x14ac:dyDescent="0.2">
      <c r="A878" s="41" t="s">
        <v>697</v>
      </c>
      <c r="B878" s="40"/>
      <c r="C878" s="40"/>
      <c r="D878" s="40"/>
      <c r="E878" s="40"/>
      <c r="F878" s="49" t="str">
        <f t="shared" ref="F878:J878" ca="1" si="876">IFERROR(__xludf.DUMMYFUNCTION("if (A878 &lt;&gt; """", GOOGLETRANSLATE(A878, ""auto"", ""en""), """")"),"For property registration")</f>
        <v>For property registration</v>
      </c>
      <c r="G878" s="49" t="str">
        <f t="shared" ca="1" si="876"/>
        <v>For property registration</v>
      </c>
      <c r="H878" s="49" t="str">
        <f t="shared" ca="1" si="876"/>
        <v>For property registration</v>
      </c>
      <c r="I878" s="49" t="str">
        <f t="shared" ca="1" si="876"/>
        <v>For property registration</v>
      </c>
      <c r="J878" s="49" t="str">
        <f t="shared" ca="1" si="876"/>
        <v>For property registration</v>
      </c>
    </row>
    <row r="879" spans="1:10" ht="38.25" x14ac:dyDescent="0.2">
      <c r="A879" s="41" t="s">
        <v>227</v>
      </c>
      <c r="B879" s="40"/>
      <c r="C879" s="40"/>
      <c r="D879" s="40"/>
      <c r="E879" s="40"/>
      <c r="F879" s="49" t="str">
        <f t="shared" ref="F879:J879" ca="1" si="877">IFERROR(__xludf.DUMMYFUNCTION("if (A879 &lt;&gt; """", GOOGLETRANSLATE(A879, ""auto"", ""en""), """")"),"For registration of property")</f>
        <v>For registration of property</v>
      </c>
      <c r="G879" s="49" t="str">
        <f t="shared" ca="1" si="877"/>
        <v>For registration of property</v>
      </c>
      <c r="H879" s="49" t="str">
        <f t="shared" ca="1" si="877"/>
        <v>For registration of property</v>
      </c>
      <c r="I879" s="49" t="str">
        <f t="shared" ca="1" si="877"/>
        <v>For registration of property</v>
      </c>
      <c r="J879" s="49" t="str">
        <f t="shared" ca="1" si="877"/>
        <v>For registration of property</v>
      </c>
    </row>
    <row r="880" spans="1:10" ht="12.75" x14ac:dyDescent="0.2">
      <c r="A880" s="40"/>
      <c r="B880" s="41" t="s">
        <v>422</v>
      </c>
      <c r="C880" s="41" t="s">
        <v>423</v>
      </c>
      <c r="D880" s="41" t="s">
        <v>424</v>
      </c>
      <c r="E880" s="40"/>
      <c r="F880" s="49" t="str">
        <f t="shared" ref="F880:J880" ca="1" si="878">IFERROR(__xludf.DUMMYFUNCTION("if (A880 &lt;&gt; """", GOOGLETRANSLATE(A880, ""auto"", ""en""), """")"),"")</f>
        <v/>
      </c>
      <c r="G880" s="49" t="str">
        <f t="shared" ca="1" si="878"/>
        <v/>
      </c>
      <c r="H880" s="49" t="str">
        <f t="shared" ca="1" si="878"/>
        <v/>
      </c>
      <c r="I880" s="49" t="str">
        <f t="shared" ca="1" si="878"/>
        <v/>
      </c>
      <c r="J880" s="49" t="str">
        <f t="shared" ca="1" si="878"/>
        <v/>
      </c>
    </row>
    <row r="881" spans="1:10" ht="12.75" x14ac:dyDescent="0.2">
      <c r="A881" s="40"/>
      <c r="B881" s="41" t="s">
        <v>403</v>
      </c>
      <c r="C881" s="41" t="s">
        <v>260</v>
      </c>
      <c r="D881" s="41" t="s">
        <v>261</v>
      </c>
      <c r="E881" s="40"/>
      <c r="F881" s="49" t="str">
        <f t="shared" ref="F881:J881" ca="1" si="879">IFERROR(__xludf.DUMMYFUNCTION("if (A881 &lt;&gt; """", GOOGLETRANSLATE(A881, ""auto"", ""en""), """")"),"")</f>
        <v/>
      </c>
      <c r="G881" s="49" t="str">
        <f t="shared" ca="1" si="879"/>
        <v/>
      </c>
      <c r="H881" s="49" t="str">
        <f t="shared" ca="1" si="879"/>
        <v/>
      </c>
      <c r="I881" s="49" t="str">
        <f t="shared" ca="1" si="879"/>
        <v/>
      </c>
      <c r="J881" s="49" t="str">
        <f t="shared" ca="1" si="879"/>
        <v/>
      </c>
    </row>
    <row r="882" spans="1:10" ht="12.75" x14ac:dyDescent="0.2">
      <c r="A882" s="40"/>
      <c r="B882" s="41" t="s">
        <v>403</v>
      </c>
      <c r="C882" s="41" t="s">
        <v>271</v>
      </c>
      <c r="D882" s="41" t="s">
        <v>272</v>
      </c>
      <c r="E882" s="40"/>
      <c r="F882" s="49" t="str">
        <f t="shared" ref="F882:J882" ca="1" si="880">IFERROR(__xludf.DUMMYFUNCTION("if (A882 &lt;&gt; """", GOOGLETRANSLATE(A882, ""auto"", ""en""), """")"),"")</f>
        <v/>
      </c>
      <c r="G882" s="49" t="str">
        <f t="shared" ca="1" si="880"/>
        <v/>
      </c>
      <c r="H882" s="49" t="str">
        <f t="shared" ca="1" si="880"/>
        <v/>
      </c>
      <c r="I882" s="49" t="str">
        <f t="shared" ca="1" si="880"/>
        <v/>
      </c>
      <c r="J882" s="49" t="str">
        <f t="shared" ca="1" si="880"/>
        <v/>
      </c>
    </row>
    <row r="883" spans="1:10" ht="12.75" x14ac:dyDescent="0.2">
      <c r="A883" s="40"/>
      <c r="B883" s="41" t="s">
        <v>403</v>
      </c>
      <c r="C883" s="41" t="s">
        <v>275</v>
      </c>
      <c r="D883" s="41" t="s">
        <v>276</v>
      </c>
      <c r="E883" s="40"/>
      <c r="F883" s="49" t="str">
        <f t="shared" ref="F883:J883" ca="1" si="881">IFERROR(__xludf.DUMMYFUNCTION("if (A883 &lt;&gt; """", GOOGLETRANSLATE(A883, ""auto"", ""en""), """")"),"")</f>
        <v/>
      </c>
      <c r="G883" s="49" t="str">
        <f t="shared" ca="1" si="881"/>
        <v/>
      </c>
      <c r="H883" s="49" t="str">
        <f t="shared" ca="1" si="881"/>
        <v/>
      </c>
      <c r="I883" s="49" t="str">
        <f t="shared" ca="1" si="881"/>
        <v/>
      </c>
      <c r="J883" s="49" t="str">
        <f t="shared" ca="1" si="881"/>
        <v/>
      </c>
    </row>
    <row r="884" spans="1:10" ht="12.75" x14ac:dyDescent="0.2">
      <c r="A884" s="40"/>
      <c r="B884" s="41" t="s">
        <v>403</v>
      </c>
      <c r="C884" s="41" t="s">
        <v>278</v>
      </c>
      <c r="D884" s="41" t="s">
        <v>279</v>
      </c>
      <c r="E884" s="40"/>
      <c r="F884" s="49" t="str">
        <f t="shared" ref="F884:J884" ca="1" si="882">IFERROR(__xludf.DUMMYFUNCTION("if (A884 &lt;&gt; """", GOOGLETRANSLATE(A884, ""auto"", ""en""), """")"),"")</f>
        <v/>
      </c>
      <c r="G884" s="49" t="str">
        <f t="shared" ca="1" si="882"/>
        <v/>
      </c>
      <c r="H884" s="49" t="str">
        <f t="shared" ca="1" si="882"/>
        <v/>
      </c>
      <c r="I884" s="49" t="str">
        <f t="shared" ca="1" si="882"/>
        <v/>
      </c>
      <c r="J884" s="49" t="str">
        <f t="shared" ca="1" si="882"/>
        <v/>
      </c>
    </row>
    <row r="885" spans="1:10" ht="12.75" x14ac:dyDescent="0.2">
      <c r="A885" s="40"/>
      <c r="B885" s="41" t="s">
        <v>403</v>
      </c>
      <c r="C885" s="41" t="s">
        <v>281</v>
      </c>
      <c r="D885" s="41" t="s">
        <v>282</v>
      </c>
      <c r="E885" s="40"/>
      <c r="F885" s="49" t="str">
        <f t="shared" ref="F885:J885" ca="1" si="883">IFERROR(__xludf.DUMMYFUNCTION("if (A885 &lt;&gt; """", GOOGLETRANSLATE(A885, ""auto"", ""en""), """")"),"")</f>
        <v/>
      </c>
      <c r="G885" s="49" t="str">
        <f t="shared" ca="1" si="883"/>
        <v/>
      </c>
      <c r="H885" s="49" t="str">
        <f t="shared" ca="1" si="883"/>
        <v/>
      </c>
      <c r="I885" s="49" t="str">
        <f t="shared" ca="1" si="883"/>
        <v/>
      </c>
      <c r="J885" s="49" t="str">
        <f t="shared" ca="1" si="883"/>
        <v/>
      </c>
    </row>
    <row r="886" spans="1:10" ht="12.75" x14ac:dyDescent="0.2">
      <c r="A886" s="40"/>
      <c r="B886" s="41" t="s">
        <v>403</v>
      </c>
      <c r="C886" s="41" t="s">
        <v>285</v>
      </c>
      <c r="D886" s="41" t="s">
        <v>286</v>
      </c>
      <c r="E886" s="40"/>
      <c r="F886" s="49" t="str">
        <f t="shared" ref="F886:J886" ca="1" si="884">IFERROR(__xludf.DUMMYFUNCTION("if (A886 &lt;&gt; """", GOOGLETRANSLATE(A886, ""auto"", ""en""), """")"),"")</f>
        <v/>
      </c>
      <c r="G886" s="49" t="str">
        <f t="shared" ca="1" si="884"/>
        <v/>
      </c>
      <c r="H886" s="49" t="str">
        <f t="shared" ca="1" si="884"/>
        <v/>
      </c>
      <c r="I886" s="49" t="str">
        <f t="shared" ca="1" si="884"/>
        <v/>
      </c>
      <c r="J886" s="49" t="str">
        <f t="shared" ca="1" si="884"/>
        <v/>
      </c>
    </row>
    <row r="887" spans="1:10" ht="12.75" x14ac:dyDescent="0.2">
      <c r="A887" s="40"/>
      <c r="B887" s="41" t="s">
        <v>403</v>
      </c>
      <c r="C887" s="41" t="s">
        <v>288</v>
      </c>
      <c r="D887" s="41" t="s">
        <v>289</v>
      </c>
      <c r="E887" s="40"/>
      <c r="F887" s="49" t="str">
        <f t="shared" ref="F887:J887" ca="1" si="885">IFERROR(__xludf.DUMMYFUNCTION("if (A887 &lt;&gt; """", GOOGLETRANSLATE(A887, ""auto"", ""en""), """")"),"")</f>
        <v/>
      </c>
      <c r="G887" s="49" t="str">
        <f t="shared" ca="1" si="885"/>
        <v/>
      </c>
      <c r="H887" s="49" t="str">
        <f t="shared" ca="1" si="885"/>
        <v/>
      </c>
      <c r="I887" s="49" t="str">
        <f t="shared" ca="1" si="885"/>
        <v/>
      </c>
      <c r="J887" s="49" t="str">
        <f t="shared" ca="1" si="885"/>
        <v/>
      </c>
    </row>
    <row r="888" spans="1:10" ht="12.75" x14ac:dyDescent="0.2">
      <c r="A888" s="40"/>
      <c r="B888" s="41" t="s">
        <v>403</v>
      </c>
      <c r="C888" s="41" t="s">
        <v>293</v>
      </c>
      <c r="D888" s="41" t="s">
        <v>294</v>
      </c>
      <c r="E888" s="40"/>
      <c r="F888" s="49" t="str">
        <f t="shared" ref="F888:J888" ca="1" si="886">IFERROR(__xludf.DUMMYFUNCTION("if (A888 &lt;&gt; """", GOOGLETRANSLATE(A888, ""auto"", ""en""), """")"),"")</f>
        <v/>
      </c>
      <c r="G888" s="49" t="str">
        <f t="shared" ca="1" si="886"/>
        <v/>
      </c>
      <c r="H888" s="49" t="str">
        <f t="shared" ca="1" si="886"/>
        <v/>
      </c>
      <c r="I888" s="49" t="str">
        <f t="shared" ca="1" si="886"/>
        <v/>
      </c>
      <c r="J888" s="49" t="str">
        <f t="shared" ca="1" si="886"/>
        <v/>
      </c>
    </row>
    <row r="889" spans="1:10" ht="12.75" x14ac:dyDescent="0.2">
      <c r="A889" s="40"/>
      <c r="B889" s="41" t="s">
        <v>403</v>
      </c>
      <c r="C889" s="41" t="s">
        <v>296</v>
      </c>
      <c r="D889" s="41" t="s">
        <v>297</v>
      </c>
      <c r="E889" s="40"/>
      <c r="F889" s="49" t="str">
        <f t="shared" ref="F889:J889" ca="1" si="887">IFERROR(__xludf.DUMMYFUNCTION("if (A889 &lt;&gt; """", GOOGLETRANSLATE(A889, ""auto"", ""en""), """")"),"")</f>
        <v/>
      </c>
      <c r="G889" s="49" t="str">
        <f t="shared" ca="1" si="887"/>
        <v/>
      </c>
      <c r="H889" s="49" t="str">
        <f t="shared" ca="1" si="887"/>
        <v/>
      </c>
      <c r="I889" s="49" t="str">
        <f t="shared" ca="1" si="887"/>
        <v/>
      </c>
      <c r="J889" s="49" t="str">
        <f t="shared" ca="1" si="887"/>
        <v/>
      </c>
    </row>
    <row r="890" spans="1:10" ht="12.75" x14ac:dyDescent="0.2">
      <c r="A890" s="40"/>
      <c r="B890" s="41" t="s">
        <v>403</v>
      </c>
      <c r="C890" s="41" t="s">
        <v>32</v>
      </c>
      <c r="D890" s="41" t="s">
        <v>29</v>
      </c>
      <c r="E890" s="40"/>
      <c r="F890" s="49" t="str">
        <f t="shared" ref="F890:J890" ca="1" si="888">IFERROR(__xludf.DUMMYFUNCTION("if (A890 &lt;&gt; """", GOOGLETRANSLATE(A890, ""auto"", ""en""), """")"),"")</f>
        <v/>
      </c>
      <c r="G890" s="49" t="str">
        <f t="shared" ca="1" si="888"/>
        <v/>
      </c>
      <c r="H890" s="49" t="str">
        <f t="shared" ca="1" si="888"/>
        <v/>
      </c>
      <c r="I890" s="49" t="str">
        <f t="shared" ca="1" si="888"/>
        <v/>
      </c>
      <c r="J890" s="49" t="str">
        <f t="shared" ca="1" si="888"/>
        <v/>
      </c>
    </row>
    <row r="891" spans="1:10" ht="12.75" x14ac:dyDescent="0.2">
      <c r="A891" s="40"/>
      <c r="B891" s="40"/>
      <c r="C891" s="40"/>
      <c r="D891" s="40"/>
      <c r="E891" s="40"/>
      <c r="F891" s="49" t="str">
        <f t="shared" ref="F891:J891" ca="1" si="889">IFERROR(__xludf.DUMMYFUNCTION("if (A891 &lt;&gt; """", GOOGLETRANSLATE(A891, ""auto"", ""en""), """")"),"")</f>
        <v/>
      </c>
      <c r="G891" s="49" t="str">
        <f t="shared" ca="1" si="889"/>
        <v/>
      </c>
      <c r="H891" s="49" t="str">
        <f t="shared" ca="1" si="889"/>
        <v/>
      </c>
      <c r="I891" s="49" t="str">
        <f t="shared" ca="1" si="889"/>
        <v/>
      </c>
      <c r="J891" s="49" t="str">
        <f t="shared" ca="1" si="889"/>
        <v/>
      </c>
    </row>
    <row r="892" spans="1:10" ht="12.75" x14ac:dyDescent="0.2">
      <c r="A892" s="41" t="s">
        <v>305</v>
      </c>
      <c r="B892" s="40"/>
      <c r="C892" s="40"/>
      <c r="D892" s="40"/>
      <c r="E892" s="40"/>
      <c r="F892" s="49" t="str">
        <f t="shared" ref="F892:J892" ca="1" si="890">IFERROR(__xludf.DUMMYFUNCTION("if (A892 &lt;&gt; """", GOOGLETRANSLATE(A892, ""auto"", ""en""), """")"),"FAQ-Host3-1")</f>
        <v>FAQ-Host3-1</v>
      </c>
      <c r="G892" s="49" t="str">
        <f t="shared" ca="1" si="890"/>
        <v>FAQ-Host3-1</v>
      </c>
      <c r="H892" s="49" t="str">
        <f t="shared" ca="1" si="890"/>
        <v>FAQ-Host3-1</v>
      </c>
      <c r="I892" s="49" t="str">
        <f t="shared" ca="1" si="890"/>
        <v>FAQ-Host3-1</v>
      </c>
      <c r="J892" s="49" t="str">
        <f t="shared" ca="1" si="890"/>
        <v>FAQ-Host3-1</v>
      </c>
    </row>
    <row r="893" spans="1:10" ht="12.75" x14ac:dyDescent="0.2">
      <c r="A893" s="40"/>
      <c r="B893" s="41" t="s">
        <v>398</v>
      </c>
      <c r="C893" s="40"/>
      <c r="D893" s="40"/>
      <c r="E893" s="40"/>
      <c r="F893" s="49" t="str">
        <f t="shared" ref="F893:J893" ca="1" si="891">IFERROR(__xludf.DUMMYFUNCTION("if (A893 &lt;&gt; """", GOOGLETRANSLATE(A893, ""auto"", ""en""), """")"),"")</f>
        <v/>
      </c>
      <c r="G893" s="49" t="str">
        <f t="shared" ca="1" si="891"/>
        <v/>
      </c>
      <c r="H893" s="49" t="str">
        <f t="shared" ca="1" si="891"/>
        <v/>
      </c>
      <c r="I893" s="49" t="str">
        <f t="shared" ca="1" si="891"/>
        <v/>
      </c>
      <c r="J893" s="49" t="str">
        <f t="shared" ca="1" si="891"/>
        <v/>
      </c>
    </row>
    <row r="894" spans="1:10" ht="12.75" x14ac:dyDescent="0.2">
      <c r="A894" s="40"/>
      <c r="B894" s="41" t="s">
        <v>399</v>
      </c>
      <c r="C894" s="40"/>
      <c r="D894" s="40"/>
      <c r="E894" s="40"/>
      <c r="F894" s="49" t="str">
        <f t="shared" ref="F894:J894" ca="1" si="892">IFERROR(__xludf.DUMMYFUNCTION("if (A894 &lt;&gt; """", GOOGLETRANSLATE(A894, ""auto"", ""en""), """")"),"")</f>
        <v/>
      </c>
      <c r="G894" s="49" t="str">
        <f t="shared" ca="1" si="892"/>
        <v/>
      </c>
      <c r="H894" s="49" t="str">
        <f t="shared" ca="1" si="892"/>
        <v/>
      </c>
      <c r="I894" s="49" t="str">
        <f t="shared" ca="1" si="892"/>
        <v/>
      </c>
      <c r="J894" s="49" t="str">
        <f t="shared" ca="1" si="892"/>
        <v/>
      </c>
    </row>
    <row r="895" spans="1:10" ht="12.75" x14ac:dyDescent="0.2">
      <c r="A895" s="40"/>
      <c r="B895" s="41" t="s">
        <v>400</v>
      </c>
      <c r="C895" s="40"/>
      <c r="D895" s="40"/>
      <c r="E895" s="40"/>
      <c r="F895" s="49" t="str">
        <f t="shared" ref="F895:J895" ca="1" si="893">IFERROR(__xludf.DUMMYFUNCTION("if (A895 &lt;&gt; """", GOOGLETRANSLATE(A895, ""auto"", ""en""), """")"),"")</f>
        <v/>
      </c>
      <c r="G895" s="49" t="str">
        <f t="shared" ca="1" si="893"/>
        <v/>
      </c>
      <c r="H895" s="49" t="str">
        <f t="shared" ca="1" si="893"/>
        <v/>
      </c>
      <c r="I895" s="49" t="str">
        <f t="shared" ca="1" si="893"/>
        <v/>
      </c>
      <c r="J895" s="49" t="str">
        <f t="shared" ca="1" si="893"/>
        <v/>
      </c>
    </row>
    <row r="896" spans="1:10" ht="12.75" x14ac:dyDescent="0.2">
      <c r="A896" s="40"/>
      <c r="B896" s="41" t="s">
        <v>401</v>
      </c>
      <c r="C896" s="41" t="s">
        <v>305</v>
      </c>
      <c r="D896" s="40"/>
      <c r="E896" s="40"/>
      <c r="F896" s="49" t="str">
        <f t="shared" ref="F896:J896" ca="1" si="894">IFERROR(__xludf.DUMMYFUNCTION("if (A896 &lt;&gt; """", GOOGLETRANSLATE(A896, ""auto"", ""en""), """")"),"")</f>
        <v/>
      </c>
      <c r="G896" s="49" t="str">
        <f t="shared" ca="1" si="894"/>
        <v/>
      </c>
      <c r="H896" s="49" t="str">
        <f t="shared" ca="1" si="894"/>
        <v/>
      </c>
      <c r="I896" s="49" t="str">
        <f t="shared" ca="1" si="894"/>
        <v/>
      </c>
      <c r="J896" s="49" t="str">
        <f t="shared" ca="1" si="894"/>
        <v/>
      </c>
    </row>
    <row r="897" spans="1:10" ht="51" x14ac:dyDescent="0.2">
      <c r="A897" s="41" t="s">
        <v>698</v>
      </c>
      <c r="B897" s="41" t="s">
        <v>402</v>
      </c>
      <c r="C897" s="41" t="s">
        <v>490</v>
      </c>
      <c r="D897" s="40"/>
      <c r="E897" s="40"/>
      <c r="F897" s="49" t="str">
        <f t="shared" ref="F897:J897" ca="1" si="895">IFERROR(__xludf.DUMMYFUNCTION("if (A897 &lt;&gt; """", GOOGLETRANSLATE(A897, ""auto"", ""en""), """")"),"I want to change the fee for each number")</f>
        <v>I want to change the fee for each number</v>
      </c>
      <c r="G897" s="49" t="str">
        <f t="shared" ca="1" si="895"/>
        <v>I want to change the fee for each number</v>
      </c>
      <c r="H897" s="49" t="str">
        <f t="shared" ca="1" si="895"/>
        <v>I want to change the fee for each number</v>
      </c>
      <c r="I897" s="49" t="str">
        <f t="shared" ca="1" si="895"/>
        <v>I want to change the fee for each number</v>
      </c>
      <c r="J897" s="49" t="str">
        <f t="shared" ca="1" si="895"/>
        <v>I want to change the fee for each number</v>
      </c>
    </row>
    <row r="898" spans="1:10" ht="63.75" x14ac:dyDescent="0.2">
      <c r="A898" s="41" t="s">
        <v>699</v>
      </c>
      <c r="B898" s="41" t="s">
        <v>402</v>
      </c>
      <c r="C898" s="41" t="s">
        <v>749</v>
      </c>
      <c r="D898" s="40"/>
      <c r="E898" s="40"/>
      <c r="F898" s="49" t="str">
        <f t="shared" ref="F898:J898" ca="1" si="896">IFERROR(__xludf.DUMMYFUNCTION("if (A898 &lt;&gt; """", GOOGLETRANSLATE(A898, ""auto"", ""en""), """")"),"I want to change two or more of the fee")</f>
        <v>I want to change two or more of the fee</v>
      </c>
      <c r="G898" s="49" t="str">
        <f t="shared" ca="1" si="896"/>
        <v>I want to change two or more of the fee</v>
      </c>
      <c r="H898" s="49" t="str">
        <f t="shared" ca="1" si="896"/>
        <v>I want to change two or more of the fee</v>
      </c>
      <c r="I898" s="49" t="str">
        <f t="shared" ca="1" si="896"/>
        <v>I want to change two or more of the fee</v>
      </c>
      <c r="J898" s="49" t="str">
        <f t="shared" ca="1" si="896"/>
        <v>I want to change two or more of the fee</v>
      </c>
    </row>
    <row r="899" spans="1:10" ht="63.75" x14ac:dyDescent="0.2">
      <c r="A899" s="41" t="s">
        <v>700</v>
      </c>
      <c r="B899" s="40"/>
      <c r="C899" s="40"/>
      <c r="D899" s="40"/>
      <c r="E899" s="40"/>
      <c r="F899" s="49" t="str">
        <f t="shared" ref="F899:J899" ca="1" si="897">IFERROR(__xludf.DUMMYFUNCTION("if (A899 &lt;&gt; """", GOOGLETRANSLATE(A899, ""auto"", ""en""), """")"),"I want to change the fee by the number of people")</f>
        <v>I want to change the fee by the number of people</v>
      </c>
      <c r="G899" s="49" t="str">
        <f t="shared" ca="1" si="897"/>
        <v>I want to change the fee by the number of people</v>
      </c>
      <c r="H899" s="49" t="str">
        <f t="shared" ca="1" si="897"/>
        <v>I want to change the fee by the number of people</v>
      </c>
      <c r="I899" s="49" t="str">
        <f t="shared" ca="1" si="897"/>
        <v>I want to change the fee by the number of people</v>
      </c>
      <c r="J899" s="49" t="str">
        <f t="shared" ca="1" si="897"/>
        <v>I want to change the fee by the number of people</v>
      </c>
    </row>
    <row r="900" spans="1:10" ht="51" x14ac:dyDescent="0.2">
      <c r="A900" s="41" t="s">
        <v>304</v>
      </c>
      <c r="B900" s="40"/>
      <c r="C900" s="40"/>
      <c r="D900" s="40"/>
      <c r="E900" s="40"/>
      <c r="F900" s="49" t="str">
        <f t="shared" ref="F900:J900" ca="1" si="898">IFERROR(__xludf.DUMMYFUNCTION("if (A900 &lt;&gt; """", GOOGLETRANSLATE(A900, ""auto"", ""en""), """")"),"Changes to stay fee by the number of people")</f>
        <v>Changes to stay fee by the number of people</v>
      </c>
      <c r="G900" s="49" t="str">
        <f t="shared" ca="1" si="898"/>
        <v>Changes to stay fee by the number of people</v>
      </c>
      <c r="H900" s="49" t="str">
        <f t="shared" ca="1" si="898"/>
        <v>Changes to stay fee by the number of people</v>
      </c>
      <c r="I900" s="49" t="str">
        <f t="shared" ca="1" si="898"/>
        <v>Changes to stay fee by the number of people</v>
      </c>
      <c r="J900" s="49" t="str">
        <f t="shared" ca="1" si="898"/>
        <v>Changes to stay fee by the number of people</v>
      </c>
    </row>
    <row r="901" spans="1:10" ht="12.75" x14ac:dyDescent="0.2">
      <c r="A901" s="40"/>
      <c r="B901" s="41" t="s">
        <v>422</v>
      </c>
      <c r="C901" s="41" t="s">
        <v>488</v>
      </c>
      <c r="D901" s="41" t="s">
        <v>489</v>
      </c>
      <c r="E901" s="40"/>
      <c r="F901" s="49" t="str">
        <f t="shared" ref="F901:J901" ca="1" si="899">IFERROR(__xludf.DUMMYFUNCTION("if (A901 &lt;&gt; """", GOOGLETRANSLATE(A901, ""auto"", ""en""), """")"),"")</f>
        <v/>
      </c>
      <c r="G901" s="49" t="str">
        <f t="shared" ca="1" si="899"/>
        <v/>
      </c>
      <c r="H901" s="49" t="str">
        <f t="shared" ca="1" si="899"/>
        <v/>
      </c>
      <c r="I901" s="49" t="str">
        <f t="shared" ca="1" si="899"/>
        <v/>
      </c>
      <c r="J901" s="49" t="str">
        <f t="shared" ca="1" si="899"/>
        <v/>
      </c>
    </row>
    <row r="902" spans="1:10" ht="12.75" x14ac:dyDescent="0.2">
      <c r="A902" s="40"/>
      <c r="B902" s="41" t="s">
        <v>403</v>
      </c>
      <c r="C902" s="41" t="s">
        <v>24</v>
      </c>
      <c r="D902" s="41" t="s">
        <v>26</v>
      </c>
      <c r="E902" s="40"/>
      <c r="F902" s="49" t="str">
        <f t="shared" ref="F902:J902" ca="1" si="900">IFERROR(__xludf.DUMMYFUNCTION("if (A902 &lt;&gt; """", GOOGLETRANSLATE(A902, ""auto"", ""en""), """")"),"")</f>
        <v/>
      </c>
      <c r="G902" s="49" t="str">
        <f t="shared" ca="1" si="900"/>
        <v/>
      </c>
      <c r="H902" s="49" t="str">
        <f t="shared" ca="1" si="900"/>
        <v/>
      </c>
      <c r="I902" s="49" t="str">
        <f t="shared" ca="1" si="900"/>
        <v/>
      </c>
      <c r="J902" s="49" t="str">
        <f t="shared" ca="1" si="900"/>
        <v/>
      </c>
    </row>
    <row r="903" spans="1:10" ht="12.75" x14ac:dyDescent="0.2">
      <c r="A903" s="40"/>
      <c r="B903" s="41" t="s">
        <v>403</v>
      </c>
      <c r="C903" s="41" t="s">
        <v>32</v>
      </c>
      <c r="D903" s="41" t="s">
        <v>29</v>
      </c>
      <c r="E903" s="40"/>
      <c r="F903" s="49" t="str">
        <f t="shared" ref="F903:J903" ca="1" si="901">IFERROR(__xludf.DUMMYFUNCTION("if (A903 &lt;&gt; """", GOOGLETRANSLATE(A903, ""auto"", ""en""), """")"),"")</f>
        <v/>
      </c>
      <c r="G903" s="49" t="str">
        <f t="shared" ca="1" si="901"/>
        <v/>
      </c>
      <c r="H903" s="49" t="str">
        <f t="shared" ca="1" si="901"/>
        <v/>
      </c>
      <c r="I903" s="49" t="str">
        <f t="shared" ca="1" si="901"/>
        <v/>
      </c>
      <c r="J903" s="49" t="str">
        <f t="shared" ca="1" si="901"/>
        <v/>
      </c>
    </row>
    <row r="904" spans="1:10" ht="12.75" x14ac:dyDescent="0.2">
      <c r="A904" s="40"/>
      <c r="B904" s="41" t="s">
        <v>403</v>
      </c>
      <c r="C904" s="41" t="s">
        <v>25</v>
      </c>
      <c r="D904" s="41" t="s">
        <v>27</v>
      </c>
      <c r="E904" s="40"/>
      <c r="F904" s="49" t="str">
        <f t="shared" ref="F904:J904" ca="1" si="902">IFERROR(__xludf.DUMMYFUNCTION("if (A904 &lt;&gt; """", GOOGLETRANSLATE(A904, ""auto"", ""en""), """")"),"")</f>
        <v/>
      </c>
      <c r="G904" s="49" t="str">
        <f t="shared" ca="1" si="902"/>
        <v/>
      </c>
      <c r="H904" s="49" t="str">
        <f t="shared" ca="1" si="902"/>
        <v/>
      </c>
      <c r="I904" s="49" t="str">
        <f t="shared" ca="1" si="902"/>
        <v/>
      </c>
      <c r="J904" s="49" t="str">
        <f t="shared" ca="1" si="902"/>
        <v/>
      </c>
    </row>
    <row r="905" spans="1:10" ht="12.75" x14ac:dyDescent="0.2">
      <c r="A905" s="40"/>
      <c r="B905" s="41" t="s">
        <v>403</v>
      </c>
      <c r="C905" s="41" t="s">
        <v>30</v>
      </c>
      <c r="D905" s="41" t="s">
        <v>31</v>
      </c>
      <c r="E905" s="40"/>
      <c r="F905" s="49" t="str">
        <f t="shared" ref="F905:J905" ca="1" si="903">IFERROR(__xludf.DUMMYFUNCTION("if (A905 &lt;&gt; """", GOOGLETRANSLATE(A905, ""auto"", ""en""), """")"),"")</f>
        <v/>
      </c>
      <c r="G905" s="49" t="str">
        <f t="shared" ca="1" si="903"/>
        <v/>
      </c>
      <c r="H905" s="49" t="str">
        <f t="shared" ca="1" si="903"/>
        <v/>
      </c>
      <c r="I905" s="49" t="str">
        <f t="shared" ca="1" si="903"/>
        <v/>
      </c>
      <c r="J905" s="49" t="str">
        <f t="shared" ca="1" si="903"/>
        <v/>
      </c>
    </row>
    <row r="906" spans="1:10" ht="12.75" x14ac:dyDescent="0.2">
      <c r="A906" s="40"/>
      <c r="B906" s="40"/>
      <c r="C906" s="40"/>
      <c r="D906" s="40"/>
      <c r="E906" s="40"/>
      <c r="F906" s="49" t="str">
        <f t="shared" ref="F906:J906" ca="1" si="904">IFERROR(__xludf.DUMMYFUNCTION("if (A906 &lt;&gt; """", GOOGLETRANSLATE(A906, ""auto"", ""en""), """")"),"")</f>
        <v/>
      </c>
      <c r="G906" s="49" t="str">
        <f t="shared" ca="1" si="904"/>
        <v/>
      </c>
      <c r="H906" s="49" t="str">
        <f t="shared" ca="1" si="904"/>
        <v/>
      </c>
      <c r="I906" s="49" t="str">
        <f t="shared" ca="1" si="904"/>
        <v/>
      </c>
      <c r="J906" s="49" t="str">
        <f t="shared" ca="1" si="904"/>
        <v/>
      </c>
    </row>
    <row r="907" spans="1:10" ht="12.75" x14ac:dyDescent="0.2">
      <c r="A907" s="41" t="s">
        <v>313</v>
      </c>
      <c r="B907" s="40"/>
      <c r="C907" s="40"/>
      <c r="D907" s="40"/>
      <c r="E907" s="40"/>
      <c r="F907" s="49" t="str">
        <f t="shared" ref="F907:J907" ca="1" si="905">IFERROR(__xludf.DUMMYFUNCTION("if (A907 &lt;&gt; """", GOOGLETRANSLATE(A907, ""auto"", ""en""), """")"),"FAQ-Host3-2")</f>
        <v>FAQ-Host3-2</v>
      </c>
      <c r="G907" s="49" t="str">
        <f t="shared" ca="1" si="905"/>
        <v>FAQ-Host3-2</v>
      </c>
      <c r="H907" s="49" t="str">
        <f t="shared" ca="1" si="905"/>
        <v>FAQ-Host3-2</v>
      </c>
      <c r="I907" s="49" t="str">
        <f t="shared" ca="1" si="905"/>
        <v>FAQ-Host3-2</v>
      </c>
      <c r="J907" s="49" t="str">
        <f t="shared" ca="1" si="905"/>
        <v>FAQ-Host3-2</v>
      </c>
    </row>
    <row r="908" spans="1:10" ht="12.75" x14ac:dyDescent="0.2">
      <c r="A908" s="40"/>
      <c r="B908" s="41" t="s">
        <v>398</v>
      </c>
      <c r="C908" s="40"/>
      <c r="D908" s="40"/>
      <c r="E908" s="40"/>
      <c r="F908" s="49" t="str">
        <f t="shared" ref="F908:J908" ca="1" si="906">IFERROR(__xludf.DUMMYFUNCTION("if (A908 &lt;&gt; """", GOOGLETRANSLATE(A908, ""auto"", ""en""), """")"),"")</f>
        <v/>
      </c>
      <c r="G908" s="49" t="str">
        <f t="shared" ca="1" si="906"/>
        <v/>
      </c>
      <c r="H908" s="49" t="str">
        <f t="shared" ca="1" si="906"/>
        <v/>
      </c>
      <c r="I908" s="49" t="str">
        <f t="shared" ca="1" si="906"/>
        <v/>
      </c>
      <c r="J908" s="49" t="str">
        <f t="shared" ca="1" si="906"/>
        <v/>
      </c>
    </row>
    <row r="909" spans="1:10" ht="12.75" x14ac:dyDescent="0.2">
      <c r="A909" s="40"/>
      <c r="B909" s="41" t="s">
        <v>399</v>
      </c>
      <c r="C909" s="40"/>
      <c r="D909" s="40"/>
      <c r="E909" s="40"/>
      <c r="F909" s="49" t="str">
        <f t="shared" ref="F909:J909" ca="1" si="907">IFERROR(__xludf.DUMMYFUNCTION("if (A909 &lt;&gt; """", GOOGLETRANSLATE(A909, ""auto"", ""en""), """")"),"")</f>
        <v/>
      </c>
      <c r="G909" s="49" t="str">
        <f t="shared" ca="1" si="907"/>
        <v/>
      </c>
      <c r="H909" s="49" t="str">
        <f t="shared" ca="1" si="907"/>
        <v/>
      </c>
      <c r="I909" s="49" t="str">
        <f t="shared" ca="1" si="907"/>
        <v/>
      </c>
      <c r="J909" s="49" t="str">
        <f t="shared" ca="1" si="907"/>
        <v/>
      </c>
    </row>
    <row r="910" spans="1:10" ht="12.75" x14ac:dyDescent="0.2">
      <c r="A910" s="40"/>
      <c r="B910" s="41" t="s">
        <v>400</v>
      </c>
      <c r="C910" s="40"/>
      <c r="D910" s="40"/>
      <c r="E910" s="40"/>
      <c r="F910" s="49" t="str">
        <f t="shared" ref="F910:J910" ca="1" si="908">IFERROR(__xludf.DUMMYFUNCTION("if (A910 &lt;&gt; """", GOOGLETRANSLATE(A910, ""auto"", ""en""), """")"),"")</f>
        <v/>
      </c>
      <c r="G910" s="49" t="str">
        <f t="shared" ca="1" si="908"/>
        <v/>
      </c>
      <c r="H910" s="49" t="str">
        <f t="shared" ca="1" si="908"/>
        <v/>
      </c>
      <c r="I910" s="49" t="str">
        <f t="shared" ca="1" si="908"/>
        <v/>
      </c>
      <c r="J910" s="49" t="str">
        <f t="shared" ca="1" si="908"/>
        <v/>
      </c>
    </row>
    <row r="911" spans="1:10" ht="12.75" x14ac:dyDescent="0.2">
      <c r="A911" s="40"/>
      <c r="B911" s="41" t="s">
        <v>401</v>
      </c>
      <c r="C911" s="41" t="s">
        <v>313</v>
      </c>
      <c r="D911" s="40"/>
      <c r="E911" s="40"/>
      <c r="F911" s="49" t="str">
        <f t="shared" ref="F911:J911" ca="1" si="909">IFERROR(__xludf.DUMMYFUNCTION("if (A911 &lt;&gt; """", GOOGLETRANSLATE(A911, ""auto"", ""en""), """")"),"")</f>
        <v/>
      </c>
      <c r="G911" s="49" t="str">
        <f t="shared" ca="1" si="909"/>
        <v/>
      </c>
      <c r="H911" s="49" t="str">
        <f t="shared" ca="1" si="909"/>
        <v/>
      </c>
      <c r="I911" s="49" t="str">
        <f t="shared" ca="1" si="909"/>
        <v/>
      </c>
      <c r="J911" s="49" t="str">
        <f t="shared" ca="1" si="909"/>
        <v/>
      </c>
    </row>
    <row r="912" spans="1:10" ht="51" x14ac:dyDescent="0.2">
      <c r="A912" s="41" t="s">
        <v>701</v>
      </c>
      <c r="B912" s="41" t="s">
        <v>402</v>
      </c>
      <c r="C912" s="41" t="s">
        <v>544</v>
      </c>
      <c r="D912" s="40"/>
      <c r="E912" s="40"/>
      <c r="F912" s="49" t="str">
        <f t="shared" ref="F912:J912" ca="1" si="910">IFERROR(__xludf.DUMMYFUNCTION("if (A912 &lt;&gt; """", GOOGLETRANSLATE(A912, ""auto"", ""en""), """")"),"Okay to change the stay Rates")</f>
        <v>Okay to change the stay Rates</v>
      </c>
      <c r="G912" s="49" t="str">
        <f t="shared" ca="1" si="910"/>
        <v>Okay to change the stay Rates</v>
      </c>
      <c r="H912" s="49" t="str">
        <f t="shared" ca="1" si="910"/>
        <v>Okay to change the stay Rates</v>
      </c>
      <c r="I912" s="49" t="str">
        <f t="shared" ca="1" si="910"/>
        <v>Okay to change the stay Rates</v>
      </c>
      <c r="J912" s="49" t="str">
        <f t="shared" ca="1" si="910"/>
        <v>Okay to change the stay Rates</v>
      </c>
    </row>
    <row r="913" spans="1:10" ht="51" x14ac:dyDescent="0.2">
      <c r="A913" s="41" t="s">
        <v>702</v>
      </c>
      <c r="B913" s="41" t="s">
        <v>402</v>
      </c>
      <c r="C913" s="41" t="s">
        <v>19</v>
      </c>
      <c r="D913" s="40"/>
      <c r="E913" s="40"/>
      <c r="F913" s="49" t="str">
        <f t="shared" ref="F913:J913" ca="1" si="911">IFERROR(__xludf.DUMMYFUNCTION("if (A913 &lt;&gt; """", GOOGLETRANSLATE(A913, ""auto"", ""en""), """")"),"What is no problem to change the stay Rates")</f>
        <v>What is no problem to change the stay Rates</v>
      </c>
      <c r="G913" s="49" t="str">
        <f t="shared" ca="1" si="911"/>
        <v>What is no problem to change the stay Rates</v>
      </c>
      <c r="H913" s="49" t="str">
        <f t="shared" ca="1" si="911"/>
        <v>What is no problem to change the stay Rates</v>
      </c>
      <c r="I913" s="49" t="str">
        <f t="shared" ca="1" si="911"/>
        <v>What is no problem to change the stay Rates</v>
      </c>
      <c r="J913" s="49" t="str">
        <f t="shared" ca="1" si="911"/>
        <v>What is no problem to change the stay Rates</v>
      </c>
    </row>
    <row r="914" spans="1:10" ht="63.75" x14ac:dyDescent="0.2">
      <c r="A914" s="41" t="s">
        <v>703</v>
      </c>
      <c r="B914" s="40"/>
      <c r="C914" s="40"/>
      <c r="D914" s="40"/>
      <c r="E914" s="40"/>
      <c r="F914" s="49" t="str">
        <f t="shared" ref="F914:J914" ca="1" si="912">IFERROR(__xludf.DUMMYFUNCTION("if (A914 &lt;&gt; """", GOOGLETRANSLATE(A914, ""auto"", ""en""), """")"),"I want to change the stay fee depending on the season")</f>
        <v>I want to change the stay fee depending on the season</v>
      </c>
      <c r="G914" s="49" t="str">
        <f t="shared" ca="1" si="912"/>
        <v>I want to change the stay fee depending on the season</v>
      </c>
      <c r="H914" s="49" t="str">
        <f t="shared" ca="1" si="912"/>
        <v>I want to change the stay fee depending on the season</v>
      </c>
      <c r="I914" s="49" t="str">
        <f t="shared" ca="1" si="912"/>
        <v>I want to change the stay fee depending on the season</v>
      </c>
      <c r="J914" s="49" t="str">
        <f t="shared" ca="1" si="912"/>
        <v>I want to change the stay fee depending on the season</v>
      </c>
    </row>
    <row r="915" spans="1:10" ht="38.25" x14ac:dyDescent="0.2">
      <c r="A915" s="41" t="s">
        <v>312</v>
      </c>
      <c r="B915" s="40"/>
      <c r="C915" s="40"/>
      <c r="D915" s="40"/>
      <c r="E915" s="40"/>
      <c r="F915" s="49" t="str">
        <f t="shared" ref="F915:J915" ca="1" si="913">IFERROR(__xludf.DUMMYFUNCTION("if (A915 &lt;&gt; """", GOOGLETRANSLATE(A915, ""auto"", ""en""), """")"),"Changes to stay by the time fee")</f>
        <v>Changes to stay by the time fee</v>
      </c>
      <c r="G915" s="49" t="str">
        <f t="shared" ca="1" si="913"/>
        <v>Changes to stay by the time fee</v>
      </c>
      <c r="H915" s="49" t="str">
        <f t="shared" ca="1" si="913"/>
        <v>Changes to stay by the time fee</v>
      </c>
      <c r="I915" s="49" t="str">
        <f t="shared" ca="1" si="913"/>
        <v>Changes to stay by the time fee</v>
      </c>
      <c r="J915" s="49" t="str">
        <f t="shared" ca="1" si="913"/>
        <v>Changes to stay by the time fee</v>
      </c>
    </row>
    <row r="916" spans="1:10" ht="12.75" x14ac:dyDescent="0.2">
      <c r="A916" s="40"/>
      <c r="B916" s="41" t="s">
        <v>403</v>
      </c>
      <c r="C916" s="41" t="s">
        <v>24</v>
      </c>
      <c r="D916" s="41" t="s">
        <v>26</v>
      </c>
      <c r="E916" s="40"/>
      <c r="F916" s="49" t="str">
        <f t="shared" ref="F916:J916" ca="1" si="914">IFERROR(__xludf.DUMMYFUNCTION("if (A916 &lt;&gt; """", GOOGLETRANSLATE(A916, ""auto"", ""en""), """")"),"")</f>
        <v/>
      </c>
      <c r="G916" s="49" t="str">
        <f t="shared" ca="1" si="914"/>
        <v/>
      </c>
      <c r="H916" s="49" t="str">
        <f t="shared" ca="1" si="914"/>
        <v/>
      </c>
      <c r="I916" s="49" t="str">
        <f t="shared" ca="1" si="914"/>
        <v/>
      </c>
      <c r="J916" s="49" t="str">
        <f t="shared" ca="1" si="914"/>
        <v/>
      </c>
    </row>
    <row r="917" spans="1:10" ht="12.75" x14ac:dyDescent="0.2">
      <c r="A917" s="40"/>
      <c r="B917" s="41" t="s">
        <v>403</v>
      </c>
      <c r="C917" s="41" t="s">
        <v>32</v>
      </c>
      <c r="D917" s="41" t="s">
        <v>29</v>
      </c>
      <c r="E917" s="40"/>
      <c r="F917" s="49" t="str">
        <f t="shared" ref="F917:J917" ca="1" si="915">IFERROR(__xludf.DUMMYFUNCTION("if (A917 &lt;&gt; """", GOOGLETRANSLATE(A917, ""auto"", ""en""), """")"),"")</f>
        <v/>
      </c>
      <c r="G917" s="49" t="str">
        <f t="shared" ca="1" si="915"/>
        <v/>
      </c>
      <c r="H917" s="49" t="str">
        <f t="shared" ca="1" si="915"/>
        <v/>
      </c>
      <c r="I917" s="49" t="str">
        <f t="shared" ca="1" si="915"/>
        <v/>
      </c>
      <c r="J917" s="49" t="str">
        <f t="shared" ca="1" si="915"/>
        <v/>
      </c>
    </row>
    <row r="918" spans="1:10" ht="12.75" x14ac:dyDescent="0.2">
      <c r="A918" s="40"/>
      <c r="B918" s="41" t="s">
        <v>403</v>
      </c>
      <c r="C918" s="41" t="s">
        <v>25</v>
      </c>
      <c r="D918" s="41" t="s">
        <v>27</v>
      </c>
      <c r="E918" s="40"/>
      <c r="F918" s="49" t="str">
        <f t="shared" ref="F918:J918" ca="1" si="916">IFERROR(__xludf.DUMMYFUNCTION("if (A918 &lt;&gt; """", GOOGLETRANSLATE(A918, ""auto"", ""en""), """")"),"")</f>
        <v/>
      </c>
      <c r="G918" s="49" t="str">
        <f t="shared" ca="1" si="916"/>
        <v/>
      </c>
      <c r="H918" s="49" t="str">
        <f t="shared" ca="1" si="916"/>
        <v/>
      </c>
      <c r="I918" s="49" t="str">
        <f t="shared" ca="1" si="916"/>
        <v/>
      </c>
      <c r="J918" s="49" t="str">
        <f t="shared" ca="1" si="916"/>
        <v/>
      </c>
    </row>
    <row r="919" spans="1:10" ht="12.75" x14ac:dyDescent="0.2">
      <c r="A919" s="40"/>
      <c r="B919" s="41" t="s">
        <v>403</v>
      </c>
      <c r="C919" s="41" t="s">
        <v>30</v>
      </c>
      <c r="D919" s="41" t="s">
        <v>31</v>
      </c>
      <c r="E919" s="40"/>
      <c r="F919" s="49" t="str">
        <f t="shared" ref="F919:J919" ca="1" si="917">IFERROR(__xludf.DUMMYFUNCTION("if (A919 &lt;&gt; """", GOOGLETRANSLATE(A919, ""auto"", ""en""), """")"),"")</f>
        <v/>
      </c>
      <c r="G919" s="49" t="str">
        <f t="shared" ca="1" si="917"/>
        <v/>
      </c>
      <c r="H919" s="49" t="str">
        <f t="shared" ca="1" si="917"/>
        <v/>
      </c>
      <c r="I919" s="49" t="str">
        <f t="shared" ca="1" si="917"/>
        <v/>
      </c>
      <c r="J919" s="49" t="str">
        <f t="shared" ca="1" si="917"/>
        <v/>
      </c>
    </row>
    <row r="920" spans="1:10" ht="12.75" x14ac:dyDescent="0.2">
      <c r="A920" s="40"/>
      <c r="B920" s="40"/>
      <c r="C920" s="40"/>
      <c r="D920" s="40"/>
      <c r="E920" s="40"/>
      <c r="F920" s="49" t="str">
        <f t="shared" ref="F920:J920" ca="1" si="918">IFERROR(__xludf.DUMMYFUNCTION("if (A920 &lt;&gt; """", GOOGLETRANSLATE(A920, ""auto"", ""en""), """")"),"")</f>
        <v/>
      </c>
      <c r="G920" s="49" t="str">
        <f t="shared" ca="1" si="918"/>
        <v/>
      </c>
      <c r="H920" s="49" t="str">
        <f t="shared" ca="1" si="918"/>
        <v/>
      </c>
      <c r="I920" s="49" t="str">
        <f t="shared" ca="1" si="918"/>
        <v/>
      </c>
      <c r="J920" s="49" t="str">
        <f t="shared" ca="1" si="918"/>
        <v/>
      </c>
    </row>
    <row r="921" spans="1:10" ht="12.75" x14ac:dyDescent="0.2">
      <c r="A921" s="41" t="s">
        <v>318</v>
      </c>
      <c r="B921" s="40"/>
      <c r="C921" s="40"/>
      <c r="D921" s="40"/>
      <c r="E921" s="40"/>
      <c r="F921" s="49" t="str">
        <f t="shared" ref="F921:J921" ca="1" si="919">IFERROR(__xludf.DUMMYFUNCTION("if (A921 &lt;&gt; """", GOOGLETRANSLATE(A921, ""auto"", ""en""), """")"),"FAQ-Host3-3")</f>
        <v>FAQ-Host3-3</v>
      </c>
      <c r="G921" s="49" t="str">
        <f t="shared" ca="1" si="919"/>
        <v>FAQ-Host3-3</v>
      </c>
      <c r="H921" s="49" t="str">
        <f t="shared" ca="1" si="919"/>
        <v>FAQ-Host3-3</v>
      </c>
      <c r="I921" s="49" t="str">
        <f t="shared" ca="1" si="919"/>
        <v>FAQ-Host3-3</v>
      </c>
      <c r="J921" s="49" t="str">
        <f t="shared" ca="1" si="919"/>
        <v>FAQ-Host3-3</v>
      </c>
    </row>
    <row r="922" spans="1:10" ht="12.75" x14ac:dyDescent="0.2">
      <c r="A922" s="40"/>
      <c r="B922" s="41" t="s">
        <v>398</v>
      </c>
      <c r="C922" s="40"/>
      <c r="D922" s="40"/>
      <c r="E922" s="40"/>
      <c r="F922" s="49" t="str">
        <f t="shared" ref="F922:J922" ca="1" si="920">IFERROR(__xludf.DUMMYFUNCTION("if (A922 &lt;&gt; """", GOOGLETRANSLATE(A922, ""auto"", ""en""), """")"),"")</f>
        <v/>
      </c>
      <c r="G922" s="49" t="str">
        <f t="shared" ca="1" si="920"/>
        <v/>
      </c>
      <c r="H922" s="49" t="str">
        <f t="shared" ca="1" si="920"/>
        <v/>
      </c>
      <c r="I922" s="49" t="str">
        <f t="shared" ca="1" si="920"/>
        <v/>
      </c>
      <c r="J922" s="49" t="str">
        <f t="shared" ca="1" si="920"/>
        <v/>
      </c>
    </row>
    <row r="923" spans="1:10" ht="12.75" x14ac:dyDescent="0.2">
      <c r="A923" s="40"/>
      <c r="B923" s="41" t="s">
        <v>399</v>
      </c>
      <c r="C923" s="40"/>
      <c r="D923" s="40"/>
      <c r="E923" s="40"/>
      <c r="F923" s="49" t="str">
        <f t="shared" ref="F923:J923" ca="1" si="921">IFERROR(__xludf.DUMMYFUNCTION("if (A923 &lt;&gt; """", GOOGLETRANSLATE(A923, ""auto"", ""en""), """")"),"")</f>
        <v/>
      </c>
      <c r="G923" s="49" t="str">
        <f t="shared" ca="1" si="921"/>
        <v/>
      </c>
      <c r="H923" s="49" t="str">
        <f t="shared" ca="1" si="921"/>
        <v/>
      </c>
      <c r="I923" s="49" t="str">
        <f t="shared" ca="1" si="921"/>
        <v/>
      </c>
      <c r="J923" s="49" t="str">
        <f t="shared" ca="1" si="921"/>
        <v/>
      </c>
    </row>
    <row r="924" spans="1:10" ht="12.75" x14ac:dyDescent="0.2">
      <c r="A924" s="40"/>
      <c r="B924" s="41" t="s">
        <v>400</v>
      </c>
      <c r="C924" s="40"/>
      <c r="D924" s="40"/>
      <c r="E924" s="40"/>
      <c r="F924" s="49" t="str">
        <f t="shared" ref="F924:J924" ca="1" si="922">IFERROR(__xludf.DUMMYFUNCTION("if (A924 &lt;&gt; """", GOOGLETRANSLATE(A924, ""auto"", ""en""), """")"),"")</f>
        <v/>
      </c>
      <c r="G924" s="49" t="str">
        <f t="shared" ca="1" si="922"/>
        <v/>
      </c>
      <c r="H924" s="49" t="str">
        <f t="shared" ca="1" si="922"/>
        <v/>
      </c>
      <c r="I924" s="49" t="str">
        <f t="shared" ca="1" si="922"/>
        <v/>
      </c>
      <c r="J924" s="49" t="str">
        <f t="shared" ca="1" si="922"/>
        <v/>
      </c>
    </row>
    <row r="925" spans="1:10" ht="12.75" x14ac:dyDescent="0.2">
      <c r="A925" s="40"/>
      <c r="B925" s="41" t="s">
        <v>401</v>
      </c>
      <c r="C925" s="41" t="s">
        <v>318</v>
      </c>
      <c r="D925" s="40"/>
      <c r="E925" s="40"/>
      <c r="F925" s="49" t="str">
        <f t="shared" ref="F925:J925" ca="1" si="923">IFERROR(__xludf.DUMMYFUNCTION("if (A925 &lt;&gt; """", GOOGLETRANSLATE(A925, ""auto"", ""en""), """")"),"")</f>
        <v/>
      </c>
      <c r="G925" s="49" t="str">
        <f t="shared" ca="1" si="923"/>
        <v/>
      </c>
      <c r="H925" s="49" t="str">
        <f t="shared" ca="1" si="923"/>
        <v/>
      </c>
      <c r="I925" s="49" t="str">
        <f t="shared" ca="1" si="923"/>
        <v/>
      </c>
      <c r="J925" s="49" t="str">
        <f t="shared" ca="1" si="923"/>
        <v/>
      </c>
    </row>
    <row r="926" spans="1:10" ht="51" x14ac:dyDescent="0.2">
      <c r="A926" s="41" t="s">
        <v>704</v>
      </c>
      <c r="B926" s="41" t="s">
        <v>402</v>
      </c>
      <c r="C926" s="41" t="s">
        <v>586</v>
      </c>
      <c r="D926" s="40"/>
      <c r="E926" s="40"/>
      <c r="F926" s="49" t="str">
        <f t="shared" ref="F926:J926" ca="1" si="924">IFERROR(__xludf.DUMMYFUNCTION("if (A926 &lt;&gt; """", GOOGLETRANSLATE(A926, ""auto"", ""en""), """")"),"Or fees is the time to be taken")</f>
        <v>Or fees is the time to be taken</v>
      </c>
      <c r="G926" s="49" t="str">
        <f t="shared" ca="1" si="924"/>
        <v>Or fees is the time to be taken</v>
      </c>
      <c r="H926" s="49" t="str">
        <f t="shared" ca="1" si="924"/>
        <v>Or fees is the time to be taken</v>
      </c>
      <c r="I926" s="49" t="str">
        <f t="shared" ca="1" si="924"/>
        <v>Or fees is the time to be taken</v>
      </c>
      <c r="J926" s="49" t="str">
        <f t="shared" ca="1" si="924"/>
        <v>Or fees is the time to be taken</v>
      </c>
    </row>
    <row r="927" spans="1:10" ht="38.25" x14ac:dyDescent="0.2">
      <c r="A927" s="41" t="s">
        <v>705</v>
      </c>
      <c r="B927" s="41" t="s">
        <v>402</v>
      </c>
      <c r="C927" s="41" t="s">
        <v>19</v>
      </c>
      <c r="D927" s="40"/>
      <c r="E927" s="40"/>
      <c r="F927" s="49" t="str">
        <f t="shared" ref="F927:J927" ca="1" si="925">IFERROR(__xludf.DUMMYFUNCTION("if (A927 &lt;&gt; """", GOOGLETRANSLATE(A927, ""auto"", ""en""), """")"),"How do I be paid to do is stay fee")</f>
        <v>How do I be paid to do is stay fee</v>
      </c>
      <c r="G927" s="49" t="str">
        <f t="shared" ca="1" si="925"/>
        <v>How do I be paid to do is stay fee</v>
      </c>
      <c r="H927" s="49" t="str">
        <f t="shared" ca="1" si="925"/>
        <v>How do I be paid to do is stay fee</v>
      </c>
      <c r="I927" s="49" t="str">
        <f t="shared" ca="1" si="925"/>
        <v>How do I be paid to do is stay fee</v>
      </c>
      <c r="J927" s="49" t="str">
        <f t="shared" ca="1" si="925"/>
        <v>How do I be paid to do is stay fee</v>
      </c>
    </row>
    <row r="928" spans="1:10" ht="38.25" x14ac:dyDescent="0.2">
      <c r="A928" s="41" t="s">
        <v>706</v>
      </c>
      <c r="B928" s="40"/>
      <c r="C928" s="40"/>
      <c r="D928" s="40"/>
      <c r="E928" s="40"/>
      <c r="F928" s="49" t="str">
        <f t="shared" ref="F928:J928" ca="1" si="926">IFERROR(__xludf.DUMMYFUNCTION("if (A928 &lt;&gt; """", GOOGLETRANSLATE(A928, ""auto"", ""en""), """")"),"When is the payment of the stay fee?")</f>
        <v>When is the payment of the stay fee?</v>
      </c>
      <c r="G928" s="49" t="str">
        <f t="shared" ca="1" si="926"/>
        <v>When is the payment of the stay fee?</v>
      </c>
      <c r="H928" s="49" t="str">
        <f t="shared" ca="1" si="926"/>
        <v>When is the payment of the stay fee?</v>
      </c>
      <c r="I928" s="49" t="str">
        <f t="shared" ca="1" si="926"/>
        <v>When is the payment of the stay fee?</v>
      </c>
      <c r="J928" s="49" t="str">
        <f t="shared" ca="1" si="926"/>
        <v>When is the payment of the stay fee?</v>
      </c>
    </row>
    <row r="929" spans="1:10" ht="38.25" x14ac:dyDescent="0.2">
      <c r="A929" s="41" t="s">
        <v>707</v>
      </c>
      <c r="B929" s="40"/>
      <c r="C929" s="40"/>
      <c r="D929" s="40"/>
      <c r="E929" s="40"/>
      <c r="F929" s="49" t="str">
        <f t="shared" ref="F929:J929" ca="1" si="927">IFERROR(__xludf.DUMMYFUNCTION("if (A929 &lt;&gt; """", GOOGLETRANSLATE(A929, ""auto"", ""en""), """")"),"When did you get the stay charge")</f>
        <v>When did you get the stay charge</v>
      </c>
      <c r="G929" s="49" t="str">
        <f t="shared" ca="1" si="927"/>
        <v>When did you get the stay charge</v>
      </c>
      <c r="H929" s="49" t="str">
        <f t="shared" ca="1" si="927"/>
        <v>When did you get the stay charge</v>
      </c>
      <c r="I929" s="49" t="str">
        <f t="shared" ca="1" si="927"/>
        <v>When did you get the stay charge</v>
      </c>
      <c r="J929" s="49" t="str">
        <f t="shared" ca="1" si="927"/>
        <v>When did you get the stay charge</v>
      </c>
    </row>
    <row r="930" spans="1:10" ht="38.25" x14ac:dyDescent="0.2">
      <c r="A930" s="41" t="s">
        <v>708</v>
      </c>
      <c r="B930" s="40"/>
      <c r="C930" s="40"/>
      <c r="D930" s="40"/>
      <c r="E930" s="40"/>
      <c r="F930" s="49" t="str">
        <f t="shared" ref="F930:J930" ca="1" si="928">IFERROR(__xludf.DUMMYFUNCTION("if (A930 &lt;&gt; """", GOOGLETRANSLATE(A930, ""auto"", ""en""), """")"),"How do I receive to do is stay fee")</f>
        <v>How do I receive to do is stay fee</v>
      </c>
      <c r="G930" s="49" t="str">
        <f t="shared" ca="1" si="928"/>
        <v>How do I receive to do is stay fee</v>
      </c>
      <c r="H930" s="49" t="str">
        <f t="shared" ca="1" si="928"/>
        <v>How do I receive to do is stay fee</v>
      </c>
      <c r="I930" s="49" t="str">
        <f t="shared" ca="1" si="928"/>
        <v>How do I receive to do is stay fee</v>
      </c>
      <c r="J930" s="49" t="str">
        <f t="shared" ca="1" si="928"/>
        <v>How do I receive to do is stay fee</v>
      </c>
    </row>
    <row r="931" spans="1:10" ht="38.25" x14ac:dyDescent="0.2">
      <c r="A931" s="41" t="s">
        <v>317</v>
      </c>
      <c r="B931" s="40"/>
      <c r="C931" s="40"/>
      <c r="D931" s="40"/>
      <c r="E931" s="40"/>
      <c r="F931" s="49" t="str">
        <f t="shared" ref="F931:J931" ca="1" si="929">IFERROR(__xludf.DUMMYFUNCTION("if (A931 &lt;&gt; """", GOOGLETRANSLATE(A931, ""auto"", ""en""), """")"),"For receipt of the stay Rates")</f>
        <v>For receipt of the stay Rates</v>
      </c>
      <c r="G931" s="49" t="str">
        <f t="shared" ca="1" si="929"/>
        <v>For receipt of the stay Rates</v>
      </c>
      <c r="H931" s="49" t="str">
        <f t="shared" ca="1" si="929"/>
        <v>For receipt of the stay Rates</v>
      </c>
      <c r="I931" s="49" t="str">
        <f t="shared" ca="1" si="929"/>
        <v>For receipt of the stay Rates</v>
      </c>
      <c r="J931" s="49" t="str">
        <f t="shared" ca="1" si="929"/>
        <v>For receipt of the stay Rates</v>
      </c>
    </row>
    <row r="932" spans="1:10" ht="12.75" x14ac:dyDescent="0.2">
      <c r="A932" s="40"/>
      <c r="B932" s="41" t="s">
        <v>403</v>
      </c>
      <c r="C932" s="41" t="s">
        <v>24</v>
      </c>
      <c r="D932" s="41" t="s">
        <v>26</v>
      </c>
      <c r="E932" s="40"/>
      <c r="F932" s="49" t="str">
        <f t="shared" ref="F932:J932" ca="1" si="930">IFERROR(__xludf.DUMMYFUNCTION("if (A932 &lt;&gt; """", GOOGLETRANSLATE(A932, ""auto"", ""en""), """")"),"")</f>
        <v/>
      </c>
      <c r="G932" s="49" t="str">
        <f t="shared" ca="1" si="930"/>
        <v/>
      </c>
      <c r="H932" s="49" t="str">
        <f t="shared" ca="1" si="930"/>
        <v/>
      </c>
      <c r="I932" s="49" t="str">
        <f t="shared" ca="1" si="930"/>
        <v/>
      </c>
      <c r="J932" s="49" t="str">
        <f t="shared" ca="1" si="930"/>
        <v/>
      </c>
    </row>
    <row r="933" spans="1:10" ht="12.75" x14ac:dyDescent="0.2">
      <c r="A933" s="40"/>
      <c r="B933" s="41" t="s">
        <v>403</v>
      </c>
      <c r="C933" s="41" t="s">
        <v>32</v>
      </c>
      <c r="D933" s="41" t="s">
        <v>29</v>
      </c>
      <c r="E933" s="40"/>
      <c r="F933" s="49" t="str">
        <f t="shared" ref="F933:J933" ca="1" si="931">IFERROR(__xludf.DUMMYFUNCTION("if (A933 &lt;&gt; """", GOOGLETRANSLATE(A933, ""auto"", ""en""), """")"),"")</f>
        <v/>
      </c>
      <c r="G933" s="49" t="str">
        <f t="shared" ca="1" si="931"/>
        <v/>
      </c>
      <c r="H933" s="49" t="str">
        <f t="shared" ca="1" si="931"/>
        <v/>
      </c>
      <c r="I933" s="49" t="str">
        <f t="shared" ca="1" si="931"/>
        <v/>
      </c>
      <c r="J933" s="49" t="str">
        <f t="shared" ca="1" si="931"/>
        <v/>
      </c>
    </row>
    <row r="934" spans="1:10" ht="12.75" x14ac:dyDescent="0.2">
      <c r="A934" s="40"/>
      <c r="B934" s="41" t="s">
        <v>403</v>
      </c>
      <c r="C934" s="41" t="s">
        <v>25</v>
      </c>
      <c r="D934" s="41" t="s">
        <v>27</v>
      </c>
      <c r="E934" s="40"/>
      <c r="F934" s="49" t="str">
        <f t="shared" ref="F934:J934" ca="1" si="932">IFERROR(__xludf.DUMMYFUNCTION("if (A934 &lt;&gt; """", GOOGLETRANSLATE(A934, ""auto"", ""en""), """")"),"")</f>
        <v/>
      </c>
      <c r="G934" s="49" t="str">
        <f t="shared" ca="1" si="932"/>
        <v/>
      </c>
      <c r="H934" s="49" t="str">
        <f t="shared" ca="1" si="932"/>
        <v/>
      </c>
      <c r="I934" s="49" t="str">
        <f t="shared" ca="1" si="932"/>
        <v/>
      </c>
      <c r="J934" s="49" t="str">
        <f t="shared" ca="1" si="932"/>
        <v/>
      </c>
    </row>
    <row r="935" spans="1:10" ht="12.75" x14ac:dyDescent="0.2">
      <c r="A935" s="40"/>
      <c r="B935" s="41" t="s">
        <v>403</v>
      </c>
      <c r="C935" s="41" t="s">
        <v>30</v>
      </c>
      <c r="D935" s="41" t="s">
        <v>31</v>
      </c>
      <c r="E935" s="40"/>
      <c r="F935" s="49" t="str">
        <f t="shared" ref="F935:J935" ca="1" si="933">IFERROR(__xludf.DUMMYFUNCTION("if (A935 &lt;&gt; """", GOOGLETRANSLATE(A935, ""auto"", ""en""), """")"),"")</f>
        <v/>
      </c>
      <c r="G935" s="49" t="str">
        <f t="shared" ca="1" si="933"/>
        <v/>
      </c>
      <c r="H935" s="49" t="str">
        <f t="shared" ca="1" si="933"/>
        <v/>
      </c>
      <c r="I935" s="49" t="str">
        <f t="shared" ca="1" si="933"/>
        <v/>
      </c>
      <c r="J935" s="49" t="str">
        <f t="shared" ca="1" si="933"/>
        <v/>
      </c>
    </row>
    <row r="936" spans="1:10" ht="12.75" x14ac:dyDescent="0.2">
      <c r="A936" s="40"/>
      <c r="B936" s="40"/>
      <c r="C936" s="40"/>
      <c r="D936" s="40"/>
      <c r="E936" s="40"/>
      <c r="F936" s="49" t="str">
        <f t="shared" ref="F936:J936" ca="1" si="934">IFERROR(__xludf.DUMMYFUNCTION("if (A936 &lt;&gt; """", GOOGLETRANSLATE(A936, ""auto"", ""en""), """")"),"")</f>
        <v/>
      </c>
      <c r="G936" s="49" t="str">
        <f t="shared" ca="1" si="934"/>
        <v/>
      </c>
      <c r="H936" s="49" t="str">
        <f t="shared" ca="1" si="934"/>
        <v/>
      </c>
      <c r="I936" s="49" t="str">
        <f t="shared" ca="1" si="934"/>
        <v/>
      </c>
      <c r="J936" s="49" t="str">
        <f t="shared" ca="1" si="934"/>
        <v/>
      </c>
    </row>
    <row r="937" spans="1:10" ht="12.75" x14ac:dyDescent="0.2">
      <c r="A937" s="41" t="s">
        <v>321</v>
      </c>
      <c r="B937" s="40"/>
      <c r="C937" s="40"/>
      <c r="D937" s="40"/>
      <c r="E937" s="40"/>
      <c r="F937" s="49" t="str">
        <f t="shared" ref="F937:J937" ca="1" si="935">IFERROR(__xludf.DUMMYFUNCTION("if (A937 &lt;&gt; """", GOOGLETRANSLATE(A937, ""auto"", ""en""), """")"),"FAQ-Host3-4")</f>
        <v>FAQ-Host3-4</v>
      </c>
      <c r="G937" s="49" t="str">
        <f t="shared" ca="1" si="935"/>
        <v>FAQ-Host3-4</v>
      </c>
      <c r="H937" s="49" t="str">
        <f t="shared" ca="1" si="935"/>
        <v>FAQ-Host3-4</v>
      </c>
      <c r="I937" s="49" t="str">
        <f t="shared" ca="1" si="935"/>
        <v>FAQ-Host3-4</v>
      </c>
      <c r="J937" s="49" t="str">
        <f t="shared" ca="1" si="935"/>
        <v>FAQ-Host3-4</v>
      </c>
    </row>
    <row r="938" spans="1:10" ht="12.75" x14ac:dyDescent="0.2">
      <c r="A938" s="40"/>
      <c r="B938" s="41" t="s">
        <v>398</v>
      </c>
      <c r="C938" s="40"/>
      <c r="D938" s="40"/>
      <c r="E938" s="40"/>
      <c r="F938" s="49" t="str">
        <f t="shared" ref="F938:J938" ca="1" si="936">IFERROR(__xludf.DUMMYFUNCTION("if (A938 &lt;&gt; """", GOOGLETRANSLATE(A938, ""auto"", ""en""), """")"),"")</f>
        <v/>
      </c>
      <c r="G938" s="49" t="str">
        <f t="shared" ca="1" si="936"/>
        <v/>
      </c>
      <c r="H938" s="49" t="str">
        <f t="shared" ca="1" si="936"/>
        <v/>
      </c>
      <c r="I938" s="49" t="str">
        <f t="shared" ca="1" si="936"/>
        <v/>
      </c>
      <c r="J938" s="49" t="str">
        <f t="shared" ca="1" si="936"/>
        <v/>
      </c>
    </row>
    <row r="939" spans="1:10" ht="12.75" x14ac:dyDescent="0.2">
      <c r="A939" s="40"/>
      <c r="B939" s="41" t="s">
        <v>399</v>
      </c>
      <c r="C939" s="40"/>
      <c r="D939" s="40"/>
      <c r="E939" s="40"/>
      <c r="F939" s="49" t="str">
        <f t="shared" ref="F939:J939" ca="1" si="937">IFERROR(__xludf.DUMMYFUNCTION("if (A939 &lt;&gt; """", GOOGLETRANSLATE(A939, ""auto"", ""en""), """")"),"")</f>
        <v/>
      </c>
      <c r="G939" s="49" t="str">
        <f t="shared" ca="1" si="937"/>
        <v/>
      </c>
      <c r="H939" s="49" t="str">
        <f t="shared" ca="1" si="937"/>
        <v/>
      </c>
      <c r="I939" s="49" t="str">
        <f t="shared" ca="1" si="937"/>
        <v/>
      </c>
      <c r="J939" s="49" t="str">
        <f t="shared" ca="1" si="937"/>
        <v/>
      </c>
    </row>
    <row r="940" spans="1:10" ht="12.75" x14ac:dyDescent="0.2">
      <c r="A940" s="40"/>
      <c r="B940" s="41" t="s">
        <v>400</v>
      </c>
      <c r="C940" s="40"/>
      <c r="D940" s="40"/>
      <c r="E940" s="40"/>
      <c r="F940" s="49" t="str">
        <f t="shared" ref="F940:J940" ca="1" si="938">IFERROR(__xludf.DUMMYFUNCTION("if (A940 &lt;&gt; """", GOOGLETRANSLATE(A940, ""auto"", ""en""), """")"),"")</f>
        <v/>
      </c>
      <c r="G940" s="49" t="str">
        <f t="shared" ca="1" si="938"/>
        <v/>
      </c>
      <c r="H940" s="49" t="str">
        <f t="shared" ca="1" si="938"/>
        <v/>
      </c>
      <c r="I940" s="49" t="str">
        <f t="shared" ca="1" si="938"/>
        <v/>
      </c>
      <c r="J940" s="49" t="str">
        <f t="shared" ca="1" si="938"/>
        <v/>
      </c>
    </row>
    <row r="941" spans="1:10" ht="12.75" x14ac:dyDescent="0.2">
      <c r="A941" s="40"/>
      <c r="B941" s="41" t="s">
        <v>401</v>
      </c>
      <c r="C941" s="41" t="s">
        <v>321</v>
      </c>
      <c r="D941" s="40"/>
      <c r="E941" s="40"/>
      <c r="F941" s="49" t="str">
        <f t="shared" ref="F941:J941" ca="1" si="939">IFERROR(__xludf.DUMMYFUNCTION("if (A941 &lt;&gt; """", GOOGLETRANSLATE(A941, ""auto"", ""en""), """")"),"")</f>
        <v/>
      </c>
      <c r="G941" s="49" t="str">
        <f t="shared" ca="1" si="939"/>
        <v/>
      </c>
      <c r="H941" s="49" t="str">
        <f t="shared" ca="1" si="939"/>
        <v/>
      </c>
      <c r="I941" s="49" t="str">
        <f t="shared" ca="1" si="939"/>
        <v/>
      </c>
      <c r="J941" s="49" t="str">
        <f t="shared" ca="1" si="939"/>
        <v/>
      </c>
    </row>
    <row r="942" spans="1:10" ht="76.5" x14ac:dyDescent="0.2">
      <c r="A942" s="41" t="s">
        <v>709</v>
      </c>
      <c r="B942" s="41" t="s">
        <v>402</v>
      </c>
      <c r="C942" s="41" t="s">
        <v>710</v>
      </c>
      <c r="D942" s="40"/>
      <c r="E942" s="40"/>
      <c r="F942" s="49" t="str">
        <f t="shared" ref="F942:J942" ca="1" si="940">IFERROR(__xludf.DUMMYFUNCTION("if (A942 &lt;&gt; """", GOOGLETRANSLATE(A942, ""auto"", ""en""), """")"),"How much the commission is taken")</f>
        <v>How much the commission is taken</v>
      </c>
      <c r="G942" s="49" t="str">
        <f t="shared" ca="1" si="940"/>
        <v>How much the commission is taken</v>
      </c>
      <c r="H942" s="49" t="str">
        <f t="shared" ca="1" si="940"/>
        <v>How much the commission is taken</v>
      </c>
      <c r="I942" s="49" t="str">
        <f t="shared" ca="1" si="940"/>
        <v>How much the commission is taken</v>
      </c>
      <c r="J942" s="49" t="str">
        <f t="shared" ca="1" si="940"/>
        <v>How much the commission is taken</v>
      </c>
    </row>
    <row r="943" spans="1:10" ht="38.25" x14ac:dyDescent="0.2">
      <c r="A943" s="41" t="s">
        <v>711</v>
      </c>
      <c r="B943" s="41" t="s">
        <v>402</v>
      </c>
      <c r="C943" s="41" t="s">
        <v>19</v>
      </c>
      <c r="D943" s="40"/>
      <c r="E943" s="40"/>
      <c r="F943" s="49" t="str">
        <f t="shared" ref="F943:J943" ca="1" si="941">IFERROR(__xludf.DUMMYFUNCTION("if (A943 &lt;&gt; """", GOOGLETRANSLATE(A943, ""auto"", ""en""), """")"),"The commission is much taken")</f>
        <v>The commission is much taken</v>
      </c>
      <c r="G943" s="49" t="str">
        <f t="shared" ca="1" si="941"/>
        <v>The commission is much taken</v>
      </c>
      <c r="H943" s="49" t="str">
        <f t="shared" ca="1" si="941"/>
        <v>The commission is much taken</v>
      </c>
      <c r="I943" s="49" t="str">
        <f t="shared" ca="1" si="941"/>
        <v>The commission is much taken</v>
      </c>
      <c r="J943" s="49" t="str">
        <f t="shared" ca="1" si="941"/>
        <v>The commission is much taken</v>
      </c>
    </row>
    <row r="944" spans="1:10" ht="51" x14ac:dyDescent="0.2">
      <c r="A944" s="41" t="s">
        <v>712</v>
      </c>
      <c r="B944" s="40"/>
      <c r="C944" s="40"/>
      <c r="D944" s="40"/>
      <c r="E944" s="40"/>
      <c r="F944" s="49" t="str">
        <f t="shared" ref="F944:J944" ca="1" si="942">IFERROR(__xludf.DUMMYFUNCTION("if (A944 &lt;&gt; """", GOOGLETRANSLATE(A944, ""auto"", ""en""), """")"),"Or commission is how much take the")</f>
        <v>Or commission is how much take the</v>
      </c>
      <c r="G944" s="49" t="str">
        <f t="shared" ca="1" si="942"/>
        <v>Or commission is how much take the</v>
      </c>
      <c r="H944" s="49" t="str">
        <f t="shared" ca="1" si="942"/>
        <v>Or commission is how much take the</v>
      </c>
      <c r="I944" s="49" t="str">
        <f t="shared" ca="1" si="942"/>
        <v>Or commission is how much take the</v>
      </c>
      <c r="J944" s="49" t="str">
        <f t="shared" ca="1" si="942"/>
        <v>Or commission is how much take the</v>
      </c>
    </row>
    <row r="945" spans="1:10" ht="25.5" x14ac:dyDescent="0.2">
      <c r="A945" s="41" t="s">
        <v>320</v>
      </c>
      <c r="B945" s="40"/>
      <c r="C945" s="40"/>
      <c r="D945" s="40"/>
      <c r="E945" s="40"/>
      <c r="F945" s="49" t="str">
        <f t="shared" ref="F945:J945" ca="1" si="943">IFERROR(__xludf.DUMMYFUNCTION("if (A945 &lt;&gt; """", GOOGLETRANSLATE(A945, ""auto"", ""en""), """")"),"About commission")</f>
        <v>About commission</v>
      </c>
      <c r="G945" s="49" t="str">
        <f t="shared" ca="1" si="943"/>
        <v>About commission</v>
      </c>
      <c r="H945" s="49" t="str">
        <f t="shared" ca="1" si="943"/>
        <v>About commission</v>
      </c>
      <c r="I945" s="49" t="str">
        <f t="shared" ca="1" si="943"/>
        <v>About commission</v>
      </c>
      <c r="J945" s="49" t="str">
        <f t="shared" ca="1" si="943"/>
        <v>About commission</v>
      </c>
    </row>
    <row r="946" spans="1:10" ht="12.75" x14ac:dyDescent="0.2">
      <c r="A946" s="40"/>
      <c r="B946" s="41" t="s">
        <v>403</v>
      </c>
      <c r="C946" s="41" t="s">
        <v>24</v>
      </c>
      <c r="D946" s="41" t="s">
        <v>26</v>
      </c>
      <c r="E946" s="40"/>
      <c r="F946" s="49" t="str">
        <f t="shared" ref="F946:J946" ca="1" si="944">IFERROR(__xludf.DUMMYFUNCTION("if (A946 &lt;&gt; """", GOOGLETRANSLATE(A946, ""auto"", ""en""), """")"),"")</f>
        <v/>
      </c>
      <c r="G946" s="49" t="str">
        <f t="shared" ca="1" si="944"/>
        <v/>
      </c>
      <c r="H946" s="49" t="str">
        <f t="shared" ca="1" si="944"/>
        <v/>
      </c>
      <c r="I946" s="49" t="str">
        <f t="shared" ca="1" si="944"/>
        <v/>
      </c>
      <c r="J946" s="49" t="str">
        <f t="shared" ca="1" si="944"/>
        <v/>
      </c>
    </row>
    <row r="947" spans="1:10" ht="12.75" x14ac:dyDescent="0.2">
      <c r="A947" s="40"/>
      <c r="B947" s="41" t="s">
        <v>403</v>
      </c>
      <c r="C947" s="41" t="s">
        <v>32</v>
      </c>
      <c r="D947" s="41" t="s">
        <v>29</v>
      </c>
      <c r="E947" s="40"/>
      <c r="F947" s="49" t="str">
        <f t="shared" ref="F947:J947" ca="1" si="945">IFERROR(__xludf.DUMMYFUNCTION("if (A947 &lt;&gt; """", GOOGLETRANSLATE(A947, ""auto"", ""en""), """")"),"")</f>
        <v/>
      </c>
      <c r="G947" s="49" t="str">
        <f t="shared" ca="1" si="945"/>
        <v/>
      </c>
      <c r="H947" s="49" t="str">
        <f t="shared" ca="1" si="945"/>
        <v/>
      </c>
      <c r="I947" s="49" t="str">
        <f t="shared" ca="1" si="945"/>
        <v/>
      </c>
      <c r="J947" s="49" t="str">
        <f t="shared" ca="1" si="945"/>
        <v/>
      </c>
    </row>
    <row r="948" spans="1:10" ht="12.75" x14ac:dyDescent="0.2">
      <c r="A948" s="40"/>
      <c r="B948" s="41" t="s">
        <v>403</v>
      </c>
      <c r="C948" s="41" t="s">
        <v>25</v>
      </c>
      <c r="D948" s="41" t="s">
        <v>27</v>
      </c>
      <c r="E948" s="40"/>
      <c r="F948" s="49" t="str">
        <f t="shared" ref="F948:J948" ca="1" si="946">IFERROR(__xludf.DUMMYFUNCTION("if (A948 &lt;&gt; """", GOOGLETRANSLATE(A948, ""auto"", ""en""), """")"),"")</f>
        <v/>
      </c>
      <c r="G948" s="49" t="str">
        <f t="shared" ca="1" si="946"/>
        <v/>
      </c>
      <c r="H948" s="49" t="str">
        <f t="shared" ca="1" si="946"/>
        <v/>
      </c>
      <c r="I948" s="49" t="str">
        <f t="shared" ca="1" si="946"/>
        <v/>
      </c>
      <c r="J948" s="49" t="str">
        <f t="shared" ca="1" si="946"/>
        <v/>
      </c>
    </row>
    <row r="949" spans="1:10" ht="12.75" x14ac:dyDescent="0.2">
      <c r="A949" s="40"/>
      <c r="B949" s="41" t="s">
        <v>403</v>
      </c>
      <c r="C949" s="41" t="s">
        <v>30</v>
      </c>
      <c r="D949" s="41" t="s">
        <v>31</v>
      </c>
      <c r="E949" s="40"/>
      <c r="F949" s="49" t="str">
        <f t="shared" ref="F949:J949" ca="1" si="947">IFERROR(__xludf.DUMMYFUNCTION("if (A949 &lt;&gt; """", GOOGLETRANSLATE(A949, ""auto"", ""en""), """")"),"")</f>
        <v/>
      </c>
      <c r="G949" s="49" t="str">
        <f t="shared" ca="1" si="947"/>
        <v/>
      </c>
      <c r="H949" s="49" t="str">
        <f t="shared" ca="1" si="947"/>
        <v/>
      </c>
      <c r="I949" s="49" t="str">
        <f t="shared" ca="1" si="947"/>
        <v/>
      </c>
      <c r="J949" s="49" t="str">
        <f t="shared" ca="1" si="947"/>
        <v/>
      </c>
    </row>
    <row r="950" spans="1:10" ht="12.75" x14ac:dyDescent="0.2">
      <c r="A950" s="40"/>
      <c r="B950" s="40"/>
      <c r="C950" s="40"/>
      <c r="D950" s="40"/>
      <c r="E950" s="40"/>
      <c r="F950" s="49" t="str">
        <f t="shared" ref="F950:J950" ca="1" si="948">IFERROR(__xludf.DUMMYFUNCTION("if (A950 &lt;&gt; """", GOOGLETRANSLATE(A950, ""auto"", ""en""), """")"),"")</f>
        <v/>
      </c>
      <c r="G950" s="49" t="str">
        <f t="shared" ca="1" si="948"/>
        <v/>
      </c>
      <c r="H950" s="49" t="str">
        <f t="shared" ca="1" si="948"/>
        <v/>
      </c>
      <c r="I950" s="49" t="str">
        <f t="shared" ca="1" si="948"/>
        <v/>
      </c>
      <c r="J950" s="49" t="str">
        <f t="shared" ca="1" si="948"/>
        <v/>
      </c>
    </row>
    <row r="951" spans="1:10" ht="12.75" x14ac:dyDescent="0.2">
      <c r="A951" s="41" t="s">
        <v>300</v>
      </c>
      <c r="B951" s="40"/>
      <c r="C951" s="40"/>
      <c r="D951" s="40"/>
      <c r="E951" s="40"/>
      <c r="F951" s="49" t="str">
        <f t="shared" ref="F951:J951" ca="1" si="949">IFERROR(__xludf.DUMMYFUNCTION("if (A951 &lt;&gt; """", GOOGLETRANSLATE(A951, ""auto"", ""en""), """")"),"FAQ-Host3")</f>
        <v>FAQ-Host3</v>
      </c>
      <c r="G951" s="49" t="str">
        <f t="shared" ca="1" si="949"/>
        <v>FAQ-Host3</v>
      </c>
      <c r="H951" s="49" t="str">
        <f t="shared" ca="1" si="949"/>
        <v>FAQ-Host3</v>
      </c>
      <c r="I951" s="49" t="str">
        <f t="shared" ca="1" si="949"/>
        <v>FAQ-Host3</v>
      </c>
      <c r="J951" s="49" t="str">
        <f t="shared" ca="1" si="949"/>
        <v>FAQ-Host3</v>
      </c>
    </row>
    <row r="952" spans="1:10" ht="12.75" x14ac:dyDescent="0.2">
      <c r="A952" s="40"/>
      <c r="B952" s="41" t="s">
        <v>398</v>
      </c>
      <c r="C952" s="40"/>
      <c r="D952" s="40"/>
      <c r="E952" s="40"/>
      <c r="F952" s="49" t="str">
        <f t="shared" ref="F952:J952" ca="1" si="950">IFERROR(__xludf.DUMMYFUNCTION("if (A952 &lt;&gt; """", GOOGLETRANSLATE(A952, ""auto"", ""en""), """")"),"")</f>
        <v/>
      </c>
      <c r="G952" s="49" t="str">
        <f t="shared" ca="1" si="950"/>
        <v/>
      </c>
      <c r="H952" s="49" t="str">
        <f t="shared" ca="1" si="950"/>
        <v/>
      </c>
      <c r="I952" s="49" t="str">
        <f t="shared" ca="1" si="950"/>
        <v/>
      </c>
      <c r="J952" s="49" t="str">
        <f t="shared" ca="1" si="950"/>
        <v/>
      </c>
    </row>
    <row r="953" spans="1:10" ht="12.75" x14ac:dyDescent="0.2">
      <c r="A953" s="40"/>
      <c r="B953" s="41" t="s">
        <v>399</v>
      </c>
      <c r="C953" s="40"/>
      <c r="D953" s="40"/>
      <c r="E953" s="40"/>
      <c r="F953" s="49" t="str">
        <f t="shared" ref="F953:J953" ca="1" si="951">IFERROR(__xludf.DUMMYFUNCTION("if (A953 &lt;&gt; """", GOOGLETRANSLATE(A953, ""auto"", ""en""), """")"),"")</f>
        <v/>
      </c>
      <c r="G953" s="49" t="str">
        <f t="shared" ca="1" si="951"/>
        <v/>
      </c>
      <c r="H953" s="49" t="str">
        <f t="shared" ca="1" si="951"/>
        <v/>
      </c>
      <c r="I953" s="49" t="str">
        <f t="shared" ca="1" si="951"/>
        <v/>
      </c>
      <c r="J953" s="49" t="str">
        <f t="shared" ca="1" si="951"/>
        <v/>
      </c>
    </row>
    <row r="954" spans="1:10" ht="12.75" x14ac:dyDescent="0.2">
      <c r="A954" s="40"/>
      <c r="B954" s="41" t="s">
        <v>400</v>
      </c>
      <c r="C954" s="40"/>
      <c r="D954" s="40"/>
      <c r="E954" s="40"/>
      <c r="F954" s="49" t="str">
        <f t="shared" ref="F954:J954" ca="1" si="952">IFERROR(__xludf.DUMMYFUNCTION("if (A954 &lt;&gt; """", GOOGLETRANSLATE(A954, ""auto"", ""en""), """")"),"")</f>
        <v/>
      </c>
      <c r="G954" s="49" t="str">
        <f t="shared" ca="1" si="952"/>
        <v/>
      </c>
      <c r="H954" s="49" t="str">
        <f t="shared" ca="1" si="952"/>
        <v/>
      </c>
      <c r="I954" s="49" t="str">
        <f t="shared" ca="1" si="952"/>
        <v/>
      </c>
      <c r="J954" s="49" t="str">
        <f t="shared" ca="1" si="952"/>
        <v/>
      </c>
    </row>
    <row r="955" spans="1:10" ht="12.75" x14ac:dyDescent="0.2">
      <c r="A955" s="40"/>
      <c r="B955" s="41" t="s">
        <v>401</v>
      </c>
      <c r="C955" s="41" t="s">
        <v>300</v>
      </c>
      <c r="D955" s="40"/>
      <c r="E955" s="40"/>
      <c r="F955" s="49" t="str">
        <f t="shared" ref="F955:J955" ca="1" si="953">IFERROR(__xludf.DUMMYFUNCTION("if (A955 &lt;&gt; """", GOOGLETRANSLATE(A955, ""auto"", ""en""), """")"),"")</f>
        <v/>
      </c>
      <c r="G955" s="49" t="str">
        <f t="shared" ca="1" si="953"/>
        <v/>
      </c>
      <c r="H955" s="49" t="str">
        <f t="shared" ca="1" si="953"/>
        <v/>
      </c>
      <c r="I955" s="49" t="str">
        <f t="shared" ca="1" si="953"/>
        <v/>
      </c>
      <c r="J955" s="49" t="str">
        <f t="shared" ca="1" si="953"/>
        <v/>
      </c>
    </row>
    <row r="956" spans="1:10" ht="25.5" x14ac:dyDescent="0.2">
      <c r="A956" s="41" t="s">
        <v>713</v>
      </c>
      <c r="B956" s="41" t="s">
        <v>402</v>
      </c>
      <c r="C956" s="41" t="s">
        <v>302</v>
      </c>
      <c r="D956" s="40"/>
      <c r="E956" s="40"/>
      <c r="F956" s="49" t="str">
        <f t="shared" ref="F956:J956" ca="1" si="954">IFERROR(__xludf.DUMMYFUNCTION("if (A956 &lt;&gt; """", GOOGLETRANSLATE(A956, ""auto"", ""en""), """")"),"Rate of charge")</f>
        <v>Rate of charge</v>
      </c>
      <c r="G956" s="49" t="str">
        <f t="shared" ca="1" si="954"/>
        <v>Rate of charge</v>
      </c>
      <c r="H956" s="49" t="str">
        <f t="shared" ca="1" si="954"/>
        <v>Rate of charge</v>
      </c>
      <c r="I956" s="49" t="str">
        <f t="shared" ca="1" si="954"/>
        <v>Rate of charge</v>
      </c>
      <c r="J956" s="49" t="str">
        <f t="shared" ca="1" si="954"/>
        <v>Rate of charge</v>
      </c>
    </row>
    <row r="957" spans="1:10" ht="25.5" x14ac:dyDescent="0.2">
      <c r="A957" s="41" t="s">
        <v>714</v>
      </c>
      <c r="B957" s="40"/>
      <c r="C957" s="40"/>
      <c r="D957" s="40"/>
      <c r="E957" s="40"/>
      <c r="F957" s="49" t="str">
        <f t="shared" ref="F957:J957" ca="1" si="955">IFERROR(__xludf.DUMMYFUNCTION("if (A957 &lt;&gt; """", GOOGLETRANSLATE(A957, ""auto"", ""en""), """")"),"How do you decide the fee")</f>
        <v>How do you decide the fee</v>
      </c>
      <c r="G957" s="49" t="str">
        <f t="shared" ca="1" si="955"/>
        <v>How do you decide the fee</v>
      </c>
      <c r="H957" s="49" t="str">
        <f t="shared" ca="1" si="955"/>
        <v>How do you decide the fee</v>
      </c>
      <c r="I957" s="49" t="str">
        <f t="shared" ca="1" si="955"/>
        <v>How do you decide the fee</v>
      </c>
      <c r="J957" s="49" t="str">
        <f t="shared" ca="1" si="955"/>
        <v>How do you decide the fee</v>
      </c>
    </row>
    <row r="958" spans="1:10" ht="38.25" x14ac:dyDescent="0.2">
      <c r="A958" s="41" t="s">
        <v>715</v>
      </c>
      <c r="B958" s="40"/>
      <c r="C958" s="40"/>
      <c r="D958" s="40"/>
      <c r="E958" s="40"/>
      <c r="F958" s="49" t="str">
        <f t="shared" ref="F958:J958" ca="1" si="956">IFERROR(__xludf.DUMMYFUNCTION("if (A958 &lt;&gt; """", GOOGLETRANSLATE(A958, ""auto"", ""en""), """")"),"Prices How much is the good")</f>
        <v>Prices How much is the good</v>
      </c>
      <c r="G958" s="49" t="str">
        <f t="shared" ca="1" si="956"/>
        <v>Prices How much is the good</v>
      </c>
      <c r="H958" s="49" t="str">
        <f t="shared" ca="1" si="956"/>
        <v>Prices How much is the good</v>
      </c>
      <c r="I958" s="49" t="str">
        <f t="shared" ca="1" si="956"/>
        <v>Prices How much is the good</v>
      </c>
      <c r="J958" s="49" t="str">
        <f t="shared" ca="1" si="956"/>
        <v>Prices How much is the good</v>
      </c>
    </row>
    <row r="959" spans="1:10" ht="25.5" x14ac:dyDescent="0.2">
      <c r="A959" s="41" t="s">
        <v>716</v>
      </c>
      <c r="B959" s="40"/>
      <c r="C959" s="40"/>
      <c r="D959" s="40"/>
      <c r="E959" s="40"/>
      <c r="F959" s="49" t="str">
        <f t="shared" ref="F959:J959" ca="1" si="957">IFERROR(__xludf.DUMMYFUNCTION("if (A959 &lt;&gt; """", GOOGLETRANSLATE(A959, ""auto"", ""en""), """")"),"For Setting Prices")</f>
        <v>For Setting Prices</v>
      </c>
      <c r="G959" s="49" t="str">
        <f t="shared" ca="1" si="957"/>
        <v>For Setting Prices</v>
      </c>
      <c r="H959" s="49" t="str">
        <f t="shared" ca="1" si="957"/>
        <v>For Setting Prices</v>
      </c>
      <c r="I959" s="49" t="str">
        <f t="shared" ca="1" si="957"/>
        <v>For Setting Prices</v>
      </c>
      <c r="J959" s="49" t="str">
        <f t="shared" ca="1" si="957"/>
        <v>For Setting Prices</v>
      </c>
    </row>
    <row r="960" spans="1:10" ht="12.75" x14ac:dyDescent="0.2">
      <c r="A960" s="41" t="s">
        <v>229</v>
      </c>
      <c r="B960" s="40"/>
      <c r="C960" s="40"/>
      <c r="D960" s="40"/>
      <c r="E960" s="40"/>
      <c r="F960" s="49" t="str">
        <f t="shared" ref="F960:J960" ca="1" si="958">IFERROR(__xludf.DUMMYFUNCTION("if (A960 &lt;&gt; """", GOOGLETRANSLATE(A960, ""auto"", ""en""), """")"),"About pricing")</f>
        <v>About pricing</v>
      </c>
      <c r="G960" s="49" t="str">
        <f t="shared" ca="1" si="958"/>
        <v>About pricing</v>
      </c>
      <c r="H960" s="49" t="str">
        <f t="shared" ca="1" si="958"/>
        <v>About pricing</v>
      </c>
      <c r="I960" s="49" t="str">
        <f t="shared" ca="1" si="958"/>
        <v>About pricing</v>
      </c>
      <c r="J960" s="49" t="str">
        <f t="shared" ca="1" si="958"/>
        <v>About pricing</v>
      </c>
    </row>
    <row r="961" spans="1:10" ht="12.75" x14ac:dyDescent="0.2">
      <c r="A961" s="40"/>
      <c r="B961" s="41" t="s">
        <v>403</v>
      </c>
      <c r="C961" s="41" t="s">
        <v>304</v>
      </c>
      <c r="D961" s="41" t="s">
        <v>305</v>
      </c>
      <c r="E961" s="40"/>
      <c r="F961" s="49" t="str">
        <f t="shared" ref="F961:J961" ca="1" si="959">IFERROR(__xludf.DUMMYFUNCTION("if (A961 &lt;&gt; """", GOOGLETRANSLATE(A961, ""auto"", ""en""), """")"),"")</f>
        <v/>
      </c>
      <c r="G961" s="49" t="str">
        <f t="shared" ca="1" si="959"/>
        <v/>
      </c>
      <c r="H961" s="49" t="str">
        <f t="shared" ca="1" si="959"/>
        <v/>
      </c>
      <c r="I961" s="49" t="str">
        <f t="shared" ca="1" si="959"/>
        <v/>
      </c>
      <c r="J961" s="49" t="str">
        <f t="shared" ca="1" si="959"/>
        <v/>
      </c>
    </row>
    <row r="962" spans="1:10" ht="12.75" x14ac:dyDescent="0.2">
      <c r="A962" s="40"/>
      <c r="B962" s="41" t="s">
        <v>403</v>
      </c>
      <c r="C962" s="41" t="s">
        <v>312</v>
      </c>
      <c r="D962" s="41" t="s">
        <v>313</v>
      </c>
      <c r="E962" s="40"/>
      <c r="F962" s="49" t="str">
        <f t="shared" ref="F962:J962" ca="1" si="960">IFERROR(__xludf.DUMMYFUNCTION("if (A962 &lt;&gt; """", GOOGLETRANSLATE(A962, ""auto"", ""en""), """")"),"")</f>
        <v/>
      </c>
      <c r="G962" s="49" t="str">
        <f t="shared" ca="1" si="960"/>
        <v/>
      </c>
      <c r="H962" s="49" t="str">
        <f t="shared" ca="1" si="960"/>
        <v/>
      </c>
      <c r="I962" s="49" t="str">
        <f t="shared" ca="1" si="960"/>
        <v/>
      </c>
      <c r="J962" s="49" t="str">
        <f t="shared" ca="1" si="960"/>
        <v/>
      </c>
    </row>
    <row r="963" spans="1:10" ht="12.75" x14ac:dyDescent="0.2">
      <c r="A963" s="40"/>
      <c r="B963" s="41" t="s">
        <v>403</v>
      </c>
      <c r="C963" s="41" t="s">
        <v>317</v>
      </c>
      <c r="D963" s="41" t="s">
        <v>318</v>
      </c>
      <c r="E963" s="40"/>
      <c r="F963" s="49" t="str">
        <f t="shared" ref="F963:J963" ca="1" si="961">IFERROR(__xludf.DUMMYFUNCTION("if (A963 &lt;&gt; """", GOOGLETRANSLATE(A963, ""auto"", ""en""), """")"),"")</f>
        <v/>
      </c>
      <c r="G963" s="49" t="str">
        <f t="shared" ca="1" si="961"/>
        <v/>
      </c>
      <c r="H963" s="49" t="str">
        <f t="shared" ca="1" si="961"/>
        <v/>
      </c>
      <c r="I963" s="49" t="str">
        <f t="shared" ca="1" si="961"/>
        <v/>
      </c>
      <c r="J963" s="49" t="str">
        <f t="shared" ca="1" si="961"/>
        <v/>
      </c>
    </row>
    <row r="964" spans="1:10" ht="12.75" x14ac:dyDescent="0.2">
      <c r="A964" s="40"/>
      <c r="B964" s="41" t="s">
        <v>403</v>
      </c>
      <c r="C964" s="41" t="s">
        <v>320</v>
      </c>
      <c r="D964" s="41" t="s">
        <v>321</v>
      </c>
      <c r="E964" s="40"/>
      <c r="F964" s="49" t="str">
        <f t="shared" ref="F964:J964" ca="1" si="962">IFERROR(__xludf.DUMMYFUNCTION("if (A964 &lt;&gt; """", GOOGLETRANSLATE(A964, ""auto"", ""en""), """")"),"")</f>
        <v/>
      </c>
      <c r="G964" s="49" t="str">
        <f t="shared" ca="1" si="962"/>
        <v/>
      </c>
      <c r="H964" s="49" t="str">
        <f t="shared" ca="1" si="962"/>
        <v/>
      </c>
      <c r="I964" s="49" t="str">
        <f t="shared" ca="1" si="962"/>
        <v/>
      </c>
      <c r="J964" s="49" t="str">
        <f t="shared" ca="1" si="962"/>
        <v/>
      </c>
    </row>
    <row r="965" spans="1:10" ht="12.75" x14ac:dyDescent="0.2">
      <c r="A965" s="40"/>
      <c r="B965" s="41" t="s">
        <v>403</v>
      </c>
      <c r="C965" s="41" t="s">
        <v>32</v>
      </c>
      <c r="D965" s="41" t="s">
        <v>29</v>
      </c>
      <c r="E965" s="40"/>
      <c r="F965" s="49" t="str">
        <f t="shared" ref="F965:J965" ca="1" si="963">IFERROR(__xludf.DUMMYFUNCTION("if (A965 &lt;&gt; """", GOOGLETRANSLATE(A965, ""auto"", ""en""), """")"),"")</f>
        <v/>
      </c>
      <c r="G965" s="49" t="str">
        <f t="shared" ca="1" si="963"/>
        <v/>
      </c>
      <c r="H965" s="49" t="str">
        <f t="shared" ca="1" si="963"/>
        <v/>
      </c>
      <c r="I965" s="49" t="str">
        <f t="shared" ca="1" si="963"/>
        <v/>
      </c>
      <c r="J965" s="49" t="str">
        <f t="shared" ca="1" si="963"/>
        <v/>
      </c>
    </row>
    <row r="966" spans="1:10" ht="12.75" x14ac:dyDescent="0.2">
      <c r="A966" s="40"/>
      <c r="B966" s="40"/>
      <c r="C966" s="40"/>
      <c r="D966" s="40"/>
      <c r="E966" s="40"/>
      <c r="F966" s="49" t="str">
        <f t="shared" ref="F966:J966" ca="1" si="964">IFERROR(__xludf.DUMMYFUNCTION("if (A966 &lt;&gt; """", GOOGLETRANSLATE(A966, ""auto"", ""en""), """")"),"")</f>
        <v/>
      </c>
      <c r="G966" s="49" t="str">
        <f t="shared" ca="1" si="964"/>
        <v/>
      </c>
      <c r="H966" s="49" t="str">
        <f t="shared" ca="1" si="964"/>
        <v/>
      </c>
      <c r="I966" s="49" t="str">
        <f t="shared" ca="1" si="964"/>
        <v/>
      </c>
      <c r="J966" s="49" t="str">
        <f t="shared" ca="1" si="964"/>
        <v/>
      </c>
    </row>
    <row r="967" spans="1:10" ht="12.75" x14ac:dyDescent="0.2">
      <c r="A967" s="41" t="s">
        <v>330</v>
      </c>
      <c r="B967" s="40"/>
      <c r="C967" s="40"/>
      <c r="D967" s="40"/>
      <c r="E967" s="40"/>
      <c r="F967" s="49" t="str">
        <f t="shared" ref="F967:J967" ca="1" si="965">IFERROR(__xludf.DUMMYFUNCTION("if (A967 &lt;&gt; """", GOOGLETRANSLATE(A967, ""auto"", ""en""), """")"),"FAQ-Host4-1")</f>
        <v>FAQ-Host4-1</v>
      </c>
      <c r="G967" s="49" t="str">
        <f t="shared" ca="1" si="965"/>
        <v>FAQ-Host4-1</v>
      </c>
      <c r="H967" s="49" t="str">
        <f t="shared" ca="1" si="965"/>
        <v>FAQ-Host4-1</v>
      </c>
      <c r="I967" s="49" t="str">
        <f t="shared" ca="1" si="965"/>
        <v>FAQ-Host4-1</v>
      </c>
      <c r="J967" s="49" t="str">
        <f t="shared" ca="1" si="965"/>
        <v>FAQ-Host4-1</v>
      </c>
    </row>
    <row r="968" spans="1:10" ht="12.75" x14ac:dyDescent="0.2">
      <c r="A968" s="40"/>
      <c r="B968" s="41" t="s">
        <v>398</v>
      </c>
      <c r="C968" s="40"/>
      <c r="D968" s="40"/>
      <c r="E968" s="40"/>
      <c r="F968" s="49" t="str">
        <f t="shared" ref="F968:J968" ca="1" si="966">IFERROR(__xludf.DUMMYFUNCTION("if (A968 &lt;&gt; """", GOOGLETRANSLATE(A968, ""auto"", ""en""), """")"),"")</f>
        <v/>
      </c>
      <c r="G968" s="49" t="str">
        <f t="shared" ca="1" si="966"/>
        <v/>
      </c>
      <c r="H968" s="49" t="str">
        <f t="shared" ca="1" si="966"/>
        <v/>
      </c>
      <c r="I968" s="49" t="str">
        <f t="shared" ca="1" si="966"/>
        <v/>
      </c>
      <c r="J968" s="49" t="str">
        <f t="shared" ca="1" si="966"/>
        <v/>
      </c>
    </row>
    <row r="969" spans="1:10" ht="12.75" x14ac:dyDescent="0.2">
      <c r="A969" s="40"/>
      <c r="B969" s="41" t="s">
        <v>399</v>
      </c>
      <c r="C969" s="40"/>
      <c r="D969" s="40"/>
      <c r="E969" s="40"/>
      <c r="F969" s="49" t="str">
        <f t="shared" ref="F969:J969" ca="1" si="967">IFERROR(__xludf.DUMMYFUNCTION("if (A969 &lt;&gt; """", GOOGLETRANSLATE(A969, ""auto"", ""en""), """")"),"")</f>
        <v/>
      </c>
      <c r="G969" s="49" t="str">
        <f t="shared" ca="1" si="967"/>
        <v/>
      </c>
      <c r="H969" s="49" t="str">
        <f t="shared" ca="1" si="967"/>
        <v/>
      </c>
      <c r="I969" s="49" t="str">
        <f t="shared" ca="1" si="967"/>
        <v/>
      </c>
      <c r="J969" s="49" t="str">
        <f t="shared" ca="1" si="967"/>
        <v/>
      </c>
    </row>
    <row r="970" spans="1:10" ht="12.75" x14ac:dyDescent="0.2">
      <c r="A970" s="40"/>
      <c r="B970" s="41" t="s">
        <v>400</v>
      </c>
      <c r="C970" s="40"/>
      <c r="D970" s="40"/>
      <c r="E970" s="40"/>
      <c r="F970" s="49" t="str">
        <f t="shared" ref="F970:J970" ca="1" si="968">IFERROR(__xludf.DUMMYFUNCTION("if (A970 &lt;&gt; """", GOOGLETRANSLATE(A970, ""auto"", ""en""), """")"),"")</f>
        <v/>
      </c>
      <c r="G970" s="49" t="str">
        <f t="shared" ca="1" si="968"/>
        <v/>
      </c>
      <c r="H970" s="49" t="str">
        <f t="shared" ca="1" si="968"/>
        <v/>
      </c>
      <c r="I970" s="49" t="str">
        <f t="shared" ca="1" si="968"/>
        <v/>
      </c>
      <c r="J970" s="49" t="str">
        <f t="shared" ca="1" si="968"/>
        <v/>
      </c>
    </row>
    <row r="971" spans="1:10" ht="12.75" x14ac:dyDescent="0.2">
      <c r="A971" s="40"/>
      <c r="B971" s="41" t="s">
        <v>401</v>
      </c>
      <c r="C971" s="41" t="s">
        <v>330</v>
      </c>
      <c r="D971" s="40"/>
      <c r="E971" s="40"/>
      <c r="F971" s="49" t="str">
        <f t="shared" ref="F971:J971" ca="1" si="969">IFERROR(__xludf.DUMMYFUNCTION("if (A971 &lt;&gt; """", GOOGLETRANSLATE(A971, ""auto"", ""en""), """")"),"")</f>
        <v/>
      </c>
      <c r="G971" s="49" t="str">
        <f t="shared" ca="1" si="969"/>
        <v/>
      </c>
      <c r="H971" s="49" t="str">
        <f t="shared" ca="1" si="969"/>
        <v/>
      </c>
      <c r="I971" s="49" t="str">
        <f t="shared" ca="1" si="969"/>
        <v/>
      </c>
      <c r="J971" s="49" t="str">
        <f t="shared" ca="1" si="969"/>
        <v/>
      </c>
    </row>
    <row r="972" spans="1:10" ht="51" x14ac:dyDescent="0.2">
      <c r="A972" s="41" t="s">
        <v>718</v>
      </c>
      <c r="B972" s="41" t="s">
        <v>402</v>
      </c>
      <c r="C972" s="41" t="s">
        <v>694</v>
      </c>
      <c r="D972" s="40"/>
      <c r="E972" s="40"/>
      <c r="F972" s="49" t="str">
        <f t="shared" ref="F972:J972" ca="1" si="970">IFERROR(__xludf.DUMMYFUNCTION("if (A972 &lt;&gt; """", GOOGLETRANSLATE(A972, ""auto"", ""en""), """")"),"How do you confirm the reservation")</f>
        <v>How do you confirm the reservation</v>
      </c>
      <c r="G972" s="49" t="str">
        <f t="shared" ca="1" si="970"/>
        <v>How do you confirm the reservation</v>
      </c>
      <c r="H972" s="49" t="str">
        <f t="shared" ca="1" si="970"/>
        <v>How do you confirm the reservation</v>
      </c>
      <c r="I972" s="49" t="str">
        <f t="shared" ca="1" si="970"/>
        <v>How do you confirm the reservation</v>
      </c>
      <c r="J972" s="49" t="str">
        <f t="shared" ca="1" si="970"/>
        <v>How do you confirm the reservation</v>
      </c>
    </row>
    <row r="973" spans="1:10" ht="51" x14ac:dyDescent="0.2">
      <c r="A973" s="41" t="s">
        <v>719</v>
      </c>
      <c r="B973" s="41" t="s">
        <v>402</v>
      </c>
      <c r="C973" s="41" t="s">
        <v>19</v>
      </c>
      <c r="D973" s="40"/>
      <c r="E973" s="40"/>
      <c r="F973" s="49" t="str">
        <f t="shared" ref="F973:J973" ca="1" si="971">IFERROR(__xludf.DUMMYFUNCTION("if (A973 &lt;&gt; """", GOOGLETRANSLATE(A973, ""auto"", ""en""), """")"),"Of it can be seen that contains how reservation")</f>
        <v>Of it can be seen that contains how reservation</v>
      </c>
      <c r="G973" s="49" t="str">
        <f t="shared" ca="1" si="971"/>
        <v>Of it can be seen that contains how reservation</v>
      </c>
      <c r="H973" s="49" t="str">
        <f t="shared" ca="1" si="971"/>
        <v>Of it can be seen that contains how reservation</v>
      </c>
      <c r="I973" s="49" t="str">
        <f t="shared" ca="1" si="971"/>
        <v>Of it can be seen that contains how reservation</v>
      </c>
      <c r="J973" s="49" t="str">
        <f t="shared" ca="1" si="971"/>
        <v>Of it can be seen that contains how reservation</v>
      </c>
    </row>
    <row r="974" spans="1:10" ht="51" x14ac:dyDescent="0.2">
      <c r="A974" s="41" t="s">
        <v>720</v>
      </c>
      <c r="B974" s="40"/>
      <c r="C974" s="40"/>
      <c r="D974" s="40"/>
      <c r="E974" s="40"/>
      <c r="F974" s="49" t="str">
        <f t="shared" ref="F974:J974" ca="1" si="972">IFERROR(__xludf.DUMMYFUNCTION("if (A974 &lt;&gt; """", GOOGLETRANSLATE(A974, ""auto"", ""en""), """")"),"Confirmation that the reservation has entered")</f>
        <v>Confirmation that the reservation has entered</v>
      </c>
      <c r="G974" s="49" t="str">
        <f t="shared" ca="1" si="972"/>
        <v>Confirmation that the reservation has entered</v>
      </c>
      <c r="H974" s="49" t="str">
        <f t="shared" ca="1" si="972"/>
        <v>Confirmation that the reservation has entered</v>
      </c>
      <c r="I974" s="49" t="str">
        <f t="shared" ca="1" si="972"/>
        <v>Confirmation that the reservation has entered</v>
      </c>
      <c r="J974" s="49" t="str">
        <f t="shared" ca="1" si="972"/>
        <v>Confirmation that the reservation has entered</v>
      </c>
    </row>
    <row r="975" spans="1:10" ht="38.25" x14ac:dyDescent="0.2">
      <c r="A975" s="41" t="s">
        <v>721</v>
      </c>
      <c r="B975" s="40"/>
      <c r="C975" s="40"/>
      <c r="D975" s="40"/>
      <c r="E975" s="40"/>
      <c r="F975" s="49" t="str">
        <f t="shared" ref="F975:J975" ca="1" si="973">IFERROR(__xludf.DUMMYFUNCTION("if (A975 &lt;&gt; """", GOOGLETRANSLATE(A975, ""auto"", ""en""), """")"),"Confirmation that could Reservations")</f>
        <v>Confirmation that could Reservations</v>
      </c>
      <c r="G975" s="49" t="str">
        <f t="shared" ca="1" si="973"/>
        <v>Confirmation that could Reservations</v>
      </c>
      <c r="H975" s="49" t="str">
        <f t="shared" ca="1" si="973"/>
        <v>Confirmation that could Reservations</v>
      </c>
      <c r="I975" s="49" t="str">
        <f t="shared" ca="1" si="973"/>
        <v>Confirmation that could Reservations</v>
      </c>
      <c r="J975" s="49" t="str">
        <f t="shared" ca="1" si="973"/>
        <v>Confirmation that could Reservations</v>
      </c>
    </row>
    <row r="976" spans="1:10" ht="63.75" x14ac:dyDescent="0.2">
      <c r="A976" s="41" t="s">
        <v>722</v>
      </c>
      <c r="B976" s="40"/>
      <c r="C976" s="40"/>
      <c r="D976" s="40"/>
      <c r="E976" s="40"/>
      <c r="F976" s="49" t="str">
        <f t="shared" ref="F976:J976" ca="1" si="974">IFERROR(__xludf.DUMMYFUNCTION("if (A976 &lt;&gt; """", GOOGLETRANSLATE(A976, ""auto"", ""en""), """")"),"How do we have the confirmation of the reservation")</f>
        <v>How do we have the confirmation of the reservation</v>
      </c>
      <c r="G976" s="49" t="str">
        <f t="shared" ca="1" si="974"/>
        <v>How do we have the confirmation of the reservation</v>
      </c>
      <c r="H976" s="49" t="str">
        <f t="shared" ca="1" si="974"/>
        <v>How do we have the confirmation of the reservation</v>
      </c>
      <c r="I976" s="49" t="str">
        <f t="shared" ca="1" si="974"/>
        <v>How do we have the confirmation of the reservation</v>
      </c>
      <c r="J976" s="49" t="str">
        <f t="shared" ca="1" si="974"/>
        <v>How do we have the confirmation of the reservation</v>
      </c>
    </row>
    <row r="977" spans="1:10" ht="38.25" x14ac:dyDescent="0.2">
      <c r="A977" s="41" t="s">
        <v>329</v>
      </c>
      <c r="B977" s="40"/>
      <c r="C977" s="40"/>
      <c r="D977" s="40"/>
      <c r="E977" s="40"/>
      <c r="F977" s="49" t="str">
        <f t="shared" ref="F977:J977" ca="1" si="975">IFERROR(__xludf.DUMMYFUNCTION("if (A977 &lt;&gt; """", GOOGLETRANSLATE(A977, ""auto"", ""en""), """")"),"How to check the reservation")</f>
        <v>How to check the reservation</v>
      </c>
      <c r="G977" s="49" t="str">
        <f t="shared" ca="1" si="975"/>
        <v>How to check the reservation</v>
      </c>
      <c r="H977" s="49" t="str">
        <f t="shared" ca="1" si="975"/>
        <v>How to check the reservation</v>
      </c>
      <c r="I977" s="49" t="str">
        <f t="shared" ca="1" si="975"/>
        <v>How to check the reservation</v>
      </c>
      <c r="J977" s="49" t="str">
        <f t="shared" ca="1" si="975"/>
        <v>How to check the reservation</v>
      </c>
    </row>
    <row r="978" spans="1:10" ht="12.75" x14ac:dyDescent="0.2">
      <c r="A978" s="40"/>
      <c r="B978" s="41" t="s">
        <v>403</v>
      </c>
      <c r="C978" s="41" t="s">
        <v>24</v>
      </c>
      <c r="D978" s="41" t="s">
        <v>26</v>
      </c>
      <c r="E978" s="40"/>
      <c r="F978" s="49" t="str">
        <f t="shared" ref="F978:J978" ca="1" si="976">IFERROR(__xludf.DUMMYFUNCTION("if (A978 &lt;&gt; """", GOOGLETRANSLATE(A978, ""auto"", ""en""), """")"),"")</f>
        <v/>
      </c>
      <c r="G978" s="49" t="str">
        <f t="shared" ca="1" si="976"/>
        <v/>
      </c>
      <c r="H978" s="49" t="str">
        <f t="shared" ca="1" si="976"/>
        <v/>
      </c>
      <c r="I978" s="49" t="str">
        <f t="shared" ca="1" si="976"/>
        <v/>
      </c>
      <c r="J978" s="49" t="str">
        <f t="shared" ca="1" si="976"/>
        <v/>
      </c>
    </row>
    <row r="979" spans="1:10" ht="12.75" x14ac:dyDescent="0.2">
      <c r="A979" s="40"/>
      <c r="B979" s="41" t="s">
        <v>403</v>
      </c>
      <c r="C979" s="41" t="s">
        <v>32</v>
      </c>
      <c r="D979" s="41" t="s">
        <v>29</v>
      </c>
      <c r="E979" s="40"/>
      <c r="F979" s="49" t="str">
        <f t="shared" ref="F979:J979" ca="1" si="977">IFERROR(__xludf.DUMMYFUNCTION("if (A979 &lt;&gt; """", GOOGLETRANSLATE(A979, ""auto"", ""en""), """")"),"")</f>
        <v/>
      </c>
      <c r="G979" s="49" t="str">
        <f t="shared" ca="1" si="977"/>
        <v/>
      </c>
      <c r="H979" s="49" t="str">
        <f t="shared" ca="1" si="977"/>
        <v/>
      </c>
      <c r="I979" s="49" t="str">
        <f t="shared" ca="1" si="977"/>
        <v/>
      </c>
      <c r="J979" s="49" t="str">
        <f t="shared" ca="1" si="977"/>
        <v/>
      </c>
    </row>
    <row r="980" spans="1:10" ht="12.75" x14ac:dyDescent="0.2">
      <c r="A980" s="40"/>
      <c r="B980" s="41" t="s">
        <v>403</v>
      </c>
      <c r="C980" s="41" t="s">
        <v>25</v>
      </c>
      <c r="D980" s="41" t="s">
        <v>27</v>
      </c>
      <c r="E980" s="40"/>
      <c r="F980" s="49" t="str">
        <f t="shared" ref="F980:J980" ca="1" si="978">IFERROR(__xludf.DUMMYFUNCTION("if (A980 &lt;&gt; """", GOOGLETRANSLATE(A980, ""auto"", ""en""), """")"),"")</f>
        <v/>
      </c>
      <c r="G980" s="49" t="str">
        <f t="shared" ca="1" si="978"/>
        <v/>
      </c>
      <c r="H980" s="49" t="str">
        <f t="shared" ca="1" si="978"/>
        <v/>
      </c>
      <c r="I980" s="49" t="str">
        <f t="shared" ca="1" si="978"/>
        <v/>
      </c>
      <c r="J980" s="49" t="str">
        <f t="shared" ca="1" si="978"/>
        <v/>
      </c>
    </row>
    <row r="981" spans="1:10" ht="12.75" x14ac:dyDescent="0.2">
      <c r="A981" s="40"/>
      <c r="B981" s="41" t="s">
        <v>403</v>
      </c>
      <c r="C981" s="41" t="s">
        <v>30</v>
      </c>
      <c r="D981" s="41" t="s">
        <v>31</v>
      </c>
      <c r="E981" s="40"/>
      <c r="F981" s="49" t="str">
        <f t="shared" ref="F981:J981" ca="1" si="979">IFERROR(__xludf.DUMMYFUNCTION("if (A981 &lt;&gt; """", GOOGLETRANSLATE(A981, ""auto"", ""en""), """")"),"")</f>
        <v/>
      </c>
      <c r="G981" s="49" t="str">
        <f t="shared" ca="1" si="979"/>
        <v/>
      </c>
      <c r="H981" s="49" t="str">
        <f t="shared" ca="1" si="979"/>
        <v/>
      </c>
      <c r="I981" s="49" t="str">
        <f t="shared" ca="1" si="979"/>
        <v/>
      </c>
      <c r="J981" s="49" t="str">
        <f t="shared" ca="1" si="979"/>
        <v/>
      </c>
    </row>
    <row r="982" spans="1:10" ht="12.75" x14ac:dyDescent="0.2">
      <c r="A982" s="40"/>
      <c r="B982" s="40"/>
      <c r="C982" s="40"/>
      <c r="D982" s="40"/>
      <c r="E982" s="40"/>
      <c r="F982" s="49" t="str">
        <f t="shared" ref="F982:J982" ca="1" si="980">IFERROR(__xludf.DUMMYFUNCTION("if (A982 &lt;&gt; """", GOOGLETRANSLATE(A982, ""auto"", ""en""), """")"),"")</f>
        <v/>
      </c>
      <c r="G982" s="49" t="str">
        <f t="shared" ca="1" si="980"/>
        <v/>
      </c>
      <c r="H982" s="49" t="str">
        <f t="shared" ca="1" si="980"/>
        <v/>
      </c>
      <c r="I982" s="49" t="str">
        <f t="shared" ca="1" si="980"/>
        <v/>
      </c>
      <c r="J982" s="49" t="str">
        <f t="shared" ca="1" si="980"/>
        <v/>
      </c>
    </row>
    <row r="983" spans="1:10" ht="12.75" x14ac:dyDescent="0.2">
      <c r="A983" s="41" t="s">
        <v>342</v>
      </c>
      <c r="B983" s="40"/>
      <c r="C983" s="40"/>
      <c r="D983" s="40"/>
      <c r="E983" s="40"/>
      <c r="F983" s="49" t="str">
        <f t="shared" ref="F983:J983" ca="1" si="981">IFERROR(__xludf.DUMMYFUNCTION("if (A983 &lt;&gt; """", GOOGLETRANSLATE(A983, ""auto"", ""en""), """")"),"FAQ-Host4-2")</f>
        <v>FAQ-Host4-2</v>
      </c>
      <c r="G983" s="49" t="str">
        <f t="shared" ca="1" si="981"/>
        <v>FAQ-Host4-2</v>
      </c>
      <c r="H983" s="49" t="str">
        <f t="shared" ca="1" si="981"/>
        <v>FAQ-Host4-2</v>
      </c>
      <c r="I983" s="49" t="str">
        <f t="shared" ca="1" si="981"/>
        <v>FAQ-Host4-2</v>
      </c>
      <c r="J983" s="49" t="str">
        <f t="shared" ca="1" si="981"/>
        <v>FAQ-Host4-2</v>
      </c>
    </row>
    <row r="984" spans="1:10" ht="12.75" x14ac:dyDescent="0.2">
      <c r="A984" s="40"/>
      <c r="B984" s="41" t="s">
        <v>398</v>
      </c>
      <c r="C984" s="40"/>
      <c r="D984" s="40"/>
      <c r="E984" s="40"/>
      <c r="F984" s="49" t="str">
        <f t="shared" ref="F984:J984" ca="1" si="982">IFERROR(__xludf.DUMMYFUNCTION("if (A984 &lt;&gt; """", GOOGLETRANSLATE(A984, ""auto"", ""en""), """")"),"")</f>
        <v/>
      </c>
      <c r="G984" s="49" t="str">
        <f t="shared" ca="1" si="982"/>
        <v/>
      </c>
      <c r="H984" s="49" t="str">
        <f t="shared" ca="1" si="982"/>
        <v/>
      </c>
      <c r="I984" s="49" t="str">
        <f t="shared" ca="1" si="982"/>
        <v/>
      </c>
      <c r="J984" s="49" t="str">
        <f t="shared" ca="1" si="982"/>
        <v/>
      </c>
    </row>
    <row r="985" spans="1:10" ht="12.75" x14ac:dyDescent="0.2">
      <c r="A985" s="40"/>
      <c r="B985" s="41" t="s">
        <v>399</v>
      </c>
      <c r="C985" s="40"/>
      <c r="D985" s="40"/>
      <c r="E985" s="40"/>
      <c r="F985" s="49" t="str">
        <f t="shared" ref="F985:J985" ca="1" si="983">IFERROR(__xludf.DUMMYFUNCTION("if (A985 &lt;&gt; """", GOOGLETRANSLATE(A985, ""auto"", ""en""), """")"),"")</f>
        <v/>
      </c>
      <c r="G985" s="49" t="str">
        <f t="shared" ca="1" si="983"/>
        <v/>
      </c>
      <c r="H985" s="49" t="str">
        <f t="shared" ca="1" si="983"/>
        <v/>
      </c>
      <c r="I985" s="49" t="str">
        <f t="shared" ca="1" si="983"/>
        <v/>
      </c>
      <c r="J985" s="49" t="str">
        <f t="shared" ca="1" si="983"/>
        <v/>
      </c>
    </row>
    <row r="986" spans="1:10" ht="12.75" x14ac:dyDescent="0.2">
      <c r="A986" s="40"/>
      <c r="B986" s="41" t="s">
        <v>400</v>
      </c>
      <c r="C986" s="40"/>
      <c r="D986" s="40"/>
      <c r="E986" s="40"/>
      <c r="F986" s="49" t="str">
        <f t="shared" ref="F986:J986" ca="1" si="984">IFERROR(__xludf.DUMMYFUNCTION("if (A986 &lt;&gt; """", GOOGLETRANSLATE(A986, ""auto"", ""en""), """")"),"")</f>
        <v/>
      </c>
      <c r="G986" s="49" t="str">
        <f t="shared" ca="1" si="984"/>
        <v/>
      </c>
      <c r="H986" s="49" t="str">
        <f t="shared" ca="1" si="984"/>
        <v/>
      </c>
      <c r="I986" s="49" t="str">
        <f t="shared" ca="1" si="984"/>
        <v/>
      </c>
      <c r="J986" s="49" t="str">
        <f t="shared" ca="1" si="984"/>
        <v/>
      </c>
    </row>
    <row r="987" spans="1:10" ht="12.75" x14ac:dyDescent="0.2">
      <c r="A987" s="40"/>
      <c r="B987" s="41" t="s">
        <v>401</v>
      </c>
      <c r="C987" s="41" t="s">
        <v>342</v>
      </c>
      <c r="D987" s="40"/>
      <c r="E987" s="40"/>
      <c r="F987" s="49" t="str">
        <f t="shared" ref="F987:J987" ca="1" si="985">IFERROR(__xludf.DUMMYFUNCTION("if (A987 &lt;&gt; """", GOOGLETRANSLATE(A987, ""auto"", ""en""), """")"),"")</f>
        <v/>
      </c>
      <c r="G987" s="49" t="str">
        <f t="shared" ca="1" si="985"/>
        <v/>
      </c>
      <c r="H987" s="49" t="str">
        <f t="shared" ca="1" si="985"/>
        <v/>
      </c>
      <c r="I987" s="49" t="str">
        <f t="shared" ca="1" si="985"/>
        <v/>
      </c>
      <c r="J987" s="49" t="str">
        <f t="shared" ca="1" si="985"/>
        <v/>
      </c>
    </row>
    <row r="988" spans="1:10" ht="38.25" x14ac:dyDescent="0.2">
      <c r="A988" s="41" t="s">
        <v>723</v>
      </c>
      <c r="B988" s="41" t="s">
        <v>402</v>
      </c>
      <c r="C988" s="41" t="s">
        <v>724</v>
      </c>
      <c r="D988" s="40"/>
      <c r="E988" s="40"/>
      <c r="F988" s="49" t="str">
        <f t="shared" ref="F988:J988" ca="1" si="986">IFERROR(__xludf.DUMMYFUNCTION("if (A988 &lt;&gt; """", GOOGLETRANSLATE(A988, ""auto"", ""en""), """")"),"Telephone I want to contact us at")</f>
        <v>Telephone I want to contact us at</v>
      </c>
      <c r="G988" s="49" t="str">
        <f t="shared" ca="1" si="986"/>
        <v>Telephone I want to contact us at</v>
      </c>
      <c r="H988" s="49" t="str">
        <f t="shared" ca="1" si="986"/>
        <v>Telephone I want to contact us at</v>
      </c>
      <c r="I988" s="49" t="str">
        <f t="shared" ca="1" si="986"/>
        <v>Telephone I want to contact us at</v>
      </c>
      <c r="J988" s="49" t="str">
        <f t="shared" ca="1" si="986"/>
        <v>Telephone I want to contact us at</v>
      </c>
    </row>
    <row r="989" spans="1:10" ht="38.25" x14ac:dyDescent="0.2">
      <c r="A989" s="41" t="s">
        <v>725</v>
      </c>
      <c r="B989" s="41" t="s">
        <v>402</v>
      </c>
      <c r="C989" s="41" t="s">
        <v>19</v>
      </c>
      <c r="D989" s="40"/>
      <c r="E989" s="40"/>
      <c r="F989" s="49" t="str">
        <f t="shared" ref="F989:J989" ca="1" si="987">IFERROR(__xludf.DUMMYFUNCTION("if (A989 &lt;&gt; """", GOOGLETRANSLATE(A989, ""auto"", ""en""), """")"),"Is it possible to query by telephone")</f>
        <v>Is it possible to query by telephone</v>
      </c>
      <c r="G989" s="49" t="str">
        <f t="shared" ca="1" si="987"/>
        <v>Is it possible to query by telephone</v>
      </c>
      <c r="H989" s="49" t="str">
        <f t="shared" ca="1" si="987"/>
        <v>Is it possible to query by telephone</v>
      </c>
      <c r="I989" s="49" t="str">
        <f t="shared" ca="1" si="987"/>
        <v>Is it possible to query by telephone</v>
      </c>
      <c r="J989" s="49" t="str">
        <f t="shared" ca="1" si="987"/>
        <v>Is it possible to query by telephone</v>
      </c>
    </row>
    <row r="990" spans="1:10" ht="25.5" x14ac:dyDescent="0.2">
      <c r="A990" s="41" t="s">
        <v>726</v>
      </c>
      <c r="B990" s="40"/>
      <c r="C990" s="40"/>
      <c r="D990" s="40"/>
      <c r="E990" s="40"/>
      <c r="F990" s="49" t="str">
        <f t="shared" ref="F990:J990" ca="1" si="988">IFERROR(__xludf.DUMMYFUNCTION("if (A990 &lt;&gt; """", GOOGLETRANSLATE(A990, ""auto"", ""en""), """")"),"I'd like to but us by phone")</f>
        <v>I'd like to but us by phone</v>
      </c>
      <c r="G990" s="49" t="str">
        <f t="shared" ca="1" si="988"/>
        <v>I'd like to but us by phone</v>
      </c>
      <c r="H990" s="49" t="str">
        <f t="shared" ca="1" si="988"/>
        <v>I'd like to but us by phone</v>
      </c>
      <c r="I990" s="49" t="str">
        <f t="shared" ca="1" si="988"/>
        <v>I'd like to but us by phone</v>
      </c>
      <c r="J990" s="49" t="str">
        <f t="shared" ca="1" si="988"/>
        <v>I'd like to but us by phone</v>
      </c>
    </row>
    <row r="991" spans="1:10" ht="25.5" x14ac:dyDescent="0.2">
      <c r="A991" s="41" t="s">
        <v>727</v>
      </c>
      <c r="B991" s="40"/>
      <c r="C991" s="40"/>
      <c r="D991" s="40"/>
      <c r="E991" s="40"/>
      <c r="F991" s="49" t="str">
        <f t="shared" ref="F991:J991" ca="1" si="989">IFERROR(__xludf.DUMMYFUNCTION("if (A991 &lt;&gt; """", GOOGLETRANSLATE(A991, ""auto"", ""en""), """")"),"What is the phone number")</f>
        <v>What is the phone number</v>
      </c>
      <c r="G991" s="49" t="str">
        <f t="shared" ca="1" si="989"/>
        <v>What is the phone number</v>
      </c>
      <c r="H991" s="49" t="str">
        <f t="shared" ca="1" si="989"/>
        <v>What is the phone number</v>
      </c>
      <c r="I991" s="49" t="str">
        <f t="shared" ca="1" si="989"/>
        <v>What is the phone number</v>
      </c>
      <c r="J991" s="49" t="str">
        <f t="shared" ca="1" si="989"/>
        <v>What is the phone number</v>
      </c>
    </row>
    <row r="992" spans="1:10" ht="25.5" x14ac:dyDescent="0.2">
      <c r="A992" s="41" t="s">
        <v>728</v>
      </c>
      <c r="B992" s="40"/>
      <c r="C992" s="40"/>
      <c r="D992" s="40"/>
      <c r="E992" s="40"/>
      <c r="F992" s="49" t="str">
        <f t="shared" ref="F992:J992" ca="1" si="990">IFERROR(__xludf.DUMMYFUNCTION("if (A992 &lt;&gt; """", GOOGLETRANSLATE(A992, ""auto"", ""en""), """")"),"Want us by phone")</f>
        <v>Want us by phone</v>
      </c>
      <c r="G992" s="49" t="str">
        <f t="shared" ca="1" si="990"/>
        <v>Want us by phone</v>
      </c>
      <c r="H992" s="49" t="str">
        <f t="shared" ca="1" si="990"/>
        <v>Want us by phone</v>
      </c>
      <c r="I992" s="49" t="str">
        <f t="shared" ca="1" si="990"/>
        <v>Want us by phone</v>
      </c>
      <c r="J992" s="49" t="str">
        <f t="shared" ca="1" si="990"/>
        <v>Want us by phone</v>
      </c>
    </row>
    <row r="993" spans="1:10" ht="25.5" x14ac:dyDescent="0.2">
      <c r="A993" s="41" t="s">
        <v>729</v>
      </c>
      <c r="B993" s="40"/>
      <c r="C993" s="40"/>
      <c r="D993" s="40"/>
      <c r="E993" s="40"/>
      <c r="F993" s="49" t="str">
        <f t="shared" ref="F993:J993" ca="1" si="991">IFERROR(__xludf.DUMMYFUNCTION("if (A993 &lt;&gt; """", GOOGLETRANSLATE(A993, ""auto"", ""en""), """")"),"Can you query FAX?")</f>
        <v>Can you query FAX?</v>
      </c>
      <c r="G993" s="49" t="str">
        <f t="shared" ca="1" si="991"/>
        <v>Can you query FAX?</v>
      </c>
      <c r="H993" s="49" t="str">
        <f t="shared" ca="1" si="991"/>
        <v>Can you query FAX?</v>
      </c>
      <c r="I993" s="49" t="str">
        <f t="shared" ca="1" si="991"/>
        <v>Can you query FAX?</v>
      </c>
      <c r="J993" s="49" t="str">
        <f t="shared" ca="1" si="991"/>
        <v>Can you query FAX?</v>
      </c>
    </row>
    <row r="994" spans="1:10" ht="38.25" x14ac:dyDescent="0.2">
      <c r="A994" s="41" t="s">
        <v>730</v>
      </c>
      <c r="B994" s="40"/>
      <c r="C994" s="40"/>
      <c r="D994" s="40"/>
      <c r="E994" s="40"/>
      <c r="F994" s="49" t="str">
        <f t="shared" ref="F994:J994" ca="1" si="992">IFERROR(__xludf.DUMMYFUNCTION("if (A994 &lt;&gt; """", GOOGLETRANSLATE(A994, ""auto"", ""en""), """")"),"Is it possible to query the phone?")</f>
        <v>Is it possible to query the phone?</v>
      </c>
      <c r="G994" s="49" t="str">
        <f t="shared" ca="1" si="992"/>
        <v>Is it possible to query the phone?</v>
      </c>
      <c r="H994" s="49" t="str">
        <f t="shared" ca="1" si="992"/>
        <v>Is it possible to query the phone?</v>
      </c>
      <c r="I994" s="49" t="str">
        <f t="shared" ca="1" si="992"/>
        <v>Is it possible to query the phone?</v>
      </c>
      <c r="J994" s="49" t="str">
        <f t="shared" ca="1" si="992"/>
        <v>Is it possible to query the phone?</v>
      </c>
    </row>
    <row r="995" spans="1:10" ht="25.5" x14ac:dyDescent="0.2">
      <c r="A995" s="41" t="s">
        <v>341</v>
      </c>
      <c r="B995" s="40"/>
      <c r="C995" s="40"/>
      <c r="D995" s="40"/>
      <c r="E995" s="40"/>
      <c r="F995" s="49" t="str">
        <f t="shared" ref="F995:J995" ca="1" si="993">IFERROR(__xludf.DUMMYFUNCTION("if (A995 &lt;&gt; """", GOOGLETRANSLATE(A995, ""auto"", ""en""), """")"),"For inquiries on the phone")</f>
        <v>For inquiries on the phone</v>
      </c>
      <c r="G995" s="49" t="str">
        <f t="shared" ca="1" si="993"/>
        <v>For inquiries on the phone</v>
      </c>
      <c r="H995" s="49" t="str">
        <f t="shared" ca="1" si="993"/>
        <v>For inquiries on the phone</v>
      </c>
      <c r="I995" s="49" t="str">
        <f t="shared" ca="1" si="993"/>
        <v>For inquiries on the phone</v>
      </c>
      <c r="J995" s="49" t="str">
        <f t="shared" ca="1" si="993"/>
        <v>For inquiries on the phone</v>
      </c>
    </row>
    <row r="996" spans="1:10" ht="12.75" x14ac:dyDescent="0.2">
      <c r="A996" s="40"/>
      <c r="B996" s="41" t="s">
        <v>403</v>
      </c>
      <c r="C996" s="41" t="s">
        <v>24</v>
      </c>
      <c r="D996" s="41" t="s">
        <v>26</v>
      </c>
      <c r="E996" s="40"/>
      <c r="F996" s="49" t="str">
        <f t="shared" ref="F996:J996" ca="1" si="994">IFERROR(__xludf.DUMMYFUNCTION("if (A996 &lt;&gt; """", GOOGLETRANSLATE(A996, ""auto"", ""en""), """")"),"")</f>
        <v/>
      </c>
      <c r="G996" s="49" t="str">
        <f t="shared" ca="1" si="994"/>
        <v/>
      </c>
      <c r="H996" s="49" t="str">
        <f t="shared" ca="1" si="994"/>
        <v/>
      </c>
      <c r="I996" s="49" t="str">
        <f t="shared" ca="1" si="994"/>
        <v/>
      </c>
      <c r="J996" s="49" t="str">
        <f t="shared" ca="1" si="994"/>
        <v/>
      </c>
    </row>
    <row r="997" spans="1:10" ht="12.75" x14ac:dyDescent="0.2">
      <c r="A997" s="40"/>
      <c r="B997" s="41" t="s">
        <v>403</v>
      </c>
      <c r="C997" s="41" t="s">
        <v>32</v>
      </c>
      <c r="D997" s="41" t="s">
        <v>29</v>
      </c>
      <c r="E997" s="40"/>
      <c r="F997" s="49" t="str">
        <f t="shared" ref="F997:J997" ca="1" si="995">IFERROR(__xludf.DUMMYFUNCTION("if (A997 &lt;&gt; """", GOOGLETRANSLATE(A997, ""auto"", ""en""), """")"),"")</f>
        <v/>
      </c>
      <c r="G997" s="49" t="str">
        <f t="shared" ca="1" si="995"/>
        <v/>
      </c>
      <c r="H997" s="49" t="str">
        <f t="shared" ca="1" si="995"/>
        <v/>
      </c>
      <c r="I997" s="49" t="str">
        <f t="shared" ca="1" si="995"/>
        <v/>
      </c>
      <c r="J997" s="49" t="str">
        <f t="shared" ca="1" si="995"/>
        <v/>
      </c>
    </row>
    <row r="998" spans="1:10" ht="12.75" x14ac:dyDescent="0.2">
      <c r="A998" s="40"/>
      <c r="B998" s="41" t="s">
        <v>403</v>
      </c>
      <c r="C998" s="41" t="s">
        <v>25</v>
      </c>
      <c r="D998" s="41" t="s">
        <v>27</v>
      </c>
      <c r="E998" s="40"/>
      <c r="F998" s="49" t="str">
        <f t="shared" ref="F998:J998" ca="1" si="996">IFERROR(__xludf.DUMMYFUNCTION("if (A998 &lt;&gt; """", GOOGLETRANSLATE(A998, ""auto"", ""en""), """")"),"")</f>
        <v/>
      </c>
      <c r="G998" s="49" t="str">
        <f t="shared" ca="1" si="996"/>
        <v/>
      </c>
      <c r="H998" s="49" t="str">
        <f t="shared" ca="1" si="996"/>
        <v/>
      </c>
      <c r="I998" s="49" t="str">
        <f t="shared" ca="1" si="996"/>
        <v/>
      </c>
      <c r="J998" s="49" t="str">
        <f t="shared" ca="1" si="996"/>
        <v/>
      </c>
    </row>
    <row r="999" spans="1:10" ht="12.75" x14ac:dyDescent="0.2">
      <c r="A999" s="40"/>
      <c r="B999" s="41" t="s">
        <v>403</v>
      </c>
      <c r="C999" s="41" t="s">
        <v>30</v>
      </c>
      <c r="D999" s="41" t="s">
        <v>31</v>
      </c>
      <c r="E999" s="40"/>
      <c r="F999" s="49" t="str">
        <f t="shared" ref="F999:J999" ca="1" si="997">IFERROR(__xludf.DUMMYFUNCTION("if (A999 &lt;&gt; """", GOOGLETRANSLATE(A999, ""auto"", ""en""), """")"),"")</f>
        <v/>
      </c>
      <c r="G999" s="49" t="str">
        <f t="shared" ca="1" si="997"/>
        <v/>
      </c>
      <c r="H999" s="49" t="str">
        <f t="shared" ca="1" si="997"/>
        <v/>
      </c>
      <c r="I999" s="49" t="str">
        <f t="shared" ca="1" si="997"/>
        <v/>
      </c>
      <c r="J999" s="49" t="str">
        <f t="shared" ca="1" si="997"/>
        <v/>
      </c>
    </row>
    <row r="1000" spans="1:10" ht="12.75" x14ac:dyDescent="0.2">
      <c r="A1000" s="40"/>
      <c r="B1000" s="40"/>
      <c r="C1000" s="40"/>
      <c r="D1000" s="40"/>
      <c r="E1000" s="40"/>
      <c r="F1000" s="49" t="str">
        <f t="shared" ref="F1000:J1000" ca="1" si="998">IFERROR(__xludf.DUMMYFUNCTION("if (A1000 &lt;&gt; """", GOOGLETRANSLATE(A1000, ""auto"", ""en""), """")"),"")</f>
        <v/>
      </c>
      <c r="G1000" s="49" t="str">
        <f t="shared" ca="1" si="998"/>
        <v/>
      </c>
      <c r="H1000" s="49" t="str">
        <f t="shared" ca="1" si="998"/>
        <v/>
      </c>
      <c r="I1000" s="49" t="str">
        <f t="shared" ca="1" si="998"/>
        <v/>
      </c>
      <c r="J1000" s="49" t="str">
        <f t="shared" ca="1" si="998"/>
        <v/>
      </c>
    </row>
    <row r="1001" spans="1:10" ht="12.75" x14ac:dyDescent="0.2">
      <c r="A1001" s="41" t="s">
        <v>345</v>
      </c>
      <c r="B1001" s="40"/>
      <c r="C1001" s="40"/>
      <c r="D1001" s="40"/>
      <c r="E1001" s="40"/>
      <c r="F1001" s="49" t="str">
        <f t="shared" ref="F1001:J1001" ca="1" si="999">IFERROR(__xludf.DUMMYFUNCTION("if (A1001 &lt;&gt; """", GOOGLETRANSLATE(A1001, ""auto"", ""en""), """")"),"FAQ-Host4-3")</f>
        <v>FAQ-Host4-3</v>
      </c>
      <c r="G1001" s="49" t="str">
        <f t="shared" ca="1" si="999"/>
        <v>FAQ-Host4-3</v>
      </c>
      <c r="H1001" s="49" t="str">
        <f t="shared" ca="1" si="999"/>
        <v>FAQ-Host4-3</v>
      </c>
      <c r="I1001" s="49" t="str">
        <f t="shared" ca="1" si="999"/>
        <v>FAQ-Host4-3</v>
      </c>
      <c r="J1001" s="49" t="str">
        <f t="shared" ca="1" si="999"/>
        <v>FAQ-Host4-3</v>
      </c>
    </row>
    <row r="1002" spans="1:10" ht="12.75" x14ac:dyDescent="0.2">
      <c r="A1002" s="40"/>
      <c r="B1002" s="41" t="s">
        <v>398</v>
      </c>
      <c r="C1002" s="40"/>
      <c r="D1002" s="40"/>
      <c r="E1002" s="40"/>
      <c r="F1002" s="49" t="str">
        <f t="shared" ref="F1002:J1002" ca="1" si="1000">IFERROR(__xludf.DUMMYFUNCTION("if (A1002 &lt;&gt; """", GOOGLETRANSLATE(A1002, ""auto"", ""en""), """")"),"")</f>
        <v/>
      </c>
      <c r="G1002" s="49" t="str">
        <f t="shared" ca="1" si="1000"/>
        <v/>
      </c>
      <c r="H1002" s="49" t="str">
        <f t="shared" ca="1" si="1000"/>
        <v/>
      </c>
      <c r="I1002" s="49" t="str">
        <f t="shared" ca="1" si="1000"/>
        <v/>
      </c>
      <c r="J1002" s="49" t="str">
        <f t="shared" ca="1" si="1000"/>
        <v/>
      </c>
    </row>
    <row r="1003" spans="1:10" ht="12.75" x14ac:dyDescent="0.2">
      <c r="A1003" s="40"/>
      <c r="B1003" s="41" t="s">
        <v>399</v>
      </c>
      <c r="C1003" s="40"/>
      <c r="D1003" s="40"/>
      <c r="E1003" s="40"/>
      <c r="F1003" s="49" t="str">
        <f t="shared" ref="F1003:J1003" ca="1" si="1001">IFERROR(__xludf.DUMMYFUNCTION("if (A1003 &lt;&gt; """", GOOGLETRANSLATE(A1003, ""auto"", ""en""), """")"),"")</f>
        <v/>
      </c>
      <c r="G1003" s="49" t="str">
        <f t="shared" ca="1" si="1001"/>
        <v/>
      </c>
      <c r="H1003" s="49" t="str">
        <f t="shared" ca="1" si="1001"/>
        <v/>
      </c>
      <c r="I1003" s="49" t="str">
        <f t="shared" ca="1" si="1001"/>
        <v/>
      </c>
      <c r="J1003" s="49" t="str">
        <f t="shared" ca="1" si="1001"/>
        <v/>
      </c>
    </row>
    <row r="1004" spans="1:10" ht="12.75" x14ac:dyDescent="0.2">
      <c r="A1004" s="40"/>
      <c r="B1004" s="41" t="s">
        <v>400</v>
      </c>
      <c r="C1004" s="40"/>
      <c r="D1004" s="40"/>
      <c r="E1004" s="40"/>
      <c r="F1004" s="49" t="str">
        <f t="shared" ref="F1004:J1004" ca="1" si="1002">IFERROR(__xludf.DUMMYFUNCTION("if (A1004 &lt;&gt; """", GOOGLETRANSLATE(A1004, ""auto"", ""en""), """")"),"")</f>
        <v/>
      </c>
      <c r="G1004" s="49" t="str">
        <f t="shared" ca="1" si="1002"/>
        <v/>
      </c>
      <c r="H1004" s="49" t="str">
        <f t="shared" ca="1" si="1002"/>
        <v/>
      </c>
      <c r="I1004" s="49" t="str">
        <f t="shared" ca="1" si="1002"/>
        <v/>
      </c>
      <c r="J1004" s="49" t="str">
        <f t="shared" ca="1" si="1002"/>
        <v/>
      </c>
    </row>
    <row r="1005" spans="1:10" ht="12.75" x14ac:dyDescent="0.2">
      <c r="A1005" s="40"/>
      <c r="B1005" s="41" t="s">
        <v>401</v>
      </c>
      <c r="C1005" s="41" t="s">
        <v>345</v>
      </c>
      <c r="D1005" s="40"/>
      <c r="E1005" s="40"/>
      <c r="F1005" s="49" t="str">
        <f t="shared" ref="F1005:J1005" ca="1" si="1003">IFERROR(__xludf.DUMMYFUNCTION("if (A1005 &lt;&gt; """", GOOGLETRANSLATE(A1005, ""auto"", ""en""), """")"),"")</f>
        <v/>
      </c>
      <c r="G1005" s="49" t="str">
        <f t="shared" ca="1" si="1003"/>
        <v/>
      </c>
      <c r="H1005" s="49" t="str">
        <f t="shared" ca="1" si="1003"/>
        <v/>
      </c>
      <c r="I1005" s="49" t="str">
        <f t="shared" ca="1" si="1003"/>
        <v/>
      </c>
      <c r="J1005" s="49" t="str">
        <f t="shared" ca="1" si="1003"/>
        <v/>
      </c>
    </row>
    <row r="1006" spans="1:10" ht="38.25" x14ac:dyDescent="0.2">
      <c r="A1006" s="41" t="s">
        <v>731</v>
      </c>
      <c r="B1006" s="41" t="s">
        <v>402</v>
      </c>
      <c r="C1006" s="41" t="s">
        <v>732</v>
      </c>
      <c r="D1006" s="40"/>
      <c r="E1006" s="40"/>
      <c r="F1006" s="49" t="str">
        <f t="shared" ref="F1006:J1006" ca="1" si="1004">IFERROR(__xludf.DUMMYFUNCTION("if (A1006 &lt;&gt; """", GOOGLETRANSLATE(A1006, ""auto"", ""en""), """")"),"I did not notice in the mail!")</f>
        <v>I did not notice in the mail!</v>
      </c>
      <c r="G1006" s="49" t="str">
        <f t="shared" ca="1" si="1004"/>
        <v>I did not notice in the mail!</v>
      </c>
      <c r="H1006" s="49" t="str">
        <f t="shared" ca="1" si="1004"/>
        <v>I did not notice in the mail!</v>
      </c>
      <c r="I1006" s="49" t="str">
        <f t="shared" ca="1" si="1004"/>
        <v>I did not notice in the mail!</v>
      </c>
      <c r="J1006" s="49" t="str">
        <f t="shared" ca="1" si="1004"/>
        <v>I did not notice in the mail!</v>
      </c>
    </row>
    <row r="1007" spans="1:10" ht="38.25" x14ac:dyDescent="0.2">
      <c r="A1007" s="41" t="s">
        <v>733</v>
      </c>
      <c r="B1007" s="41" t="s">
        <v>402</v>
      </c>
      <c r="C1007" s="41" t="s">
        <v>19</v>
      </c>
      <c r="D1007" s="40"/>
      <c r="E1007" s="40"/>
      <c r="F1007" s="49" t="str">
        <f t="shared" ref="F1007:J1007" ca="1" si="1005">IFERROR(__xludf.DUMMYFUNCTION("if (A1007 &lt;&gt; """", GOOGLETRANSLATE(A1007, ""auto"", ""en""), """")"),"I did not notice the reservation!")</f>
        <v>I did not notice the reservation!</v>
      </c>
      <c r="G1007" s="49" t="str">
        <f t="shared" ca="1" si="1005"/>
        <v>I did not notice the reservation!</v>
      </c>
      <c r="H1007" s="49" t="str">
        <f t="shared" ca="1" si="1005"/>
        <v>I did not notice the reservation!</v>
      </c>
      <c r="I1007" s="49" t="str">
        <f t="shared" ca="1" si="1005"/>
        <v>I did not notice the reservation!</v>
      </c>
      <c r="J1007" s="49" t="str">
        <f t="shared" ca="1" si="1005"/>
        <v>I did not notice the reservation!</v>
      </c>
    </row>
    <row r="1008" spans="1:10" ht="38.25" x14ac:dyDescent="0.2">
      <c r="A1008" s="41" t="s">
        <v>734</v>
      </c>
      <c r="B1008" s="40"/>
      <c r="C1008" s="40"/>
      <c r="D1008" s="40"/>
      <c r="E1008" s="40"/>
      <c r="F1008" s="49" t="str">
        <f t="shared" ref="F1008:J1008" ca="1" si="1006">IFERROR(__xludf.DUMMYFUNCTION("if (A1008 &lt;&gt; """", GOOGLETRANSLATE(A1008, ""auto"", ""en""), """")"),"Now in the mail, but I have noticed")</f>
        <v>Now in the mail, but I have noticed</v>
      </c>
      <c r="G1008" s="49" t="str">
        <f t="shared" ca="1" si="1006"/>
        <v>Now in the mail, but I have noticed</v>
      </c>
      <c r="H1008" s="49" t="str">
        <f t="shared" ca="1" si="1006"/>
        <v>Now in the mail, but I have noticed</v>
      </c>
      <c r="I1008" s="49" t="str">
        <f t="shared" ca="1" si="1006"/>
        <v>Now in the mail, but I have noticed</v>
      </c>
      <c r="J1008" s="49" t="str">
        <f t="shared" ca="1" si="1006"/>
        <v>Now in the mail, but I have noticed</v>
      </c>
    </row>
    <row r="1009" spans="1:10" ht="38.25" x14ac:dyDescent="0.2">
      <c r="A1009" s="41" t="s">
        <v>735</v>
      </c>
      <c r="B1009" s="40"/>
      <c r="C1009" s="40"/>
      <c r="D1009" s="40"/>
      <c r="E1009" s="40"/>
      <c r="F1009" s="49" t="str">
        <f t="shared" ref="F1009:J1009" ca="1" si="1007">IFERROR(__xludf.DUMMYFUNCTION("if (A1009 &lt;&gt; """", GOOGLETRANSLATE(A1009, ""auto"", ""en""), """")"),"Now the reservation, but I noticed")</f>
        <v>Now the reservation, but I noticed</v>
      </c>
      <c r="G1009" s="49" t="str">
        <f t="shared" ca="1" si="1007"/>
        <v>Now the reservation, but I noticed</v>
      </c>
      <c r="H1009" s="49" t="str">
        <f t="shared" ca="1" si="1007"/>
        <v>Now the reservation, but I noticed</v>
      </c>
      <c r="I1009" s="49" t="str">
        <f t="shared" ca="1" si="1007"/>
        <v>Now the reservation, but I noticed</v>
      </c>
      <c r="J1009" s="49" t="str">
        <f t="shared" ca="1" si="1007"/>
        <v>Now the reservation, but I noticed</v>
      </c>
    </row>
    <row r="1010" spans="1:10" ht="38.25" x14ac:dyDescent="0.2">
      <c r="A1010" s="41" t="s">
        <v>736</v>
      </c>
      <c r="B1010" s="40"/>
      <c r="C1010" s="40"/>
      <c r="D1010" s="40"/>
      <c r="E1010" s="40"/>
      <c r="F1010" s="49" t="str">
        <f t="shared" ref="F1010:J1010" ca="1" si="1008">IFERROR(__xludf.DUMMYFUNCTION("if (A1010 &lt;&gt; """", GOOGLETRANSLATE(A1010, ""auto"", ""en""), """")"),"Now the reservation, I noticed")</f>
        <v>Now the reservation, I noticed</v>
      </c>
      <c r="G1010" s="49" t="str">
        <f t="shared" ca="1" si="1008"/>
        <v>Now the reservation, I noticed</v>
      </c>
      <c r="H1010" s="49" t="str">
        <f t="shared" ca="1" si="1008"/>
        <v>Now the reservation, I noticed</v>
      </c>
      <c r="I1010" s="49" t="str">
        <f t="shared" ca="1" si="1008"/>
        <v>Now the reservation, I noticed</v>
      </c>
      <c r="J1010" s="49" t="str">
        <f t="shared" ca="1" si="1008"/>
        <v>Now the reservation, I noticed</v>
      </c>
    </row>
    <row r="1011" spans="1:10" ht="51" x14ac:dyDescent="0.2">
      <c r="A1011" s="41" t="s">
        <v>737</v>
      </c>
      <c r="B1011" s="40"/>
      <c r="C1011" s="40"/>
      <c r="D1011" s="40"/>
      <c r="E1011" s="40"/>
      <c r="F1011" s="49" t="str">
        <f t="shared" ref="F1011:J1011" ca="1" si="1009">IFERROR(__xludf.DUMMYFUNCTION("if (A1011 &lt;&gt; """", GOOGLETRANSLATE(A1011, ""auto"", ""en""), """")"),"I did not notice the reservation but")</f>
        <v>I did not notice the reservation but</v>
      </c>
      <c r="G1011" s="49" t="str">
        <f t="shared" ca="1" si="1009"/>
        <v>I did not notice the reservation but</v>
      </c>
      <c r="H1011" s="49" t="str">
        <f t="shared" ca="1" si="1009"/>
        <v>I did not notice the reservation but</v>
      </c>
      <c r="I1011" s="49" t="str">
        <f t="shared" ca="1" si="1009"/>
        <v>I did not notice the reservation but</v>
      </c>
      <c r="J1011" s="49" t="str">
        <f t="shared" ca="1" si="1009"/>
        <v>I did not notice the reservation but</v>
      </c>
    </row>
    <row r="1012" spans="1:10" ht="38.25" x14ac:dyDescent="0.2">
      <c r="A1012" s="41" t="s">
        <v>738</v>
      </c>
      <c r="B1012" s="40"/>
      <c r="C1012" s="40"/>
      <c r="D1012" s="40"/>
      <c r="E1012" s="40"/>
      <c r="F1012" s="49" t="str">
        <f t="shared" ref="F1012:J1012" ca="1" si="1010">IFERROR(__xludf.DUMMYFUNCTION("if (A1012 &lt;&gt; """", GOOGLETRANSLATE(A1012, ""auto"", ""en""), """")"),"Although I did not notice in the mail")</f>
        <v>Although I did not notice in the mail</v>
      </c>
      <c r="G1012" s="49" t="str">
        <f t="shared" ca="1" si="1010"/>
        <v>Although I did not notice in the mail</v>
      </c>
      <c r="H1012" s="49" t="str">
        <f t="shared" ca="1" si="1010"/>
        <v>Although I did not notice in the mail</v>
      </c>
      <c r="I1012" s="49" t="str">
        <f t="shared" ca="1" si="1010"/>
        <v>Although I did not notice in the mail</v>
      </c>
      <c r="J1012" s="49" t="str">
        <f t="shared" ca="1" si="1010"/>
        <v>Although I did not notice in the mail</v>
      </c>
    </row>
    <row r="1013" spans="1:10" ht="51" x14ac:dyDescent="0.2">
      <c r="A1013" s="41" t="s">
        <v>739</v>
      </c>
      <c r="B1013" s="40"/>
      <c r="C1013" s="40"/>
      <c r="D1013" s="40"/>
      <c r="E1013" s="40"/>
      <c r="F1013" s="49" t="str">
        <f t="shared" ref="F1013:J1013" ca="1" si="1011">IFERROR(__xludf.DUMMYFUNCTION("if (A1013 &lt;&gt; """", GOOGLETRANSLATE(A1013, ""auto"", ""en""), """")"),"What happens if I did not notice in the mail")</f>
        <v>What happens if I did not notice in the mail</v>
      </c>
      <c r="G1013" s="49" t="str">
        <f t="shared" ca="1" si="1011"/>
        <v>What happens if I did not notice in the mail</v>
      </c>
      <c r="H1013" s="49" t="str">
        <f t="shared" ca="1" si="1011"/>
        <v>What happens if I did not notice in the mail</v>
      </c>
      <c r="I1013" s="49" t="str">
        <f t="shared" ca="1" si="1011"/>
        <v>What happens if I did not notice in the mail</v>
      </c>
      <c r="J1013" s="49" t="str">
        <f t="shared" ca="1" si="1011"/>
        <v>What happens if I did not notice in the mail</v>
      </c>
    </row>
    <row r="1014" spans="1:10" ht="63.75" x14ac:dyDescent="0.2">
      <c r="A1014" s="41" t="s">
        <v>740</v>
      </c>
      <c r="B1014" s="40"/>
      <c r="C1014" s="40"/>
      <c r="D1014" s="40"/>
      <c r="E1014" s="40"/>
      <c r="F1014" s="49" t="str">
        <f t="shared" ref="F1014:J1014" ca="1" si="1012">IFERROR(__xludf.DUMMYFUNCTION("if (A1014 &lt;&gt; """", GOOGLETRANSLATE(A1014, ""auto"", ""en""), """")"),"What happens when you did not notice the reservation")</f>
        <v>What happens when you did not notice the reservation</v>
      </c>
      <c r="G1014" s="49" t="str">
        <f t="shared" ca="1" si="1012"/>
        <v>What happens when you did not notice the reservation</v>
      </c>
      <c r="H1014" s="49" t="str">
        <f t="shared" ca="1" si="1012"/>
        <v>What happens when you did not notice the reservation</v>
      </c>
      <c r="I1014" s="49" t="str">
        <f t="shared" ca="1" si="1012"/>
        <v>What happens when you did not notice the reservation</v>
      </c>
      <c r="J1014" s="49" t="str">
        <f t="shared" ca="1" si="1012"/>
        <v>What happens when you did not notice the reservation</v>
      </c>
    </row>
    <row r="1015" spans="1:10" ht="38.25" x14ac:dyDescent="0.2">
      <c r="A1015" s="41" t="s">
        <v>344</v>
      </c>
      <c r="B1015" s="40"/>
      <c r="C1015" s="40"/>
      <c r="D1015" s="40"/>
      <c r="E1015" s="40"/>
      <c r="F1015" s="49" t="str">
        <f t="shared" ref="F1015:J1015" ca="1" si="1013">IFERROR(__xludf.DUMMYFUNCTION("if (A1015 &lt;&gt; """", GOOGLETRANSLATE(A1015, ""auto"", ""en""), """")"),"About Forget the corresponding")</f>
        <v>About Forget the corresponding</v>
      </c>
      <c r="G1015" s="49" t="str">
        <f t="shared" ca="1" si="1013"/>
        <v>About Forget the corresponding</v>
      </c>
      <c r="H1015" s="49" t="str">
        <f t="shared" ca="1" si="1013"/>
        <v>About Forget the corresponding</v>
      </c>
      <c r="I1015" s="49" t="str">
        <f t="shared" ca="1" si="1013"/>
        <v>About Forget the corresponding</v>
      </c>
      <c r="J1015" s="49" t="str">
        <f t="shared" ca="1" si="1013"/>
        <v>About Forget the corresponding</v>
      </c>
    </row>
    <row r="1016" spans="1:10" ht="12.75" x14ac:dyDescent="0.2">
      <c r="A1016" s="40"/>
      <c r="B1016" s="41" t="s">
        <v>403</v>
      </c>
      <c r="C1016" s="41" t="s">
        <v>24</v>
      </c>
      <c r="D1016" s="41" t="s">
        <v>26</v>
      </c>
      <c r="E1016" s="40"/>
      <c r="F1016" s="49" t="str">
        <f t="shared" ref="F1016:J1016" ca="1" si="1014">IFERROR(__xludf.DUMMYFUNCTION("if (A1016 &lt;&gt; """", GOOGLETRANSLATE(A1016, ""auto"", ""en""), """")"),"")</f>
        <v/>
      </c>
      <c r="G1016" s="49" t="str">
        <f t="shared" ca="1" si="1014"/>
        <v/>
      </c>
      <c r="H1016" s="49" t="str">
        <f t="shared" ca="1" si="1014"/>
        <v/>
      </c>
      <c r="I1016" s="49" t="str">
        <f t="shared" ca="1" si="1014"/>
        <v/>
      </c>
      <c r="J1016" s="49" t="str">
        <f t="shared" ca="1" si="1014"/>
        <v/>
      </c>
    </row>
    <row r="1017" spans="1:10" ht="12.75" x14ac:dyDescent="0.2">
      <c r="A1017" s="40"/>
      <c r="B1017" s="41" t="s">
        <v>403</v>
      </c>
      <c r="C1017" s="41" t="s">
        <v>32</v>
      </c>
      <c r="D1017" s="41" t="s">
        <v>29</v>
      </c>
      <c r="E1017" s="40"/>
      <c r="F1017" s="49" t="str">
        <f t="shared" ref="F1017:J1017" ca="1" si="1015">IFERROR(__xludf.DUMMYFUNCTION("if (A1017 &lt;&gt; """", GOOGLETRANSLATE(A1017, ""auto"", ""en""), """")"),"")</f>
        <v/>
      </c>
      <c r="G1017" s="49" t="str">
        <f t="shared" ca="1" si="1015"/>
        <v/>
      </c>
      <c r="H1017" s="49" t="str">
        <f t="shared" ca="1" si="1015"/>
        <v/>
      </c>
      <c r="I1017" s="49" t="str">
        <f t="shared" ca="1" si="1015"/>
        <v/>
      </c>
      <c r="J1017" s="49" t="str">
        <f t="shared" ca="1" si="1015"/>
        <v/>
      </c>
    </row>
    <row r="1018" spans="1:10" ht="12.75" x14ac:dyDescent="0.2">
      <c r="A1018" s="40"/>
      <c r="B1018" s="41" t="s">
        <v>403</v>
      </c>
      <c r="C1018" s="41" t="s">
        <v>25</v>
      </c>
      <c r="D1018" s="41" t="s">
        <v>27</v>
      </c>
      <c r="E1018" s="40"/>
      <c r="F1018" s="49" t="str">
        <f t="shared" ref="F1018:J1018" ca="1" si="1016">IFERROR(__xludf.DUMMYFUNCTION("if (A1018 &lt;&gt; """", GOOGLETRANSLATE(A1018, ""auto"", ""en""), """")"),"")</f>
        <v/>
      </c>
      <c r="G1018" s="49" t="str">
        <f t="shared" ca="1" si="1016"/>
        <v/>
      </c>
      <c r="H1018" s="49" t="str">
        <f t="shared" ca="1" si="1016"/>
        <v/>
      </c>
      <c r="I1018" s="49" t="str">
        <f t="shared" ca="1" si="1016"/>
        <v/>
      </c>
      <c r="J1018" s="49" t="str">
        <f t="shared" ca="1" si="1016"/>
        <v/>
      </c>
    </row>
    <row r="1019" spans="1:10" ht="12.75" x14ac:dyDescent="0.2">
      <c r="A1019" s="40"/>
      <c r="B1019" s="41" t="s">
        <v>403</v>
      </c>
      <c r="C1019" s="41" t="s">
        <v>30</v>
      </c>
      <c r="D1019" s="41" t="s">
        <v>31</v>
      </c>
      <c r="E1019" s="40"/>
      <c r="F1019" s="49" t="str">
        <f t="shared" ref="F1019:J1019" ca="1" si="1017">IFERROR(__xludf.DUMMYFUNCTION("if (A1019 &lt;&gt; """", GOOGLETRANSLATE(A1019, ""auto"", ""en""), """")"),"")</f>
        <v/>
      </c>
      <c r="G1019" s="49" t="str">
        <f t="shared" ca="1" si="1017"/>
        <v/>
      </c>
      <c r="H1019" s="49" t="str">
        <f t="shared" ca="1" si="1017"/>
        <v/>
      </c>
      <c r="I1019" s="49" t="str">
        <f t="shared" ca="1" si="1017"/>
        <v/>
      </c>
      <c r="J1019" s="49" t="str">
        <f t="shared" ca="1" si="1017"/>
        <v/>
      </c>
    </row>
    <row r="1020" spans="1:10" ht="12.75" x14ac:dyDescent="0.2">
      <c r="A1020" s="40"/>
      <c r="B1020" s="40"/>
      <c r="C1020" s="40"/>
      <c r="D1020" s="40"/>
      <c r="E1020" s="40"/>
      <c r="F1020" s="49" t="str">
        <f t="shared" ref="F1020:J1020" ca="1" si="1018">IFERROR(__xludf.DUMMYFUNCTION("if (A1020 &lt;&gt; """", GOOGLETRANSLATE(A1020, ""auto"", ""en""), """")"),"")</f>
        <v/>
      </c>
      <c r="G1020" s="49" t="str">
        <f t="shared" ca="1" si="1018"/>
        <v/>
      </c>
      <c r="H1020" s="49" t="str">
        <f t="shared" ca="1" si="1018"/>
        <v/>
      </c>
      <c r="I1020" s="49" t="str">
        <f t="shared" ca="1" si="1018"/>
        <v/>
      </c>
      <c r="J1020" s="49" t="str">
        <f t="shared" ca="1" si="1018"/>
        <v/>
      </c>
    </row>
    <row r="1021" spans="1:10" ht="12.75" x14ac:dyDescent="0.2">
      <c r="A1021" s="41" t="s">
        <v>349</v>
      </c>
      <c r="B1021" s="40"/>
      <c r="C1021" s="40"/>
      <c r="D1021" s="40"/>
      <c r="E1021" s="40"/>
      <c r="F1021" s="49" t="str">
        <f t="shared" ref="F1021:J1021" ca="1" si="1019">IFERROR(__xludf.DUMMYFUNCTION("if (A1021 &lt;&gt; """", GOOGLETRANSLATE(A1021, ""auto"", ""en""), """")"),"FAQ-Host4-4")</f>
        <v>FAQ-Host4-4</v>
      </c>
      <c r="G1021" s="49" t="str">
        <f t="shared" ca="1" si="1019"/>
        <v>FAQ-Host4-4</v>
      </c>
      <c r="H1021" s="49" t="str">
        <f t="shared" ca="1" si="1019"/>
        <v>FAQ-Host4-4</v>
      </c>
      <c r="I1021" s="49" t="str">
        <f t="shared" ca="1" si="1019"/>
        <v>FAQ-Host4-4</v>
      </c>
      <c r="J1021" s="49" t="str">
        <f t="shared" ca="1" si="1019"/>
        <v>FAQ-Host4-4</v>
      </c>
    </row>
    <row r="1022" spans="1:10" ht="12.75" x14ac:dyDescent="0.2">
      <c r="A1022" s="40"/>
      <c r="B1022" s="41" t="s">
        <v>398</v>
      </c>
      <c r="C1022" s="40"/>
      <c r="D1022" s="40"/>
      <c r="E1022" s="40"/>
      <c r="F1022" s="49" t="str">
        <f t="shared" ref="F1022:J1022" ca="1" si="1020">IFERROR(__xludf.DUMMYFUNCTION("if (A1022 &lt;&gt; """", GOOGLETRANSLATE(A1022, ""auto"", ""en""), """")"),"")</f>
        <v/>
      </c>
      <c r="G1022" s="49" t="str">
        <f t="shared" ca="1" si="1020"/>
        <v/>
      </c>
      <c r="H1022" s="49" t="str">
        <f t="shared" ca="1" si="1020"/>
        <v/>
      </c>
      <c r="I1022" s="49" t="str">
        <f t="shared" ca="1" si="1020"/>
        <v/>
      </c>
      <c r="J1022" s="49" t="str">
        <f t="shared" ca="1" si="1020"/>
        <v/>
      </c>
    </row>
    <row r="1023" spans="1:10" ht="12.75" x14ac:dyDescent="0.2">
      <c r="A1023" s="40"/>
      <c r="B1023" s="41" t="s">
        <v>399</v>
      </c>
      <c r="C1023" s="40"/>
      <c r="D1023" s="40"/>
      <c r="E1023" s="40"/>
      <c r="F1023" s="49" t="str">
        <f t="shared" ref="F1023:J1023" ca="1" si="1021">IFERROR(__xludf.DUMMYFUNCTION("if (A1023 &lt;&gt; """", GOOGLETRANSLATE(A1023, ""auto"", ""en""), """")"),"")</f>
        <v/>
      </c>
      <c r="G1023" s="49" t="str">
        <f t="shared" ca="1" si="1021"/>
        <v/>
      </c>
      <c r="H1023" s="49" t="str">
        <f t="shared" ca="1" si="1021"/>
        <v/>
      </c>
      <c r="I1023" s="49" t="str">
        <f t="shared" ca="1" si="1021"/>
        <v/>
      </c>
      <c r="J1023" s="49" t="str">
        <f t="shared" ca="1" si="1021"/>
        <v/>
      </c>
    </row>
    <row r="1024" spans="1:10" ht="12.75" x14ac:dyDescent="0.2">
      <c r="A1024" s="40"/>
      <c r="B1024" s="41" t="s">
        <v>400</v>
      </c>
      <c r="C1024" s="40"/>
      <c r="D1024" s="40"/>
      <c r="E1024" s="40"/>
      <c r="F1024" s="49" t="str">
        <f t="shared" ref="F1024:J1024" ca="1" si="1022">IFERROR(__xludf.DUMMYFUNCTION("if (A1024 &lt;&gt; """", GOOGLETRANSLATE(A1024, ""auto"", ""en""), """")"),"")</f>
        <v/>
      </c>
      <c r="G1024" s="49" t="str">
        <f t="shared" ca="1" si="1022"/>
        <v/>
      </c>
      <c r="H1024" s="49" t="str">
        <f t="shared" ca="1" si="1022"/>
        <v/>
      </c>
      <c r="I1024" s="49" t="str">
        <f t="shared" ca="1" si="1022"/>
        <v/>
      </c>
      <c r="J1024" s="49" t="str">
        <f t="shared" ca="1" si="1022"/>
        <v/>
      </c>
    </row>
    <row r="1025" spans="1:10" ht="12.75" x14ac:dyDescent="0.2">
      <c r="A1025" s="40"/>
      <c r="B1025" s="41" t="s">
        <v>401</v>
      </c>
      <c r="C1025" s="41" t="s">
        <v>349</v>
      </c>
      <c r="D1025" s="40"/>
      <c r="E1025" s="40"/>
      <c r="F1025" s="49" t="str">
        <f t="shared" ref="F1025:J1025" ca="1" si="1023">IFERROR(__xludf.DUMMYFUNCTION("if (A1025 &lt;&gt; """", GOOGLETRANSLATE(A1025, ""auto"", ""en""), """")"),"")</f>
        <v/>
      </c>
      <c r="G1025" s="49" t="str">
        <f t="shared" ca="1" si="1023"/>
        <v/>
      </c>
      <c r="H1025" s="49" t="str">
        <f t="shared" ca="1" si="1023"/>
        <v/>
      </c>
      <c r="I1025" s="49" t="str">
        <f t="shared" ca="1" si="1023"/>
        <v/>
      </c>
      <c r="J1025" s="49" t="str">
        <f t="shared" ca="1" si="1023"/>
        <v/>
      </c>
    </row>
    <row r="1026" spans="1:10" ht="51" x14ac:dyDescent="0.2">
      <c r="A1026" s="41" t="s">
        <v>741</v>
      </c>
      <c r="B1026" s="41" t="s">
        <v>402</v>
      </c>
      <c r="C1026" s="41" t="s">
        <v>742</v>
      </c>
      <c r="D1026" s="40"/>
      <c r="E1026" s="40"/>
      <c r="F1026" s="49" t="str">
        <f t="shared" ref="F1026:J1026" ca="1" si="1024">IFERROR(__xludf.DUMMYFUNCTION("if (A1026 &lt;&gt; """", GOOGLETRANSLATE(A1026, ""auto"", ""en""), """")"),"I do not know how to pass key")</f>
        <v>I do not know how to pass key</v>
      </c>
      <c r="G1026" s="49" t="str">
        <f t="shared" ca="1" si="1024"/>
        <v>I do not know how to pass key</v>
      </c>
      <c r="H1026" s="49" t="str">
        <f t="shared" ca="1" si="1024"/>
        <v>I do not know how to pass key</v>
      </c>
      <c r="I1026" s="49" t="str">
        <f t="shared" ca="1" si="1024"/>
        <v>I do not know how to pass key</v>
      </c>
      <c r="J1026" s="49" t="str">
        <f t="shared" ca="1" si="1024"/>
        <v>I do not know how to pass key</v>
      </c>
    </row>
    <row r="1027" spans="1:10" ht="25.5" x14ac:dyDescent="0.2">
      <c r="A1027" s="41" t="s">
        <v>743</v>
      </c>
      <c r="B1027" s="41" t="s">
        <v>402</v>
      </c>
      <c r="C1027" s="41" t="s">
        <v>19</v>
      </c>
      <c r="D1027" s="40"/>
      <c r="E1027" s="40"/>
      <c r="F1027" s="49" t="str">
        <f t="shared" ref="F1027:J1027" ca="1" si="1025">IFERROR(__xludf.DUMMYFUNCTION("if (A1027 &lt;&gt; """", GOOGLETRANSLATE(A1027, ""auto"", ""en""), """")"),"Do I pass is how key")</f>
        <v>Do I pass is how key</v>
      </c>
      <c r="G1027" s="49" t="str">
        <f t="shared" ca="1" si="1025"/>
        <v>Do I pass is how key</v>
      </c>
      <c r="H1027" s="49" t="str">
        <f t="shared" ca="1" si="1025"/>
        <v>Do I pass is how key</v>
      </c>
      <c r="I1027" s="49" t="str">
        <f t="shared" ca="1" si="1025"/>
        <v>Do I pass is how key</v>
      </c>
      <c r="J1027" s="49" t="str">
        <f t="shared" ca="1" si="1025"/>
        <v>Do I pass is how key</v>
      </c>
    </row>
    <row r="1028" spans="1:10" ht="25.5" x14ac:dyDescent="0.2">
      <c r="A1028" s="41" t="s">
        <v>744</v>
      </c>
      <c r="B1028" s="40"/>
      <c r="C1028" s="40"/>
      <c r="D1028" s="40"/>
      <c r="E1028" s="40"/>
      <c r="F1028" s="49" t="str">
        <f t="shared" ref="F1028:J1028" ca="1" si="1026">IFERROR(__xludf.DUMMYFUNCTION("if (A1028 &lt;&gt; """", GOOGLETRANSLATE(A1028, ""auto"", ""en""), """")"),"How do I pass doing is key")</f>
        <v>How do I pass doing is key</v>
      </c>
      <c r="G1028" s="49" t="str">
        <f t="shared" ca="1" si="1026"/>
        <v>How do I pass doing is key</v>
      </c>
      <c r="H1028" s="49" t="str">
        <f t="shared" ca="1" si="1026"/>
        <v>How do I pass doing is key</v>
      </c>
      <c r="I1028" s="49" t="str">
        <f t="shared" ca="1" si="1026"/>
        <v>How do I pass doing is key</v>
      </c>
      <c r="J1028" s="49" t="str">
        <f t="shared" ca="1" si="1026"/>
        <v>How do I pass doing is key</v>
      </c>
    </row>
    <row r="1029" spans="1:10" ht="25.5" x14ac:dyDescent="0.2">
      <c r="A1029" s="41" t="s">
        <v>745</v>
      </c>
      <c r="B1029" s="40"/>
      <c r="C1029" s="40"/>
      <c r="D1029" s="40"/>
      <c r="E1029" s="40"/>
      <c r="F1029" s="49" t="str">
        <f t="shared" ref="F1029:J1029" ca="1" si="1027">IFERROR(__xludf.DUMMYFUNCTION("if (A1029 &lt;&gt; """", GOOGLETRANSLATE(A1029, ""auto"", ""en""), """")"),"How do I how to pass key")</f>
        <v>How do I how to pass key</v>
      </c>
      <c r="G1029" s="49" t="str">
        <f t="shared" ca="1" si="1027"/>
        <v>How do I how to pass key</v>
      </c>
      <c r="H1029" s="49" t="str">
        <f t="shared" ca="1" si="1027"/>
        <v>How do I how to pass key</v>
      </c>
      <c r="I1029" s="49" t="str">
        <f t="shared" ca="1" si="1027"/>
        <v>How do I how to pass key</v>
      </c>
      <c r="J1029" s="49" t="str">
        <f t="shared" ca="1" si="1027"/>
        <v>How do I how to pass key</v>
      </c>
    </row>
    <row r="1030" spans="1:10" ht="25.5" x14ac:dyDescent="0.2">
      <c r="A1030" s="41" t="s">
        <v>746</v>
      </c>
      <c r="B1030" s="40"/>
      <c r="C1030" s="40"/>
      <c r="D1030" s="40"/>
      <c r="E1030" s="40"/>
      <c r="F1030" s="49" t="str">
        <f t="shared" ref="F1030:J1030" ca="1" si="1028">IFERROR(__xludf.DUMMYFUNCTION("if (A1030 &lt;&gt; """", GOOGLETRANSLATE(A1030, ""auto"", ""en""), """")"),"Passing key How do is")</f>
        <v>Passing key How do is</v>
      </c>
      <c r="G1030" s="49" t="str">
        <f t="shared" ca="1" si="1028"/>
        <v>Passing key How do is</v>
      </c>
      <c r="H1030" s="49" t="str">
        <f t="shared" ca="1" si="1028"/>
        <v>Passing key How do is</v>
      </c>
      <c r="I1030" s="49" t="str">
        <f t="shared" ca="1" si="1028"/>
        <v>Passing key How do is</v>
      </c>
      <c r="J1030" s="49" t="str">
        <f t="shared" ca="1" si="1028"/>
        <v>Passing key How do is</v>
      </c>
    </row>
    <row r="1031" spans="1:10" ht="25.5" x14ac:dyDescent="0.2">
      <c r="A1031" s="41" t="s">
        <v>747</v>
      </c>
      <c r="B1031" s="40"/>
      <c r="C1031" s="40"/>
      <c r="D1031" s="40"/>
      <c r="E1031" s="40"/>
      <c r="F1031" s="49" t="str">
        <f t="shared" ref="F1031:J1031" ca="1" si="1029">IFERROR(__xludf.DUMMYFUNCTION("if (A1031 &lt;&gt; """", GOOGLETRANSLATE(A1031, ""auto"", ""en""), """")"),"How do you pass the key")</f>
        <v>How do you pass the key</v>
      </c>
      <c r="G1031" s="49" t="str">
        <f t="shared" ca="1" si="1029"/>
        <v>How do you pass the key</v>
      </c>
      <c r="H1031" s="49" t="str">
        <f t="shared" ca="1" si="1029"/>
        <v>How do you pass the key</v>
      </c>
      <c r="I1031" s="49" t="str">
        <f t="shared" ca="1" si="1029"/>
        <v>How do you pass the key</v>
      </c>
      <c r="J1031" s="49" t="str">
        <f t="shared" ca="1" si="1029"/>
        <v>How do you pass the key</v>
      </c>
    </row>
    <row r="1032" spans="1:10" ht="25.5" x14ac:dyDescent="0.2">
      <c r="A1032" s="41" t="s">
        <v>748</v>
      </c>
      <c r="B1032" s="40"/>
      <c r="C1032" s="40"/>
      <c r="D1032" s="40"/>
      <c r="E1032" s="40"/>
      <c r="F1032" s="49" t="str">
        <f t="shared" ref="F1032:J1032" ca="1" si="1030">IFERROR(__xludf.DUMMYFUNCTION("if (A1032 &lt;&gt; """", GOOGLETRANSLATE(A1032, ""auto"", ""en""), """")"),"How do you pass the key")</f>
        <v>How do you pass the key</v>
      </c>
      <c r="G1032" s="49" t="str">
        <f t="shared" ca="1" si="1030"/>
        <v>How do you pass the key</v>
      </c>
      <c r="H1032" s="49" t="str">
        <f t="shared" ca="1" si="1030"/>
        <v>How do you pass the key</v>
      </c>
      <c r="I1032" s="49" t="str">
        <f t="shared" ca="1" si="1030"/>
        <v>How do you pass the key</v>
      </c>
      <c r="J1032" s="49" t="str">
        <f t="shared" ca="1" si="1030"/>
        <v>How do you pass the key</v>
      </c>
    </row>
    <row r="1033" spans="1:10" ht="12.75" x14ac:dyDescent="0.2">
      <c r="A1033" s="41" t="s">
        <v>348</v>
      </c>
      <c r="B1033" s="40"/>
      <c r="C1033" s="40"/>
      <c r="D1033" s="40"/>
      <c r="E1033" s="40"/>
      <c r="F1033" s="49" t="str">
        <f t="shared" ref="F1033:J1033" ca="1" si="1031">IFERROR(__xludf.DUMMYFUNCTION("if (A1033 &lt;&gt; """", GOOGLETRANSLATE(A1033, ""auto"", ""en""), """")"),"About key")</f>
        <v>About key</v>
      </c>
      <c r="G1033" s="49" t="str">
        <f t="shared" ca="1" si="1031"/>
        <v>About key</v>
      </c>
      <c r="H1033" s="49" t="str">
        <f t="shared" ca="1" si="1031"/>
        <v>About key</v>
      </c>
      <c r="I1033" s="49" t="str">
        <f t="shared" ca="1" si="1031"/>
        <v>About key</v>
      </c>
      <c r="J1033" s="49" t="str">
        <f t="shared" ca="1" si="1031"/>
        <v>About key</v>
      </c>
    </row>
    <row r="1034" spans="1:10" ht="12.75" x14ac:dyDescent="0.2">
      <c r="A1034" s="40"/>
      <c r="B1034" s="41" t="s">
        <v>403</v>
      </c>
      <c r="C1034" s="41" t="s">
        <v>24</v>
      </c>
      <c r="D1034" s="41" t="s">
        <v>26</v>
      </c>
      <c r="E1034" s="40"/>
      <c r="F1034" s="49" t="str">
        <f t="shared" ref="F1034:J1034" ca="1" si="1032">IFERROR(__xludf.DUMMYFUNCTION("if (A1034 &lt;&gt; """", GOOGLETRANSLATE(A1034, ""auto"", ""en""), """")"),"")</f>
        <v/>
      </c>
      <c r="G1034" s="49" t="str">
        <f t="shared" ca="1" si="1032"/>
        <v/>
      </c>
      <c r="H1034" s="49" t="str">
        <f t="shared" ca="1" si="1032"/>
        <v/>
      </c>
      <c r="I1034" s="49" t="str">
        <f t="shared" ca="1" si="1032"/>
        <v/>
      </c>
      <c r="J1034" s="49" t="str">
        <f t="shared" ca="1" si="1032"/>
        <v/>
      </c>
    </row>
    <row r="1035" spans="1:10" ht="12.75" x14ac:dyDescent="0.2">
      <c r="A1035" s="40"/>
      <c r="B1035" s="41" t="s">
        <v>403</v>
      </c>
      <c r="C1035" s="41" t="s">
        <v>32</v>
      </c>
      <c r="D1035" s="41" t="s">
        <v>29</v>
      </c>
      <c r="E1035" s="40"/>
      <c r="F1035" s="49" t="str">
        <f t="shared" ref="F1035:J1035" ca="1" si="1033">IFERROR(__xludf.DUMMYFUNCTION("if (A1035 &lt;&gt; """", GOOGLETRANSLATE(A1035, ""auto"", ""en""), """")"),"")</f>
        <v/>
      </c>
      <c r="G1035" s="49" t="str">
        <f t="shared" ca="1" si="1033"/>
        <v/>
      </c>
      <c r="H1035" s="49" t="str">
        <f t="shared" ca="1" si="1033"/>
        <v/>
      </c>
      <c r="I1035" s="49" t="str">
        <f t="shared" ca="1" si="1033"/>
        <v/>
      </c>
      <c r="J1035" s="49" t="str">
        <f t="shared" ca="1" si="1033"/>
        <v/>
      </c>
    </row>
    <row r="1036" spans="1:10" ht="12.75" x14ac:dyDescent="0.2">
      <c r="A1036" s="40"/>
      <c r="B1036" s="41" t="s">
        <v>403</v>
      </c>
      <c r="C1036" s="41" t="s">
        <v>25</v>
      </c>
      <c r="D1036" s="41" t="s">
        <v>27</v>
      </c>
      <c r="E1036" s="40"/>
      <c r="F1036" s="49" t="str">
        <f t="shared" ref="F1036:J1036" ca="1" si="1034">IFERROR(__xludf.DUMMYFUNCTION("if (A1036 &lt;&gt; """", GOOGLETRANSLATE(A1036, ""auto"", ""en""), """")"),"")</f>
        <v/>
      </c>
      <c r="G1036" s="49" t="str">
        <f t="shared" ca="1" si="1034"/>
        <v/>
      </c>
      <c r="H1036" s="49" t="str">
        <f t="shared" ca="1" si="1034"/>
        <v/>
      </c>
      <c r="I1036" s="49" t="str">
        <f t="shared" ca="1" si="1034"/>
        <v/>
      </c>
      <c r="J1036" s="49" t="str">
        <f t="shared" ca="1" si="1034"/>
        <v/>
      </c>
    </row>
    <row r="1037" spans="1:10" ht="12.75" x14ac:dyDescent="0.2">
      <c r="A1037" s="40"/>
      <c r="B1037" s="41" t="s">
        <v>403</v>
      </c>
      <c r="C1037" s="41" t="s">
        <v>30</v>
      </c>
      <c r="D1037" s="41" t="s">
        <v>31</v>
      </c>
      <c r="E1037" s="40"/>
      <c r="F1037" s="49" t="str">
        <f t="shared" ref="F1037:J1037" ca="1" si="1035">IFERROR(__xludf.DUMMYFUNCTION("if (A1037 &lt;&gt; """", GOOGLETRANSLATE(A1037, ""auto"", ""en""), """")"),"")</f>
        <v/>
      </c>
      <c r="G1037" s="49" t="str">
        <f t="shared" ca="1" si="1035"/>
        <v/>
      </c>
      <c r="H1037" s="49" t="str">
        <f t="shared" ca="1" si="1035"/>
        <v/>
      </c>
      <c r="I1037" s="49" t="str">
        <f t="shared" ca="1" si="1035"/>
        <v/>
      </c>
      <c r="J1037" s="49" t="str">
        <f t="shared" ca="1" si="1035"/>
        <v/>
      </c>
    </row>
    <row r="1038" spans="1:10" ht="12.75" x14ac:dyDescent="0.2">
      <c r="A1038" s="40"/>
      <c r="B1038" s="40"/>
      <c r="C1038" s="40"/>
      <c r="D1038" s="40"/>
      <c r="E1038" s="40"/>
      <c r="F1038" s="49" t="str">
        <f t="shared" ref="F1038:J1038" ca="1" si="1036">IFERROR(__xludf.DUMMYFUNCTION("if (A1038 &lt;&gt; """", GOOGLETRANSLATE(A1038, ""auto"", ""en""), """")"),"")</f>
        <v/>
      </c>
      <c r="G1038" s="49" t="str">
        <f t="shared" ca="1" si="1036"/>
        <v/>
      </c>
      <c r="H1038" s="49" t="str">
        <f t="shared" ca="1" si="1036"/>
        <v/>
      </c>
      <c r="I1038" s="49" t="str">
        <f t="shared" ca="1" si="1036"/>
        <v/>
      </c>
      <c r="J1038" s="49" t="str">
        <f t="shared" ca="1" si="1036"/>
        <v/>
      </c>
    </row>
    <row r="1039" spans="1:10" ht="12.75" x14ac:dyDescent="0.2">
      <c r="A1039" s="41" t="s">
        <v>352</v>
      </c>
      <c r="B1039" s="40"/>
      <c r="C1039" s="40"/>
      <c r="D1039" s="40"/>
      <c r="E1039" s="40"/>
      <c r="F1039" s="49" t="str">
        <f t="shared" ref="F1039:J1039" ca="1" si="1037">IFERROR(__xludf.DUMMYFUNCTION("if (A1039 &lt;&gt; """", GOOGLETRANSLATE(A1039, ""auto"", ""en""), """")"),"FAQ-Host4-5")</f>
        <v>FAQ-Host4-5</v>
      </c>
      <c r="G1039" s="49" t="str">
        <f t="shared" ca="1" si="1037"/>
        <v>FAQ-Host4-5</v>
      </c>
      <c r="H1039" s="49" t="str">
        <f t="shared" ca="1" si="1037"/>
        <v>FAQ-Host4-5</v>
      </c>
      <c r="I1039" s="49" t="str">
        <f t="shared" ca="1" si="1037"/>
        <v>FAQ-Host4-5</v>
      </c>
      <c r="J1039" s="49" t="str">
        <f t="shared" ca="1" si="1037"/>
        <v>FAQ-Host4-5</v>
      </c>
    </row>
    <row r="1040" spans="1:10" ht="12.75" x14ac:dyDescent="0.2">
      <c r="A1040" s="40"/>
      <c r="B1040" s="41" t="s">
        <v>398</v>
      </c>
      <c r="C1040" s="40"/>
      <c r="D1040" s="40"/>
      <c r="E1040" s="40"/>
      <c r="F1040" s="49" t="str">
        <f t="shared" ref="F1040:J1040" ca="1" si="1038">IFERROR(__xludf.DUMMYFUNCTION("if (A1040 &lt;&gt; """", GOOGLETRANSLATE(A1040, ""auto"", ""en""), """")"),"")</f>
        <v/>
      </c>
      <c r="G1040" s="49" t="str">
        <f t="shared" ca="1" si="1038"/>
        <v/>
      </c>
      <c r="H1040" s="49" t="str">
        <f t="shared" ca="1" si="1038"/>
        <v/>
      </c>
      <c r="I1040" s="49" t="str">
        <f t="shared" ca="1" si="1038"/>
        <v/>
      </c>
      <c r="J1040" s="49" t="str">
        <f t="shared" ca="1" si="1038"/>
        <v/>
      </c>
    </row>
    <row r="1041" spans="1:10" ht="12.75" x14ac:dyDescent="0.2">
      <c r="A1041" s="40"/>
      <c r="B1041" s="41" t="s">
        <v>399</v>
      </c>
      <c r="C1041" s="40"/>
      <c r="D1041" s="40"/>
      <c r="E1041" s="40"/>
      <c r="F1041" s="49" t="str">
        <f t="shared" ref="F1041:J1041" ca="1" si="1039">IFERROR(__xludf.DUMMYFUNCTION("if (A1041 &lt;&gt; """", GOOGLETRANSLATE(A1041, ""auto"", ""en""), """")"),"")</f>
        <v/>
      </c>
      <c r="G1041" s="49" t="str">
        <f t="shared" ca="1" si="1039"/>
        <v/>
      </c>
      <c r="H1041" s="49" t="str">
        <f t="shared" ca="1" si="1039"/>
        <v/>
      </c>
      <c r="I1041" s="49" t="str">
        <f t="shared" ca="1" si="1039"/>
        <v/>
      </c>
      <c r="J1041" s="49" t="str">
        <f t="shared" ca="1" si="1039"/>
        <v/>
      </c>
    </row>
    <row r="1042" spans="1:10" ht="12.75" x14ac:dyDescent="0.2">
      <c r="A1042" s="40"/>
      <c r="B1042" s="41" t="s">
        <v>400</v>
      </c>
      <c r="C1042" s="40"/>
      <c r="D1042" s="40"/>
      <c r="E1042" s="40"/>
      <c r="F1042" s="49" t="str">
        <f t="shared" ref="F1042:J1042" ca="1" si="1040">IFERROR(__xludf.DUMMYFUNCTION("if (A1042 &lt;&gt; """", GOOGLETRANSLATE(A1042, ""auto"", ""en""), """")"),"")</f>
        <v/>
      </c>
      <c r="G1042" s="49" t="str">
        <f t="shared" ca="1" si="1040"/>
        <v/>
      </c>
      <c r="H1042" s="49" t="str">
        <f t="shared" ca="1" si="1040"/>
        <v/>
      </c>
      <c r="I1042" s="49" t="str">
        <f t="shared" ca="1" si="1040"/>
        <v/>
      </c>
      <c r="J1042" s="49" t="str">
        <f t="shared" ca="1" si="1040"/>
        <v/>
      </c>
    </row>
    <row r="1043" spans="1:10" ht="12.75" x14ac:dyDescent="0.2">
      <c r="A1043" s="40"/>
      <c r="B1043" s="41" t="s">
        <v>401</v>
      </c>
      <c r="C1043" s="41" t="s">
        <v>352</v>
      </c>
      <c r="D1043" s="40"/>
      <c r="E1043" s="40"/>
      <c r="F1043" s="49" t="str">
        <f t="shared" ref="F1043:J1043" ca="1" si="1041">IFERROR(__xludf.DUMMYFUNCTION("if (A1043 &lt;&gt; """", GOOGLETRANSLATE(A1043, ""auto"", ""en""), """")"),"")</f>
        <v/>
      </c>
      <c r="G1043" s="49" t="str">
        <f t="shared" ca="1" si="1041"/>
        <v/>
      </c>
      <c r="H1043" s="49" t="str">
        <f t="shared" ca="1" si="1041"/>
        <v/>
      </c>
      <c r="I1043" s="49" t="str">
        <f t="shared" ca="1" si="1041"/>
        <v/>
      </c>
      <c r="J1043" s="49" t="str">
        <f t="shared" ca="1" si="1041"/>
        <v/>
      </c>
    </row>
    <row r="1044" spans="1:10" ht="63.75" x14ac:dyDescent="0.2">
      <c r="A1044" s="41" t="s">
        <v>750</v>
      </c>
      <c r="B1044" s="41" t="s">
        <v>402</v>
      </c>
      <c r="C1044" s="41" t="s">
        <v>751</v>
      </c>
      <c r="D1044" s="40"/>
      <c r="E1044" s="40"/>
      <c r="F1044" s="49" t="str">
        <f t="shared" ref="F1044:J1044" ca="1" si="1042">IFERROR(__xludf.DUMMYFUNCTION("if (A1044 &lt;&gt; """", GOOGLETRANSLATE(A1044, ""auto"", ""en""), """")"),"Guests violent")</f>
        <v>Guests violent</v>
      </c>
      <c r="G1044" s="49" t="str">
        <f t="shared" ca="1" si="1042"/>
        <v>Guests violent</v>
      </c>
      <c r="H1044" s="49" t="str">
        <f t="shared" ca="1" si="1042"/>
        <v>Guests violent</v>
      </c>
      <c r="I1044" s="49" t="str">
        <f t="shared" ca="1" si="1042"/>
        <v>Guests violent</v>
      </c>
      <c r="J1044" s="49" t="str">
        <f t="shared" ca="1" si="1042"/>
        <v>Guests violent</v>
      </c>
    </row>
    <row r="1045" spans="1:10" ht="25.5" x14ac:dyDescent="0.2">
      <c r="A1045" s="41" t="s">
        <v>752</v>
      </c>
      <c r="B1045" s="41" t="s">
        <v>402</v>
      </c>
      <c r="C1045" s="41" t="s">
        <v>19</v>
      </c>
      <c r="D1045" s="40"/>
      <c r="E1045" s="40"/>
      <c r="F1045" s="49" t="str">
        <f t="shared" ref="F1045:J1045" ca="1" si="1043">IFERROR(__xludf.DUMMYFUNCTION("if (A1045 &lt;&gt; """", GOOGLETRANSLATE(A1045, ""auto"", ""en""), """")"),"Guests violence")</f>
        <v>Guests violence</v>
      </c>
      <c r="G1045" s="49" t="str">
        <f t="shared" ca="1" si="1043"/>
        <v>Guests violence</v>
      </c>
      <c r="H1045" s="49" t="str">
        <f t="shared" ca="1" si="1043"/>
        <v>Guests violence</v>
      </c>
      <c r="I1045" s="49" t="str">
        <f t="shared" ca="1" si="1043"/>
        <v>Guests violence</v>
      </c>
      <c r="J1045" s="49" t="str">
        <f t="shared" ca="1" si="1043"/>
        <v>Guests violence</v>
      </c>
    </row>
    <row r="1046" spans="1:10" ht="12.75" x14ac:dyDescent="0.2">
      <c r="A1046" s="41" t="s">
        <v>753</v>
      </c>
      <c r="B1046" s="40"/>
      <c r="C1046" s="40"/>
      <c r="D1046" s="40"/>
      <c r="E1046" s="40"/>
      <c r="F1046" s="49" t="str">
        <f t="shared" ref="F1046:J1046" ca="1" si="1044">IFERROR(__xludf.DUMMYFUNCTION("if (A1046 &lt;&gt; """", GOOGLETRANSLATE(A1046, ""auto"", ""en""), """")"),"Is scary guest")</f>
        <v>Is scary guest</v>
      </c>
      <c r="G1046" s="49" t="str">
        <f t="shared" ca="1" si="1044"/>
        <v>Is scary guest</v>
      </c>
      <c r="H1046" s="49" t="str">
        <f t="shared" ca="1" si="1044"/>
        <v>Is scary guest</v>
      </c>
      <c r="I1046" s="49" t="str">
        <f t="shared" ca="1" si="1044"/>
        <v>Is scary guest</v>
      </c>
      <c r="J1046" s="49" t="str">
        <f t="shared" ca="1" si="1044"/>
        <v>Is scary guest</v>
      </c>
    </row>
    <row r="1047" spans="1:10" ht="25.5" x14ac:dyDescent="0.2">
      <c r="A1047" s="41" t="s">
        <v>754</v>
      </c>
      <c r="B1047" s="40"/>
      <c r="C1047" s="40"/>
      <c r="D1047" s="40"/>
      <c r="E1047" s="40"/>
      <c r="F1047" s="49" t="str">
        <f t="shared" ref="F1047:J1047" ca="1" si="1045">IFERROR(__xludf.DUMMYFUNCTION("if (A1047 &lt;&gt; """", GOOGLETRANSLATE(A1047, ""auto"", ""en""), """")"),"Guest is strange")</f>
        <v>Guest is strange</v>
      </c>
      <c r="G1047" s="49" t="str">
        <f t="shared" ca="1" si="1045"/>
        <v>Guest is strange</v>
      </c>
      <c r="H1047" s="49" t="str">
        <f t="shared" ca="1" si="1045"/>
        <v>Guest is strange</v>
      </c>
      <c r="I1047" s="49" t="str">
        <f t="shared" ca="1" si="1045"/>
        <v>Guest is strange</v>
      </c>
      <c r="J1047" s="49" t="str">
        <f t="shared" ca="1" si="1045"/>
        <v>Guest is strange</v>
      </c>
    </row>
    <row r="1048" spans="1:10" ht="25.5" x14ac:dyDescent="0.2">
      <c r="A1048" s="41" t="s">
        <v>755</v>
      </c>
      <c r="B1048" s="40"/>
      <c r="C1048" s="40"/>
      <c r="D1048" s="40"/>
      <c r="E1048" s="40"/>
      <c r="F1048" s="49" t="str">
        <f t="shared" ref="F1048:J1048" ca="1" si="1046">IFERROR(__xludf.DUMMYFUNCTION("if (A1048 &lt;&gt; """", GOOGLETRANSLATE(A1048, ""auto"", ""en""), """")"),"Guest is suspicious")</f>
        <v>Guest is suspicious</v>
      </c>
      <c r="G1048" s="49" t="str">
        <f t="shared" ca="1" si="1046"/>
        <v>Guest is suspicious</v>
      </c>
      <c r="H1048" s="49" t="str">
        <f t="shared" ca="1" si="1046"/>
        <v>Guest is suspicious</v>
      </c>
      <c r="I1048" s="49" t="str">
        <f t="shared" ca="1" si="1046"/>
        <v>Guest is suspicious</v>
      </c>
      <c r="J1048" s="49" t="str">
        <f t="shared" ca="1" si="1046"/>
        <v>Guest is suspicious</v>
      </c>
    </row>
    <row r="1049" spans="1:10" ht="38.25" x14ac:dyDescent="0.2">
      <c r="A1049" s="41" t="s">
        <v>756</v>
      </c>
      <c r="B1049" s="40"/>
      <c r="C1049" s="40"/>
      <c r="D1049" s="40"/>
      <c r="E1049" s="40"/>
      <c r="F1049" s="49" t="str">
        <f t="shared" ref="F1049:J1049" ca="1" si="1047">IFERROR(__xludf.DUMMYFUNCTION("if (A1049 &lt;&gt; """", GOOGLETRANSLATE(A1049, ""auto"", ""en""), """")"),"Guests do not keep your promise")</f>
        <v>Guests do not keep your promise</v>
      </c>
      <c r="G1049" s="49" t="str">
        <f t="shared" ca="1" si="1047"/>
        <v>Guests do not keep your promise</v>
      </c>
      <c r="H1049" s="49" t="str">
        <f t="shared" ca="1" si="1047"/>
        <v>Guests do not keep your promise</v>
      </c>
      <c r="I1049" s="49" t="str">
        <f t="shared" ca="1" si="1047"/>
        <v>Guests do not keep your promise</v>
      </c>
      <c r="J1049" s="49" t="str">
        <f t="shared" ca="1" si="1047"/>
        <v>Guests do not keep your promise</v>
      </c>
    </row>
    <row r="1050" spans="1:10" ht="12.75" x14ac:dyDescent="0.2">
      <c r="A1050" s="41" t="s">
        <v>757</v>
      </c>
      <c r="B1050" s="40"/>
      <c r="C1050" s="40"/>
      <c r="D1050" s="40"/>
      <c r="E1050" s="40"/>
      <c r="F1050" s="49" t="str">
        <f t="shared" ref="F1050:J1050" ca="1" si="1048">IFERROR(__xludf.DUMMYFUNCTION("if (A1050 &lt;&gt; """", GOOGLETRANSLATE(A1050, ""auto"", ""en""), """")"),"Guests lie")</f>
        <v>Guests lie</v>
      </c>
      <c r="G1050" s="49" t="str">
        <f t="shared" ca="1" si="1048"/>
        <v>Guests lie</v>
      </c>
      <c r="H1050" s="49" t="str">
        <f t="shared" ca="1" si="1048"/>
        <v>Guests lie</v>
      </c>
      <c r="I1050" s="49" t="str">
        <f t="shared" ca="1" si="1048"/>
        <v>Guests lie</v>
      </c>
      <c r="J1050" s="49" t="str">
        <f t="shared" ca="1" si="1048"/>
        <v>Guests lie</v>
      </c>
    </row>
    <row r="1051" spans="1:10" ht="51" x14ac:dyDescent="0.2">
      <c r="A1051" s="41" t="s">
        <v>758</v>
      </c>
      <c r="B1051" s="40"/>
      <c r="C1051" s="40"/>
      <c r="D1051" s="40"/>
      <c r="E1051" s="40"/>
      <c r="F1051" s="49" t="str">
        <f t="shared" ref="F1051:J1051" ca="1" si="1049">IFERROR(__xludf.DUMMYFUNCTION("if (A1051 &lt;&gt; """", GOOGLETRANSLATE(A1051, ""auto"", ""en""), """")"),"Although I guest does not keep your promise")</f>
        <v>Although I guest does not keep your promise</v>
      </c>
      <c r="G1051" s="49" t="str">
        <f t="shared" ca="1" si="1049"/>
        <v>Although I guest does not keep your promise</v>
      </c>
      <c r="H1051" s="49" t="str">
        <f t="shared" ca="1" si="1049"/>
        <v>Although I guest does not keep your promise</v>
      </c>
      <c r="I1051" s="49" t="str">
        <f t="shared" ca="1" si="1049"/>
        <v>Although I guest does not keep your promise</v>
      </c>
      <c r="J1051" s="49" t="str">
        <f t="shared" ca="1" si="1049"/>
        <v>Although I guest does not keep your promise</v>
      </c>
    </row>
    <row r="1052" spans="1:10" ht="63.75" x14ac:dyDescent="0.2">
      <c r="A1052" s="41" t="s">
        <v>759</v>
      </c>
      <c r="B1052" s="40"/>
      <c r="C1052" s="40"/>
      <c r="D1052" s="40"/>
      <c r="E1052" s="40"/>
      <c r="F1052" s="49" t="str">
        <f t="shared" ref="F1052:J1052" ca="1" si="1050">IFERROR(__xludf.DUMMYFUNCTION("if (A1052 &lt;&gt; """", GOOGLETRANSLATE(A1052, ""auto"", ""en""), """")"),"Guest Although it haunts more than necessary")</f>
        <v>Guest Although it haunts more than necessary</v>
      </c>
      <c r="G1052" s="49" t="str">
        <f t="shared" ca="1" si="1050"/>
        <v>Guest Although it haunts more than necessary</v>
      </c>
      <c r="H1052" s="49" t="str">
        <f t="shared" ca="1" si="1050"/>
        <v>Guest Although it haunts more than necessary</v>
      </c>
      <c r="I1052" s="49" t="str">
        <f t="shared" ca="1" si="1050"/>
        <v>Guest Although it haunts more than necessary</v>
      </c>
      <c r="J1052" s="49" t="str">
        <f t="shared" ca="1" si="1050"/>
        <v>Guest Although it haunts more than necessary</v>
      </c>
    </row>
    <row r="1053" spans="1:10" ht="51" x14ac:dyDescent="0.2">
      <c r="A1053" s="41" t="s">
        <v>760</v>
      </c>
      <c r="B1053" s="40"/>
      <c r="C1053" s="40"/>
      <c r="D1053" s="40"/>
      <c r="E1053" s="40"/>
      <c r="F1053" s="49" t="str">
        <f t="shared" ref="F1053:J1053" ca="1" si="1051">IFERROR(__xludf.DUMMYFUNCTION("if (A1053 &lt;&gt; """", GOOGLETRANSLATE(A1053, ""auto"", ""en""), """")"),"I'm a guest comes to us again and again")</f>
        <v>I'm a guest comes to us again and again</v>
      </c>
      <c r="G1053" s="49" t="str">
        <f t="shared" ca="1" si="1051"/>
        <v>I'm a guest comes to us again and again</v>
      </c>
      <c r="H1053" s="49" t="str">
        <f t="shared" ca="1" si="1051"/>
        <v>I'm a guest comes to us again and again</v>
      </c>
      <c r="I1053" s="49" t="str">
        <f t="shared" ca="1" si="1051"/>
        <v>I'm a guest comes to us again and again</v>
      </c>
      <c r="J1053" s="49" t="str">
        <f t="shared" ca="1" si="1051"/>
        <v>I'm a guest comes to us again and again</v>
      </c>
    </row>
    <row r="1054" spans="1:10" ht="38.25" x14ac:dyDescent="0.2">
      <c r="A1054" s="41" t="s">
        <v>761</v>
      </c>
      <c r="B1054" s="40"/>
      <c r="C1054" s="40"/>
      <c r="D1054" s="40"/>
      <c r="E1054" s="40"/>
      <c r="F1054" s="49" t="str">
        <f t="shared" ref="F1054:J1054" ca="1" si="1052">IFERROR(__xludf.DUMMYFUNCTION("if (A1054 &lt;&gt; """", GOOGLETRANSLATE(A1054, ""auto"", ""en""), """")"),"It's a guest come to stalker")</f>
        <v>It's a guest come to stalker</v>
      </c>
      <c r="G1054" s="49" t="str">
        <f t="shared" ca="1" si="1052"/>
        <v>It's a guest come to stalker</v>
      </c>
      <c r="H1054" s="49" t="str">
        <f t="shared" ca="1" si="1052"/>
        <v>It's a guest come to stalker</v>
      </c>
      <c r="I1054" s="49" t="str">
        <f t="shared" ca="1" si="1052"/>
        <v>It's a guest come to stalker</v>
      </c>
      <c r="J1054" s="49" t="str">
        <f t="shared" ca="1" si="1052"/>
        <v>It's a guest come to stalker</v>
      </c>
    </row>
    <row r="1055" spans="1:10" ht="51" x14ac:dyDescent="0.2">
      <c r="A1055" s="41" t="s">
        <v>762</v>
      </c>
      <c r="B1055" s="40"/>
      <c r="C1055" s="40"/>
      <c r="D1055" s="40"/>
      <c r="E1055" s="40"/>
      <c r="F1055" s="49" t="str">
        <f t="shared" ref="F1055:J1055" ca="1" si="1053">IFERROR(__xludf.DUMMYFUNCTION("if (A1055 &lt;&gt; """", GOOGLETRANSLATE(A1055, ""auto"", ""en""), """")"),"Guest Although I know people strange")</f>
        <v>Guest Although I know people strange</v>
      </c>
      <c r="G1055" s="49" t="str">
        <f t="shared" ca="1" si="1053"/>
        <v>Guest Although I know people strange</v>
      </c>
      <c r="H1055" s="49" t="str">
        <f t="shared" ca="1" si="1053"/>
        <v>Guest Although I know people strange</v>
      </c>
      <c r="I1055" s="49" t="str">
        <f t="shared" ca="1" si="1053"/>
        <v>Guest Although I know people strange</v>
      </c>
      <c r="J1055" s="49" t="str">
        <f t="shared" ca="1" si="1053"/>
        <v>Guest Although I know people strange</v>
      </c>
    </row>
    <row r="1056" spans="1:10" ht="51" x14ac:dyDescent="0.2">
      <c r="A1056" s="41" t="s">
        <v>763</v>
      </c>
      <c r="B1056" s="40"/>
      <c r="C1056" s="40"/>
      <c r="D1056" s="40"/>
      <c r="E1056" s="40"/>
      <c r="F1056" s="49" t="str">
        <f t="shared" ref="F1056:J1056" ca="1" si="1054">IFERROR(__xludf.DUMMYFUNCTION("if (A1056 &lt;&gt; """", GOOGLETRANSLATE(A1056, ""auto"", ""en""), """")"),"While it is it is different from that saying guest")</f>
        <v>While it is it is different from that saying guest</v>
      </c>
      <c r="G1056" s="49" t="str">
        <f t="shared" ca="1" si="1054"/>
        <v>While it is it is different from that saying guest</v>
      </c>
      <c r="H1056" s="49" t="str">
        <f t="shared" ca="1" si="1054"/>
        <v>While it is it is different from that saying guest</v>
      </c>
      <c r="I1056" s="49" t="str">
        <f t="shared" ca="1" si="1054"/>
        <v>While it is it is different from that saying guest</v>
      </c>
      <c r="J1056" s="49" t="str">
        <f t="shared" ca="1" si="1054"/>
        <v>While it is it is different from that saying guest</v>
      </c>
    </row>
    <row r="1057" spans="1:10" ht="38.25" x14ac:dyDescent="0.2">
      <c r="A1057" s="41" t="s">
        <v>764</v>
      </c>
      <c r="B1057" s="40"/>
      <c r="C1057" s="40"/>
      <c r="D1057" s="40"/>
      <c r="E1057" s="40"/>
      <c r="F1057" s="49" t="str">
        <f t="shared" ref="F1057:J1057" ca="1" si="1055">IFERROR(__xludf.DUMMYFUNCTION("if (A1057 &lt;&gt; """", GOOGLETRANSLATE(A1057, ""auto"", ""en""), """")"),"I do not know that you are saying guest")</f>
        <v>I do not know that you are saying guest</v>
      </c>
      <c r="G1057" s="49" t="str">
        <f t="shared" ca="1" si="1055"/>
        <v>I do not know that you are saying guest</v>
      </c>
      <c r="H1057" s="49" t="str">
        <f t="shared" ca="1" si="1055"/>
        <v>I do not know that you are saying guest</v>
      </c>
      <c r="I1057" s="49" t="str">
        <f t="shared" ca="1" si="1055"/>
        <v>I do not know that you are saying guest</v>
      </c>
      <c r="J1057" s="49" t="str">
        <f t="shared" ca="1" si="1055"/>
        <v>I do not know that you are saying guest</v>
      </c>
    </row>
    <row r="1058" spans="1:10" ht="51" x14ac:dyDescent="0.2">
      <c r="A1058" s="41" t="s">
        <v>765</v>
      </c>
      <c r="B1058" s="40"/>
      <c r="C1058" s="40"/>
      <c r="D1058" s="40"/>
      <c r="E1058" s="40"/>
      <c r="F1058" s="49" t="str">
        <f t="shared" ref="F1058:J1058" ca="1" si="1056">IFERROR(__xludf.DUMMYFUNCTION("if (A1058 &lt;&gt; """", GOOGLETRANSLATE(A1058, ""auto"", ""en""), """")"),"Guest Although I'm a head amused look on her")</f>
        <v>Guest Although I'm a head amused look on her</v>
      </c>
      <c r="G1058" s="49" t="str">
        <f t="shared" ca="1" si="1056"/>
        <v>Guest Although I'm a head amused look on her</v>
      </c>
      <c r="H1058" s="49" t="str">
        <f t="shared" ca="1" si="1056"/>
        <v>Guest Although I'm a head amused look on her</v>
      </c>
      <c r="I1058" s="49" t="str">
        <f t="shared" ca="1" si="1056"/>
        <v>Guest Although I'm a head amused look on her</v>
      </c>
      <c r="J1058" s="49" t="str">
        <f t="shared" ca="1" si="1056"/>
        <v>Guest Although I'm a head amused look on her</v>
      </c>
    </row>
    <row r="1059" spans="1:10" ht="25.5" x14ac:dyDescent="0.2">
      <c r="A1059" s="41" t="s">
        <v>766</v>
      </c>
      <c r="B1059" s="40"/>
      <c r="C1059" s="40"/>
      <c r="D1059" s="40"/>
      <c r="E1059" s="40"/>
      <c r="F1059" s="49" t="str">
        <f t="shared" ref="F1059:J1059" ca="1" si="1057">IFERROR(__xludf.DUMMYFUNCTION("if (A1059 &lt;&gt; """", GOOGLETRANSLATE(A1059, ""auto"", ""en""), """")"),"It's guest is scary")</f>
        <v>It's guest is scary</v>
      </c>
      <c r="G1059" s="49" t="str">
        <f t="shared" ca="1" si="1057"/>
        <v>It's guest is scary</v>
      </c>
      <c r="H1059" s="49" t="str">
        <f t="shared" ca="1" si="1057"/>
        <v>It's guest is scary</v>
      </c>
      <c r="I1059" s="49" t="str">
        <f t="shared" ca="1" si="1057"/>
        <v>It's guest is scary</v>
      </c>
      <c r="J1059" s="49" t="str">
        <f t="shared" ca="1" si="1057"/>
        <v>It's guest is scary</v>
      </c>
    </row>
    <row r="1060" spans="1:10" ht="38.25" x14ac:dyDescent="0.2">
      <c r="A1060" s="41" t="s">
        <v>767</v>
      </c>
      <c r="B1060" s="40"/>
      <c r="C1060" s="40"/>
      <c r="D1060" s="40"/>
      <c r="E1060" s="40"/>
      <c r="F1060" s="49" t="str">
        <f t="shared" ref="F1060:J1060" ca="1" si="1058">IFERROR(__xludf.DUMMYFUNCTION("if (A1060 &lt;&gt; """", GOOGLETRANSLATE(A1060, ""auto"", ""en""), """")"),"Guests but suspicious of you")</f>
        <v>Guests but suspicious of you</v>
      </c>
      <c r="G1060" s="49" t="str">
        <f t="shared" ca="1" si="1058"/>
        <v>Guests but suspicious of you</v>
      </c>
      <c r="H1060" s="49" t="str">
        <f t="shared" ca="1" si="1058"/>
        <v>Guests but suspicious of you</v>
      </c>
      <c r="I1060" s="49" t="str">
        <f t="shared" ca="1" si="1058"/>
        <v>Guests but suspicious of you</v>
      </c>
      <c r="J1060" s="49" t="str">
        <f t="shared" ca="1" si="1058"/>
        <v>Guests but suspicious of you</v>
      </c>
    </row>
    <row r="1061" spans="1:10" ht="25.5" x14ac:dyDescent="0.2">
      <c r="A1061" s="41" t="s">
        <v>351</v>
      </c>
      <c r="B1061" s="40"/>
      <c r="C1061" s="40"/>
      <c r="D1061" s="40"/>
      <c r="E1061" s="40"/>
      <c r="F1061" s="49" t="str">
        <f t="shared" ref="F1061:J1061" ca="1" si="1059">IFERROR(__xludf.DUMMYFUNCTION("if (A1061 &lt;&gt; """", GOOGLETRANSLATE(A1061, ""auto"", ""en""), """")"),"For discomfort to the guest")</f>
        <v>For discomfort to the guest</v>
      </c>
      <c r="G1061" s="49" t="str">
        <f t="shared" ca="1" si="1059"/>
        <v>For discomfort to the guest</v>
      </c>
      <c r="H1061" s="49" t="str">
        <f t="shared" ca="1" si="1059"/>
        <v>For discomfort to the guest</v>
      </c>
      <c r="I1061" s="49" t="str">
        <f t="shared" ca="1" si="1059"/>
        <v>For discomfort to the guest</v>
      </c>
      <c r="J1061" s="49" t="str">
        <f t="shared" ca="1" si="1059"/>
        <v>For discomfort to the guest</v>
      </c>
    </row>
    <row r="1062" spans="1:10" ht="12.75" x14ac:dyDescent="0.2">
      <c r="A1062" s="40"/>
      <c r="B1062" s="41" t="s">
        <v>422</v>
      </c>
      <c r="C1062" s="41" t="s">
        <v>425</v>
      </c>
      <c r="D1062" s="41" t="s">
        <v>426</v>
      </c>
      <c r="E1062" s="40"/>
      <c r="F1062" s="49" t="str">
        <f t="shared" ref="F1062:J1062" ca="1" si="1060">IFERROR(__xludf.DUMMYFUNCTION("if (A1062 &lt;&gt; """", GOOGLETRANSLATE(A1062, ""auto"", ""en""), """")"),"")</f>
        <v/>
      </c>
      <c r="G1062" s="49" t="str">
        <f t="shared" ca="1" si="1060"/>
        <v/>
      </c>
      <c r="H1062" s="49" t="str">
        <f t="shared" ca="1" si="1060"/>
        <v/>
      </c>
      <c r="I1062" s="49" t="str">
        <f t="shared" ca="1" si="1060"/>
        <v/>
      </c>
      <c r="J1062" s="49" t="str">
        <f t="shared" ca="1" si="1060"/>
        <v/>
      </c>
    </row>
    <row r="1063" spans="1:10" ht="12.75" x14ac:dyDescent="0.2">
      <c r="A1063" s="40"/>
      <c r="B1063" s="41" t="s">
        <v>403</v>
      </c>
      <c r="C1063" s="41" t="s">
        <v>24</v>
      </c>
      <c r="D1063" s="41" t="s">
        <v>26</v>
      </c>
      <c r="E1063" s="40"/>
      <c r="F1063" s="49" t="str">
        <f t="shared" ref="F1063:J1063" ca="1" si="1061">IFERROR(__xludf.DUMMYFUNCTION("if (A1063 &lt;&gt; """", GOOGLETRANSLATE(A1063, ""auto"", ""en""), """")"),"")</f>
        <v/>
      </c>
      <c r="G1063" s="49" t="str">
        <f t="shared" ca="1" si="1061"/>
        <v/>
      </c>
      <c r="H1063" s="49" t="str">
        <f t="shared" ca="1" si="1061"/>
        <v/>
      </c>
      <c r="I1063" s="49" t="str">
        <f t="shared" ca="1" si="1061"/>
        <v/>
      </c>
      <c r="J1063" s="49" t="str">
        <f t="shared" ca="1" si="1061"/>
        <v/>
      </c>
    </row>
    <row r="1064" spans="1:10" ht="12.75" x14ac:dyDescent="0.2">
      <c r="A1064" s="40"/>
      <c r="B1064" s="41" t="s">
        <v>403</v>
      </c>
      <c r="C1064" s="41" t="s">
        <v>32</v>
      </c>
      <c r="D1064" s="41" t="s">
        <v>29</v>
      </c>
      <c r="E1064" s="40"/>
      <c r="F1064" s="49" t="str">
        <f t="shared" ref="F1064:J1064" ca="1" si="1062">IFERROR(__xludf.DUMMYFUNCTION("if (A1064 &lt;&gt; """", GOOGLETRANSLATE(A1064, ""auto"", ""en""), """")"),"")</f>
        <v/>
      </c>
      <c r="G1064" s="49" t="str">
        <f t="shared" ca="1" si="1062"/>
        <v/>
      </c>
      <c r="H1064" s="49" t="str">
        <f t="shared" ca="1" si="1062"/>
        <v/>
      </c>
      <c r="I1064" s="49" t="str">
        <f t="shared" ca="1" si="1062"/>
        <v/>
      </c>
      <c r="J1064" s="49" t="str">
        <f t="shared" ca="1" si="1062"/>
        <v/>
      </c>
    </row>
    <row r="1065" spans="1:10" ht="12.75" x14ac:dyDescent="0.2">
      <c r="A1065" s="40"/>
      <c r="B1065" s="41" t="s">
        <v>403</v>
      </c>
      <c r="C1065" s="41" t="s">
        <v>25</v>
      </c>
      <c r="D1065" s="41" t="s">
        <v>27</v>
      </c>
      <c r="E1065" s="40"/>
      <c r="F1065" s="49" t="str">
        <f t="shared" ref="F1065:J1065" ca="1" si="1063">IFERROR(__xludf.DUMMYFUNCTION("if (A1065 &lt;&gt; """", GOOGLETRANSLATE(A1065, ""auto"", ""en""), """")"),"")</f>
        <v/>
      </c>
      <c r="G1065" s="49" t="str">
        <f t="shared" ca="1" si="1063"/>
        <v/>
      </c>
      <c r="H1065" s="49" t="str">
        <f t="shared" ca="1" si="1063"/>
        <v/>
      </c>
      <c r="I1065" s="49" t="str">
        <f t="shared" ca="1" si="1063"/>
        <v/>
      </c>
      <c r="J1065" s="49" t="str">
        <f t="shared" ca="1" si="1063"/>
        <v/>
      </c>
    </row>
    <row r="1066" spans="1:10" ht="12.75" x14ac:dyDescent="0.2">
      <c r="A1066" s="40"/>
      <c r="B1066" s="41" t="s">
        <v>403</v>
      </c>
      <c r="C1066" s="41" t="s">
        <v>30</v>
      </c>
      <c r="D1066" s="41" t="s">
        <v>31</v>
      </c>
      <c r="E1066" s="40"/>
      <c r="F1066" s="49" t="str">
        <f t="shared" ref="F1066:J1066" ca="1" si="1064">IFERROR(__xludf.DUMMYFUNCTION("if (A1066 &lt;&gt; """", GOOGLETRANSLATE(A1066, ""auto"", ""en""), """")"),"")</f>
        <v/>
      </c>
      <c r="G1066" s="49" t="str">
        <f t="shared" ca="1" si="1064"/>
        <v/>
      </c>
      <c r="H1066" s="49" t="str">
        <f t="shared" ca="1" si="1064"/>
        <v/>
      </c>
      <c r="I1066" s="49" t="str">
        <f t="shared" ca="1" si="1064"/>
        <v/>
      </c>
      <c r="J1066" s="49" t="str">
        <f t="shared" ca="1" si="1064"/>
        <v/>
      </c>
    </row>
    <row r="1067" spans="1:10" ht="12.75" x14ac:dyDescent="0.2">
      <c r="A1067" s="40"/>
      <c r="B1067" s="40"/>
      <c r="C1067" s="40"/>
      <c r="D1067" s="40"/>
      <c r="E1067" s="40"/>
      <c r="F1067" s="49" t="str">
        <f t="shared" ref="F1067:J1067" ca="1" si="1065">IFERROR(__xludf.DUMMYFUNCTION("if (A1067 &lt;&gt; """", GOOGLETRANSLATE(A1067, ""auto"", ""en""), """")"),"")</f>
        <v/>
      </c>
      <c r="G1067" s="49" t="str">
        <f t="shared" ca="1" si="1065"/>
        <v/>
      </c>
      <c r="H1067" s="49" t="str">
        <f t="shared" ca="1" si="1065"/>
        <v/>
      </c>
      <c r="I1067" s="49" t="str">
        <f t="shared" ca="1" si="1065"/>
        <v/>
      </c>
      <c r="J1067" s="49" t="str">
        <f t="shared" ca="1" si="1065"/>
        <v/>
      </c>
    </row>
    <row r="1068" spans="1:10" ht="12.75" x14ac:dyDescent="0.2">
      <c r="A1068" s="41" t="s">
        <v>357</v>
      </c>
      <c r="B1068" s="40"/>
      <c r="C1068" s="40"/>
      <c r="D1068" s="40"/>
      <c r="E1068" s="40"/>
      <c r="F1068" s="49" t="str">
        <f t="shared" ref="F1068:J1068" ca="1" si="1066">IFERROR(__xludf.DUMMYFUNCTION("if (A1068 &lt;&gt; """", GOOGLETRANSLATE(A1068, ""auto"", ""en""), """")"),"FAQ-Host4-6")</f>
        <v>FAQ-Host4-6</v>
      </c>
      <c r="G1068" s="49" t="str">
        <f t="shared" ca="1" si="1066"/>
        <v>FAQ-Host4-6</v>
      </c>
      <c r="H1068" s="49" t="str">
        <f t="shared" ca="1" si="1066"/>
        <v>FAQ-Host4-6</v>
      </c>
      <c r="I1068" s="49" t="str">
        <f t="shared" ca="1" si="1066"/>
        <v>FAQ-Host4-6</v>
      </c>
      <c r="J1068" s="49" t="str">
        <f t="shared" ca="1" si="1066"/>
        <v>FAQ-Host4-6</v>
      </c>
    </row>
    <row r="1069" spans="1:10" ht="12.75" x14ac:dyDescent="0.2">
      <c r="A1069" s="40"/>
      <c r="B1069" s="41" t="s">
        <v>398</v>
      </c>
      <c r="C1069" s="40"/>
      <c r="D1069" s="40"/>
      <c r="E1069" s="40"/>
      <c r="F1069" s="49" t="str">
        <f t="shared" ref="F1069:J1069" ca="1" si="1067">IFERROR(__xludf.DUMMYFUNCTION("if (A1069 &lt;&gt; """", GOOGLETRANSLATE(A1069, ""auto"", ""en""), """")"),"")</f>
        <v/>
      </c>
      <c r="G1069" s="49" t="str">
        <f t="shared" ca="1" si="1067"/>
        <v/>
      </c>
      <c r="H1069" s="49" t="str">
        <f t="shared" ca="1" si="1067"/>
        <v/>
      </c>
      <c r="I1069" s="49" t="str">
        <f t="shared" ca="1" si="1067"/>
        <v/>
      </c>
      <c r="J1069" s="49" t="str">
        <f t="shared" ca="1" si="1067"/>
        <v/>
      </c>
    </row>
    <row r="1070" spans="1:10" ht="12.75" x14ac:dyDescent="0.2">
      <c r="A1070" s="40"/>
      <c r="B1070" s="41" t="s">
        <v>399</v>
      </c>
      <c r="C1070" s="40"/>
      <c r="D1070" s="40"/>
      <c r="E1070" s="40"/>
      <c r="F1070" s="49" t="str">
        <f t="shared" ref="F1070:J1070" ca="1" si="1068">IFERROR(__xludf.DUMMYFUNCTION("if (A1070 &lt;&gt; """", GOOGLETRANSLATE(A1070, ""auto"", ""en""), """")"),"")</f>
        <v/>
      </c>
      <c r="G1070" s="49" t="str">
        <f t="shared" ca="1" si="1068"/>
        <v/>
      </c>
      <c r="H1070" s="49" t="str">
        <f t="shared" ca="1" si="1068"/>
        <v/>
      </c>
      <c r="I1070" s="49" t="str">
        <f t="shared" ca="1" si="1068"/>
        <v/>
      </c>
      <c r="J1070" s="49" t="str">
        <f t="shared" ca="1" si="1068"/>
        <v/>
      </c>
    </row>
    <row r="1071" spans="1:10" ht="12.75" x14ac:dyDescent="0.2">
      <c r="A1071" s="40"/>
      <c r="B1071" s="41" t="s">
        <v>400</v>
      </c>
      <c r="C1071" s="40"/>
      <c r="D1071" s="40"/>
      <c r="E1071" s="40"/>
      <c r="F1071" s="49" t="str">
        <f t="shared" ref="F1071:J1071" ca="1" si="1069">IFERROR(__xludf.DUMMYFUNCTION("if (A1071 &lt;&gt; """", GOOGLETRANSLATE(A1071, ""auto"", ""en""), """")"),"")</f>
        <v/>
      </c>
      <c r="G1071" s="49" t="str">
        <f t="shared" ca="1" si="1069"/>
        <v/>
      </c>
      <c r="H1071" s="49" t="str">
        <f t="shared" ca="1" si="1069"/>
        <v/>
      </c>
      <c r="I1071" s="49" t="str">
        <f t="shared" ca="1" si="1069"/>
        <v/>
      </c>
      <c r="J1071" s="49" t="str">
        <f t="shared" ca="1" si="1069"/>
        <v/>
      </c>
    </row>
    <row r="1072" spans="1:10" ht="12.75" x14ac:dyDescent="0.2">
      <c r="A1072" s="40"/>
      <c r="B1072" s="41" t="s">
        <v>401</v>
      </c>
      <c r="C1072" s="41" t="s">
        <v>357</v>
      </c>
      <c r="D1072" s="40"/>
      <c r="E1072" s="40"/>
      <c r="F1072" s="49" t="str">
        <f t="shared" ref="F1072:J1072" ca="1" si="1070">IFERROR(__xludf.DUMMYFUNCTION("if (A1072 &lt;&gt; """", GOOGLETRANSLATE(A1072, ""auto"", ""en""), """")"),"")</f>
        <v/>
      </c>
      <c r="G1072" s="49" t="str">
        <f t="shared" ca="1" si="1070"/>
        <v/>
      </c>
      <c r="H1072" s="49" t="str">
        <f t="shared" ca="1" si="1070"/>
        <v/>
      </c>
      <c r="I1072" s="49" t="str">
        <f t="shared" ca="1" si="1070"/>
        <v/>
      </c>
      <c r="J1072" s="49" t="str">
        <f t="shared" ca="1" si="1070"/>
        <v/>
      </c>
    </row>
    <row r="1073" spans="1:10" ht="38.25" x14ac:dyDescent="0.2">
      <c r="A1073" s="41" t="s">
        <v>768</v>
      </c>
      <c r="B1073" s="41" t="s">
        <v>402</v>
      </c>
      <c r="C1073" s="41" t="s">
        <v>769</v>
      </c>
      <c r="D1073" s="40"/>
      <c r="E1073" s="40"/>
      <c r="F1073" s="49" t="str">
        <f t="shared" ref="F1073:J1073" ca="1" si="1071">IFERROR(__xludf.DUMMYFUNCTION("if (A1073 &lt;&gt; """", GOOGLETRANSLATE(A1073, ""auto"", ""en""), """")"),"Guest is not Yatteko")</f>
        <v>Guest is not Yatteko</v>
      </c>
      <c r="G1073" s="49" t="str">
        <f t="shared" ca="1" si="1071"/>
        <v>Guest is not Yatteko</v>
      </c>
      <c r="H1073" s="49" t="str">
        <f t="shared" ca="1" si="1071"/>
        <v>Guest is not Yatteko</v>
      </c>
      <c r="I1073" s="49" t="str">
        <f t="shared" ca="1" si="1071"/>
        <v>Guest is not Yatteko</v>
      </c>
      <c r="J1073" s="49" t="str">
        <f t="shared" ca="1" si="1071"/>
        <v>Guest is not Yatteko</v>
      </c>
    </row>
    <row r="1074" spans="1:10" ht="38.25" x14ac:dyDescent="0.2">
      <c r="A1074" s="41" t="s">
        <v>770</v>
      </c>
      <c r="B1074" s="41" t="s">
        <v>402</v>
      </c>
      <c r="C1074" s="41" t="s">
        <v>19</v>
      </c>
      <c r="D1074" s="40"/>
      <c r="E1074" s="40"/>
      <c r="F1074" s="49" t="str">
        <f t="shared" ref="F1074:J1074" ca="1" si="1072">IFERROR(__xludf.DUMMYFUNCTION("if (A1074 &lt;&gt; """", GOOGLETRANSLATE(A1074, ""auto"", ""en""), """")"),"Guest is not visited even when the time")</f>
        <v>Guest is not visited even when the time</v>
      </c>
      <c r="G1074" s="49" t="str">
        <f t="shared" ca="1" si="1072"/>
        <v>Guest is not visited even when the time</v>
      </c>
      <c r="H1074" s="49" t="str">
        <f t="shared" ca="1" si="1072"/>
        <v>Guest is not visited even when the time</v>
      </c>
      <c r="I1074" s="49" t="str">
        <f t="shared" ca="1" si="1072"/>
        <v>Guest is not visited even when the time</v>
      </c>
      <c r="J1074" s="49" t="str">
        <f t="shared" ca="1" si="1072"/>
        <v>Guest is not visited even when the time</v>
      </c>
    </row>
    <row r="1075" spans="1:10" ht="38.25" x14ac:dyDescent="0.2">
      <c r="A1075" s="41" t="s">
        <v>771</v>
      </c>
      <c r="B1075" s="40"/>
      <c r="C1075" s="40"/>
      <c r="D1075" s="40"/>
      <c r="E1075" s="40"/>
      <c r="F1075" s="49" t="str">
        <f t="shared" ref="F1075:J1075" ca="1" si="1073">IFERROR(__xludf.DUMMYFUNCTION("if (A1075 &lt;&gt; """", GOOGLETRANSLATE(A1075, ""auto"", ""en""), """")"),"Guest is not this even when the time")</f>
        <v>Guest is not this even when the time</v>
      </c>
      <c r="G1075" s="49" t="str">
        <f t="shared" ca="1" si="1073"/>
        <v>Guest is not this even when the time</v>
      </c>
      <c r="H1075" s="49" t="str">
        <f t="shared" ca="1" si="1073"/>
        <v>Guest is not this even when the time</v>
      </c>
      <c r="I1075" s="49" t="str">
        <f t="shared" ca="1" si="1073"/>
        <v>Guest is not this even when the time</v>
      </c>
      <c r="J1075" s="49" t="str">
        <f t="shared" ca="1" si="1073"/>
        <v>Guest is not this even when the time</v>
      </c>
    </row>
    <row r="1076" spans="1:10" ht="25.5" x14ac:dyDescent="0.2">
      <c r="A1076" s="41" t="s">
        <v>772</v>
      </c>
      <c r="B1076" s="40"/>
      <c r="C1076" s="40"/>
      <c r="D1076" s="40"/>
      <c r="E1076" s="40"/>
      <c r="F1076" s="49" t="str">
        <f t="shared" ref="F1076:J1076" ca="1" si="1074">IFERROR(__xludf.DUMMYFUNCTION("if (A1076 &lt;&gt; """", GOOGLETRANSLATE(A1076, ""auto"", ""en""), """")"),"Guest does not appear")</f>
        <v>Guest does not appear</v>
      </c>
      <c r="G1076" s="49" t="str">
        <f t="shared" ca="1" si="1074"/>
        <v>Guest does not appear</v>
      </c>
      <c r="H1076" s="49" t="str">
        <f t="shared" ca="1" si="1074"/>
        <v>Guest does not appear</v>
      </c>
      <c r="I1076" s="49" t="str">
        <f t="shared" ca="1" si="1074"/>
        <v>Guest does not appear</v>
      </c>
      <c r="J1076" s="49" t="str">
        <f t="shared" ca="1" si="1074"/>
        <v>Guest does not appear</v>
      </c>
    </row>
    <row r="1077" spans="1:10" ht="25.5" x14ac:dyDescent="0.2">
      <c r="A1077" s="41" t="s">
        <v>773</v>
      </c>
      <c r="B1077" s="40"/>
      <c r="C1077" s="40"/>
      <c r="D1077" s="40"/>
      <c r="E1077" s="40"/>
      <c r="F1077" s="49" t="str">
        <f t="shared" ref="F1077:J1077" ca="1" si="1075">IFERROR(__xludf.DUMMYFUNCTION("if (A1077 &lt;&gt; """", GOOGLETRANSLATE(A1077, ""auto"", ""en""), """")"),"Guest does not come")</f>
        <v>Guest does not come</v>
      </c>
      <c r="G1077" s="49" t="str">
        <f t="shared" ca="1" si="1075"/>
        <v>Guest does not come</v>
      </c>
      <c r="H1077" s="49" t="str">
        <f t="shared" ca="1" si="1075"/>
        <v>Guest does not come</v>
      </c>
      <c r="I1077" s="49" t="str">
        <f t="shared" ca="1" si="1075"/>
        <v>Guest does not come</v>
      </c>
      <c r="J1077" s="49" t="str">
        <f t="shared" ca="1" si="1075"/>
        <v>Guest does not come</v>
      </c>
    </row>
    <row r="1078" spans="1:10" ht="25.5" x14ac:dyDescent="0.2">
      <c r="A1078" s="41" t="s">
        <v>774</v>
      </c>
      <c r="B1078" s="40"/>
      <c r="C1078" s="40"/>
      <c r="D1078" s="40"/>
      <c r="E1078" s="40"/>
      <c r="F1078" s="49" t="str">
        <f t="shared" ref="F1078:J1078" ca="1" si="1076">IFERROR(__xludf.DUMMYFUNCTION("if (A1078 &lt;&gt; """", GOOGLETRANSLATE(A1078, ""auto"", ""en""), """")"),"Guest does not arrive")</f>
        <v>Guest does not arrive</v>
      </c>
      <c r="G1078" s="49" t="str">
        <f t="shared" ca="1" si="1076"/>
        <v>Guest does not arrive</v>
      </c>
      <c r="H1078" s="49" t="str">
        <f t="shared" ca="1" si="1076"/>
        <v>Guest does not arrive</v>
      </c>
      <c r="I1078" s="49" t="str">
        <f t="shared" ca="1" si="1076"/>
        <v>Guest does not arrive</v>
      </c>
      <c r="J1078" s="49" t="str">
        <f t="shared" ca="1" si="1076"/>
        <v>Guest does not arrive</v>
      </c>
    </row>
    <row r="1079" spans="1:10" ht="38.25" x14ac:dyDescent="0.2">
      <c r="A1079" s="41" t="s">
        <v>775</v>
      </c>
      <c r="B1079" s="40"/>
      <c r="C1079" s="40"/>
      <c r="D1079" s="40"/>
      <c r="E1079" s="40"/>
      <c r="F1079" s="49" t="str">
        <f t="shared" ref="F1079:J1079" ca="1" si="1077">IFERROR(__xludf.DUMMYFUNCTION("if (A1079 &lt;&gt; """", GOOGLETRANSLATE(A1079, ""auto"", ""en""), """")"),"Guest does not come to the meeting")</f>
        <v>Guest does not come to the meeting</v>
      </c>
      <c r="G1079" s="49" t="str">
        <f t="shared" ca="1" si="1077"/>
        <v>Guest does not come to the meeting</v>
      </c>
      <c r="H1079" s="49" t="str">
        <f t="shared" ca="1" si="1077"/>
        <v>Guest does not come to the meeting</v>
      </c>
      <c r="I1079" s="49" t="str">
        <f t="shared" ca="1" si="1077"/>
        <v>Guest does not come to the meeting</v>
      </c>
      <c r="J1079" s="49" t="str">
        <f t="shared" ca="1" si="1077"/>
        <v>Guest does not come to the meeting</v>
      </c>
    </row>
    <row r="1080" spans="1:10" ht="38.25" x14ac:dyDescent="0.2">
      <c r="A1080" s="41" t="s">
        <v>776</v>
      </c>
      <c r="B1080" s="40"/>
      <c r="C1080" s="40"/>
      <c r="D1080" s="40"/>
      <c r="E1080" s="40"/>
      <c r="F1080" s="49" t="str">
        <f t="shared" ref="F1080:J1080" ca="1" si="1078">IFERROR(__xludf.DUMMYFUNCTION("if (A1080 &lt;&gt; """", GOOGLETRANSLATE(A1080, ""auto"", ""en""), """")"),"Guest does not come in contact")</f>
        <v>Guest does not come in contact</v>
      </c>
      <c r="G1080" s="49" t="str">
        <f t="shared" ca="1" si="1078"/>
        <v>Guest does not come in contact</v>
      </c>
      <c r="H1080" s="49" t="str">
        <f t="shared" ca="1" si="1078"/>
        <v>Guest does not come in contact</v>
      </c>
      <c r="I1080" s="49" t="str">
        <f t="shared" ca="1" si="1078"/>
        <v>Guest does not come in contact</v>
      </c>
      <c r="J1080" s="49" t="str">
        <f t="shared" ca="1" si="1078"/>
        <v>Guest does not come in contact</v>
      </c>
    </row>
    <row r="1081" spans="1:10" ht="25.5" x14ac:dyDescent="0.2">
      <c r="A1081" s="41" t="s">
        <v>777</v>
      </c>
      <c r="B1081" s="40"/>
      <c r="C1081" s="40"/>
      <c r="D1081" s="40"/>
      <c r="E1081" s="40"/>
      <c r="F1081" s="49" t="str">
        <f t="shared" ref="F1081:J1081" ca="1" si="1079">IFERROR(__xludf.DUMMYFUNCTION("if (A1081 &lt;&gt; """", GOOGLETRANSLATE(A1081, ""auto"", ""en""), """")"),"Guest is out of touch")</f>
        <v>Guest is out of touch</v>
      </c>
      <c r="G1081" s="49" t="str">
        <f t="shared" ca="1" si="1079"/>
        <v>Guest is out of touch</v>
      </c>
      <c r="H1081" s="49" t="str">
        <f t="shared" ca="1" si="1079"/>
        <v>Guest is out of touch</v>
      </c>
      <c r="I1081" s="49" t="str">
        <f t="shared" ca="1" si="1079"/>
        <v>Guest is out of touch</v>
      </c>
      <c r="J1081" s="49" t="str">
        <f t="shared" ca="1" si="1079"/>
        <v>Guest is out of touch</v>
      </c>
    </row>
    <row r="1082" spans="1:10" ht="25.5" x14ac:dyDescent="0.2">
      <c r="A1082" s="41" t="s">
        <v>778</v>
      </c>
      <c r="B1082" s="40"/>
      <c r="C1082" s="40"/>
      <c r="D1082" s="40"/>
      <c r="E1082" s="40"/>
      <c r="F1082" s="49" t="str">
        <f t="shared" ref="F1082:J1082" ca="1" si="1080">IFERROR(__xludf.DUMMYFUNCTION("if (A1082 &lt;&gt; """", GOOGLETRANSLATE(A1082, ""auto"", ""en""), """")"),"Guest and contact is lost")</f>
        <v>Guest and contact is lost</v>
      </c>
      <c r="G1082" s="49" t="str">
        <f t="shared" ca="1" si="1080"/>
        <v>Guest and contact is lost</v>
      </c>
      <c r="H1082" s="49" t="str">
        <f t="shared" ca="1" si="1080"/>
        <v>Guest and contact is lost</v>
      </c>
      <c r="I1082" s="49" t="str">
        <f t="shared" ca="1" si="1080"/>
        <v>Guest and contact is lost</v>
      </c>
      <c r="J1082" s="49" t="str">
        <f t="shared" ca="1" si="1080"/>
        <v>Guest and contact is lost</v>
      </c>
    </row>
    <row r="1083" spans="1:10" ht="38.25" x14ac:dyDescent="0.2">
      <c r="A1083" s="41" t="s">
        <v>779</v>
      </c>
      <c r="B1083" s="40"/>
      <c r="C1083" s="40"/>
      <c r="D1083" s="40"/>
      <c r="E1083" s="40"/>
      <c r="F1083" s="49" t="str">
        <f t="shared" ref="F1083:J1083" ca="1" si="1081">IFERROR(__xludf.DUMMYFUNCTION("if (A1083 &lt;&gt; """", GOOGLETRANSLATE(A1083, ""auto"", ""en""), """")"),"There is no reply from the guest")</f>
        <v>There is no reply from the guest</v>
      </c>
      <c r="G1083" s="49" t="str">
        <f t="shared" ca="1" si="1081"/>
        <v>There is no reply from the guest</v>
      </c>
      <c r="H1083" s="49" t="str">
        <f t="shared" ca="1" si="1081"/>
        <v>There is no reply from the guest</v>
      </c>
      <c r="I1083" s="49" t="str">
        <f t="shared" ca="1" si="1081"/>
        <v>There is no reply from the guest</v>
      </c>
      <c r="J1083" s="49" t="str">
        <f t="shared" ca="1" si="1081"/>
        <v>There is no reply from the guest</v>
      </c>
    </row>
    <row r="1084" spans="1:10" ht="38.25" x14ac:dyDescent="0.2">
      <c r="A1084" s="41" t="s">
        <v>780</v>
      </c>
      <c r="B1084" s="40"/>
      <c r="C1084" s="40"/>
      <c r="D1084" s="40"/>
      <c r="E1084" s="40"/>
      <c r="F1084" s="49" t="str">
        <f t="shared" ref="F1084:J1084" ca="1" si="1082">IFERROR(__xludf.DUMMYFUNCTION("if (A1084 &lt;&gt; """", GOOGLETRANSLATE(A1084, ""auto"", ""en""), """")"),"Guest does not come in contact")</f>
        <v>Guest does not come in contact</v>
      </c>
      <c r="G1084" s="49" t="str">
        <f t="shared" ca="1" si="1082"/>
        <v>Guest does not come in contact</v>
      </c>
      <c r="H1084" s="49" t="str">
        <f t="shared" ca="1" si="1082"/>
        <v>Guest does not come in contact</v>
      </c>
      <c r="I1084" s="49" t="str">
        <f t="shared" ca="1" si="1082"/>
        <v>Guest does not come in contact</v>
      </c>
      <c r="J1084" s="49" t="str">
        <f t="shared" ca="1" si="1082"/>
        <v>Guest does not come in contact</v>
      </c>
    </row>
    <row r="1085" spans="1:10" ht="38.25" x14ac:dyDescent="0.2">
      <c r="A1085" s="41" t="s">
        <v>781</v>
      </c>
      <c r="B1085" s="40"/>
      <c r="C1085" s="40"/>
      <c r="D1085" s="40"/>
      <c r="E1085" s="40"/>
      <c r="F1085" s="49" t="str">
        <f t="shared" ref="F1085:J1085" ca="1" si="1083">IFERROR(__xludf.DUMMYFUNCTION("if (A1085 &lt;&gt; """", GOOGLETRANSLATE(A1085, ""auto"", ""en""), """")"),"Guest and can not contact")</f>
        <v>Guest and can not contact</v>
      </c>
      <c r="G1085" s="49" t="str">
        <f t="shared" ca="1" si="1083"/>
        <v>Guest and can not contact</v>
      </c>
      <c r="H1085" s="49" t="str">
        <f t="shared" ca="1" si="1083"/>
        <v>Guest and can not contact</v>
      </c>
      <c r="I1085" s="49" t="str">
        <f t="shared" ca="1" si="1083"/>
        <v>Guest and can not contact</v>
      </c>
      <c r="J1085" s="49" t="str">
        <f t="shared" ca="1" si="1083"/>
        <v>Guest and can not contact</v>
      </c>
    </row>
    <row r="1086" spans="1:10" ht="25.5" x14ac:dyDescent="0.2">
      <c r="A1086" s="41" t="s">
        <v>356</v>
      </c>
      <c r="B1086" s="40"/>
      <c r="C1086" s="40"/>
      <c r="D1086" s="40"/>
      <c r="E1086" s="40"/>
      <c r="F1086" s="49" t="str">
        <f t="shared" ref="F1086:J1086" ca="1" si="1084">IFERROR(__xludf.DUMMYFUNCTION("if (A1086 &lt;&gt; """", GOOGLETRANSLATE(A1086, ""auto"", ""en""), """")"),"For contact with the guest")</f>
        <v>For contact with the guest</v>
      </c>
      <c r="G1086" s="49" t="str">
        <f t="shared" ca="1" si="1084"/>
        <v>For contact with the guest</v>
      </c>
      <c r="H1086" s="49" t="str">
        <f t="shared" ca="1" si="1084"/>
        <v>For contact with the guest</v>
      </c>
      <c r="I1086" s="49" t="str">
        <f t="shared" ca="1" si="1084"/>
        <v>For contact with the guest</v>
      </c>
      <c r="J1086" s="49" t="str">
        <f t="shared" ca="1" si="1084"/>
        <v>For contact with the guest</v>
      </c>
    </row>
    <row r="1087" spans="1:10" ht="12.75" x14ac:dyDescent="0.2">
      <c r="A1087" s="40"/>
      <c r="B1087" s="41" t="s">
        <v>422</v>
      </c>
      <c r="C1087" s="41" t="s">
        <v>425</v>
      </c>
      <c r="D1087" s="41" t="s">
        <v>426</v>
      </c>
      <c r="E1087" s="40"/>
      <c r="F1087" s="49" t="str">
        <f t="shared" ref="F1087:J1087" ca="1" si="1085">IFERROR(__xludf.DUMMYFUNCTION("if (A1087 &lt;&gt; """", GOOGLETRANSLATE(A1087, ""auto"", ""en""), """")"),"")</f>
        <v/>
      </c>
      <c r="G1087" s="49" t="str">
        <f t="shared" ca="1" si="1085"/>
        <v/>
      </c>
      <c r="H1087" s="49" t="str">
        <f t="shared" ca="1" si="1085"/>
        <v/>
      </c>
      <c r="I1087" s="49" t="str">
        <f t="shared" ca="1" si="1085"/>
        <v/>
      </c>
      <c r="J1087" s="49" t="str">
        <f t="shared" ca="1" si="1085"/>
        <v/>
      </c>
    </row>
    <row r="1088" spans="1:10" ht="12.75" x14ac:dyDescent="0.2">
      <c r="A1088" s="40"/>
      <c r="B1088" s="41" t="s">
        <v>403</v>
      </c>
      <c r="C1088" s="41" t="s">
        <v>24</v>
      </c>
      <c r="D1088" s="41" t="s">
        <v>26</v>
      </c>
      <c r="E1088" s="40"/>
      <c r="F1088" s="49" t="str">
        <f t="shared" ref="F1088:J1088" ca="1" si="1086">IFERROR(__xludf.DUMMYFUNCTION("if (A1088 &lt;&gt; """", GOOGLETRANSLATE(A1088, ""auto"", ""en""), """")"),"")</f>
        <v/>
      </c>
      <c r="G1088" s="49" t="str">
        <f t="shared" ca="1" si="1086"/>
        <v/>
      </c>
      <c r="H1088" s="49" t="str">
        <f t="shared" ca="1" si="1086"/>
        <v/>
      </c>
      <c r="I1088" s="49" t="str">
        <f t="shared" ca="1" si="1086"/>
        <v/>
      </c>
      <c r="J1088" s="49" t="str">
        <f t="shared" ca="1" si="1086"/>
        <v/>
      </c>
    </row>
    <row r="1089" spans="1:10" ht="12.75" x14ac:dyDescent="0.2">
      <c r="A1089" s="40"/>
      <c r="B1089" s="41" t="s">
        <v>403</v>
      </c>
      <c r="C1089" s="41" t="s">
        <v>32</v>
      </c>
      <c r="D1089" s="41" t="s">
        <v>29</v>
      </c>
      <c r="E1089" s="40"/>
      <c r="F1089" s="49" t="str">
        <f t="shared" ref="F1089:J1089" ca="1" si="1087">IFERROR(__xludf.DUMMYFUNCTION("if (A1089 &lt;&gt; """", GOOGLETRANSLATE(A1089, ""auto"", ""en""), """")"),"")</f>
        <v/>
      </c>
      <c r="G1089" s="49" t="str">
        <f t="shared" ca="1" si="1087"/>
        <v/>
      </c>
      <c r="H1089" s="49" t="str">
        <f t="shared" ca="1" si="1087"/>
        <v/>
      </c>
      <c r="I1089" s="49" t="str">
        <f t="shared" ca="1" si="1087"/>
        <v/>
      </c>
      <c r="J1089" s="49" t="str">
        <f t="shared" ca="1" si="1087"/>
        <v/>
      </c>
    </row>
    <row r="1090" spans="1:10" ht="12.75" x14ac:dyDescent="0.2">
      <c r="A1090" s="40"/>
      <c r="B1090" s="41" t="s">
        <v>403</v>
      </c>
      <c r="C1090" s="41" t="s">
        <v>25</v>
      </c>
      <c r="D1090" s="41" t="s">
        <v>27</v>
      </c>
      <c r="E1090" s="40"/>
      <c r="F1090" s="49" t="str">
        <f t="shared" ref="F1090:J1090" ca="1" si="1088">IFERROR(__xludf.DUMMYFUNCTION("if (A1090 &lt;&gt; """", GOOGLETRANSLATE(A1090, ""auto"", ""en""), """")"),"")</f>
        <v/>
      </c>
      <c r="G1090" s="49" t="str">
        <f t="shared" ca="1" si="1088"/>
        <v/>
      </c>
      <c r="H1090" s="49" t="str">
        <f t="shared" ca="1" si="1088"/>
        <v/>
      </c>
      <c r="I1090" s="49" t="str">
        <f t="shared" ca="1" si="1088"/>
        <v/>
      </c>
      <c r="J1090" s="49" t="str">
        <f t="shared" ca="1" si="1088"/>
        <v/>
      </c>
    </row>
    <row r="1091" spans="1:10" ht="12.75" x14ac:dyDescent="0.2">
      <c r="A1091" s="40"/>
      <c r="B1091" s="41" t="s">
        <v>403</v>
      </c>
      <c r="C1091" s="41" t="s">
        <v>30</v>
      </c>
      <c r="D1091" s="41" t="s">
        <v>31</v>
      </c>
      <c r="E1091" s="40"/>
      <c r="F1091" s="49" t="str">
        <f t="shared" ref="F1091:J1091" ca="1" si="1089">IFERROR(__xludf.DUMMYFUNCTION("if (A1091 &lt;&gt; """", GOOGLETRANSLATE(A1091, ""auto"", ""en""), """")"),"")</f>
        <v/>
      </c>
      <c r="G1091" s="49" t="str">
        <f t="shared" ca="1" si="1089"/>
        <v/>
      </c>
      <c r="H1091" s="49" t="str">
        <f t="shared" ca="1" si="1089"/>
        <v/>
      </c>
      <c r="I1091" s="49" t="str">
        <f t="shared" ca="1" si="1089"/>
        <v/>
      </c>
      <c r="J1091" s="49" t="str">
        <f t="shared" ca="1" si="1089"/>
        <v/>
      </c>
    </row>
    <row r="1092" spans="1:10" ht="12.75" x14ac:dyDescent="0.2">
      <c r="A1092" s="40"/>
      <c r="B1092" s="40"/>
      <c r="C1092" s="40"/>
      <c r="D1092" s="40"/>
      <c r="E1092" s="40"/>
      <c r="F1092" s="49" t="str">
        <f t="shared" ref="F1092:J1092" ca="1" si="1090">IFERROR(__xludf.DUMMYFUNCTION("if (A1092 &lt;&gt; """", GOOGLETRANSLATE(A1092, ""auto"", ""en""), """")"),"")</f>
        <v/>
      </c>
      <c r="G1092" s="49" t="str">
        <f t="shared" ca="1" si="1090"/>
        <v/>
      </c>
      <c r="H1092" s="49" t="str">
        <f t="shared" ca="1" si="1090"/>
        <v/>
      </c>
      <c r="I1092" s="49" t="str">
        <f t="shared" ca="1" si="1090"/>
        <v/>
      </c>
      <c r="J1092" s="49" t="str">
        <f t="shared" ca="1" si="1090"/>
        <v/>
      </c>
    </row>
    <row r="1093" spans="1:10" ht="12.75" x14ac:dyDescent="0.2">
      <c r="A1093" s="41" t="s">
        <v>359</v>
      </c>
      <c r="B1093" s="40"/>
      <c r="C1093" s="40"/>
      <c r="D1093" s="40"/>
      <c r="E1093" s="40"/>
      <c r="F1093" s="49" t="str">
        <f t="shared" ref="F1093:J1093" ca="1" si="1091">IFERROR(__xludf.DUMMYFUNCTION("if (A1093 &lt;&gt; """", GOOGLETRANSLATE(A1093, ""auto"", ""en""), """")"),"FAQ-Host4-7")</f>
        <v>FAQ-Host4-7</v>
      </c>
      <c r="G1093" s="49" t="str">
        <f t="shared" ca="1" si="1091"/>
        <v>FAQ-Host4-7</v>
      </c>
      <c r="H1093" s="49" t="str">
        <f t="shared" ca="1" si="1091"/>
        <v>FAQ-Host4-7</v>
      </c>
      <c r="I1093" s="49" t="str">
        <f t="shared" ca="1" si="1091"/>
        <v>FAQ-Host4-7</v>
      </c>
      <c r="J1093" s="49" t="str">
        <f t="shared" ca="1" si="1091"/>
        <v>FAQ-Host4-7</v>
      </c>
    </row>
    <row r="1094" spans="1:10" ht="12.75" x14ac:dyDescent="0.2">
      <c r="A1094" s="40"/>
      <c r="B1094" s="41" t="s">
        <v>398</v>
      </c>
      <c r="C1094" s="40"/>
      <c r="D1094" s="40"/>
      <c r="E1094" s="40"/>
      <c r="F1094" s="49" t="str">
        <f t="shared" ref="F1094:J1094" ca="1" si="1092">IFERROR(__xludf.DUMMYFUNCTION("if (A1094 &lt;&gt; """", GOOGLETRANSLATE(A1094, ""auto"", ""en""), """")"),"")</f>
        <v/>
      </c>
      <c r="G1094" s="49" t="str">
        <f t="shared" ca="1" si="1092"/>
        <v/>
      </c>
      <c r="H1094" s="49" t="str">
        <f t="shared" ca="1" si="1092"/>
        <v/>
      </c>
      <c r="I1094" s="49" t="str">
        <f t="shared" ca="1" si="1092"/>
        <v/>
      </c>
      <c r="J1094" s="49" t="str">
        <f t="shared" ca="1" si="1092"/>
        <v/>
      </c>
    </row>
    <row r="1095" spans="1:10" ht="12.75" x14ac:dyDescent="0.2">
      <c r="A1095" s="40"/>
      <c r="B1095" s="41" t="s">
        <v>399</v>
      </c>
      <c r="C1095" s="40"/>
      <c r="D1095" s="40"/>
      <c r="E1095" s="40"/>
      <c r="F1095" s="49" t="str">
        <f t="shared" ref="F1095:J1095" ca="1" si="1093">IFERROR(__xludf.DUMMYFUNCTION("if (A1095 &lt;&gt; """", GOOGLETRANSLATE(A1095, ""auto"", ""en""), """")"),"")</f>
        <v/>
      </c>
      <c r="G1095" s="49" t="str">
        <f t="shared" ca="1" si="1093"/>
        <v/>
      </c>
      <c r="H1095" s="49" t="str">
        <f t="shared" ca="1" si="1093"/>
        <v/>
      </c>
      <c r="I1095" s="49" t="str">
        <f t="shared" ca="1" si="1093"/>
        <v/>
      </c>
      <c r="J1095" s="49" t="str">
        <f t="shared" ca="1" si="1093"/>
        <v/>
      </c>
    </row>
    <row r="1096" spans="1:10" ht="12.75" x14ac:dyDescent="0.2">
      <c r="A1096" s="40"/>
      <c r="B1096" s="41" t="s">
        <v>400</v>
      </c>
      <c r="C1096" s="40"/>
      <c r="D1096" s="40"/>
      <c r="E1096" s="40"/>
      <c r="F1096" s="49" t="str">
        <f t="shared" ref="F1096:J1096" ca="1" si="1094">IFERROR(__xludf.DUMMYFUNCTION("if (A1096 &lt;&gt; """", GOOGLETRANSLATE(A1096, ""auto"", ""en""), """")"),"")</f>
        <v/>
      </c>
      <c r="G1096" s="49" t="str">
        <f t="shared" ca="1" si="1094"/>
        <v/>
      </c>
      <c r="H1096" s="49" t="str">
        <f t="shared" ca="1" si="1094"/>
        <v/>
      </c>
      <c r="I1096" s="49" t="str">
        <f t="shared" ca="1" si="1094"/>
        <v/>
      </c>
      <c r="J1096" s="49" t="str">
        <f t="shared" ca="1" si="1094"/>
        <v/>
      </c>
    </row>
    <row r="1097" spans="1:10" ht="12.75" x14ac:dyDescent="0.2">
      <c r="A1097" s="40"/>
      <c r="B1097" s="41" t="s">
        <v>401</v>
      </c>
      <c r="C1097" s="41" t="s">
        <v>359</v>
      </c>
      <c r="D1097" s="40"/>
      <c r="E1097" s="40"/>
      <c r="F1097" s="49" t="str">
        <f t="shared" ref="F1097:J1097" ca="1" si="1095">IFERROR(__xludf.DUMMYFUNCTION("if (A1097 &lt;&gt; """", GOOGLETRANSLATE(A1097, ""auto"", ""en""), """")"),"")</f>
        <v/>
      </c>
      <c r="G1097" s="49" t="str">
        <f t="shared" ca="1" si="1095"/>
        <v/>
      </c>
      <c r="H1097" s="49" t="str">
        <f t="shared" ca="1" si="1095"/>
        <v/>
      </c>
      <c r="I1097" s="49" t="str">
        <f t="shared" ca="1" si="1095"/>
        <v/>
      </c>
      <c r="J1097" s="49" t="str">
        <f t="shared" ca="1" si="1095"/>
        <v/>
      </c>
    </row>
    <row r="1098" spans="1:10" ht="38.25" x14ac:dyDescent="0.2">
      <c r="A1098" s="41" t="s">
        <v>782</v>
      </c>
      <c r="B1098" s="41" t="s">
        <v>402</v>
      </c>
      <c r="C1098" s="41" t="s">
        <v>783</v>
      </c>
      <c r="D1098" s="40"/>
      <c r="E1098" s="40"/>
      <c r="F1098" s="49" t="str">
        <f t="shared" ref="F1098:J1098" ca="1" si="1096">IFERROR(__xludf.DUMMYFUNCTION("if (A1098 &lt;&gt; """", GOOGLETRANSLATE(A1098, ""auto"", ""en""), """")"),"And dispute the guest")</f>
        <v>And dispute the guest</v>
      </c>
      <c r="G1098" s="49" t="str">
        <f t="shared" ca="1" si="1096"/>
        <v>And dispute the guest</v>
      </c>
      <c r="H1098" s="49" t="str">
        <f t="shared" ca="1" si="1096"/>
        <v>And dispute the guest</v>
      </c>
      <c r="I1098" s="49" t="str">
        <f t="shared" ca="1" si="1096"/>
        <v>And dispute the guest</v>
      </c>
      <c r="J1098" s="49" t="str">
        <f t="shared" ca="1" si="1096"/>
        <v>And dispute the guest</v>
      </c>
    </row>
    <row r="1099" spans="1:10" ht="25.5" x14ac:dyDescent="0.2">
      <c r="A1099" s="41" t="s">
        <v>784</v>
      </c>
      <c r="B1099" s="41" t="s">
        <v>402</v>
      </c>
      <c r="C1099" s="41" t="s">
        <v>19</v>
      </c>
      <c r="D1099" s="40"/>
      <c r="E1099" s="40"/>
      <c r="F1099" s="49" t="str">
        <f t="shared" ref="F1099:J1099" ca="1" si="1097">IFERROR(__xludf.DUMMYFUNCTION("if (A1099 &lt;&gt; """", GOOGLETRANSLATE(A1099, ""auto"", ""en""), """")"),"The dispute with the guest")</f>
        <v>The dispute with the guest</v>
      </c>
      <c r="G1099" s="49" t="str">
        <f t="shared" ca="1" si="1097"/>
        <v>The dispute with the guest</v>
      </c>
      <c r="H1099" s="49" t="str">
        <f t="shared" ca="1" si="1097"/>
        <v>The dispute with the guest</v>
      </c>
      <c r="I1099" s="49" t="str">
        <f t="shared" ca="1" si="1097"/>
        <v>The dispute with the guest</v>
      </c>
      <c r="J1099" s="49" t="str">
        <f t="shared" ca="1" si="1097"/>
        <v>The dispute with the guest</v>
      </c>
    </row>
    <row r="1100" spans="1:10" ht="38.25" x14ac:dyDescent="0.2">
      <c r="A1100" s="41" t="s">
        <v>785</v>
      </c>
      <c r="B1100" s="40"/>
      <c r="C1100" s="40"/>
      <c r="D1100" s="40"/>
      <c r="E1100" s="40"/>
      <c r="F1100" s="49" t="str">
        <f t="shared" ref="F1100:J1100" ca="1" si="1098">IFERROR(__xludf.DUMMYFUNCTION("if (A1100 &lt;&gt; """", GOOGLETRANSLATE(A1100, ""auto"", ""en""), """")"),"It became a guest and quarrel")</f>
        <v>It became a guest and quarrel</v>
      </c>
      <c r="G1100" s="49" t="str">
        <f t="shared" ca="1" si="1098"/>
        <v>It became a guest and quarrel</v>
      </c>
      <c r="H1100" s="49" t="str">
        <f t="shared" ca="1" si="1098"/>
        <v>It became a guest and quarrel</v>
      </c>
      <c r="I1100" s="49" t="str">
        <f t="shared" ca="1" si="1098"/>
        <v>It became a guest and quarrel</v>
      </c>
      <c r="J1100" s="49" t="str">
        <f t="shared" ca="1" si="1098"/>
        <v>It became a guest and quarrel</v>
      </c>
    </row>
    <row r="1101" spans="1:10" ht="38.25" x14ac:dyDescent="0.2">
      <c r="A1101" s="41" t="s">
        <v>786</v>
      </c>
      <c r="B1101" s="40"/>
      <c r="C1101" s="40"/>
      <c r="D1101" s="40"/>
      <c r="E1101" s="40"/>
      <c r="F1101" s="49" t="str">
        <f t="shared" ref="F1101:J1101" ca="1" si="1099">IFERROR(__xludf.DUMMYFUNCTION("if (A1101 &lt;&gt; """", GOOGLETRANSLATE(A1101, ""auto"", ""en""), """")"),"Guest has been with the Ichamon")</f>
        <v>Guest has been with the Ichamon</v>
      </c>
      <c r="G1101" s="49" t="str">
        <f t="shared" ca="1" si="1099"/>
        <v>Guest has been with the Ichamon</v>
      </c>
      <c r="H1101" s="49" t="str">
        <f t="shared" ca="1" si="1099"/>
        <v>Guest has been with the Ichamon</v>
      </c>
      <c r="I1101" s="49" t="str">
        <f t="shared" ca="1" si="1099"/>
        <v>Guest has been with the Ichamon</v>
      </c>
      <c r="J1101" s="49" t="str">
        <f t="shared" ca="1" si="1099"/>
        <v>Guest has been with the Ichamon</v>
      </c>
    </row>
    <row r="1102" spans="1:10" ht="38.25" x14ac:dyDescent="0.2">
      <c r="A1102" s="41" t="s">
        <v>787</v>
      </c>
      <c r="B1102" s="40"/>
      <c r="C1102" s="40"/>
      <c r="D1102" s="40"/>
      <c r="E1102" s="40"/>
      <c r="F1102" s="49" t="str">
        <f t="shared" ref="F1102:J1102" ca="1" si="1100">IFERROR(__xludf.DUMMYFUNCTION("if (A1102 &lt;&gt; """", GOOGLETRANSLATE(A1102, ""auto"", ""en""), """")"),"Guest has been struck quarrel")</f>
        <v>Guest has been struck quarrel</v>
      </c>
      <c r="G1102" s="49" t="str">
        <f t="shared" ca="1" si="1100"/>
        <v>Guest has been struck quarrel</v>
      </c>
      <c r="H1102" s="49" t="str">
        <f t="shared" ca="1" si="1100"/>
        <v>Guest has been struck quarrel</v>
      </c>
      <c r="I1102" s="49" t="str">
        <f t="shared" ca="1" si="1100"/>
        <v>Guest has been struck quarrel</v>
      </c>
      <c r="J1102" s="49" t="str">
        <f t="shared" ca="1" si="1100"/>
        <v>Guest has been struck quarrel</v>
      </c>
    </row>
    <row r="1103" spans="1:10" ht="25.5" x14ac:dyDescent="0.2">
      <c r="A1103" s="41" t="s">
        <v>788</v>
      </c>
      <c r="B1103" s="40"/>
      <c r="C1103" s="40"/>
      <c r="D1103" s="40"/>
      <c r="E1103" s="40"/>
      <c r="F1103" s="49" t="str">
        <f t="shared" ref="F1103:J1103" ca="1" si="1101">IFERROR(__xludf.DUMMYFUNCTION("if (A1103 &lt;&gt; """", GOOGLETRANSLATE(A1103, ""auto"", ""en""), """")"),"Was quarrel with the guest")</f>
        <v>Was quarrel with the guest</v>
      </c>
      <c r="G1103" s="49" t="str">
        <f t="shared" ca="1" si="1101"/>
        <v>Was quarrel with the guest</v>
      </c>
      <c r="H1103" s="49" t="str">
        <f t="shared" ca="1" si="1101"/>
        <v>Was quarrel with the guest</v>
      </c>
      <c r="I1103" s="49" t="str">
        <f t="shared" ca="1" si="1101"/>
        <v>Was quarrel with the guest</v>
      </c>
      <c r="J1103" s="49" t="str">
        <f t="shared" ca="1" si="1101"/>
        <v>Was quarrel with the guest</v>
      </c>
    </row>
    <row r="1104" spans="1:10" ht="25.5" x14ac:dyDescent="0.2">
      <c r="A1104" s="41" t="s">
        <v>789</v>
      </c>
      <c r="B1104" s="40"/>
      <c r="C1104" s="40"/>
      <c r="D1104" s="40"/>
      <c r="E1104" s="40"/>
      <c r="F1104" s="49" t="str">
        <f t="shared" ref="F1104:J1104" ca="1" si="1102">IFERROR(__xludf.DUMMYFUNCTION("if (A1104 &lt;&gt; """", GOOGLETRANSLATE(A1104, ""auto"", ""en""), """")"),"Guests have complained")</f>
        <v>Guests have complained</v>
      </c>
      <c r="G1104" s="49" t="str">
        <f t="shared" ca="1" si="1102"/>
        <v>Guests have complained</v>
      </c>
      <c r="H1104" s="49" t="str">
        <f t="shared" ca="1" si="1102"/>
        <v>Guests have complained</v>
      </c>
      <c r="I1104" s="49" t="str">
        <f t="shared" ca="1" si="1102"/>
        <v>Guests have complained</v>
      </c>
      <c r="J1104" s="49" t="str">
        <f t="shared" ca="1" si="1102"/>
        <v>Guests have complained</v>
      </c>
    </row>
    <row r="1105" spans="1:10" ht="38.25" x14ac:dyDescent="0.2">
      <c r="A1105" s="41" t="s">
        <v>790</v>
      </c>
      <c r="B1105" s="40"/>
      <c r="C1105" s="40"/>
      <c r="D1105" s="40"/>
      <c r="E1105" s="40"/>
      <c r="F1105" s="49" t="str">
        <f t="shared" ref="F1105:J1105" ca="1" si="1103">IFERROR(__xludf.DUMMYFUNCTION("if (A1105 &lt;&gt; """", GOOGLETRANSLATE(A1105, ""auto"", ""en""), """")"),"Claims from the guest has come")</f>
        <v>Claims from the guest has come</v>
      </c>
      <c r="G1105" s="49" t="str">
        <f t="shared" ca="1" si="1103"/>
        <v>Claims from the guest has come</v>
      </c>
      <c r="H1105" s="49" t="str">
        <f t="shared" ca="1" si="1103"/>
        <v>Claims from the guest has come</v>
      </c>
      <c r="I1105" s="49" t="str">
        <f t="shared" ca="1" si="1103"/>
        <v>Claims from the guest has come</v>
      </c>
      <c r="J1105" s="49" t="str">
        <f t="shared" ca="1" si="1103"/>
        <v>Claims from the guest has come</v>
      </c>
    </row>
    <row r="1106" spans="1:10" ht="51" x14ac:dyDescent="0.2">
      <c r="A1106" s="41" t="s">
        <v>791</v>
      </c>
      <c r="B1106" s="40"/>
      <c r="C1106" s="40"/>
      <c r="D1106" s="40"/>
      <c r="E1106" s="40"/>
      <c r="F1106" s="49" t="str">
        <f t="shared" ref="F1106:J1106" ca="1" si="1104">IFERROR(__xludf.DUMMYFUNCTION("if (A1106 &lt;&gt; """", GOOGLETRANSLATE(A1106, ""auto"", ""en""), """")"),"I am saying the complaints from the guest")</f>
        <v>I am saying the complaints from the guest</v>
      </c>
      <c r="G1106" s="49" t="str">
        <f t="shared" ca="1" si="1104"/>
        <v>I am saying the complaints from the guest</v>
      </c>
      <c r="H1106" s="49" t="str">
        <f t="shared" ca="1" si="1104"/>
        <v>I am saying the complaints from the guest</v>
      </c>
      <c r="I1106" s="49" t="str">
        <f t="shared" ca="1" si="1104"/>
        <v>I am saying the complaints from the guest</v>
      </c>
      <c r="J1106" s="49" t="str">
        <f t="shared" ca="1" si="1104"/>
        <v>I am saying the complaints from the guest</v>
      </c>
    </row>
    <row r="1107" spans="1:10" ht="38.25" x14ac:dyDescent="0.2">
      <c r="A1107" s="41" t="s">
        <v>792</v>
      </c>
      <c r="B1107" s="40"/>
      <c r="C1107" s="40"/>
      <c r="D1107" s="40"/>
      <c r="E1107" s="40"/>
      <c r="F1107" s="49" t="str">
        <f t="shared" ref="F1107:J1107" ca="1" si="1105">IFERROR(__xludf.DUMMYFUNCTION("if (A1107 &lt;&gt; """", GOOGLETRANSLATE(A1107, ""auto"", ""en""), """")"),"It came complaints from the guest")</f>
        <v>It came complaints from the guest</v>
      </c>
      <c r="G1107" s="49" t="str">
        <f t="shared" ca="1" si="1105"/>
        <v>It came complaints from the guest</v>
      </c>
      <c r="H1107" s="49" t="str">
        <f t="shared" ca="1" si="1105"/>
        <v>It came complaints from the guest</v>
      </c>
      <c r="I1107" s="49" t="str">
        <f t="shared" ca="1" si="1105"/>
        <v>It came complaints from the guest</v>
      </c>
      <c r="J1107" s="49" t="str">
        <f t="shared" ca="1" si="1105"/>
        <v>It came complaints from the guest</v>
      </c>
    </row>
    <row r="1108" spans="1:10" ht="25.5" x14ac:dyDescent="0.2">
      <c r="A1108" s="41" t="s">
        <v>358</v>
      </c>
      <c r="B1108" s="40"/>
      <c r="C1108" s="40"/>
      <c r="D1108" s="40"/>
      <c r="E1108" s="40"/>
      <c r="F1108" s="49" t="str">
        <f t="shared" ref="F1108:J1108" ca="1" si="1106">IFERROR(__xludf.DUMMYFUNCTION("if (A1108 &lt;&gt; """", GOOGLETRANSLATE(A1108, ""auto"", ""en""), """")"),"Complaints from the guest")</f>
        <v>Complaints from the guest</v>
      </c>
      <c r="G1108" s="49" t="str">
        <f t="shared" ca="1" si="1106"/>
        <v>Complaints from the guest</v>
      </c>
      <c r="H1108" s="49" t="str">
        <f t="shared" ca="1" si="1106"/>
        <v>Complaints from the guest</v>
      </c>
      <c r="I1108" s="49" t="str">
        <f t="shared" ca="1" si="1106"/>
        <v>Complaints from the guest</v>
      </c>
      <c r="J1108" s="49" t="str">
        <f t="shared" ca="1" si="1106"/>
        <v>Complaints from the guest</v>
      </c>
    </row>
    <row r="1109" spans="1:10" ht="12.75" x14ac:dyDescent="0.2">
      <c r="A1109" s="40"/>
      <c r="B1109" s="41" t="s">
        <v>422</v>
      </c>
      <c r="C1109" s="41" t="s">
        <v>425</v>
      </c>
      <c r="D1109" s="41" t="s">
        <v>426</v>
      </c>
      <c r="E1109" s="40"/>
      <c r="F1109" s="49" t="str">
        <f t="shared" ref="F1109:J1109" ca="1" si="1107">IFERROR(__xludf.DUMMYFUNCTION("if (A1109 &lt;&gt; """", GOOGLETRANSLATE(A1109, ""auto"", ""en""), """")"),"")</f>
        <v/>
      </c>
      <c r="G1109" s="49" t="str">
        <f t="shared" ca="1" si="1107"/>
        <v/>
      </c>
      <c r="H1109" s="49" t="str">
        <f t="shared" ca="1" si="1107"/>
        <v/>
      </c>
      <c r="I1109" s="49" t="str">
        <f t="shared" ca="1" si="1107"/>
        <v/>
      </c>
      <c r="J1109" s="49" t="str">
        <f t="shared" ca="1" si="1107"/>
        <v/>
      </c>
    </row>
    <row r="1110" spans="1:10" ht="25.5" x14ac:dyDescent="0.2">
      <c r="A1110" s="40"/>
      <c r="B1110" s="41" t="s">
        <v>403</v>
      </c>
      <c r="C1110" s="41" t="s">
        <v>38</v>
      </c>
      <c r="D1110" s="41" t="s">
        <v>26</v>
      </c>
      <c r="E1110" s="40"/>
      <c r="F1110" s="49" t="str">
        <f t="shared" ref="F1110:J1110" ca="1" si="1108">IFERROR(__xludf.DUMMYFUNCTION("if (A1110 &lt;&gt; """", GOOGLETRANSLATE(A1110, ""auto"", ""en""), """")"),"")</f>
        <v/>
      </c>
      <c r="G1110" s="49" t="str">
        <f t="shared" ca="1" si="1108"/>
        <v/>
      </c>
      <c r="H1110" s="49" t="str">
        <f t="shared" ca="1" si="1108"/>
        <v/>
      </c>
      <c r="I1110" s="49" t="str">
        <f t="shared" ca="1" si="1108"/>
        <v/>
      </c>
      <c r="J1110" s="49" t="str">
        <f t="shared" ca="1" si="1108"/>
        <v/>
      </c>
    </row>
    <row r="1111" spans="1:10" ht="12.75" x14ac:dyDescent="0.2">
      <c r="A1111" s="40"/>
      <c r="B1111" s="41" t="s">
        <v>403</v>
      </c>
      <c r="C1111" s="41" t="s">
        <v>56</v>
      </c>
      <c r="D1111" s="41" t="s">
        <v>29</v>
      </c>
      <c r="E1111" s="40"/>
      <c r="F1111" s="49" t="str">
        <f t="shared" ref="F1111:J1111" ca="1" si="1109">IFERROR(__xludf.DUMMYFUNCTION("if (A1111 &lt;&gt; """", GOOGLETRANSLATE(A1111, ""auto"", ""en""), """")"),"")</f>
        <v/>
      </c>
      <c r="G1111" s="49" t="str">
        <f t="shared" ca="1" si="1109"/>
        <v/>
      </c>
      <c r="H1111" s="49" t="str">
        <f t="shared" ca="1" si="1109"/>
        <v/>
      </c>
      <c r="I1111" s="49" t="str">
        <f t="shared" ca="1" si="1109"/>
        <v/>
      </c>
      <c r="J1111" s="49" t="str">
        <f t="shared" ca="1" si="1109"/>
        <v/>
      </c>
    </row>
    <row r="1112" spans="1:10" ht="12.75" x14ac:dyDescent="0.2">
      <c r="A1112" s="40"/>
      <c r="B1112" s="41" t="s">
        <v>403</v>
      </c>
      <c r="C1112" s="41" t="s">
        <v>25</v>
      </c>
      <c r="D1112" s="41" t="s">
        <v>793</v>
      </c>
      <c r="E1112" s="40"/>
      <c r="F1112" s="49" t="str">
        <f t="shared" ref="F1112:J1112" ca="1" si="1110">IFERROR(__xludf.DUMMYFUNCTION("if (A1112 &lt;&gt; """", GOOGLETRANSLATE(A1112, ""auto"", ""en""), """")"),"")</f>
        <v/>
      </c>
      <c r="G1112" s="49" t="str">
        <f t="shared" ca="1" si="1110"/>
        <v/>
      </c>
      <c r="H1112" s="49" t="str">
        <f t="shared" ca="1" si="1110"/>
        <v/>
      </c>
      <c r="I1112" s="49" t="str">
        <f t="shared" ca="1" si="1110"/>
        <v/>
      </c>
      <c r="J1112" s="49" t="str">
        <f t="shared" ca="1" si="1110"/>
        <v/>
      </c>
    </row>
    <row r="1113" spans="1:10" ht="12.75" x14ac:dyDescent="0.2">
      <c r="A1113" s="40"/>
      <c r="B1113" s="41" t="s">
        <v>403</v>
      </c>
      <c r="C1113" s="41" t="s">
        <v>794</v>
      </c>
      <c r="D1113" s="41" t="s">
        <v>793</v>
      </c>
      <c r="E1113" s="40"/>
      <c r="F1113" s="49" t="str">
        <f t="shared" ref="F1113:J1113" ca="1" si="1111">IFERROR(__xludf.DUMMYFUNCTION("if (A1113 &lt;&gt; """", GOOGLETRANSLATE(A1113, ""auto"", ""en""), """")"),"")</f>
        <v/>
      </c>
      <c r="G1113" s="49" t="str">
        <f t="shared" ca="1" si="1111"/>
        <v/>
      </c>
      <c r="H1113" s="49" t="str">
        <f t="shared" ca="1" si="1111"/>
        <v/>
      </c>
      <c r="I1113" s="49" t="str">
        <f t="shared" ca="1" si="1111"/>
        <v/>
      </c>
      <c r="J1113" s="49" t="str">
        <f t="shared" ca="1" si="1111"/>
        <v/>
      </c>
    </row>
    <row r="1114" spans="1:10" ht="12.75" x14ac:dyDescent="0.2">
      <c r="A1114" s="40"/>
      <c r="B1114" s="40"/>
      <c r="C1114" s="40"/>
      <c r="D1114" s="40"/>
      <c r="E1114" s="40"/>
      <c r="F1114" s="49" t="str">
        <f t="shared" ref="F1114:J1114" ca="1" si="1112">IFERROR(__xludf.DUMMYFUNCTION("if (A1114 &lt;&gt; """", GOOGLETRANSLATE(A1114, ""auto"", ""en""), """")"),"")</f>
        <v/>
      </c>
      <c r="G1114" s="49" t="str">
        <f t="shared" ca="1" si="1112"/>
        <v/>
      </c>
      <c r="H1114" s="49" t="str">
        <f t="shared" ca="1" si="1112"/>
        <v/>
      </c>
      <c r="I1114" s="49" t="str">
        <f t="shared" ca="1" si="1112"/>
        <v/>
      </c>
      <c r="J1114" s="49" t="str">
        <f t="shared" ca="1" si="1112"/>
        <v/>
      </c>
    </row>
    <row r="1115" spans="1:10" ht="12.75" x14ac:dyDescent="0.2">
      <c r="A1115" s="41" t="s">
        <v>325</v>
      </c>
      <c r="B1115" s="40"/>
      <c r="C1115" s="40"/>
      <c r="D1115" s="40"/>
      <c r="E1115" s="40"/>
      <c r="F1115" s="49" t="str">
        <f t="shared" ref="F1115:J1115" ca="1" si="1113">IFERROR(__xludf.DUMMYFUNCTION("if (A1115 &lt;&gt; """", GOOGLETRANSLATE(A1115, ""auto"", ""en""), """")"),"FAQ-Host4")</f>
        <v>FAQ-Host4</v>
      </c>
      <c r="G1115" s="49" t="str">
        <f t="shared" ca="1" si="1113"/>
        <v>FAQ-Host4</v>
      </c>
      <c r="H1115" s="49" t="str">
        <f t="shared" ca="1" si="1113"/>
        <v>FAQ-Host4</v>
      </c>
      <c r="I1115" s="49" t="str">
        <f t="shared" ca="1" si="1113"/>
        <v>FAQ-Host4</v>
      </c>
      <c r="J1115" s="49" t="str">
        <f t="shared" ca="1" si="1113"/>
        <v>FAQ-Host4</v>
      </c>
    </row>
    <row r="1116" spans="1:10" ht="12.75" x14ac:dyDescent="0.2">
      <c r="A1116" s="40"/>
      <c r="B1116" s="41" t="s">
        <v>398</v>
      </c>
      <c r="C1116" s="40"/>
      <c r="D1116" s="40"/>
      <c r="E1116" s="40"/>
      <c r="F1116" s="49" t="str">
        <f t="shared" ref="F1116:J1116" ca="1" si="1114">IFERROR(__xludf.DUMMYFUNCTION("if (A1116 &lt;&gt; """", GOOGLETRANSLATE(A1116, ""auto"", ""en""), """")"),"")</f>
        <v/>
      </c>
      <c r="G1116" s="49" t="str">
        <f t="shared" ca="1" si="1114"/>
        <v/>
      </c>
      <c r="H1116" s="49" t="str">
        <f t="shared" ca="1" si="1114"/>
        <v/>
      </c>
      <c r="I1116" s="49" t="str">
        <f t="shared" ca="1" si="1114"/>
        <v/>
      </c>
      <c r="J1116" s="49" t="str">
        <f t="shared" ca="1" si="1114"/>
        <v/>
      </c>
    </row>
    <row r="1117" spans="1:10" ht="12.75" x14ac:dyDescent="0.2">
      <c r="A1117" s="40"/>
      <c r="B1117" s="41" t="s">
        <v>399</v>
      </c>
      <c r="C1117" s="40"/>
      <c r="D1117" s="40"/>
      <c r="E1117" s="40"/>
      <c r="F1117" s="49" t="str">
        <f t="shared" ref="F1117:J1117" ca="1" si="1115">IFERROR(__xludf.DUMMYFUNCTION("if (A1117 &lt;&gt; """", GOOGLETRANSLATE(A1117, ""auto"", ""en""), """")"),"")</f>
        <v/>
      </c>
      <c r="G1117" s="49" t="str">
        <f t="shared" ca="1" si="1115"/>
        <v/>
      </c>
      <c r="H1117" s="49" t="str">
        <f t="shared" ca="1" si="1115"/>
        <v/>
      </c>
      <c r="I1117" s="49" t="str">
        <f t="shared" ca="1" si="1115"/>
        <v/>
      </c>
      <c r="J1117" s="49" t="str">
        <f t="shared" ca="1" si="1115"/>
        <v/>
      </c>
    </row>
    <row r="1118" spans="1:10" ht="12.75" x14ac:dyDescent="0.2">
      <c r="A1118" s="40"/>
      <c r="B1118" s="41" t="s">
        <v>400</v>
      </c>
      <c r="C1118" s="40"/>
      <c r="D1118" s="40"/>
      <c r="E1118" s="40"/>
      <c r="F1118" s="49" t="str">
        <f t="shared" ref="F1118:J1118" ca="1" si="1116">IFERROR(__xludf.DUMMYFUNCTION("if (A1118 &lt;&gt; """", GOOGLETRANSLATE(A1118, ""auto"", ""en""), """")"),"")</f>
        <v/>
      </c>
      <c r="G1118" s="49" t="str">
        <f t="shared" ca="1" si="1116"/>
        <v/>
      </c>
      <c r="H1118" s="49" t="str">
        <f t="shared" ca="1" si="1116"/>
        <v/>
      </c>
      <c r="I1118" s="49" t="str">
        <f t="shared" ca="1" si="1116"/>
        <v/>
      </c>
      <c r="J1118" s="49" t="str">
        <f t="shared" ca="1" si="1116"/>
        <v/>
      </c>
    </row>
    <row r="1119" spans="1:10" ht="12.75" x14ac:dyDescent="0.2">
      <c r="A1119" s="40"/>
      <c r="B1119" s="41" t="s">
        <v>401</v>
      </c>
      <c r="C1119" s="41" t="s">
        <v>325</v>
      </c>
      <c r="D1119" s="40"/>
      <c r="E1119" s="40"/>
      <c r="F1119" s="49" t="str">
        <f t="shared" ref="F1119:J1119" ca="1" si="1117">IFERROR(__xludf.DUMMYFUNCTION("if (A1119 &lt;&gt; """", GOOGLETRANSLATE(A1119, ""auto"", ""en""), """")"),"")</f>
        <v/>
      </c>
      <c r="G1119" s="49" t="str">
        <f t="shared" ca="1" si="1117"/>
        <v/>
      </c>
      <c r="H1119" s="49" t="str">
        <f t="shared" ca="1" si="1117"/>
        <v/>
      </c>
      <c r="I1119" s="49" t="str">
        <f t="shared" ca="1" si="1117"/>
        <v/>
      </c>
      <c r="J1119" s="49" t="str">
        <f t="shared" ca="1" si="1117"/>
        <v/>
      </c>
    </row>
    <row r="1120" spans="1:10" ht="38.25" x14ac:dyDescent="0.2">
      <c r="A1120" s="41" t="s">
        <v>232</v>
      </c>
      <c r="B1120" s="41" t="s">
        <v>402</v>
      </c>
      <c r="C1120" s="41" t="s">
        <v>326</v>
      </c>
      <c r="D1120" s="40"/>
      <c r="E1120" s="40"/>
      <c r="F1120" s="49" t="str">
        <f t="shared" ref="F1120:J1120" ca="1" si="1118">IFERROR(__xludf.DUMMYFUNCTION("if (A1120 &lt;&gt; """", GOOGLETRANSLATE(A1120, ""auto"", ""en""), """")"),"For reservations from the guest")</f>
        <v>For reservations from the guest</v>
      </c>
      <c r="G1120" s="49" t="str">
        <f t="shared" ca="1" si="1118"/>
        <v>For reservations from the guest</v>
      </c>
      <c r="H1120" s="49" t="str">
        <f t="shared" ca="1" si="1118"/>
        <v>For reservations from the guest</v>
      </c>
      <c r="I1120" s="49" t="str">
        <f t="shared" ca="1" si="1118"/>
        <v>For reservations from the guest</v>
      </c>
      <c r="J1120" s="49" t="str">
        <f t="shared" ca="1" si="1118"/>
        <v>For reservations from the guest</v>
      </c>
    </row>
    <row r="1121" spans="1:10" ht="12.75" x14ac:dyDescent="0.2">
      <c r="A1121" s="40"/>
      <c r="B1121" s="41" t="s">
        <v>403</v>
      </c>
      <c r="C1121" s="41" t="s">
        <v>329</v>
      </c>
      <c r="D1121" s="41" t="s">
        <v>330</v>
      </c>
      <c r="E1121" s="40"/>
      <c r="F1121" s="49" t="str">
        <f t="shared" ref="F1121:J1121" ca="1" si="1119">IFERROR(__xludf.DUMMYFUNCTION("if (A1121 &lt;&gt; """", GOOGLETRANSLATE(A1121, ""auto"", ""en""), """")"),"")</f>
        <v/>
      </c>
      <c r="G1121" s="49" t="str">
        <f t="shared" ca="1" si="1119"/>
        <v/>
      </c>
      <c r="H1121" s="49" t="str">
        <f t="shared" ca="1" si="1119"/>
        <v/>
      </c>
      <c r="I1121" s="49" t="str">
        <f t="shared" ca="1" si="1119"/>
        <v/>
      </c>
      <c r="J1121" s="49" t="str">
        <f t="shared" ca="1" si="1119"/>
        <v/>
      </c>
    </row>
    <row r="1122" spans="1:10" ht="12.75" x14ac:dyDescent="0.2">
      <c r="A1122" s="40"/>
      <c r="B1122" s="41" t="s">
        <v>403</v>
      </c>
      <c r="C1122" s="41" t="s">
        <v>341</v>
      </c>
      <c r="D1122" s="41" t="s">
        <v>342</v>
      </c>
      <c r="E1122" s="40"/>
      <c r="F1122" s="49" t="str">
        <f t="shared" ref="F1122:J1122" ca="1" si="1120">IFERROR(__xludf.DUMMYFUNCTION("if (A1122 &lt;&gt; """", GOOGLETRANSLATE(A1122, ""auto"", ""en""), """")"),"")</f>
        <v/>
      </c>
      <c r="G1122" s="49" t="str">
        <f t="shared" ca="1" si="1120"/>
        <v/>
      </c>
      <c r="H1122" s="49" t="str">
        <f t="shared" ca="1" si="1120"/>
        <v/>
      </c>
      <c r="I1122" s="49" t="str">
        <f t="shared" ca="1" si="1120"/>
        <v/>
      </c>
      <c r="J1122" s="49" t="str">
        <f t="shared" ca="1" si="1120"/>
        <v/>
      </c>
    </row>
    <row r="1123" spans="1:10" ht="12.75" x14ac:dyDescent="0.2">
      <c r="A1123" s="40"/>
      <c r="B1123" s="41" t="s">
        <v>403</v>
      </c>
      <c r="C1123" s="41" t="s">
        <v>344</v>
      </c>
      <c r="D1123" s="41" t="s">
        <v>345</v>
      </c>
      <c r="E1123" s="40"/>
      <c r="F1123" s="49" t="str">
        <f t="shared" ref="F1123:J1123" ca="1" si="1121">IFERROR(__xludf.DUMMYFUNCTION("if (A1123 &lt;&gt; """", GOOGLETRANSLATE(A1123, ""auto"", ""en""), """")"),"")</f>
        <v/>
      </c>
      <c r="G1123" s="49" t="str">
        <f t="shared" ca="1" si="1121"/>
        <v/>
      </c>
      <c r="H1123" s="49" t="str">
        <f t="shared" ca="1" si="1121"/>
        <v/>
      </c>
      <c r="I1123" s="49" t="str">
        <f t="shared" ca="1" si="1121"/>
        <v/>
      </c>
      <c r="J1123" s="49" t="str">
        <f t="shared" ca="1" si="1121"/>
        <v/>
      </c>
    </row>
    <row r="1124" spans="1:10" ht="12.75" x14ac:dyDescent="0.2">
      <c r="A1124" s="40"/>
      <c r="B1124" s="41" t="s">
        <v>403</v>
      </c>
      <c r="C1124" s="41" t="s">
        <v>348</v>
      </c>
      <c r="D1124" s="41" t="s">
        <v>349</v>
      </c>
      <c r="E1124" s="40"/>
      <c r="F1124" s="49" t="str">
        <f t="shared" ref="F1124:J1124" ca="1" si="1122">IFERROR(__xludf.DUMMYFUNCTION("if (A1124 &lt;&gt; """", GOOGLETRANSLATE(A1124, ""auto"", ""en""), """")"),"")</f>
        <v/>
      </c>
      <c r="G1124" s="49" t="str">
        <f t="shared" ca="1" si="1122"/>
        <v/>
      </c>
      <c r="H1124" s="49" t="str">
        <f t="shared" ca="1" si="1122"/>
        <v/>
      </c>
      <c r="I1124" s="49" t="str">
        <f t="shared" ca="1" si="1122"/>
        <v/>
      </c>
      <c r="J1124" s="49" t="str">
        <f t="shared" ca="1" si="1122"/>
        <v/>
      </c>
    </row>
    <row r="1125" spans="1:10" ht="12.75" x14ac:dyDescent="0.2">
      <c r="A1125" s="40"/>
      <c r="B1125" s="41" t="s">
        <v>403</v>
      </c>
      <c r="C1125" s="41" t="s">
        <v>351</v>
      </c>
      <c r="D1125" s="41" t="s">
        <v>352</v>
      </c>
      <c r="E1125" s="40"/>
      <c r="F1125" s="49" t="str">
        <f t="shared" ref="F1125:J1125" ca="1" si="1123">IFERROR(__xludf.DUMMYFUNCTION("if (A1125 &lt;&gt; """", GOOGLETRANSLATE(A1125, ""auto"", ""en""), """")"),"")</f>
        <v/>
      </c>
      <c r="G1125" s="49" t="str">
        <f t="shared" ca="1" si="1123"/>
        <v/>
      </c>
      <c r="H1125" s="49" t="str">
        <f t="shared" ca="1" si="1123"/>
        <v/>
      </c>
      <c r="I1125" s="49" t="str">
        <f t="shared" ca="1" si="1123"/>
        <v/>
      </c>
      <c r="J1125" s="49" t="str">
        <f t="shared" ca="1" si="1123"/>
        <v/>
      </c>
    </row>
    <row r="1126" spans="1:10" ht="12.75" x14ac:dyDescent="0.2">
      <c r="A1126" s="40"/>
      <c r="B1126" s="41" t="s">
        <v>403</v>
      </c>
      <c r="C1126" s="41" t="s">
        <v>356</v>
      </c>
      <c r="D1126" s="41" t="s">
        <v>357</v>
      </c>
      <c r="E1126" s="40"/>
      <c r="F1126" s="49" t="str">
        <f t="shared" ref="F1126:J1126" ca="1" si="1124">IFERROR(__xludf.DUMMYFUNCTION("if (A1126 &lt;&gt; """", GOOGLETRANSLATE(A1126, ""auto"", ""en""), """")"),"")</f>
        <v/>
      </c>
      <c r="G1126" s="49" t="str">
        <f t="shared" ca="1" si="1124"/>
        <v/>
      </c>
      <c r="H1126" s="49" t="str">
        <f t="shared" ca="1" si="1124"/>
        <v/>
      </c>
      <c r="I1126" s="49" t="str">
        <f t="shared" ca="1" si="1124"/>
        <v/>
      </c>
      <c r="J1126" s="49" t="str">
        <f t="shared" ca="1" si="1124"/>
        <v/>
      </c>
    </row>
    <row r="1127" spans="1:10" ht="12.75" x14ac:dyDescent="0.2">
      <c r="A1127" s="40"/>
      <c r="B1127" s="41" t="s">
        <v>403</v>
      </c>
      <c r="C1127" s="41" t="s">
        <v>358</v>
      </c>
      <c r="D1127" s="41" t="s">
        <v>359</v>
      </c>
      <c r="E1127" s="40"/>
      <c r="F1127" s="49" t="str">
        <f t="shared" ref="F1127:J1127" ca="1" si="1125">IFERROR(__xludf.DUMMYFUNCTION("if (A1127 &lt;&gt; """", GOOGLETRANSLATE(A1127, ""auto"", ""en""), """")"),"")</f>
        <v/>
      </c>
      <c r="G1127" s="49" t="str">
        <f t="shared" ca="1" si="1125"/>
        <v/>
      </c>
      <c r="H1127" s="49" t="str">
        <f t="shared" ca="1" si="1125"/>
        <v/>
      </c>
      <c r="I1127" s="49" t="str">
        <f t="shared" ca="1" si="1125"/>
        <v/>
      </c>
      <c r="J1127" s="49" t="str">
        <f t="shared" ca="1" si="1125"/>
        <v/>
      </c>
    </row>
    <row r="1128" spans="1:10" ht="12.75" x14ac:dyDescent="0.2">
      <c r="A1128" s="40"/>
      <c r="B1128" s="41" t="s">
        <v>403</v>
      </c>
      <c r="C1128" s="41" t="s">
        <v>32</v>
      </c>
      <c r="D1128" s="41" t="s">
        <v>29</v>
      </c>
      <c r="E1128" s="40"/>
      <c r="F1128" s="49" t="str">
        <f t="shared" ref="F1128:J1128" ca="1" si="1126">IFERROR(__xludf.DUMMYFUNCTION("if (A1128 &lt;&gt; """", GOOGLETRANSLATE(A1128, ""auto"", ""en""), """")"),"")</f>
        <v/>
      </c>
      <c r="G1128" s="49" t="str">
        <f t="shared" ca="1" si="1126"/>
        <v/>
      </c>
      <c r="H1128" s="49" t="str">
        <f t="shared" ca="1" si="1126"/>
        <v/>
      </c>
      <c r="I1128" s="49" t="str">
        <f t="shared" ca="1" si="1126"/>
        <v/>
      </c>
      <c r="J1128" s="49" t="str">
        <f t="shared" ca="1" si="1126"/>
        <v/>
      </c>
    </row>
    <row r="1129" spans="1:10" ht="12.75" x14ac:dyDescent="0.2">
      <c r="A1129" s="40"/>
      <c r="B1129" s="40"/>
      <c r="C1129" s="40"/>
      <c r="D1129" s="40"/>
      <c r="E1129" s="40"/>
      <c r="F1129" s="49" t="str">
        <f t="shared" ref="F1129:J1129" ca="1" si="1127">IFERROR(__xludf.DUMMYFUNCTION("if (A1129 &lt;&gt; """", GOOGLETRANSLATE(A1129, ""auto"", ""en""), """")"),"")</f>
        <v/>
      </c>
      <c r="G1129" s="49" t="str">
        <f t="shared" ca="1" si="1127"/>
        <v/>
      </c>
      <c r="H1129" s="49" t="str">
        <f t="shared" ca="1" si="1127"/>
        <v/>
      </c>
      <c r="I1129" s="49" t="str">
        <f t="shared" ca="1" si="1127"/>
        <v/>
      </c>
      <c r="J1129" s="49" t="str">
        <f t="shared" ca="1" si="1127"/>
        <v/>
      </c>
    </row>
    <row r="1130" spans="1:10" ht="25.5" x14ac:dyDescent="0.2">
      <c r="A1130" s="41" t="s">
        <v>31</v>
      </c>
      <c r="B1130" s="40"/>
      <c r="C1130" s="40"/>
      <c r="D1130" s="40"/>
      <c r="E1130" s="40"/>
      <c r="F1130" s="49" t="str">
        <f t="shared" ref="F1130:J1130" ca="1" si="1128">IFERROR(__xludf.DUMMYFUNCTION("if (A1130 &lt;&gt; """", GOOGLETRANSLATE(A1130, ""auto"", ""en""), """")"),"Register-House")</f>
        <v>Register-House</v>
      </c>
      <c r="G1130" s="49" t="str">
        <f t="shared" ca="1" si="1128"/>
        <v>Register-House</v>
      </c>
      <c r="H1130" s="49" t="str">
        <f t="shared" ca="1" si="1128"/>
        <v>Register-House</v>
      </c>
      <c r="I1130" s="49" t="str">
        <f t="shared" ca="1" si="1128"/>
        <v>Register-House</v>
      </c>
      <c r="J1130" s="49" t="str">
        <f t="shared" ca="1" si="1128"/>
        <v>Register-House</v>
      </c>
    </row>
    <row r="1131" spans="1:10" ht="12.75" x14ac:dyDescent="0.2">
      <c r="A1131" s="40"/>
      <c r="B1131" s="41" t="s">
        <v>398</v>
      </c>
      <c r="C1131" s="40"/>
      <c r="D1131" s="40"/>
      <c r="E1131" s="40"/>
      <c r="F1131" s="49" t="str">
        <f t="shared" ref="F1131:J1131" ca="1" si="1129">IFERROR(__xludf.DUMMYFUNCTION("if (A1131 &lt;&gt; """", GOOGLETRANSLATE(A1131, ""auto"", ""en""), """")"),"")</f>
        <v/>
      </c>
      <c r="G1131" s="49" t="str">
        <f t="shared" ca="1" si="1129"/>
        <v/>
      </c>
      <c r="H1131" s="49" t="str">
        <f t="shared" ca="1" si="1129"/>
        <v/>
      </c>
      <c r="I1131" s="49" t="str">
        <f t="shared" ca="1" si="1129"/>
        <v/>
      </c>
      <c r="J1131" s="49" t="str">
        <f t="shared" ca="1" si="1129"/>
        <v/>
      </c>
    </row>
    <row r="1132" spans="1:10" ht="12.75" x14ac:dyDescent="0.2">
      <c r="A1132" s="40"/>
      <c r="B1132" s="41" t="s">
        <v>399</v>
      </c>
      <c r="C1132" s="40"/>
      <c r="D1132" s="40"/>
      <c r="E1132" s="40"/>
      <c r="F1132" s="49" t="str">
        <f t="shared" ref="F1132:J1132" ca="1" si="1130">IFERROR(__xludf.DUMMYFUNCTION("if (A1132 &lt;&gt; """", GOOGLETRANSLATE(A1132, ""auto"", ""en""), """")"),"")</f>
        <v/>
      </c>
      <c r="G1132" s="49" t="str">
        <f t="shared" ca="1" si="1130"/>
        <v/>
      </c>
      <c r="H1132" s="49" t="str">
        <f t="shared" ca="1" si="1130"/>
        <v/>
      </c>
      <c r="I1132" s="49" t="str">
        <f t="shared" ca="1" si="1130"/>
        <v/>
      </c>
      <c r="J1132" s="49" t="str">
        <f t="shared" ca="1" si="1130"/>
        <v/>
      </c>
    </row>
    <row r="1133" spans="1:10" ht="12.75" x14ac:dyDescent="0.2">
      <c r="A1133" s="40"/>
      <c r="B1133" s="41" t="s">
        <v>400</v>
      </c>
      <c r="C1133" s="40"/>
      <c r="D1133" s="40"/>
      <c r="E1133" s="40"/>
      <c r="F1133" s="49" t="str">
        <f t="shared" ref="F1133:J1133" ca="1" si="1131">IFERROR(__xludf.DUMMYFUNCTION("if (A1133 &lt;&gt; """", GOOGLETRANSLATE(A1133, ""auto"", ""en""), """")"),"")</f>
        <v/>
      </c>
      <c r="G1133" s="49" t="str">
        <f t="shared" ca="1" si="1131"/>
        <v/>
      </c>
      <c r="H1133" s="49" t="str">
        <f t="shared" ca="1" si="1131"/>
        <v/>
      </c>
      <c r="I1133" s="49" t="str">
        <f t="shared" ca="1" si="1131"/>
        <v/>
      </c>
      <c r="J1133" s="49" t="str">
        <f t="shared" ca="1" si="1131"/>
        <v/>
      </c>
    </row>
    <row r="1134" spans="1:10" ht="12.75" x14ac:dyDescent="0.2">
      <c r="A1134" s="40"/>
      <c r="B1134" s="41" t="s">
        <v>401</v>
      </c>
      <c r="C1134" s="41" t="s">
        <v>31</v>
      </c>
      <c r="D1134" s="40"/>
      <c r="E1134" s="40"/>
      <c r="F1134" s="49" t="str">
        <f t="shared" ref="F1134:J1134" ca="1" si="1132">IFERROR(__xludf.DUMMYFUNCTION("if (A1134 &lt;&gt; """", GOOGLETRANSLATE(A1134, ""auto"", ""en""), """")"),"")</f>
        <v/>
      </c>
      <c r="G1134" s="49" t="str">
        <f t="shared" ca="1" si="1132"/>
        <v/>
      </c>
      <c r="H1134" s="49" t="str">
        <f t="shared" ca="1" si="1132"/>
        <v/>
      </c>
      <c r="I1134" s="49" t="str">
        <f t="shared" ca="1" si="1132"/>
        <v/>
      </c>
      <c r="J1134" s="49" t="str">
        <f t="shared" ca="1" si="1132"/>
        <v/>
      </c>
    </row>
    <row r="1135" spans="1:10" ht="51" x14ac:dyDescent="0.2">
      <c r="A1135" s="41" t="s">
        <v>795</v>
      </c>
      <c r="B1135" s="41" t="s">
        <v>402</v>
      </c>
      <c r="C1135" s="41" t="s">
        <v>796</v>
      </c>
      <c r="D1135" s="40"/>
      <c r="E1135" s="40"/>
      <c r="F1135" s="49" t="str">
        <f t="shared" ref="F1135:J1135" ca="1" si="1133">IFERROR(__xludf.DUMMYFUNCTION("if (A1135 &lt;&gt; """", GOOGLETRANSLATE(A1135, ""auto"", ""en""), """")"),"To register a room")</f>
        <v>To register a room</v>
      </c>
      <c r="G1135" s="49" t="str">
        <f t="shared" ca="1" si="1133"/>
        <v>To register a room</v>
      </c>
      <c r="H1135" s="49" t="str">
        <f t="shared" ca="1" si="1133"/>
        <v>To register a room</v>
      </c>
      <c r="I1135" s="49" t="str">
        <f t="shared" ca="1" si="1133"/>
        <v>To register a room</v>
      </c>
      <c r="J1135" s="49" t="str">
        <f t="shared" ca="1" si="1133"/>
        <v>To register a room</v>
      </c>
    </row>
    <row r="1136" spans="1:10" ht="38.25" x14ac:dyDescent="0.2">
      <c r="A1136" s="41" t="s">
        <v>797</v>
      </c>
      <c r="B1136" s="41" t="s">
        <v>402</v>
      </c>
      <c r="C1136" s="41" t="s">
        <v>386</v>
      </c>
      <c r="D1136" s="40"/>
      <c r="E1136" s="40"/>
      <c r="F1136" s="49" t="str">
        <f t="shared" ref="F1136:J1136" ca="1" si="1134">IFERROR(__xludf.DUMMYFUNCTION("if (A1136 &lt;&gt; """", GOOGLETRANSLATE(A1136, ""auto"", ""en""), """")"),"I want the registration of the house")</f>
        <v>I want the registration of the house</v>
      </c>
      <c r="G1136" s="49" t="str">
        <f t="shared" ca="1" si="1134"/>
        <v>I want the registration of the house</v>
      </c>
      <c r="H1136" s="49" t="str">
        <f t="shared" ca="1" si="1134"/>
        <v>I want the registration of the house</v>
      </c>
      <c r="I1136" s="49" t="str">
        <f t="shared" ca="1" si="1134"/>
        <v>I want the registration of the house</v>
      </c>
      <c r="J1136" s="49" t="str">
        <f t="shared" ca="1" si="1134"/>
        <v>I want the registration of the house</v>
      </c>
    </row>
    <row r="1137" spans="1:10" ht="25.5" x14ac:dyDescent="0.2">
      <c r="A1137" s="41" t="s">
        <v>798</v>
      </c>
      <c r="B1137" s="40"/>
      <c r="C1137" s="40"/>
      <c r="D1137" s="40"/>
      <c r="E1137" s="40"/>
      <c r="F1137" s="49" t="str">
        <f t="shared" ref="F1137:J1137" ca="1" si="1135">IFERROR(__xludf.DUMMYFUNCTION("if (A1137 &lt;&gt; """", GOOGLETRANSLATE(A1137, ""auto"", ""en""), """")"),"I want to rent a house")</f>
        <v>I want to rent a house</v>
      </c>
      <c r="G1137" s="49" t="str">
        <f t="shared" ca="1" si="1135"/>
        <v>I want to rent a house</v>
      </c>
      <c r="H1137" s="49" t="str">
        <f t="shared" ca="1" si="1135"/>
        <v>I want to rent a house</v>
      </c>
      <c r="I1137" s="49" t="str">
        <f t="shared" ca="1" si="1135"/>
        <v>I want to rent a house</v>
      </c>
      <c r="J1137" s="49" t="str">
        <f t="shared" ca="1" si="1135"/>
        <v>I want to rent a house</v>
      </c>
    </row>
    <row r="1138" spans="1:10" ht="38.25" x14ac:dyDescent="0.2">
      <c r="A1138" s="41" t="s">
        <v>30</v>
      </c>
      <c r="B1138" s="40"/>
      <c r="C1138" s="40"/>
      <c r="D1138" s="40"/>
      <c r="E1138" s="40"/>
      <c r="F1138" s="49" t="str">
        <f t="shared" ref="F1138:J1138" ca="1" si="1136">IFERROR(__xludf.DUMMYFUNCTION("if (A1138 &lt;&gt; """", GOOGLETRANSLATE(A1138, ""auto"", ""en""), """")"),"The registration of property")</f>
        <v>The registration of property</v>
      </c>
      <c r="G1138" s="49" t="str">
        <f t="shared" ca="1" si="1136"/>
        <v>The registration of property</v>
      </c>
      <c r="H1138" s="49" t="str">
        <f t="shared" ca="1" si="1136"/>
        <v>The registration of property</v>
      </c>
      <c r="I1138" s="49" t="str">
        <f t="shared" ca="1" si="1136"/>
        <v>The registration of property</v>
      </c>
      <c r="J1138" s="49" t="str">
        <f t="shared" ca="1" si="1136"/>
        <v>The registration of property</v>
      </c>
    </row>
    <row r="1139" spans="1:10" ht="12.75" x14ac:dyDescent="0.2">
      <c r="A1139" s="40"/>
      <c r="B1139" s="41" t="s">
        <v>422</v>
      </c>
      <c r="C1139" s="41" t="s">
        <v>423</v>
      </c>
      <c r="D1139" s="41" t="s">
        <v>424</v>
      </c>
      <c r="E1139" s="40"/>
      <c r="F1139" s="49" t="str">
        <f t="shared" ref="F1139:J1139" ca="1" si="1137">IFERROR(__xludf.DUMMYFUNCTION("if (A1139 &lt;&gt; """", GOOGLETRANSLATE(A1139, ""auto"", ""en""), """")"),"")</f>
        <v/>
      </c>
      <c r="G1139" s="49" t="str">
        <f t="shared" ca="1" si="1137"/>
        <v/>
      </c>
      <c r="H1139" s="49" t="str">
        <f t="shared" ca="1" si="1137"/>
        <v/>
      </c>
      <c r="I1139" s="49" t="str">
        <f t="shared" ca="1" si="1137"/>
        <v/>
      </c>
      <c r="J1139" s="49" t="str">
        <f t="shared" ca="1" si="1137"/>
        <v/>
      </c>
    </row>
    <row r="1140" spans="1:10" ht="12.75" x14ac:dyDescent="0.2">
      <c r="A1140" s="40"/>
      <c r="B1140" s="41" t="s">
        <v>403</v>
      </c>
      <c r="C1140" s="41" t="s">
        <v>227</v>
      </c>
      <c r="D1140" s="41" t="s">
        <v>256</v>
      </c>
      <c r="E1140" s="40"/>
      <c r="F1140" s="49" t="str">
        <f t="shared" ref="F1140:J1140" ca="1" si="1138">IFERROR(__xludf.DUMMYFUNCTION("if (A1140 &lt;&gt; """", GOOGLETRANSLATE(A1140, ""auto"", ""en""), """")"),"")</f>
        <v/>
      </c>
      <c r="G1140" s="49" t="str">
        <f t="shared" ca="1" si="1138"/>
        <v/>
      </c>
      <c r="H1140" s="49" t="str">
        <f t="shared" ca="1" si="1138"/>
        <v/>
      </c>
      <c r="I1140" s="49" t="str">
        <f t="shared" ca="1" si="1138"/>
        <v/>
      </c>
      <c r="J1140" s="49" t="str">
        <f t="shared" ca="1" si="1138"/>
        <v/>
      </c>
    </row>
    <row r="1141" spans="1:10" ht="12.75" x14ac:dyDescent="0.2">
      <c r="A1141" s="40"/>
      <c r="B1141" s="41" t="s">
        <v>403</v>
      </c>
      <c r="C1141" s="41" t="s">
        <v>32</v>
      </c>
      <c r="D1141" s="41" t="s">
        <v>29</v>
      </c>
      <c r="E1141" s="40"/>
      <c r="F1141" s="49" t="str">
        <f t="shared" ref="F1141:J1141" ca="1" si="1139">IFERROR(__xludf.DUMMYFUNCTION("if (A1141 &lt;&gt; """", GOOGLETRANSLATE(A1141, ""auto"", ""en""), """")"),"")</f>
        <v/>
      </c>
      <c r="G1141" s="49" t="str">
        <f t="shared" ca="1" si="1139"/>
        <v/>
      </c>
      <c r="H1141" s="49" t="str">
        <f t="shared" ca="1" si="1139"/>
        <v/>
      </c>
      <c r="I1141" s="49" t="str">
        <f t="shared" ca="1" si="1139"/>
        <v/>
      </c>
      <c r="J1141" s="49" t="str">
        <f t="shared" ca="1" si="1139"/>
        <v/>
      </c>
    </row>
    <row r="1142" spans="1:10" ht="12.75" x14ac:dyDescent="0.2">
      <c r="A1142" s="40"/>
      <c r="B1142" s="41" t="s">
        <v>403</v>
      </c>
      <c r="C1142" s="41" t="s">
        <v>24</v>
      </c>
      <c r="D1142" s="41" t="s">
        <v>26</v>
      </c>
      <c r="E1142" s="40"/>
      <c r="F1142" s="49" t="str">
        <f t="shared" ref="F1142:J1142" ca="1" si="1140">IFERROR(__xludf.DUMMYFUNCTION("if (A1142 &lt;&gt; """", GOOGLETRANSLATE(A1142, ""auto"", ""en""), """")"),"")</f>
        <v/>
      </c>
      <c r="G1142" s="49" t="str">
        <f t="shared" ca="1" si="1140"/>
        <v/>
      </c>
      <c r="H1142" s="49" t="str">
        <f t="shared" ca="1" si="1140"/>
        <v/>
      </c>
      <c r="I1142" s="49" t="str">
        <f t="shared" ca="1" si="1140"/>
        <v/>
      </c>
      <c r="J1142" s="49" t="str">
        <f t="shared" ca="1" si="1140"/>
        <v/>
      </c>
    </row>
    <row r="1143" spans="1:10" ht="12.75" x14ac:dyDescent="0.2">
      <c r="A1143" s="40"/>
      <c r="B1143" s="41" t="s">
        <v>403</v>
      </c>
      <c r="C1143" s="41" t="s">
        <v>25</v>
      </c>
      <c r="D1143" s="41" t="s">
        <v>27</v>
      </c>
      <c r="E1143" s="40"/>
      <c r="F1143" s="49" t="str">
        <f t="shared" ref="F1143:J1143" ca="1" si="1141">IFERROR(__xludf.DUMMYFUNCTION("if (A1143 &lt;&gt; """", GOOGLETRANSLATE(A1143, ""auto"", ""en""), """")"),"")</f>
        <v/>
      </c>
      <c r="G1143" s="49" t="str">
        <f t="shared" ca="1" si="1141"/>
        <v/>
      </c>
      <c r="H1143" s="49" t="str">
        <f t="shared" ca="1" si="1141"/>
        <v/>
      </c>
      <c r="I1143" s="49" t="str">
        <f t="shared" ca="1" si="1141"/>
        <v/>
      </c>
      <c r="J1143" s="49" t="str">
        <f t="shared" ca="1" si="1141"/>
        <v/>
      </c>
    </row>
    <row r="1144" spans="1:10" ht="12.75" x14ac:dyDescent="0.2">
      <c r="A1144" s="40"/>
      <c r="B1144" s="40"/>
      <c r="C1144" s="40"/>
      <c r="D1144" s="40"/>
      <c r="E1144" s="40"/>
      <c r="F1144" s="49" t="str">
        <f t="shared" ref="F1144:J1144" ca="1" si="1142">IFERROR(__xludf.DUMMYFUNCTION("if (A1144 &lt;&gt; """", GOOGLETRANSLATE(A1144, ""auto"", ""en""), """")"),"")</f>
        <v/>
      </c>
      <c r="G1144" s="49" t="str">
        <f t="shared" ca="1" si="1142"/>
        <v/>
      </c>
      <c r="H1144" s="49" t="str">
        <f t="shared" ca="1" si="1142"/>
        <v/>
      </c>
      <c r="I1144" s="49" t="str">
        <f t="shared" ca="1" si="1142"/>
        <v/>
      </c>
      <c r="J1144" s="49" t="str">
        <f t="shared" ca="1" si="1142"/>
        <v/>
      </c>
    </row>
    <row r="1145" spans="1:10" ht="12.75" x14ac:dyDescent="0.2">
      <c r="A1145" s="41" t="s">
        <v>27</v>
      </c>
      <c r="B1145" s="40"/>
      <c r="C1145" s="40"/>
      <c r="D1145" s="40"/>
      <c r="E1145" s="40"/>
      <c r="F1145" s="49" t="str">
        <f t="shared" ref="F1145:J1145" ca="1" si="1143">IFERROR(__xludf.DUMMYFUNCTION("if (A1145 &lt;&gt; """", GOOGLETRANSLATE(A1145, ""auto"", ""en""), """")"),"Search-House")</f>
        <v>Search-House</v>
      </c>
      <c r="G1145" s="49" t="str">
        <f t="shared" ca="1" si="1143"/>
        <v>Search-House</v>
      </c>
      <c r="H1145" s="49" t="str">
        <f t="shared" ca="1" si="1143"/>
        <v>Search-House</v>
      </c>
      <c r="I1145" s="49" t="str">
        <f t="shared" ca="1" si="1143"/>
        <v>Search-House</v>
      </c>
      <c r="J1145" s="49" t="str">
        <f t="shared" ca="1" si="1143"/>
        <v>Search-House</v>
      </c>
    </row>
    <row r="1146" spans="1:10" ht="12.75" x14ac:dyDescent="0.2">
      <c r="A1146" s="40"/>
      <c r="B1146" s="41" t="s">
        <v>398</v>
      </c>
      <c r="C1146" s="40"/>
      <c r="D1146" s="40"/>
      <c r="E1146" s="40"/>
      <c r="F1146" s="49" t="str">
        <f t="shared" ref="F1146:J1146" ca="1" si="1144">IFERROR(__xludf.DUMMYFUNCTION("if (A1146 &lt;&gt; """", GOOGLETRANSLATE(A1146, ""auto"", ""en""), """")"),"")</f>
        <v/>
      </c>
      <c r="G1146" s="49" t="str">
        <f t="shared" ca="1" si="1144"/>
        <v/>
      </c>
      <c r="H1146" s="49" t="str">
        <f t="shared" ca="1" si="1144"/>
        <v/>
      </c>
      <c r="I1146" s="49" t="str">
        <f t="shared" ca="1" si="1144"/>
        <v/>
      </c>
      <c r="J1146" s="49" t="str">
        <f t="shared" ca="1" si="1144"/>
        <v/>
      </c>
    </row>
    <row r="1147" spans="1:10" ht="12.75" x14ac:dyDescent="0.2">
      <c r="A1147" s="40"/>
      <c r="B1147" s="41" t="s">
        <v>399</v>
      </c>
      <c r="C1147" s="40"/>
      <c r="D1147" s="40"/>
      <c r="E1147" s="40"/>
      <c r="F1147" s="49" t="str">
        <f t="shared" ref="F1147:J1147" ca="1" si="1145">IFERROR(__xludf.DUMMYFUNCTION("if (A1147 &lt;&gt; """", GOOGLETRANSLATE(A1147, ""auto"", ""en""), """")"),"")</f>
        <v/>
      </c>
      <c r="G1147" s="49" t="str">
        <f t="shared" ca="1" si="1145"/>
        <v/>
      </c>
      <c r="H1147" s="49" t="str">
        <f t="shared" ca="1" si="1145"/>
        <v/>
      </c>
      <c r="I1147" s="49" t="str">
        <f t="shared" ca="1" si="1145"/>
        <v/>
      </c>
      <c r="J1147" s="49" t="str">
        <f t="shared" ca="1" si="1145"/>
        <v/>
      </c>
    </row>
    <row r="1148" spans="1:10" ht="12.75" x14ac:dyDescent="0.2">
      <c r="A1148" s="40"/>
      <c r="B1148" s="41" t="s">
        <v>400</v>
      </c>
      <c r="C1148" s="40"/>
      <c r="D1148" s="40"/>
      <c r="E1148" s="40"/>
      <c r="F1148" s="49" t="str">
        <f t="shared" ref="F1148:J1148" ca="1" si="1146">IFERROR(__xludf.DUMMYFUNCTION("if (A1148 &lt;&gt; """", GOOGLETRANSLATE(A1148, ""auto"", ""en""), """")"),"")</f>
        <v/>
      </c>
      <c r="G1148" s="49" t="str">
        <f t="shared" ca="1" si="1146"/>
        <v/>
      </c>
      <c r="H1148" s="49" t="str">
        <f t="shared" ca="1" si="1146"/>
        <v/>
      </c>
      <c r="I1148" s="49" t="str">
        <f t="shared" ca="1" si="1146"/>
        <v/>
      </c>
      <c r="J1148" s="49" t="str">
        <f t="shared" ca="1" si="1146"/>
        <v/>
      </c>
    </row>
    <row r="1149" spans="1:10" ht="12.75" x14ac:dyDescent="0.2">
      <c r="A1149" s="40"/>
      <c r="B1149" s="41" t="s">
        <v>401</v>
      </c>
      <c r="C1149" s="41" t="s">
        <v>27</v>
      </c>
      <c r="D1149" s="40"/>
      <c r="E1149" s="40"/>
      <c r="F1149" s="49" t="str">
        <f t="shared" ref="F1149:J1149" ca="1" si="1147">IFERROR(__xludf.DUMMYFUNCTION("if (A1149 &lt;&gt; """", GOOGLETRANSLATE(A1149, ""auto"", ""en""), """")"),"")</f>
        <v/>
      </c>
      <c r="G1149" s="49" t="str">
        <f t="shared" ca="1" si="1147"/>
        <v/>
      </c>
      <c r="H1149" s="49" t="str">
        <f t="shared" ca="1" si="1147"/>
        <v/>
      </c>
      <c r="I1149" s="49" t="str">
        <f t="shared" ca="1" si="1147"/>
        <v/>
      </c>
      <c r="J1149" s="49" t="str">
        <f t="shared" ca="1" si="1147"/>
        <v/>
      </c>
    </row>
    <row r="1150" spans="1:10" ht="51" x14ac:dyDescent="0.2">
      <c r="A1150" s="41" t="s">
        <v>799</v>
      </c>
      <c r="B1150" s="41" t="s">
        <v>402</v>
      </c>
      <c r="C1150" s="41" t="s">
        <v>396</v>
      </c>
      <c r="D1150" s="40"/>
      <c r="E1150" s="40"/>
      <c r="F1150" s="49" t="str">
        <f t="shared" ref="F1150:J1150" ca="1" si="1148">IFERROR(__xludf.DUMMYFUNCTION("if (A1150 &lt;&gt; """", GOOGLETRANSLATE(A1150, ""auto"", ""en""), """")"),"We are looking for a hotel")</f>
        <v>We are looking for a hotel</v>
      </c>
      <c r="G1150" s="49" t="str">
        <f t="shared" ca="1" si="1148"/>
        <v>We are looking for a hotel</v>
      </c>
      <c r="H1150" s="49" t="str">
        <f t="shared" ca="1" si="1148"/>
        <v>We are looking for a hotel</v>
      </c>
      <c r="I1150" s="49" t="str">
        <f t="shared" ca="1" si="1148"/>
        <v>We are looking for a hotel</v>
      </c>
      <c r="J1150" s="49" t="str">
        <f t="shared" ca="1" si="1148"/>
        <v>We are looking for a hotel</v>
      </c>
    </row>
    <row r="1151" spans="1:10" ht="38.25" x14ac:dyDescent="0.2">
      <c r="A1151" s="41" t="s">
        <v>800</v>
      </c>
      <c r="B1151" s="40"/>
      <c r="C1151" s="40"/>
      <c r="D1151" s="40"/>
      <c r="E1151" s="40"/>
      <c r="F1151" s="49" t="str">
        <f t="shared" ref="F1151:J1151" ca="1" si="1149">IFERROR(__xludf.DUMMYFUNCTION("if (A1151 &lt;&gt; """", GOOGLETRANSLATE(A1151, ""auto"", ""en""), """")"),"I want to find a place to stay")</f>
        <v>I want to find a place to stay</v>
      </c>
      <c r="G1151" s="49" t="str">
        <f t="shared" ca="1" si="1149"/>
        <v>I want to find a place to stay</v>
      </c>
      <c r="H1151" s="49" t="str">
        <f t="shared" ca="1" si="1149"/>
        <v>I want to find a place to stay</v>
      </c>
      <c r="I1151" s="49" t="str">
        <f t="shared" ca="1" si="1149"/>
        <v>I want to find a place to stay</v>
      </c>
      <c r="J1151" s="49" t="str">
        <f t="shared" ca="1" si="1149"/>
        <v>I want to find a place to stay</v>
      </c>
    </row>
    <row r="1152" spans="1:10" ht="25.5" x14ac:dyDescent="0.2">
      <c r="A1152" s="41" t="s">
        <v>801</v>
      </c>
      <c r="B1152" s="40"/>
      <c r="C1152" s="40"/>
      <c r="D1152" s="40"/>
      <c r="E1152" s="40"/>
      <c r="F1152" s="49" t="str">
        <f t="shared" ref="F1152:J1152" ca="1" si="1150">IFERROR(__xludf.DUMMYFUNCTION("if (A1152 &lt;&gt; """", GOOGLETRANSLATE(A1152, ""auto"", ""en""), """")"),"I want to go to play in Japan")</f>
        <v>I want to go to play in Japan</v>
      </c>
      <c r="G1152" s="49" t="str">
        <f t="shared" ca="1" si="1150"/>
        <v>I want to go to play in Japan</v>
      </c>
      <c r="H1152" s="49" t="str">
        <f t="shared" ca="1" si="1150"/>
        <v>I want to go to play in Japan</v>
      </c>
      <c r="I1152" s="49" t="str">
        <f t="shared" ca="1" si="1150"/>
        <v>I want to go to play in Japan</v>
      </c>
      <c r="J1152" s="49" t="str">
        <f t="shared" ca="1" si="1150"/>
        <v>I want to go to play in Japan</v>
      </c>
    </row>
    <row r="1153" spans="1:10" ht="25.5" x14ac:dyDescent="0.2">
      <c r="A1153" s="41" t="s">
        <v>802</v>
      </c>
      <c r="B1153" s="40"/>
      <c r="C1153" s="40"/>
      <c r="D1153" s="40"/>
      <c r="E1153" s="40"/>
      <c r="F1153" s="49" t="str">
        <f t="shared" ref="F1153:J1153" ca="1" si="1151">IFERROR(__xludf.DUMMYFUNCTION("if (A1153 &lt;&gt; """", GOOGLETRANSLATE(A1153, ""auto"", ""en""), """")"),"I want to go to Japan")</f>
        <v>I want to go to Japan</v>
      </c>
      <c r="G1153" s="49" t="str">
        <f t="shared" ca="1" si="1151"/>
        <v>I want to go to Japan</v>
      </c>
      <c r="H1153" s="49" t="str">
        <f t="shared" ca="1" si="1151"/>
        <v>I want to go to Japan</v>
      </c>
      <c r="I1153" s="49" t="str">
        <f t="shared" ca="1" si="1151"/>
        <v>I want to go to Japan</v>
      </c>
      <c r="J1153" s="49" t="str">
        <f t="shared" ca="1" si="1151"/>
        <v>I want to go to Japan</v>
      </c>
    </row>
    <row r="1154" spans="1:10" ht="25.5" x14ac:dyDescent="0.2">
      <c r="A1154" s="41" t="s">
        <v>803</v>
      </c>
      <c r="B1154" s="40"/>
      <c r="C1154" s="40"/>
      <c r="D1154" s="40"/>
      <c r="E1154" s="40"/>
      <c r="F1154" s="49" t="str">
        <f t="shared" ref="F1154:J1154" ca="1" si="1152">IFERROR(__xludf.DUMMYFUNCTION("if (A1154 &lt;&gt; """", GOOGLETRANSLATE(A1154, ""auto"", ""en""), """")"),"want to go on a trip")</f>
        <v>want to go on a trip</v>
      </c>
      <c r="G1154" s="49" t="str">
        <f t="shared" ca="1" si="1152"/>
        <v>want to go on a trip</v>
      </c>
      <c r="H1154" s="49" t="str">
        <f t="shared" ca="1" si="1152"/>
        <v>want to go on a trip</v>
      </c>
      <c r="I1154" s="49" t="str">
        <f t="shared" ca="1" si="1152"/>
        <v>want to go on a trip</v>
      </c>
      <c r="J1154" s="49" t="str">
        <f t="shared" ca="1" si="1152"/>
        <v>want to go on a trip</v>
      </c>
    </row>
    <row r="1155" spans="1:10" ht="25.5" x14ac:dyDescent="0.2">
      <c r="A1155" s="41" t="s">
        <v>804</v>
      </c>
      <c r="B1155" s="40"/>
      <c r="C1155" s="40"/>
      <c r="D1155" s="40"/>
      <c r="E1155" s="40"/>
      <c r="F1155" s="49" t="str">
        <f t="shared" ref="F1155:J1155" ca="1" si="1153">IFERROR(__xludf.DUMMYFUNCTION("if (A1155 &lt;&gt; """", GOOGLETRANSLATE(A1155, ""auto"", ""en""), """")"),"I want to rent a house")</f>
        <v>I want to rent a house</v>
      </c>
      <c r="G1155" s="49" t="str">
        <f t="shared" ca="1" si="1153"/>
        <v>I want to rent a house</v>
      </c>
      <c r="H1155" s="49" t="str">
        <f t="shared" ca="1" si="1153"/>
        <v>I want to rent a house</v>
      </c>
      <c r="I1155" s="49" t="str">
        <f t="shared" ca="1" si="1153"/>
        <v>I want to rent a house</v>
      </c>
      <c r="J1155" s="49" t="str">
        <f t="shared" ca="1" si="1153"/>
        <v>I want to rent a house</v>
      </c>
    </row>
    <row r="1156" spans="1:10" ht="38.25" x14ac:dyDescent="0.2">
      <c r="A1156" s="41" t="s">
        <v>25</v>
      </c>
      <c r="B1156" s="40"/>
      <c r="C1156" s="40"/>
      <c r="D1156" s="40"/>
      <c r="E1156" s="40"/>
      <c r="F1156" s="49" t="str">
        <f t="shared" ref="F1156:J1156" ca="1" si="1154">IFERROR(__xludf.DUMMYFUNCTION("if (A1156 &lt;&gt; """", GOOGLETRANSLATE(A1156, ""auto"", ""en""), """")"),"Find accommodation")</f>
        <v>Find accommodation</v>
      </c>
      <c r="G1156" s="49" t="str">
        <f t="shared" ca="1" si="1154"/>
        <v>Find accommodation</v>
      </c>
      <c r="H1156" s="49" t="str">
        <f t="shared" ca="1" si="1154"/>
        <v>Find accommodation</v>
      </c>
      <c r="I1156" s="49" t="str">
        <f t="shared" ca="1" si="1154"/>
        <v>Find accommodation</v>
      </c>
      <c r="J1156" s="49" t="str">
        <f t="shared" ca="1" si="1154"/>
        <v>Find accommodation</v>
      </c>
    </row>
    <row r="1157" spans="1:10" ht="38.25" x14ac:dyDescent="0.2">
      <c r="A1157" s="40"/>
      <c r="B1157" s="41" t="s">
        <v>422</v>
      </c>
      <c r="C1157" s="41" t="s">
        <v>391</v>
      </c>
      <c r="D1157" s="41" t="s">
        <v>805</v>
      </c>
      <c r="E1157" s="41" t="s">
        <v>390</v>
      </c>
      <c r="F1157" s="49" t="str">
        <f t="shared" ref="F1157:J1157" ca="1" si="1155">IFERROR(__xludf.DUMMYFUNCTION("if (A1157 &lt;&gt; """", GOOGLETRANSLATE(A1157, ""auto"", ""en""), """")"),"")</f>
        <v/>
      </c>
      <c r="G1157" s="49" t="str">
        <f t="shared" ca="1" si="1155"/>
        <v/>
      </c>
      <c r="H1157" s="49" t="str">
        <f t="shared" ca="1" si="1155"/>
        <v/>
      </c>
      <c r="I1157" s="49" t="str">
        <f t="shared" ca="1" si="1155"/>
        <v/>
      </c>
      <c r="J1157" s="49" t="str">
        <f t="shared" ca="1" si="1155"/>
        <v/>
      </c>
    </row>
    <row r="1158" spans="1:10" ht="25.5" x14ac:dyDescent="0.2">
      <c r="A1158" s="40"/>
      <c r="B1158" s="41" t="s">
        <v>422</v>
      </c>
      <c r="C1158" s="41" t="s">
        <v>392</v>
      </c>
      <c r="D1158" s="41" t="s">
        <v>806</v>
      </c>
      <c r="E1158" s="41" t="s">
        <v>394</v>
      </c>
      <c r="F1158" s="49" t="str">
        <f t="shared" ref="F1158:J1158" ca="1" si="1156">IFERROR(__xludf.DUMMYFUNCTION("if (A1158 &lt;&gt; """", GOOGLETRANSLATE(A1158, ""auto"", ""en""), """")"),"")</f>
        <v/>
      </c>
      <c r="G1158" s="49" t="str">
        <f t="shared" ca="1" si="1156"/>
        <v/>
      </c>
      <c r="H1158" s="49" t="str">
        <f t="shared" ca="1" si="1156"/>
        <v/>
      </c>
      <c r="I1158" s="49" t="str">
        <f t="shared" ca="1" si="1156"/>
        <v/>
      </c>
      <c r="J1158" s="49" t="str">
        <f t="shared" ca="1" si="1156"/>
        <v/>
      </c>
    </row>
    <row r="1159" spans="1:10" ht="12.75" x14ac:dyDescent="0.2">
      <c r="A1159" s="40"/>
      <c r="B1159" s="41" t="s">
        <v>422</v>
      </c>
      <c r="C1159" s="41" t="s">
        <v>423</v>
      </c>
      <c r="D1159" s="41" t="s">
        <v>424</v>
      </c>
      <c r="E1159" s="40"/>
      <c r="F1159" s="49" t="str">
        <f t="shared" ref="F1159:J1159" ca="1" si="1157">IFERROR(__xludf.DUMMYFUNCTION("if (A1159 &lt;&gt; """", GOOGLETRANSLATE(A1159, ""auto"", ""en""), """")"),"")</f>
        <v/>
      </c>
      <c r="G1159" s="49" t="str">
        <f t="shared" ca="1" si="1157"/>
        <v/>
      </c>
      <c r="H1159" s="49" t="str">
        <f t="shared" ca="1" si="1157"/>
        <v/>
      </c>
      <c r="I1159" s="49" t="str">
        <f t="shared" ca="1" si="1157"/>
        <v/>
      </c>
      <c r="J1159" s="49" t="str">
        <f t="shared" ca="1" si="1157"/>
        <v/>
      </c>
    </row>
    <row r="1160" spans="1:10" ht="12.75" x14ac:dyDescent="0.2">
      <c r="A1160" s="40"/>
      <c r="B1160" s="41" t="s">
        <v>422</v>
      </c>
      <c r="C1160" s="41" t="s">
        <v>807</v>
      </c>
      <c r="D1160" s="41" t="s">
        <v>808</v>
      </c>
      <c r="E1160" s="40"/>
      <c r="F1160" s="49" t="str">
        <f t="shared" ref="F1160:J1160" ca="1" si="1158">IFERROR(__xludf.DUMMYFUNCTION("if (A1160 &lt;&gt; """", GOOGLETRANSLATE(A1160, ""auto"", ""en""), """")"),"")</f>
        <v/>
      </c>
      <c r="G1160" s="49" t="str">
        <f t="shared" ca="1" si="1158"/>
        <v/>
      </c>
      <c r="H1160" s="49" t="str">
        <f t="shared" ca="1" si="1158"/>
        <v/>
      </c>
      <c r="I1160" s="49" t="str">
        <f t="shared" ca="1" si="1158"/>
        <v/>
      </c>
      <c r="J1160" s="49" t="str">
        <f t="shared" ca="1" si="1158"/>
        <v/>
      </c>
    </row>
    <row r="1161" spans="1:10" ht="12.75" x14ac:dyDescent="0.2">
      <c r="A1161" s="40"/>
      <c r="B1161" s="41" t="s">
        <v>403</v>
      </c>
      <c r="C1161" s="41" t="s">
        <v>397</v>
      </c>
      <c r="D1161" s="41" t="s">
        <v>27</v>
      </c>
      <c r="E1161" s="40"/>
      <c r="F1161" s="49" t="str">
        <f t="shared" ref="F1161:J1161" ca="1" si="1159">IFERROR(__xludf.DUMMYFUNCTION("if (A1161 &lt;&gt; """", GOOGLETRANSLATE(A1161, ""auto"", ""en""), """")"),"")</f>
        <v/>
      </c>
      <c r="G1161" s="49" t="str">
        <f t="shared" ca="1" si="1159"/>
        <v/>
      </c>
      <c r="H1161" s="49" t="str">
        <f t="shared" ca="1" si="1159"/>
        <v/>
      </c>
      <c r="I1161" s="49" t="str">
        <f t="shared" ca="1" si="1159"/>
        <v/>
      </c>
      <c r="J1161" s="49" t="str">
        <f t="shared" ca="1" si="1159"/>
        <v/>
      </c>
    </row>
    <row r="1162" spans="1:10" ht="12.75" x14ac:dyDescent="0.2">
      <c r="A1162" s="40"/>
      <c r="B1162" s="41" t="s">
        <v>403</v>
      </c>
      <c r="C1162" s="41" t="s">
        <v>30</v>
      </c>
      <c r="D1162" s="41" t="s">
        <v>31</v>
      </c>
      <c r="E1162" s="40"/>
      <c r="F1162" s="49" t="str">
        <f t="shared" ref="F1162:J1162" ca="1" si="1160">IFERROR(__xludf.DUMMYFUNCTION("if (A1162 &lt;&gt; """", GOOGLETRANSLATE(A1162, ""auto"", ""en""), """")"),"")</f>
        <v/>
      </c>
      <c r="G1162" s="49" t="str">
        <f t="shared" ca="1" si="1160"/>
        <v/>
      </c>
      <c r="H1162" s="49" t="str">
        <f t="shared" ca="1" si="1160"/>
        <v/>
      </c>
      <c r="I1162" s="49" t="str">
        <f t="shared" ca="1" si="1160"/>
        <v/>
      </c>
      <c r="J1162" s="49" t="str">
        <f t="shared" ca="1" si="1160"/>
        <v/>
      </c>
    </row>
    <row r="1163" spans="1:10" ht="12.75" x14ac:dyDescent="0.2">
      <c r="A1163" s="40"/>
      <c r="B1163" s="41" t="s">
        <v>403</v>
      </c>
      <c r="C1163" s="41" t="s">
        <v>16</v>
      </c>
      <c r="D1163" s="41" t="s">
        <v>10</v>
      </c>
      <c r="E1163" s="40"/>
      <c r="F1163" s="49" t="str">
        <f t="shared" ref="F1163:J1163" ca="1" si="1161">IFERROR(__xludf.DUMMYFUNCTION("if (A1163 &lt;&gt; """", GOOGLETRANSLATE(A1163, ""auto"", ""en""), """")"),"")</f>
        <v/>
      </c>
      <c r="G1163" s="49" t="str">
        <f t="shared" ca="1" si="1161"/>
        <v/>
      </c>
      <c r="H1163" s="49" t="str">
        <f t="shared" ca="1" si="1161"/>
        <v/>
      </c>
      <c r="I1163" s="49" t="str">
        <f t="shared" ca="1" si="1161"/>
        <v/>
      </c>
      <c r="J1163" s="49" t="str">
        <f t="shared" ca="1" si="1161"/>
        <v/>
      </c>
    </row>
    <row r="1164" spans="1:10" ht="12.75" x14ac:dyDescent="0.2">
      <c r="A1164" s="40"/>
      <c r="B1164" s="40"/>
      <c r="C1164" s="40"/>
      <c r="D1164" s="40"/>
      <c r="E1164" s="40"/>
      <c r="F1164" s="49" t="str">
        <f t="shared" ref="F1164:J1164" ca="1" si="1162">IFERROR(__xludf.DUMMYFUNCTION("if (A1164 &lt;&gt; """", GOOGLETRANSLATE(A1164, ""auto"", ""en""), """")"),"")</f>
        <v/>
      </c>
      <c r="G1164" s="49" t="str">
        <f t="shared" ca="1" si="1162"/>
        <v/>
      </c>
      <c r="H1164" s="49" t="str">
        <f t="shared" ca="1" si="1162"/>
        <v/>
      </c>
      <c r="I1164" s="49" t="str">
        <f t="shared" ca="1" si="1162"/>
        <v/>
      </c>
      <c r="J1164" s="49" t="str">
        <f t="shared" ca="1" si="1162"/>
        <v/>
      </c>
    </row>
    <row r="1165" spans="1:10" ht="38.25" x14ac:dyDescent="0.2">
      <c r="A1165" s="41" t="s">
        <v>849</v>
      </c>
      <c r="B1165" s="40"/>
      <c r="C1165" s="40"/>
      <c r="D1165" s="40"/>
      <c r="E1165" s="40"/>
      <c r="F1165" s="49" t="str">
        <f t="shared" ref="F1165:J1165" ca="1" si="1163">IFERROR(__xludf.DUMMYFUNCTION("if (A1165 &lt;&gt; """", GOOGLETRANSLATE(A1165, ""auto"", ""en""), """")"),"smalltalk.agent.acquaintance")</f>
        <v>smalltalk.agent.acquaintance</v>
      </c>
      <c r="G1165" s="49" t="str">
        <f t="shared" ca="1" si="1163"/>
        <v>smalltalk.agent.acquaintance</v>
      </c>
      <c r="H1165" s="49" t="str">
        <f t="shared" ca="1" si="1163"/>
        <v>smalltalk.agent.acquaintance</v>
      </c>
      <c r="I1165" s="49" t="str">
        <f t="shared" ca="1" si="1163"/>
        <v>smalltalk.agent.acquaintance</v>
      </c>
      <c r="J1165" s="49" t="str">
        <f t="shared" ca="1" si="1163"/>
        <v>smalltalk.agent.acquaintance</v>
      </c>
    </row>
    <row r="1166" spans="1:10" ht="12.75" x14ac:dyDescent="0.2">
      <c r="A1166" s="40"/>
      <c r="B1166" s="41" t="s">
        <v>398</v>
      </c>
      <c r="C1166" s="40"/>
      <c r="D1166" s="40"/>
      <c r="E1166" s="40"/>
      <c r="F1166" s="49" t="str">
        <f t="shared" ref="F1166:J1166" ca="1" si="1164">IFERROR(__xludf.DUMMYFUNCTION("if (A1166 &lt;&gt; """", GOOGLETRANSLATE(A1166, ""auto"", ""en""), """")"),"")</f>
        <v/>
      </c>
      <c r="G1166" s="49" t="str">
        <f t="shared" ca="1" si="1164"/>
        <v/>
      </c>
      <c r="H1166" s="49" t="str">
        <f t="shared" ca="1" si="1164"/>
        <v/>
      </c>
      <c r="I1166" s="49" t="str">
        <f t="shared" ca="1" si="1164"/>
        <v/>
      </c>
      <c r="J1166" s="49" t="str">
        <f t="shared" ca="1" si="1164"/>
        <v/>
      </c>
    </row>
    <row r="1167" spans="1:10" ht="12.75" x14ac:dyDescent="0.2">
      <c r="A1167" s="40"/>
      <c r="B1167" s="41" t="s">
        <v>399</v>
      </c>
      <c r="C1167" s="40"/>
      <c r="D1167" s="40"/>
      <c r="E1167" s="40"/>
      <c r="F1167" s="49" t="str">
        <f t="shared" ref="F1167:J1167" ca="1" si="1165">IFERROR(__xludf.DUMMYFUNCTION("if (A1167 &lt;&gt; """", GOOGLETRANSLATE(A1167, ""auto"", ""en""), """")"),"")</f>
        <v/>
      </c>
      <c r="G1167" s="49" t="str">
        <f t="shared" ca="1" si="1165"/>
        <v/>
      </c>
      <c r="H1167" s="49" t="str">
        <f t="shared" ca="1" si="1165"/>
        <v/>
      </c>
      <c r="I1167" s="49" t="str">
        <f t="shared" ca="1" si="1165"/>
        <v/>
      </c>
      <c r="J1167" s="49" t="str">
        <f t="shared" ca="1" si="1165"/>
        <v/>
      </c>
    </row>
    <row r="1168" spans="1:10" ht="12.75" x14ac:dyDescent="0.2">
      <c r="A1168" s="40"/>
      <c r="B1168" s="41" t="s">
        <v>400</v>
      </c>
      <c r="C1168" s="41" t="s">
        <v>849</v>
      </c>
      <c r="D1168" s="40"/>
      <c r="E1168" s="40"/>
      <c r="F1168" s="49" t="str">
        <f t="shared" ref="F1168:J1168" ca="1" si="1166">IFERROR(__xludf.DUMMYFUNCTION("if (A1168 &lt;&gt; """", GOOGLETRANSLATE(A1168, ""auto"", ""en""), """")"),"")</f>
        <v/>
      </c>
      <c r="G1168" s="49" t="str">
        <f t="shared" ca="1" si="1166"/>
        <v/>
      </c>
      <c r="H1168" s="49" t="str">
        <f t="shared" ca="1" si="1166"/>
        <v/>
      </c>
      <c r="I1168" s="49" t="str">
        <f t="shared" ca="1" si="1166"/>
        <v/>
      </c>
      <c r="J1168" s="49" t="str">
        <f t="shared" ca="1" si="1166"/>
        <v/>
      </c>
    </row>
    <row r="1169" spans="1:10" ht="12.75" x14ac:dyDescent="0.2">
      <c r="A1169" s="40"/>
      <c r="B1169" s="41" t="s">
        <v>401</v>
      </c>
      <c r="C1169" s="40"/>
      <c r="D1169" s="40"/>
      <c r="E1169" s="40"/>
      <c r="F1169" s="49" t="str">
        <f t="shared" ref="F1169:J1169" ca="1" si="1167">IFERROR(__xludf.DUMMYFUNCTION("if (A1169 &lt;&gt; """", GOOGLETRANSLATE(A1169, ""auto"", ""en""), """")"),"")</f>
        <v/>
      </c>
      <c r="G1169" s="49" t="str">
        <f t="shared" ca="1" si="1167"/>
        <v/>
      </c>
      <c r="H1169" s="49" t="str">
        <f t="shared" ca="1" si="1167"/>
        <v/>
      </c>
      <c r="I1169" s="49" t="str">
        <f t="shared" ca="1" si="1167"/>
        <v/>
      </c>
      <c r="J1169" s="49" t="str">
        <f t="shared" ca="1" si="1167"/>
        <v/>
      </c>
    </row>
    <row r="1170" spans="1:10" ht="51" x14ac:dyDescent="0.2">
      <c r="A1170" s="41" t="s">
        <v>255</v>
      </c>
      <c r="B1170" s="41" t="s">
        <v>402</v>
      </c>
      <c r="C1170" s="41" t="s">
        <v>850</v>
      </c>
      <c r="D1170" s="40"/>
      <c r="E1170" s="40"/>
      <c r="F1170" s="49" t="str">
        <f t="shared" ref="F1170:J1170" ca="1" si="1168">IFERROR(__xludf.DUMMYFUNCTION("if (A1170 &lt;&gt; """", GOOGLETRANSLATE(A1170, ""auto"", ""en""), """")"),"Who is it")</f>
        <v>Who is it</v>
      </c>
      <c r="G1170" s="49" t="str">
        <f t="shared" ca="1" si="1168"/>
        <v>Who is it</v>
      </c>
      <c r="H1170" s="49" t="str">
        <f t="shared" ca="1" si="1168"/>
        <v>Who is it</v>
      </c>
      <c r="I1170" s="49" t="str">
        <f t="shared" ca="1" si="1168"/>
        <v>Who is it</v>
      </c>
      <c r="J1170" s="49" t="str">
        <f t="shared" ca="1" si="1168"/>
        <v>Who is it</v>
      </c>
    </row>
    <row r="1171" spans="1:10" ht="12.75" x14ac:dyDescent="0.2">
      <c r="A1171" s="41" t="s">
        <v>851</v>
      </c>
      <c r="B1171" s="40"/>
      <c r="C1171" s="40"/>
      <c r="D1171" s="40"/>
      <c r="E1171" s="40"/>
      <c r="F1171" s="49" t="str">
        <f t="shared" ref="F1171:J1171" ca="1" si="1169">IFERROR(__xludf.DUMMYFUNCTION("if (A1171 &lt;&gt; """", GOOGLETRANSLATE(A1171, ""auto"", ""en""), """")"),"Who are you")</f>
        <v>Who are you</v>
      </c>
      <c r="G1171" s="49" t="str">
        <f t="shared" ca="1" si="1169"/>
        <v>Who are you</v>
      </c>
      <c r="H1171" s="49" t="str">
        <f t="shared" ca="1" si="1169"/>
        <v>Who are you</v>
      </c>
      <c r="I1171" s="49" t="str">
        <f t="shared" ca="1" si="1169"/>
        <v>Who are you</v>
      </c>
      <c r="J1171" s="49" t="str">
        <f t="shared" ca="1" si="1169"/>
        <v>Who are you</v>
      </c>
    </row>
    <row r="1172" spans="1:10" ht="25.5" x14ac:dyDescent="0.2">
      <c r="A1172" s="41" t="s">
        <v>852</v>
      </c>
      <c r="B1172" s="40"/>
      <c r="C1172" s="40"/>
      <c r="D1172" s="40"/>
      <c r="E1172" s="40"/>
      <c r="F1172" s="49" t="str">
        <f t="shared" ref="F1172:J1172" ca="1" si="1170">IFERROR(__xludf.DUMMYFUNCTION("if (A1172 &lt;&gt; """", GOOGLETRANSLATE(A1172, ""auto"", ""en""), """")"),"Talking about you")</f>
        <v>Talking about you</v>
      </c>
      <c r="G1172" s="49" t="str">
        <f t="shared" ca="1" si="1170"/>
        <v>Talking about you</v>
      </c>
      <c r="H1172" s="49" t="str">
        <f t="shared" ca="1" si="1170"/>
        <v>Talking about you</v>
      </c>
      <c r="I1172" s="49" t="str">
        <f t="shared" ca="1" si="1170"/>
        <v>Talking about you</v>
      </c>
      <c r="J1172" s="49" t="str">
        <f t="shared" ca="1" si="1170"/>
        <v>Talking about you</v>
      </c>
    </row>
    <row r="1173" spans="1:10" ht="25.5" x14ac:dyDescent="0.2">
      <c r="A1173" s="41" t="s">
        <v>853</v>
      </c>
      <c r="B1173" s="40"/>
      <c r="C1173" s="40"/>
      <c r="D1173" s="40"/>
      <c r="E1173" s="40"/>
      <c r="F1173" s="49" t="str">
        <f t="shared" ref="F1173:J1173" ca="1" si="1171">IFERROR(__xludf.DUMMYFUNCTION("if (A1173 &lt;&gt; """", GOOGLETRANSLATE(A1173, ""auto"", ""en""), """")"),"Why are you here")</f>
        <v>Why are you here</v>
      </c>
      <c r="G1173" s="49" t="str">
        <f t="shared" ca="1" si="1171"/>
        <v>Why are you here</v>
      </c>
      <c r="H1173" s="49" t="str">
        <f t="shared" ca="1" si="1171"/>
        <v>Why are you here</v>
      </c>
      <c r="I1173" s="49" t="str">
        <f t="shared" ca="1" si="1171"/>
        <v>Why are you here</v>
      </c>
      <c r="J1173" s="49" t="str">
        <f t="shared" ca="1" si="1171"/>
        <v>Why are you here</v>
      </c>
    </row>
    <row r="1174" spans="1:10" ht="51" x14ac:dyDescent="0.2">
      <c r="A1174" s="41" t="s">
        <v>854</v>
      </c>
      <c r="B1174" s="40"/>
      <c r="C1174" s="40"/>
      <c r="D1174" s="40"/>
      <c r="E1174" s="40"/>
      <c r="F1174" s="49" t="str">
        <f t="shared" ref="F1174:J1174" ca="1" si="1172">IFERROR(__xludf.DUMMYFUNCTION("if (A1174 &lt;&gt; """", GOOGLETRANSLATE(A1174, ""auto"", ""en""), """")"),"And something to talk about their")</f>
        <v>And something to talk about their</v>
      </c>
      <c r="G1174" s="49" t="str">
        <f t="shared" ca="1" si="1172"/>
        <v>And something to talk about their</v>
      </c>
      <c r="H1174" s="49" t="str">
        <f t="shared" ca="1" si="1172"/>
        <v>And something to talk about their</v>
      </c>
      <c r="I1174" s="49" t="str">
        <f t="shared" ca="1" si="1172"/>
        <v>And something to talk about their</v>
      </c>
      <c r="J1174" s="49" t="str">
        <f t="shared" ca="1" si="1172"/>
        <v>And something to talk about their</v>
      </c>
    </row>
    <row r="1175" spans="1:10" ht="38.25" x14ac:dyDescent="0.2">
      <c r="A1175" s="41" t="s">
        <v>855</v>
      </c>
      <c r="B1175" s="40"/>
      <c r="C1175" s="40"/>
      <c r="D1175" s="40"/>
      <c r="E1175" s="40"/>
      <c r="F1175" s="49" t="str">
        <f t="shared" ref="F1175:J1175" ca="1" si="1173">IFERROR(__xludf.DUMMYFUNCTION("if (A1175 &lt;&gt; """", GOOGLETRANSLATE(A1175, ""auto"", ""en""), """")"),"And something to talk about you")</f>
        <v>And something to talk about you</v>
      </c>
      <c r="G1175" s="49" t="str">
        <f t="shared" ca="1" si="1173"/>
        <v>And something to talk about you</v>
      </c>
      <c r="H1175" s="49" t="str">
        <f t="shared" ca="1" si="1173"/>
        <v>And something to talk about you</v>
      </c>
      <c r="I1175" s="49" t="str">
        <f t="shared" ca="1" si="1173"/>
        <v>And something to talk about you</v>
      </c>
      <c r="J1175" s="49" t="str">
        <f t="shared" ca="1" si="1173"/>
        <v>And something to talk about you</v>
      </c>
    </row>
    <row r="1176" spans="1:10" ht="38.25" x14ac:dyDescent="0.2">
      <c r="A1176" s="41" t="s">
        <v>856</v>
      </c>
      <c r="B1176" s="40"/>
      <c r="C1176" s="40"/>
      <c r="D1176" s="40"/>
      <c r="E1176" s="40"/>
      <c r="F1176" s="49" t="str">
        <f t="shared" ref="F1176:J1176" ca="1" si="1174">IFERROR(__xludf.DUMMYFUNCTION("if (A1176 &lt;&gt; """", GOOGLETRANSLATE(A1176, ""auto"", ""en""), """")"),"You things you want to know")</f>
        <v>You things you want to know</v>
      </c>
      <c r="G1176" s="49" t="str">
        <f t="shared" ca="1" si="1174"/>
        <v>You things you want to know</v>
      </c>
      <c r="H1176" s="49" t="str">
        <f t="shared" ca="1" si="1174"/>
        <v>You things you want to know</v>
      </c>
      <c r="I1176" s="49" t="str">
        <f t="shared" ca="1" si="1174"/>
        <v>You things you want to know</v>
      </c>
      <c r="J1176" s="49" t="str">
        <f t="shared" ca="1" si="1174"/>
        <v>You things you want to know</v>
      </c>
    </row>
    <row r="1177" spans="1:10" ht="25.5" x14ac:dyDescent="0.2">
      <c r="A1177" s="41" t="s">
        <v>857</v>
      </c>
      <c r="B1177" s="40"/>
      <c r="C1177" s="40"/>
      <c r="D1177" s="40"/>
      <c r="E1177" s="40"/>
      <c r="F1177" s="49" t="str">
        <f t="shared" ref="F1177:J1177" ca="1" si="1175">IFERROR(__xludf.DUMMYFUNCTION("if (A1177 &lt;&gt; """", GOOGLETRANSLATE(A1177, ""auto"", ""en""), """")"),"Please talk about you")</f>
        <v>Please talk about you</v>
      </c>
      <c r="G1177" s="49" t="str">
        <f t="shared" ca="1" si="1175"/>
        <v>Please talk about you</v>
      </c>
      <c r="H1177" s="49" t="str">
        <f t="shared" ca="1" si="1175"/>
        <v>Please talk about you</v>
      </c>
      <c r="I1177" s="49" t="str">
        <f t="shared" ca="1" si="1175"/>
        <v>Please talk about you</v>
      </c>
      <c r="J1177" s="49" t="str">
        <f t="shared" ca="1" si="1175"/>
        <v>Please talk about you</v>
      </c>
    </row>
    <row r="1178" spans="1:10" ht="25.5" x14ac:dyDescent="0.2">
      <c r="A1178" s="41" t="s">
        <v>858</v>
      </c>
      <c r="B1178" s="40"/>
      <c r="C1178" s="40"/>
      <c r="D1178" s="40"/>
      <c r="E1178" s="40"/>
      <c r="F1178" s="49" t="str">
        <f t="shared" ref="F1178:J1178" ca="1" si="1176">IFERROR(__xludf.DUMMYFUNCTION("if (A1178 &lt;&gt; """", GOOGLETRANSLATE(A1178, ""auto"", ""en""), """")"),"Please tell me about you")</f>
        <v>Please tell me about you</v>
      </c>
      <c r="G1178" s="49" t="str">
        <f t="shared" ca="1" si="1176"/>
        <v>Please tell me about you</v>
      </c>
      <c r="H1178" s="49" t="str">
        <f t="shared" ca="1" si="1176"/>
        <v>Please tell me about you</v>
      </c>
      <c r="I1178" s="49" t="str">
        <f t="shared" ca="1" si="1176"/>
        <v>Please tell me about you</v>
      </c>
      <c r="J1178" s="49" t="str">
        <f t="shared" ca="1" si="1176"/>
        <v>Please tell me about you</v>
      </c>
    </row>
    <row r="1179" spans="1:10" ht="38.25" x14ac:dyDescent="0.2">
      <c r="A1179" s="41" t="s">
        <v>859</v>
      </c>
      <c r="B1179" s="40"/>
      <c r="C1179" s="40"/>
      <c r="D1179" s="40"/>
      <c r="E1179" s="40"/>
      <c r="F1179" s="49" t="str">
        <f t="shared" ref="F1179:J1179" ca="1" si="1177">IFERROR(__xludf.DUMMYFUNCTION("if (A1179 &lt;&gt; """", GOOGLETRANSLATE(A1179, ""auto"", ""en""), """")"),"You things you want to know more")</f>
        <v>You things you want to know more</v>
      </c>
      <c r="G1179" s="49" t="str">
        <f t="shared" ca="1" si="1177"/>
        <v>You things you want to know more</v>
      </c>
      <c r="H1179" s="49" t="str">
        <f t="shared" ca="1" si="1177"/>
        <v>You things you want to know more</v>
      </c>
      <c r="I1179" s="49" t="str">
        <f t="shared" ca="1" si="1177"/>
        <v>You things you want to know more</v>
      </c>
      <c r="J1179" s="49" t="str">
        <f t="shared" ca="1" si="1177"/>
        <v>You things you want to know more</v>
      </c>
    </row>
    <row r="1180" spans="1:10" ht="12.75" x14ac:dyDescent="0.2">
      <c r="A1180" s="40"/>
      <c r="B1180" s="40"/>
      <c r="C1180" s="40"/>
      <c r="D1180" s="40"/>
      <c r="E1180" s="40"/>
      <c r="F1180" s="49" t="str">
        <f t="shared" ref="F1180:J1180" ca="1" si="1178">IFERROR(__xludf.DUMMYFUNCTION("if (A1180 &lt;&gt; """", GOOGLETRANSLATE(A1180, ""auto"", ""en""), """")"),"")</f>
        <v/>
      </c>
      <c r="G1180" s="49" t="str">
        <f t="shared" ca="1" si="1178"/>
        <v/>
      </c>
      <c r="H1180" s="49" t="str">
        <f t="shared" ca="1" si="1178"/>
        <v/>
      </c>
      <c r="I1180" s="49" t="str">
        <f t="shared" ca="1" si="1178"/>
        <v/>
      </c>
      <c r="J1180" s="49" t="str">
        <f t="shared" ca="1" si="1178"/>
        <v/>
      </c>
    </row>
    <row r="1181" spans="1:10" ht="25.5" x14ac:dyDescent="0.2">
      <c r="A1181" s="41" t="s">
        <v>860</v>
      </c>
      <c r="B1181" s="40"/>
      <c r="C1181" s="40"/>
      <c r="D1181" s="40"/>
      <c r="E1181" s="40"/>
      <c r="F1181" s="49" t="str">
        <f t="shared" ref="F1181:J1181" ca="1" si="1179">IFERROR(__xludf.DUMMYFUNCTION("if (A1181 &lt;&gt; """", GOOGLETRANSLATE(A1181, ""auto"", ""en""), """")"),"smalltalk.agent.age")</f>
        <v>smalltalk.agent.age</v>
      </c>
      <c r="G1181" s="49" t="str">
        <f t="shared" ca="1" si="1179"/>
        <v>smalltalk.agent.age</v>
      </c>
      <c r="H1181" s="49" t="str">
        <f t="shared" ca="1" si="1179"/>
        <v>smalltalk.agent.age</v>
      </c>
      <c r="I1181" s="49" t="str">
        <f t="shared" ca="1" si="1179"/>
        <v>smalltalk.agent.age</v>
      </c>
      <c r="J1181" s="49" t="str">
        <f t="shared" ca="1" si="1179"/>
        <v>smalltalk.agent.age</v>
      </c>
    </row>
    <row r="1182" spans="1:10" ht="12.75" x14ac:dyDescent="0.2">
      <c r="A1182" s="40"/>
      <c r="B1182" s="41" t="s">
        <v>398</v>
      </c>
      <c r="C1182" s="40"/>
      <c r="D1182" s="40"/>
      <c r="E1182" s="40"/>
      <c r="F1182" s="49" t="str">
        <f t="shared" ref="F1182:J1182" ca="1" si="1180">IFERROR(__xludf.DUMMYFUNCTION("if (A1182 &lt;&gt; """", GOOGLETRANSLATE(A1182, ""auto"", ""en""), """")"),"")</f>
        <v/>
      </c>
      <c r="G1182" s="49" t="str">
        <f t="shared" ca="1" si="1180"/>
        <v/>
      </c>
      <c r="H1182" s="49" t="str">
        <f t="shared" ca="1" si="1180"/>
        <v/>
      </c>
      <c r="I1182" s="49" t="str">
        <f t="shared" ca="1" si="1180"/>
        <v/>
      </c>
      <c r="J1182" s="49" t="str">
        <f t="shared" ca="1" si="1180"/>
        <v/>
      </c>
    </row>
    <row r="1183" spans="1:10" ht="12.75" x14ac:dyDescent="0.2">
      <c r="A1183" s="40"/>
      <c r="B1183" s="41" t="s">
        <v>399</v>
      </c>
      <c r="C1183" s="40"/>
      <c r="D1183" s="40"/>
      <c r="E1183" s="40"/>
      <c r="F1183" s="49" t="str">
        <f t="shared" ref="F1183:J1183" ca="1" si="1181">IFERROR(__xludf.DUMMYFUNCTION("if (A1183 &lt;&gt; """", GOOGLETRANSLATE(A1183, ""auto"", ""en""), """")"),"")</f>
        <v/>
      </c>
      <c r="G1183" s="49" t="str">
        <f t="shared" ca="1" si="1181"/>
        <v/>
      </c>
      <c r="H1183" s="49" t="str">
        <f t="shared" ca="1" si="1181"/>
        <v/>
      </c>
      <c r="I1183" s="49" t="str">
        <f t="shared" ca="1" si="1181"/>
        <v/>
      </c>
      <c r="J1183" s="49" t="str">
        <f t="shared" ca="1" si="1181"/>
        <v/>
      </c>
    </row>
    <row r="1184" spans="1:10" ht="12.75" x14ac:dyDescent="0.2">
      <c r="A1184" s="40"/>
      <c r="B1184" s="41" t="s">
        <v>400</v>
      </c>
      <c r="C1184" s="41" t="s">
        <v>860</v>
      </c>
      <c r="D1184" s="40"/>
      <c r="E1184" s="40"/>
      <c r="F1184" s="49" t="str">
        <f t="shared" ref="F1184:J1184" ca="1" si="1182">IFERROR(__xludf.DUMMYFUNCTION("if (A1184 &lt;&gt; """", GOOGLETRANSLATE(A1184, ""auto"", ""en""), """")"),"")</f>
        <v/>
      </c>
      <c r="G1184" s="49" t="str">
        <f t="shared" ca="1" si="1182"/>
        <v/>
      </c>
      <c r="H1184" s="49" t="str">
        <f t="shared" ca="1" si="1182"/>
        <v/>
      </c>
      <c r="I1184" s="49" t="str">
        <f t="shared" ca="1" si="1182"/>
        <v/>
      </c>
      <c r="J1184" s="49" t="str">
        <f t="shared" ca="1" si="1182"/>
        <v/>
      </c>
    </row>
    <row r="1185" spans="1:10" ht="12.75" x14ac:dyDescent="0.2">
      <c r="A1185" s="40"/>
      <c r="B1185" s="41" t="s">
        <v>401</v>
      </c>
      <c r="C1185" s="40"/>
      <c r="D1185" s="40"/>
      <c r="E1185" s="40"/>
      <c r="F1185" s="49" t="str">
        <f t="shared" ref="F1185:J1185" ca="1" si="1183">IFERROR(__xludf.DUMMYFUNCTION("if (A1185 &lt;&gt; """", GOOGLETRANSLATE(A1185, ""auto"", ""en""), """")"),"")</f>
        <v/>
      </c>
      <c r="G1185" s="49" t="str">
        <f t="shared" ca="1" si="1183"/>
        <v/>
      </c>
      <c r="H1185" s="49" t="str">
        <f t="shared" ca="1" si="1183"/>
        <v/>
      </c>
      <c r="I1185" s="49" t="str">
        <f t="shared" ca="1" si="1183"/>
        <v/>
      </c>
      <c r="J1185" s="49" t="str">
        <f t="shared" ca="1" si="1183"/>
        <v/>
      </c>
    </row>
    <row r="1186" spans="1:10" ht="25.5" x14ac:dyDescent="0.2">
      <c r="A1186" s="41" t="s">
        <v>63</v>
      </c>
      <c r="B1186" s="41" t="s">
        <v>402</v>
      </c>
      <c r="C1186" s="41" t="s">
        <v>809</v>
      </c>
      <c r="D1186" s="40"/>
      <c r="E1186" s="40"/>
      <c r="F1186" s="49" t="str">
        <f t="shared" ref="F1186:J1186" ca="1" si="1184">IFERROR(__xludf.DUMMYFUNCTION("if (A1186 &lt;&gt; """", GOOGLETRANSLATE(A1186, ""auto"", ""en""), """")"),"How old")</f>
        <v>How old</v>
      </c>
      <c r="G1186" s="49" t="str">
        <f t="shared" ca="1" si="1184"/>
        <v>How old</v>
      </c>
      <c r="H1186" s="49" t="str">
        <f t="shared" ca="1" si="1184"/>
        <v>How old</v>
      </c>
      <c r="I1186" s="49" t="str">
        <f t="shared" ca="1" si="1184"/>
        <v>How old</v>
      </c>
      <c r="J1186" s="49" t="str">
        <f t="shared" ca="1" si="1184"/>
        <v>How old</v>
      </c>
    </row>
    <row r="1187" spans="1:10" ht="12.75" x14ac:dyDescent="0.2">
      <c r="A1187" s="41" t="s">
        <v>861</v>
      </c>
      <c r="B1187" s="40"/>
      <c r="C1187" s="40"/>
      <c r="D1187" s="40"/>
      <c r="E1187" s="40"/>
      <c r="F1187" s="49" t="str">
        <f t="shared" ref="F1187:J1187" ca="1" si="1185">IFERROR(__xludf.DUMMYFUNCTION("if (A1187 &lt;&gt; """", GOOGLETRANSLATE(A1187, ""auto"", ""en""), """")"),"age")</f>
        <v>age</v>
      </c>
      <c r="G1187" s="49" t="str">
        <f t="shared" ca="1" si="1185"/>
        <v>age</v>
      </c>
      <c r="H1187" s="49" t="str">
        <f t="shared" ca="1" si="1185"/>
        <v>age</v>
      </c>
      <c r="I1187" s="49" t="str">
        <f t="shared" ca="1" si="1185"/>
        <v>age</v>
      </c>
      <c r="J1187" s="49" t="str">
        <f t="shared" ca="1" si="1185"/>
        <v>age</v>
      </c>
    </row>
    <row r="1188" spans="1:10" ht="12.75" x14ac:dyDescent="0.2">
      <c r="A1188" s="41" t="s">
        <v>54</v>
      </c>
      <c r="B1188" s="40"/>
      <c r="C1188" s="40"/>
      <c r="D1188" s="40"/>
      <c r="E1188" s="40"/>
      <c r="F1188" s="49" t="str">
        <f t="shared" ref="F1188:J1188" ca="1" si="1186">IFERROR(__xludf.DUMMYFUNCTION("if (A1188 &lt;&gt; """", GOOGLETRANSLATE(A1188, ""auto"", ""en""), """")"),"Age")</f>
        <v>Age</v>
      </c>
      <c r="G1188" s="49" t="str">
        <f t="shared" ca="1" si="1186"/>
        <v>Age</v>
      </c>
      <c r="H1188" s="49" t="str">
        <f t="shared" ca="1" si="1186"/>
        <v>Age</v>
      </c>
      <c r="I1188" s="49" t="str">
        <f t="shared" ca="1" si="1186"/>
        <v>Age</v>
      </c>
      <c r="J1188" s="49" t="str">
        <f t="shared" ca="1" si="1186"/>
        <v>Age</v>
      </c>
    </row>
    <row r="1189" spans="1:10" ht="25.5" x14ac:dyDescent="0.2">
      <c r="A1189" s="41" t="s">
        <v>862</v>
      </c>
      <c r="B1189" s="40"/>
      <c r="C1189" s="40"/>
      <c r="D1189" s="40"/>
      <c r="E1189" s="40"/>
      <c r="F1189" s="49" t="str">
        <f t="shared" ref="F1189:J1189" ca="1" si="1187">IFERROR(__xludf.DUMMYFUNCTION("if (A1189 &lt;&gt; """", GOOGLETRANSLATE(A1189, ""auto"", ""en""), """")"),"How old are you")</f>
        <v>How old are you</v>
      </c>
      <c r="G1189" s="49" t="str">
        <f t="shared" ca="1" si="1187"/>
        <v>How old are you</v>
      </c>
      <c r="H1189" s="49" t="str">
        <f t="shared" ca="1" si="1187"/>
        <v>How old are you</v>
      </c>
      <c r="I1189" s="49" t="str">
        <f t="shared" ca="1" si="1187"/>
        <v>How old are you</v>
      </c>
      <c r="J1189" s="49" t="str">
        <f t="shared" ca="1" si="1187"/>
        <v>How old are you</v>
      </c>
    </row>
    <row r="1190" spans="1:10" ht="12.75" x14ac:dyDescent="0.2">
      <c r="A1190" s="41" t="s">
        <v>863</v>
      </c>
      <c r="B1190" s="40"/>
      <c r="C1190" s="40"/>
      <c r="D1190" s="40"/>
      <c r="E1190" s="40"/>
      <c r="F1190" s="49" t="str">
        <f t="shared" ref="F1190:J1190" ca="1" si="1188">IFERROR(__xludf.DUMMYFUNCTION("if (A1190 &lt;&gt; """", GOOGLETRANSLATE(A1190, ""auto"", ""en""), """")"),"21-year-old Is")</f>
        <v>21-year-old Is</v>
      </c>
      <c r="G1190" s="49" t="str">
        <f t="shared" ca="1" si="1188"/>
        <v>21-year-old Is</v>
      </c>
      <c r="H1190" s="49" t="str">
        <f t="shared" ca="1" si="1188"/>
        <v>21-year-old Is</v>
      </c>
      <c r="I1190" s="49" t="str">
        <f t="shared" ca="1" si="1188"/>
        <v>21-year-old Is</v>
      </c>
      <c r="J1190" s="49" t="str">
        <f t="shared" ca="1" si="1188"/>
        <v>21-year-old Is</v>
      </c>
    </row>
    <row r="1191" spans="1:10" ht="12.75" x14ac:dyDescent="0.2">
      <c r="A1191" s="41" t="s">
        <v>864</v>
      </c>
      <c r="B1191" s="40"/>
      <c r="C1191" s="40"/>
      <c r="D1191" s="40"/>
      <c r="E1191" s="40"/>
      <c r="F1191" s="49" t="str">
        <f t="shared" ref="F1191:J1191" ca="1" si="1189">IFERROR(__xludf.DUMMYFUNCTION("if (A1191 &lt;&gt; """", GOOGLETRANSLATE(A1191, ""auto"", ""en""), """")"),"your age")</f>
        <v>your age</v>
      </c>
      <c r="G1191" s="49" t="str">
        <f t="shared" ca="1" si="1189"/>
        <v>your age</v>
      </c>
      <c r="H1191" s="49" t="str">
        <f t="shared" ca="1" si="1189"/>
        <v>your age</v>
      </c>
      <c r="I1191" s="49" t="str">
        <f t="shared" ca="1" si="1189"/>
        <v>your age</v>
      </c>
      <c r="J1191" s="49" t="str">
        <f t="shared" ca="1" si="1189"/>
        <v>your age</v>
      </c>
    </row>
    <row r="1192" spans="1:10" ht="25.5" x14ac:dyDescent="0.2">
      <c r="A1192" s="41" t="s">
        <v>49</v>
      </c>
      <c r="B1192" s="40"/>
      <c r="C1192" s="40"/>
      <c r="D1192" s="40"/>
      <c r="E1192" s="40"/>
      <c r="F1192" s="49" t="str">
        <f t="shared" ref="F1192:J1192" ca="1" si="1190">IFERROR(__xludf.DUMMYFUNCTION("if (A1192 &lt;&gt; """", GOOGLETRANSLATE(A1192, ""auto"", ""en""), """")"),"How old are you")</f>
        <v>How old are you</v>
      </c>
      <c r="G1192" s="49" t="str">
        <f t="shared" ca="1" si="1190"/>
        <v>How old are you</v>
      </c>
      <c r="H1192" s="49" t="str">
        <f t="shared" ca="1" si="1190"/>
        <v>How old are you</v>
      </c>
      <c r="I1192" s="49" t="str">
        <f t="shared" ca="1" si="1190"/>
        <v>How old are you</v>
      </c>
      <c r="J1192" s="49" t="str">
        <f t="shared" ca="1" si="1190"/>
        <v>How old are you</v>
      </c>
    </row>
    <row r="1193" spans="1:10" ht="25.5" x14ac:dyDescent="0.2">
      <c r="A1193" s="41" t="s">
        <v>865</v>
      </c>
      <c r="B1193" s="40"/>
      <c r="C1193" s="40"/>
      <c r="D1193" s="40"/>
      <c r="E1193" s="40"/>
      <c r="F1193" s="49" t="str">
        <f t="shared" ref="F1193:J1193" ca="1" si="1191">IFERROR(__xludf.DUMMYFUNCTION("if (A1193 &lt;&gt; """", GOOGLETRANSLATE(A1193, ""auto"", ""en""), """")"),"Please tell me the age")</f>
        <v>Please tell me the age</v>
      </c>
      <c r="G1193" s="49" t="str">
        <f t="shared" ca="1" si="1191"/>
        <v>Please tell me the age</v>
      </c>
      <c r="H1193" s="49" t="str">
        <f t="shared" ca="1" si="1191"/>
        <v>Please tell me the age</v>
      </c>
      <c r="I1193" s="49" t="str">
        <f t="shared" ca="1" si="1191"/>
        <v>Please tell me the age</v>
      </c>
      <c r="J1193" s="49" t="str">
        <f t="shared" ca="1" si="1191"/>
        <v>Please tell me the age</v>
      </c>
    </row>
    <row r="1194" spans="1:10" ht="25.5" x14ac:dyDescent="0.2">
      <c r="A1194" s="41" t="s">
        <v>866</v>
      </c>
      <c r="B1194" s="40"/>
      <c r="C1194" s="40"/>
      <c r="D1194" s="40"/>
      <c r="E1194" s="40"/>
      <c r="F1194" s="49" t="str">
        <f t="shared" ref="F1194:J1194" ca="1" si="1192">IFERROR(__xludf.DUMMYFUNCTION("if (A1194 &lt;&gt; """", GOOGLETRANSLATE(A1194, ""auto"", ""en""), """")"),"Can you tell me the age")</f>
        <v>Can you tell me the age</v>
      </c>
      <c r="G1194" s="49" t="str">
        <f t="shared" ca="1" si="1192"/>
        <v>Can you tell me the age</v>
      </c>
      <c r="H1194" s="49" t="str">
        <f t="shared" ca="1" si="1192"/>
        <v>Can you tell me the age</v>
      </c>
      <c r="I1194" s="49" t="str">
        <f t="shared" ca="1" si="1192"/>
        <v>Can you tell me the age</v>
      </c>
      <c r="J1194" s="49" t="str">
        <f t="shared" ca="1" si="1192"/>
        <v>Can you tell me the age</v>
      </c>
    </row>
    <row r="1195" spans="1:10" ht="12.75" x14ac:dyDescent="0.2">
      <c r="A1195" s="40"/>
      <c r="B1195" s="40"/>
      <c r="C1195" s="40"/>
      <c r="D1195" s="40"/>
      <c r="E1195" s="40"/>
      <c r="F1195" s="49" t="str">
        <f t="shared" ref="F1195:J1195" ca="1" si="1193">IFERROR(__xludf.DUMMYFUNCTION("if (A1195 &lt;&gt; """", GOOGLETRANSLATE(A1195, ""auto"", ""en""), """")"),"")</f>
        <v/>
      </c>
      <c r="G1195" s="49" t="str">
        <f t="shared" ca="1" si="1193"/>
        <v/>
      </c>
      <c r="H1195" s="49" t="str">
        <f t="shared" ca="1" si="1193"/>
        <v/>
      </c>
      <c r="I1195" s="49" t="str">
        <f t="shared" ca="1" si="1193"/>
        <v/>
      </c>
      <c r="J1195" s="49" t="str">
        <f t="shared" ca="1" si="1193"/>
        <v/>
      </c>
    </row>
    <row r="1196" spans="1:10" ht="25.5" x14ac:dyDescent="0.2">
      <c r="A1196" s="41" t="s">
        <v>867</v>
      </c>
      <c r="B1196" s="40"/>
      <c r="C1196" s="40"/>
      <c r="D1196" s="40"/>
      <c r="E1196" s="40"/>
      <c r="F1196" s="49" t="str">
        <f t="shared" ref="F1196:J1196" ca="1" si="1194">IFERROR(__xludf.DUMMYFUNCTION("if (A1196 &lt;&gt; """", GOOGLETRANSLATE(A1196, ""auto"", ""en""), """")"),"smalltalk.agent.annoying")</f>
        <v>smalltalk.agent.annoying</v>
      </c>
      <c r="G1196" s="49" t="str">
        <f t="shared" ca="1" si="1194"/>
        <v>smalltalk.agent.annoying</v>
      </c>
      <c r="H1196" s="49" t="str">
        <f t="shared" ca="1" si="1194"/>
        <v>smalltalk.agent.annoying</v>
      </c>
      <c r="I1196" s="49" t="str">
        <f t="shared" ca="1" si="1194"/>
        <v>smalltalk.agent.annoying</v>
      </c>
      <c r="J1196" s="49" t="str">
        <f t="shared" ca="1" si="1194"/>
        <v>smalltalk.agent.annoying</v>
      </c>
    </row>
    <row r="1197" spans="1:10" ht="12.75" x14ac:dyDescent="0.2">
      <c r="A1197" s="40"/>
      <c r="B1197" s="41" t="s">
        <v>398</v>
      </c>
      <c r="C1197" s="40"/>
      <c r="D1197" s="40"/>
      <c r="E1197" s="40"/>
      <c r="F1197" s="49" t="str">
        <f t="shared" ref="F1197:J1197" ca="1" si="1195">IFERROR(__xludf.DUMMYFUNCTION("if (A1197 &lt;&gt; """", GOOGLETRANSLATE(A1197, ""auto"", ""en""), """")"),"")</f>
        <v/>
      </c>
      <c r="G1197" s="49" t="str">
        <f t="shared" ca="1" si="1195"/>
        <v/>
      </c>
      <c r="H1197" s="49" t="str">
        <f t="shared" ca="1" si="1195"/>
        <v/>
      </c>
      <c r="I1197" s="49" t="str">
        <f t="shared" ca="1" si="1195"/>
        <v/>
      </c>
      <c r="J1197" s="49" t="str">
        <f t="shared" ca="1" si="1195"/>
        <v/>
      </c>
    </row>
    <row r="1198" spans="1:10" ht="12.75" x14ac:dyDescent="0.2">
      <c r="A1198" s="40"/>
      <c r="B1198" s="41" t="s">
        <v>399</v>
      </c>
      <c r="C1198" s="40"/>
      <c r="D1198" s="40"/>
      <c r="E1198" s="40"/>
      <c r="F1198" s="49" t="str">
        <f t="shared" ref="F1198:J1198" ca="1" si="1196">IFERROR(__xludf.DUMMYFUNCTION("if (A1198 &lt;&gt; """", GOOGLETRANSLATE(A1198, ""auto"", ""en""), """")"),"")</f>
        <v/>
      </c>
      <c r="G1198" s="49" t="str">
        <f t="shared" ca="1" si="1196"/>
        <v/>
      </c>
      <c r="H1198" s="49" t="str">
        <f t="shared" ca="1" si="1196"/>
        <v/>
      </c>
      <c r="I1198" s="49" t="str">
        <f t="shared" ca="1" si="1196"/>
        <v/>
      </c>
      <c r="J1198" s="49" t="str">
        <f t="shared" ca="1" si="1196"/>
        <v/>
      </c>
    </row>
    <row r="1199" spans="1:10" ht="12.75" x14ac:dyDescent="0.2">
      <c r="A1199" s="40"/>
      <c r="B1199" s="41" t="s">
        <v>400</v>
      </c>
      <c r="C1199" s="41" t="s">
        <v>867</v>
      </c>
      <c r="D1199" s="40"/>
      <c r="E1199" s="40"/>
      <c r="F1199" s="49" t="str">
        <f t="shared" ref="F1199:J1199" ca="1" si="1197">IFERROR(__xludf.DUMMYFUNCTION("if (A1199 &lt;&gt; """", GOOGLETRANSLATE(A1199, ""auto"", ""en""), """")"),"")</f>
        <v/>
      </c>
      <c r="G1199" s="49" t="str">
        <f t="shared" ca="1" si="1197"/>
        <v/>
      </c>
      <c r="H1199" s="49" t="str">
        <f t="shared" ca="1" si="1197"/>
        <v/>
      </c>
      <c r="I1199" s="49" t="str">
        <f t="shared" ca="1" si="1197"/>
        <v/>
      </c>
      <c r="J1199" s="49" t="str">
        <f t="shared" ca="1" si="1197"/>
        <v/>
      </c>
    </row>
    <row r="1200" spans="1:10" ht="12.75" x14ac:dyDescent="0.2">
      <c r="A1200" s="40"/>
      <c r="B1200" s="41" t="s">
        <v>401</v>
      </c>
      <c r="C1200" s="40"/>
      <c r="D1200" s="40"/>
      <c r="E1200" s="40"/>
      <c r="F1200" s="49" t="str">
        <f t="shared" ref="F1200:J1200" ca="1" si="1198">IFERROR(__xludf.DUMMYFUNCTION("if (A1200 &lt;&gt; """", GOOGLETRANSLATE(A1200, ""auto"", ""en""), """")"),"")</f>
        <v/>
      </c>
      <c r="G1200" s="49" t="str">
        <f t="shared" ca="1" si="1198"/>
        <v/>
      </c>
      <c r="H1200" s="49" t="str">
        <f t="shared" ca="1" si="1198"/>
        <v/>
      </c>
      <c r="I1200" s="49" t="str">
        <f t="shared" ca="1" si="1198"/>
        <v/>
      </c>
      <c r="J1200" s="49" t="str">
        <f t="shared" ca="1" si="1198"/>
        <v/>
      </c>
    </row>
    <row r="1201" spans="1:10" ht="38.25" x14ac:dyDescent="0.2">
      <c r="A1201" s="41" t="s">
        <v>868</v>
      </c>
      <c r="B1201" s="41" t="s">
        <v>402</v>
      </c>
      <c r="C1201" s="41" t="s">
        <v>869</v>
      </c>
      <c r="D1201" s="40"/>
      <c r="E1201" s="40"/>
      <c r="F1201" s="49" t="str">
        <f t="shared" ref="F1201:J1201" ca="1" si="1199">IFERROR(__xludf.DUMMYFUNCTION("if (A1201 &lt;&gt; """", GOOGLETRANSLATE(A1201, ""auto"", ""en""), """")"),"It is annoying")</f>
        <v>It is annoying</v>
      </c>
      <c r="G1201" s="49" t="str">
        <f t="shared" ca="1" si="1199"/>
        <v>It is annoying</v>
      </c>
      <c r="H1201" s="49" t="str">
        <f t="shared" ca="1" si="1199"/>
        <v>It is annoying</v>
      </c>
      <c r="I1201" s="49" t="str">
        <f t="shared" ca="1" si="1199"/>
        <v>It is annoying</v>
      </c>
      <c r="J1201" s="49" t="str">
        <f t="shared" ca="1" si="1199"/>
        <v>It is annoying</v>
      </c>
    </row>
    <row r="1202" spans="1:10" ht="12.75" x14ac:dyDescent="0.2">
      <c r="A1202" s="41" t="s">
        <v>870</v>
      </c>
      <c r="B1202" s="40"/>
      <c r="C1202" s="40"/>
      <c r="D1202" s="40"/>
      <c r="E1202" s="40"/>
      <c r="F1202" s="49" t="str">
        <f t="shared" ref="F1202:J1202" ca="1" si="1200">IFERROR(__xludf.DUMMYFUNCTION("if (A1202 &lt;&gt; """", GOOGLETRANSLATE(A1202, ""auto"", ""en""), """")"),"You troubled")</f>
        <v>You troubled</v>
      </c>
      <c r="G1202" s="49" t="str">
        <f t="shared" ca="1" si="1200"/>
        <v>You troubled</v>
      </c>
      <c r="H1202" s="49" t="str">
        <f t="shared" ca="1" si="1200"/>
        <v>You troubled</v>
      </c>
      <c r="I1202" s="49" t="str">
        <f t="shared" ca="1" si="1200"/>
        <v>You troubled</v>
      </c>
      <c r="J1202" s="49" t="str">
        <f t="shared" ca="1" si="1200"/>
        <v>You troubled</v>
      </c>
    </row>
    <row r="1203" spans="1:10" ht="25.5" x14ac:dyDescent="0.2">
      <c r="A1203" s="41" t="s">
        <v>871</v>
      </c>
      <c r="B1203" s="40"/>
      <c r="C1203" s="40"/>
      <c r="D1203" s="40"/>
      <c r="E1203" s="40"/>
      <c r="F1203" s="49" t="str">
        <f t="shared" ref="F1203:J1203" ca="1" si="1201">IFERROR(__xludf.DUMMYFUNCTION("if (A1203 &lt;&gt; """", GOOGLETRANSLATE(A1203, ""auto"", ""en""), """")"),"It is very annoying")</f>
        <v>It is very annoying</v>
      </c>
      <c r="G1203" s="49" t="str">
        <f t="shared" ca="1" si="1201"/>
        <v>It is very annoying</v>
      </c>
      <c r="H1203" s="49" t="str">
        <f t="shared" ca="1" si="1201"/>
        <v>It is very annoying</v>
      </c>
      <c r="I1203" s="49" t="str">
        <f t="shared" ca="1" si="1201"/>
        <v>It is very annoying</v>
      </c>
      <c r="J1203" s="49" t="str">
        <f t="shared" ca="1" si="1201"/>
        <v>It is very annoying</v>
      </c>
    </row>
    <row r="1204" spans="1:10" ht="12.75" x14ac:dyDescent="0.2">
      <c r="A1204" s="41" t="s">
        <v>872</v>
      </c>
      <c r="B1204" s="40"/>
      <c r="C1204" s="40"/>
      <c r="D1204" s="40"/>
      <c r="E1204" s="40"/>
      <c r="F1204" s="49" t="str">
        <f t="shared" ref="F1204:J1204" ca="1" si="1202">IFERROR(__xludf.DUMMYFUNCTION("if (A1204 &lt;&gt; """", GOOGLETRANSLATE(A1204, ""auto"", ""en""), """")"),"in trouble")</f>
        <v>in trouble</v>
      </c>
      <c r="G1204" s="49" t="str">
        <f t="shared" ca="1" si="1202"/>
        <v>in trouble</v>
      </c>
      <c r="H1204" s="49" t="str">
        <f t="shared" ca="1" si="1202"/>
        <v>in trouble</v>
      </c>
      <c r="I1204" s="49" t="str">
        <f t="shared" ca="1" si="1202"/>
        <v>in trouble</v>
      </c>
      <c r="J1204" s="49" t="str">
        <f t="shared" ca="1" si="1202"/>
        <v>in trouble</v>
      </c>
    </row>
    <row r="1205" spans="1:10" ht="25.5" x14ac:dyDescent="0.2">
      <c r="A1205" s="41" t="s">
        <v>873</v>
      </c>
      <c r="B1205" s="40"/>
      <c r="C1205" s="40"/>
      <c r="D1205" s="40"/>
      <c r="E1205" s="40"/>
      <c r="F1205" s="49" t="str">
        <f t="shared" ref="F1205:J1205" ca="1" si="1203">IFERROR(__xludf.DUMMYFUNCTION("if (A1205 &lt;&gt; """", GOOGLETRANSLATE(A1205, ""auto"", ""en""), """")"),"I think that it is annoying")</f>
        <v>I think that it is annoying</v>
      </c>
      <c r="G1205" s="49" t="str">
        <f t="shared" ca="1" si="1203"/>
        <v>I think that it is annoying</v>
      </c>
      <c r="H1205" s="49" t="str">
        <f t="shared" ca="1" si="1203"/>
        <v>I think that it is annoying</v>
      </c>
      <c r="I1205" s="49" t="str">
        <f t="shared" ca="1" si="1203"/>
        <v>I think that it is annoying</v>
      </c>
      <c r="J1205" s="49" t="str">
        <f t="shared" ca="1" si="1203"/>
        <v>I think that it is annoying</v>
      </c>
    </row>
    <row r="1206" spans="1:10" ht="25.5" x14ac:dyDescent="0.2">
      <c r="A1206" s="41" t="s">
        <v>874</v>
      </c>
      <c r="B1206" s="40"/>
      <c r="C1206" s="40"/>
      <c r="D1206" s="40"/>
      <c r="E1206" s="40"/>
      <c r="F1206" s="49" t="str">
        <f t="shared" ref="F1206:J1206" ca="1" si="1204">IFERROR(__xludf.DUMMYFUNCTION("if (A1206 &lt;&gt; """", GOOGLETRANSLATE(A1206, ""auto"", ""en""), """")"),"I terribly insistent")</f>
        <v>I terribly insistent</v>
      </c>
      <c r="G1206" s="49" t="str">
        <f t="shared" ca="1" si="1204"/>
        <v>I terribly insistent</v>
      </c>
      <c r="H1206" s="49" t="str">
        <f t="shared" ca="1" si="1204"/>
        <v>I terribly insistent</v>
      </c>
      <c r="I1206" s="49" t="str">
        <f t="shared" ca="1" si="1204"/>
        <v>I terribly insistent</v>
      </c>
      <c r="J1206" s="49" t="str">
        <f t="shared" ca="1" si="1204"/>
        <v>I terribly insistent</v>
      </c>
    </row>
    <row r="1207" spans="1:10" ht="25.5" x14ac:dyDescent="0.2">
      <c r="A1207" s="41" t="s">
        <v>875</v>
      </c>
      <c r="B1207" s="40"/>
      <c r="C1207" s="40"/>
      <c r="D1207" s="40"/>
      <c r="E1207" s="40"/>
      <c r="F1207" s="49" t="str">
        <f t="shared" ref="F1207:J1207" ca="1" si="1205">IFERROR(__xludf.DUMMYFUNCTION("if (A1207 &lt;&gt; """", GOOGLETRANSLATE(A1207, ""auto"", ""en""), """")"),"It is very insistent")</f>
        <v>It is very insistent</v>
      </c>
      <c r="G1207" s="49" t="str">
        <f t="shared" ca="1" si="1205"/>
        <v>It is very insistent</v>
      </c>
      <c r="H1207" s="49" t="str">
        <f t="shared" ca="1" si="1205"/>
        <v>It is very insistent</v>
      </c>
      <c r="I1207" s="49" t="str">
        <f t="shared" ca="1" si="1205"/>
        <v>It is very insistent</v>
      </c>
      <c r="J1207" s="49" t="str">
        <f t="shared" ca="1" si="1205"/>
        <v>It is very insistent</v>
      </c>
    </row>
    <row r="1208" spans="1:10" ht="25.5" x14ac:dyDescent="0.2">
      <c r="A1208" s="41" t="s">
        <v>876</v>
      </c>
      <c r="B1208" s="40"/>
      <c r="C1208" s="40"/>
      <c r="D1208" s="40"/>
      <c r="E1208" s="40"/>
      <c r="F1208" s="49" t="str">
        <f t="shared" ref="F1208:J1208" ca="1" si="1206">IFERROR(__xludf.DUMMYFUNCTION("if (A1208 &lt;&gt; """", GOOGLETRANSLATE(A1208, ""auto"", ""en""), """")"),"It is really annoying")</f>
        <v>It is really annoying</v>
      </c>
      <c r="G1208" s="49" t="str">
        <f t="shared" ca="1" si="1206"/>
        <v>It is really annoying</v>
      </c>
      <c r="H1208" s="49" t="str">
        <f t="shared" ca="1" si="1206"/>
        <v>It is really annoying</v>
      </c>
      <c r="I1208" s="49" t="str">
        <f t="shared" ca="1" si="1206"/>
        <v>It is really annoying</v>
      </c>
      <c r="J1208" s="49" t="str">
        <f t="shared" ca="1" si="1206"/>
        <v>It is really annoying</v>
      </c>
    </row>
    <row r="1209" spans="1:10" ht="25.5" x14ac:dyDescent="0.2">
      <c r="A1209" s="41" t="s">
        <v>877</v>
      </c>
      <c r="B1209" s="40"/>
      <c r="C1209" s="40"/>
      <c r="D1209" s="40"/>
      <c r="E1209" s="40"/>
      <c r="F1209" s="49" t="str">
        <f t="shared" ref="F1209:J1209" ca="1" si="1207">IFERROR(__xludf.DUMMYFUNCTION("if (A1209 &lt;&gt; """", GOOGLETRANSLATE(A1209, ""auto"", ""en""), """")"),"To you frustrated")</f>
        <v>To you frustrated</v>
      </c>
      <c r="G1209" s="49" t="str">
        <f t="shared" ca="1" si="1207"/>
        <v>To you frustrated</v>
      </c>
      <c r="H1209" s="49" t="str">
        <f t="shared" ca="1" si="1207"/>
        <v>To you frustrated</v>
      </c>
      <c r="I1209" s="49" t="str">
        <f t="shared" ca="1" si="1207"/>
        <v>To you frustrated</v>
      </c>
      <c r="J1209" s="49" t="str">
        <f t="shared" ca="1" si="1207"/>
        <v>To you frustrated</v>
      </c>
    </row>
    <row r="1210" spans="1:10" ht="25.5" x14ac:dyDescent="0.2">
      <c r="A1210" s="41" t="s">
        <v>878</v>
      </c>
      <c r="B1210" s="40"/>
      <c r="C1210" s="40"/>
      <c r="D1210" s="40"/>
      <c r="E1210" s="40"/>
      <c r="F1210" s="49" t="str">
        <f t="shared" ref="F1210:J1210" ca="1" si="1208">IFERROR(__xludf.DUMMYFUNCTION("if (A1210 &lt;&gt; """", GOOGLETRANSLATE(A1210, ""auto"", ""en""), """")"),"You will very frustrating")</f>
        <v>You will very frustrating</v>
      </c>
      <c r="G1210" s="49" t="str">
        <f t="shared" ca="1" si="1208"/>
        <v>You will very frustrating</v>
      </c>
      <c r="H1210" s="49" t="str">
        <f t="shared" ca="1" si="1208"/>
        <v>You will very frustrating</v>
      </c>
      <c r="I1210" s="49" t="str">
        <f t="shared" ca="1" si="1208"/>
        <v>You will very frustrating</v>
      </c>
      <c r="J1210" s="49" t="str">
        <f t="shared" ca="1" si="1208"/>
        <v>You will very frustrating</v>
      </c>
    </row>
    <row r="1211" spans="1:10" ht="12.75" x14ac:dyDescent="0.2">
      <c r="A1211" s="40"/>
      <c r="B1211" s="40"/>
      <c r="C1211" s="40"/>
      <c r="D1211" s="40"/>
      <c r="E1211" s="40"/>
      <c r="F1211" s="49" t="str">
        <f t="shared" ref="F1211:J1211" ca="1" si="1209">IFERROR(__xludf.DUMMYFUNCTION("if (A1211 &lt;&gt; """", GOOGLETRANSLATE(A1211, ""auto"", ""en""), """")"),"")</f>
        <v/>
      </c>
      <c r="G1211" s="49" t="str">
        <f t="shared" ca="1" si="1209"/>
        <v/>
      </c>
      <c r="H1211" s="49" t="str">
        <f t="shared" ca="1" si="1209"/>
        <v/>
      </c>
      <c r="I1211" s="49" t="str">
        <f t="shared" ca="1" si="1209"/>
        <v/>
      </c>
      <c r="J1211" s="49" t="str">
        <f t="shared" ca="1" si="1209"/>
        <v/>
      </c>
    </row>
    <row r="1212" spans="1:10" ht="38.25" x14ac:dyDescent="0.2">
      <c r="A1212" s="41" t="s">
        <v>880</v>
      </c>
      <c r="B1212" s="40"/>
      <c r="C1212" s="40"/>
      <c r="D1212" s="40"/>
      <c r="E1212" s="40"/>
      <c r="F1212" s="49" t="str">
        <f t="shared" ref="F1212:J1212" ca="1" si="1210">IFERROR(__xludf.DUMMYFUNCTION("if (A1212 &lt;&gt; """", GOOGLETRANSLATE(A1212, ""auto"", ""en""), """")"),"smalltalk.agent.answer_my_question")</f>
        <v>smalltalk.agent.answer_my_question</v>
      </c>
      <c r="G1212" s="49" t="str">
        <f t="shared" ca="1" si="1210"/>
        <v>smalltalk.agent.answer_my_question</v>
      </c>
      <c r="H1212" s="49" t="str">
        <f t="shared" ca="1" si="1210"/>
        <v>smalltalk.agent.answer_my_question</v>
      </c>
      <c r="I1212" s="49" t="str">
        <f t="shared" ca="1" si="1210"/>
        <v>smalltalk.agent.answer_my_question</v>
      </c>
      <c r="J1212" s="49" t="str">
        <f t="shared" ca="1" si="1210"/>
        <v>smalltalk.agent.answer_my_question</v>
      </c>
    </row>
    <row r="1213" spans="1:10" ht="12.75" x14ac:dyDescent="0.2">
      <c r="A1213" s="40"/>
      <c r="B1213" s="41" t="s">
        <v>398</v>
      </c>
      <c r="C1213" s="40"/>
      <c r="D1213" s="40"/>
      <c r="E1213" s="40"/>
      <c r="F1213" s="49" t="str">
        <f t="shared" ref="F1213:J1213" ca="1" si="1211">IFERROR(__xludf.DUMMYFUNCTION("if (A1213 &lt;&gt; """", GOOGLETRANSLATE(A1213, ""auto"", ""en""), """")"),"")</f>
        <v/>
      </c>
      <c r="G1213" s="49" t="str">
        <f t="shared" ca="1" si="1211"/>
        <v/>
      </c>
      <c r="H1213" s="49" t="str">
        <f t="shared" ca="1" si="1211"/>
        <v/>
      </c>
      <c r="I1213" s="49" t="str">
        <f t="shared" ca="1" si="1211"/>
        <v/>
      </c>
      <c r="J1213" s="49" t="str">
        <f t="shared" ca="1" si="1211"/>
        <v/>
      </c>
    </row>
    <row r="1214" spans="1:10" ht="12.75" x14ac:dyDescent="0.2">
      <c r="A1214" s="40"/>
      <c r="B1214" s="41" t="s">
        <v>399</v>
      </c>
      <c r="C1214" s="40"/>
      <c r="D1214" s="40"/>
      <c r="E1214" s="40"/>
      <c r="F1214" s="49" t="str">
        <f t="shared" ref="F1214:J1214" ca="1" si="1212">IFERROR(__xludf.DUMMYFUNCTION("if (A1214 &lt;&gt; """", GOOGLETRANSLATE(A1214, ""auto"", ""en""), """")"),"")</f>
        <v/>
      </c>
      <c r="G1214" s="49" t="str">
        <f t="shared" ca="1" si="1212"/>
        <v/>
      </c>
      <c r="H1214" s="49" t="str">
        <f t="shared" ca="1" si="1212"/>
        <v/>
      </c>
      <c r="I1214" s="49" t="str">
        <f t="shared" ca="1" si="1212"/>
        <v/>
      </c>
      <c r="J1214" s="49" t="str">
        <f t="shared" ca="1" si="1212"/>
        <v/>
      </c>
    </row>
    <row r="1215" spans="1:10" ht="12.75" x14ac:dyDescent="0.2">
      <c r="A1215" s="40"/>
      <c r="B1215" s="41" t="s">
        <v>400</v>
      </c>
      <c r="C1215" s="41" t="s">
        <v>880</v>
      </c>
      <c r="D1215" s="40"/>
      <c r="E1215" s="40"/>
      <c r="F1215" s="49" t="str">
        <f t="shared" ref="F1215:J1215" ca="1" si="1213">IFERROR(__xludf.DUMMYFUNCTION("if (A1215 &lt;&gt; """", GOOGLETRANSLATE(A1215, ""auto"", ""en""), """")"),"")</f>
        <v/>
      </c>
      <c r="G1215" s="49" t="str">
        <f t="shared" ca="1" si="1213"/>
        <v/>
      </c>
      <c r="H1215" s="49" t="str">
        <f t="shared" ca="1" si="1213"/>
        <v/>
      </c>
      <c r="I1215" s="49" t="str">
        <f t="shared" ca="1" si="1213"/>
        <v/>
      </c>
      <c r="J1215" s="49" t="str">
        <f t="shared" ca="1" si="1213"/>
        <v/>
      </c>
    </row>
    <row r="1216" spans="1:10" ht="12.75" x14ac:dyDescent="0.2">
      <c r="A1216" s="40"/>
      <c r="B1216" s="41" t="s">
        <v>401</v>
      </c>
      <c r="C1216" s="40"/>
      <c r="D1216" s="40"/>
      <c r="E1216" s="40"/>
      <c r="F1216" s="49" t="str">
        <f t="shared" ref="F1216:J1216" ca="1" si="1214">IFERROR(__xludf.DUMMYFUNCTION("if (A1216 &lt;&gt; """", GOOGLETRANSLATE(A1216, ""auto"", ""en""), """")"),"")</f>
        <v/>
      </c>
      <c r="G1216" s="49" t="str">
        <f t="shared" ca="1" si="1214"/>
        <v/>
      </c>
      <c r="H1216" s="49" t="str">
        <f t="shared" ca="1" si="1214"/>
        <v/>
      </c>
      <c r="I1216" s="49" t="str">
        <f t="shared" ca="1" si="1214"/>
        <v/>
      </c>
      <c r="J1216" s="49" t="str">
        <f t="shared" ca="1" si="1214"/>
        <v/>
      </c>
    </row>
    <row r="1217" spans="1:10" ht="25.5" x14ac:dyDescent="0.2">
      <c r="A1217" s="41" t="s">
        <v>881</v>
      </c>
      <c r="B1217" s="41" t="s">
        <v>402</v>
      </c>
      <c r="C1217" s="41" t="s">
        <v>882</v>
      </c>
      <c r="D1217" s="40"/>
      <c r="E1217" s="40"/>
      <c r="F1217" s="49" t="str">
        <f t="shared" ref="F1217:J1217" ca="1" si="1215">IFERROR(__xludf.DUMMYFUNCTION("if (A1217 &lt;&gt; """", GOOGLETRANSLATE(A1217, ""auto"", ""en""), """")"),"Please answer")</f>
        <v>Please answer</v>
      </c>
      <c r="G1217" s="49" t="str">
        <f t="shared" ca="1" si="1215"/>
        <v>Please answer</v>
      </c>
      <c r="H1217" s="49" t="str">
        <f t="shared" ca="1" si="1215"/>
        <v>Please answer</v>
      </c>
      <c r="I1217" s="49" t="str">
        <f t="shared" ca="1" si="1215"/>
        <v>Please answer</v>
      </c>
      <c r="J1217" s="49" t="str">
        <f t="shared" ca="1" si="1215"/>
        <v>Please answer</v>
      </c>
    </row>
    <row r="1218" spans="1:10" ht="12.75" x14ac:dyDescent="0.2">
      <c r="A1218" s="41" t="s">
        <v>883</v>
      </c>
      <c r="B1218" s="40"/>
      <c r="C1218" s="40"/>
      <c r="D1218" s="40"/>
      <c r="E1218" s="40"/>
      <c r="F1218" s="49" t="str">
        <f t="shared" ref="F1218:J1218" ca="1" si="1216">IFERROR(__xludf.DUMMYFUNCTION("if (A1218 &lt;&gt; """", GOOGLETRANSLATE(A1218, ""auto"", ""en""), """")"),"Answer me")</f>
        <v>Answer me</v>
      </c>
      <c r="G1218" s="49" t="str">
        <f t="shared" ca="1" si="1216"/>
        <v>Answer me</v>
      </c>
      <c r="H1218" s="49" t="str">
        <f t="shared" ca="1" si="1216"/>
        <v>Answer me</v>
      </c>
      <c r="I1218" s="49" t="str">
        <f t="shared" ca="1" si="1216"/>
        <v>Answer me</v>
      </c>
      <c r="J1218" s="49" t="str">
        <f t="shared" ca="1" si="1216"/>
        <v>Answer me</v>
      </c>
    </row>
    <row r="1219" spans="1:10" ht="12.75" x14ac:dyDescent="0.2">
      <c r="A1219" s="41" t="s">
        <v>884</v>
      </c>
      <c r="B1219" s="40"/>
      <c r="C1219" s="40"/>
      <c r="D1219" s="40"/>
      <c r="E1219" s="40"/>
      <c r="F1219" s="49" t="str">
        <f t="shared" ref="F1219:J1219" ca="1" si="1217">IFERROR(__xludf.DUMMYFUNCTION("if (A1219 &lt;&gt; """", GOOGLETRANSLATE(A1219, ""auto"", ""en""), """")"),"Answer me")</f>
        <v>Answer me</v>
      </c>
      <c r="G1219" s="49" t="str">
        <f t="shared" ca="1" si="1217"/>
        <v>Answer me</v>
      </c>
      <c r="H1219" s="49" t="str">
        <f t="shared" ca="1" si="1217"/>
        <v>Answer me</v>
      </c>
      <c r="I1219" s="49" t="str">
        <f t="shared" ca="1" si="1217"/>
        <v>Answer me</v>
      </c>
      <c r="J1219" s="49" t="str">
        <f t="shared" ca="1" si="1217"/>
        <v>Answer me</v>
      </c>
    </row>
    <row r="1220" spans="1:10" ht="25.5" x14ac:dyDescent="0.2">
      <c r="A1220" s="41" t="s">
        <v>885</v>
      </c>
      <c r="B1220" s="40"/>
      <c r="C1220" s="40"/>
      <c r="D1220" s="40"/>
      <c r="E1220" s="40"/>
      <c r="F1220" s="49" t="str">
        <f t="shared" ref="F1220:J1220" ca="1" si="1218">IFERROR(__xludf.DUMMYFUNCTION("if (A1220 &lt;&gt; """", GOOGLETRANSLATE(A1220, ""auto"", ""en""), """")"),"In answer to questions")</f>
        <v>In answer to questions</v>
      </c>
      <c r="G1220" s="49" t="str">
        <f t="shared" ca="1" si="1218"/>
        <v>In answer to questions</v>
      </c>
      <c r="H1220" s="49" t="str">
        <f t="shared" ca="1" si="1218"/>
        <v>In answer to questions</v>
      </c>
      <c r="I1220" s="49" t="str">
        <f t="shared" ca="1" si="1218"/>
        <v>In answer to questions</v>
      </c>
      <c r="J1220" s="49" t="str">
        <f t="shared" ca="1" si="1218"/>
        <v>In answer to questions</v>
      </c>
    </row>
    <row r="1221" spans="1:10" ht="25.5" x14ac:dyDescent="0.2">
      <c r="A1221" s="41" t="s">
        <v>886</v>
      </c>
      <c r="B1221" s="40"/>
      <c r="C1221" s="40"/>
      <c r="D1221" s="40"/>
      <c r="E1221" s="40"/>
      <c r="F1221" s="49" t="str">
        <f t="shared" ref="F1221:J1221" ca="1" si="1219">IFERROR(__xludf.DUMMYFUNCTION("if (A1221 &lt;&gt; """", GOOGLETRANSLATE(A1221, ""auto"", ""en""), """")"),"Answer please")</f>
        <v>Answer please</v>
      </c>
      <c r="G1221" s="49" t="str">
        <f t="shared" ca="1" si="1219"/>
        <v>Answer please</v>
      </c>
      <c r="H1221" s="49" t="str">
        <f t="shared" ca="1" si="1219"/>
        <v>Answer please</v>
      </c>
      <c r="I1221" s="49" t="str">
        <f t="shared" ca="1" si="1219"/>
        <v>Answer please</v>
      </c>
      <c r="J1221" s="49" t="str">
        <f t="shared" ca="1" si="1219"/>
        <v>Answer please</v>
      </c>
    </row>
    <row r="1222" spans="1:10" ht="25.5" x14ac:dyDescent="0.2">
      <c r="A1222" s="41" t="s">
        <v>887</v>
      </c>
      <c r="B1222" s="40"/>
      <c r="C1222" s="40"/>
      <c r="D1222" s="40"/>
      <c r="E1222" s="40"/>
      <c r="F1222" s="49" t="str">
        <f t="shared" ref="F1222:J1222" ca="1" si="1220">IFERROR(__xludf.DUMMYFUNCTION("if (A1222 &lt;&gt; """", GOOGLETRANSLATE(A1222, ""auto"", ""en""), """")"),"Answer the questions")</f>
        <v>Answer the questions</v>
      </c>
      <c r="G1222" s="49" t="str">
        <f t="shared" ca="1" si="1220"/>
        <v>Answer the questions</v>
      </c>
      <c r="H1222" s="49" t="str">
        <f t="shared" ca="1" si="1220"/>
        <v>Answer the questions</v>
      </c>
      <c r="I1222" s="49" t="str">
        <f t="shared" ca="1" si="1220"/>
        <v>Answer the questions</v>
      </c>
      <c r="J1222" s="49" t="str">
        <f t="shared" ca="1" si="1220"/>
        <v>Answer the questions</v>
      </c>
    </row>
    <row r="1223" spans="1:10" ht="38.25" x14ac:dyDescent="0.2">
      <c r="A1223" s="41" t="s">
        <v>888</v>
      </c>
      <c r="B1223" s="40"/>
      <c r="C1223" s="40"/>
      <c r="D1223" s="40"/>
      <c r="E1223" s="40"/>
      <c r="F1223" s="49" t="str">
        <f t="shared" ref="F1223:J1223" ca="1" si="1221">IFERROR(__xludf.DUMMYFUNCTION("if (A1223 &lt;&gt; """", GOOGLETRANSLATE(A1223, ""auto"", ""en""), """")"),"Please answer the question")</f>
        <v>Please answer the question</v>
      </c>
      <c r="G1223" s="49" t="str">
        <f t="shared" ca="1" si="1221"/>
        <v>Please answer the question</v>
      </c>
      <c r="H1223" s="49" t="str">
        <f t="shared" ca="1" si="1221"/>
        <v>Please answer the question</v>
      </c>
      <c r="I1223" s="49" t="str">
        <f t="shared" ca="1" si="1221"/>
        <v>Please answer the question</v>
      </c>
      <c r="J1223" s="49" t="str">
        <f t="shared" ca="1" si="1221"/>
        <v>Please answer the question</v>
      </c>
    </row>
    <row r="1224" spans="1:10" ht="38.25" x14ac:dyDescent="0.2">
      <c r="A1224" s="41" t="s">
        <v>889</v>
      </c>
      <c r="B1224" s="40"/>
      <c r="C1224" s="40"/>
      <c r="D1224" s="40"/>
      <c r="E1224" s="40"/>
      <c r="F1224" s="49" t="str">
        <f t="shared" ref="F1224:J1224" ca="1" si="1222">IFERROR(__xludf.DUMMYFUNCTION("if (A1224 &lt;&gt; """", GOOGLETRANSLATE(A1224, ""auto"", ""en""), """")"),"Can you answer the question")</f>
        <v>Can you answer the question</v>
      </c>
      <c r="G1224" s="49" t="str">
        <f t="shared" ca="1" si="1222"/>
        <v>Can you answer the question</v>
      </c>
      <c r="H1224" s="49" t="str">
        <f t="shared" ca="1" si="1222"/>
        <v>Can you answer the question</v>
      </c>
      <c r="I1224" s="49" t="str">
        <f t="shared" ca="1" si="1222"/>
        <v>Can you answer the question</v>
      </c>
      <c r="J1224" s="49" t="str">
        <f t="shared" ca="1" si="1222"/>
        <v>Can you answer the question</v>
      </c>
    </row>
    <row r="1225" spans="1:10" ht="38.25" x14ac:dyDescent="0.2">
      <c r="A1225" s="41" t="s">
        <v>890</v>
      </c>
      <c r="B1225" s="40"/>
      <c r="C1225" s="40"/>
      <c r="D1225" s="40"/>
      <c r="E1225" s="40"/>
      <c r="F1225" s="49" t="str">
        <f t="shared" ref="F1225:J1225" ca="1" si="1223">IFERROR(__xludf.DUMMYFUNCTION("if (A1225 &lt;&gt; """", GOOGLETRANSLATE(A1225, ""auto"", ""en""), """")"),"Please answer the questions")</f>
        <v>Please answer the questions</v>
      </c>
      <c r="G1225" s="49" t="str">
        <f t="shared" ca="1" si="1223"/>
        <v>Please answer the questions</v>
      </c>
      <c r="H1225" s="49" t="str">
        <f t="shared" ca="1" si="1223"/>
        <v>Please answer the questions</v>
      </c>
      <c r="I1225" s="49" t="str">
        <f t="shared" ca="1" si="1223"/>
        <v>Please answer the questions</v>
      </c>
      <c r="J1225" s="49" t="str">
        <f t="shared" ca="1" si="1223"/>
        <v>Please answer the questions</v>
      </c>
    </row>
    <row r="1226" spans="1:10" ht="25.5" x14ac:dyDescent="0.2">
      <c r="A1226" s="41" t="s">
        <v>891</v>
      </c>
      <c r="B1226" s="40"/>
      <c r="C1226" s="40"/>
      <c r="D1226" s="40"/>
      <c r="E1226" s="40"/>
      <c r="F1226" s="49" t="str">
        <f t="shared" ref="F1226:J1226" ca="1" si="1224">IFERROR(__xludf.DUMMYFUNCTION("if (A1226 &lt;&gt; """", GOOGLETRANSLATE(A1226, ""auto"", ""en""), """")"),"I want you to answer me")</f>
        <v>I want you to answer me</v>
      </c>
      <c r="G1226" s="49" t="str">
        <f t="shared" ca="1" si="1224"/>
        <v>I want you to answer me</v>
      </c>
      <c r="H1226" s="49" t="str">
        <f t="shared" ca="1" si="1224"/>
        <v>I want you to answer me</v>
      </c>
      <c r="I1226" s="49" t="str">
        <f t="shared" ca="1" si="1224"/>
        <v>I want you to answer me</v>
      </c>
      <c r="J1226" s="49" t="str">
        <f t="shared" ca="1" si="1224"/>
        <v>I want you to answer me</v>
      </c>
    </row>
    <row r="1227" spans="1:10" ht="12.75" x14ac:dyDescent="0.2">
      <c r="A1227" s="40"/>
      <c r="B1227" s="40"/>
      <c r="C1227" s="40"/>
      <c r="D1227" s="40"/>
      <c r="E1227" s="40"/>
      <c r="F1227" s="49" t="str">
        <f t="shared" ref="F1227:J1227" ca="1" si="1225">IFERROR(__xludf.DUMMYFUNCTION("if (A1227 &lt;&gt; """", GOOGLETRANSLATE(A1227, ""auto"", ""en""), """")"),"")</f>
        <v/>
      </c>
      <c r="G1227" s="49" t="str">
        <f t="shared" ca="1" si="1225"/>
        <v/>
      </c>
      <c r="H1227" s="49" t="str">
        <f t="shared" ca="1" si="1225"/>
        <v/>
      </c>
      <c r="I1227" s="49" t="str">
        <f t="shared" ca="1" si="1225"/>
        <v/>
      </c>
      <c r="J1227" s="49" t="str">
        <f t="shared" ca="1" si="1225"/>
        <v/>
      </c>
    </row>
    <row r="1228" spans="1:10" ht="38.25" x14ac:dyDescent="0.2">
      <c r="A1228" s="41" t="s">
        <v>892</v>
      </c>
      <c r="B1228" s="40"/>
      <c r="C1228" s="40"/>
      <c r="D1228" s="40"/>
      <c r="E1228" s="40"/>
      <c r="F1228" s="49" t="str">
        <f t="shared" ref="F1228:J1228" ca="1" si="1226">IFERROR(__xludf.DUMMYFUNCTION("if (A1228 &lt;&gt; """", GOOGLETRANSLATE(A1228, ""auto"", ""en""), """")"),"smalltalk.agent.ask_me_question")</f>
        <v>smalltalk.agent.ask_me_question</v>
      </c>
      <c r="G1228" s="49" t="str">
        <f t="shared" ca="1" si="1226"/>
        <v>smalltalk.agent.ask_me_question</v>
      </c>
      <c r="H1228" s="49" t="str">
        <f t="shared" ca="1" si="1226"/>
        <v>smalltalk.agent.ask_me_question</v>
      </c>
      <c r="I1228" s="49" t="str">
        <f t="shared" ca="1" si="1226"/>
        <v>smalltalk.agent.ask_me_question</v>
      </c>
      <c r="J1228" s="49" t="str">
        <f t="shared" ca="1" si="1226"/>
        <v>smalltalk.agent.ask_me_question</v>
      </c>
    </row>
    <row r="1229" spans="1:10" ht="12.75" x14ac:dyDescent="0.2">
      <c r="A1229" s="40"/>
      <c r="B1229" s="41" t="s">
        <v>398</v>
      </c>
      <c r="C1229" s="40"/>
      <c r="D1229" s="40"/>
      <c r="E1229" s="40"/>
      <c r="F1229" s="49" t="str">
        <f t="shared" ref="F1229:J1229" ca="1" si="1227">IFERROR(__xludf.DUMMYFUNCTION("if (A1229 &lt;&gt; """", GOOGLETRANSLATE(A1229, ""auto"", ""en""), """")"),"")</f>
        <v/>
      </c>
      <c r="G1229" s="49" t="str">
        <f t="shared" ca="1" si="1227"/>
        <v/>
      </c>
      <c r="H1229" s="49" t="str">
        <f t="shared" ca="1" si="1227"/>
        <v/>
      </c>
      <c r="I1229" s="49" t="str">
        <f t="shared" ca="1" si="1227"/>
        <v/>
      </c>
      <c r="J1229" s="49" t="str">
        <f t="shared" ca="1" si="1227"/>
        <v/>
      </c>
    </row>
    <row r="1230" spans="1:10" ht="12.75" x14ac:dyDescent="0.2">
      <c r="A1230" s="40"/>
      <c r="B1230" s="41" t="s">
        <v>399</v>
      </c>
      <c r="C1230" s="40"/>
      <c r="D1230" s="40"/>
      <c r="E1230" s="40"/>
      <c r="F1230" s="49" t="str">
        <f t="shared" ref="F1230:J1230" ca="1" si="1228">IFERROR(__xludf.DUMMYFUNCTION("if (A1230 &lt;&gt; """", GOOGLETRANSLATE(A1230, ""auto"", ""en""), """")"),"")</f>
        <v/>
      </c>
      <c r="G1230" s="49" t="str">
        <f t="shared" ca="1" si="1228"/>
        <v/>
      </c>
      <c r="H1230" s="49" t="str">
        <f t="shared" ca="1" si="1228"/>
        <v/>
      </c>
      <c r="I1230" s="49" t="str">
        <f t="shared" ca="1" si="1228"/>
        <v/>
      </c>
      <c r="J1230" s="49" t="str">
        <f t="shared" ca="1" si="1228"/>
        <v/>
      </c>
    </row>
    <row r="1231" spans="1:10" ht="12.75" x14ac:dyDescent="0.2">
      <c r="A1231" s="40"/>
      <c r="B1231" s="41" t="s">
        <v>400</v>
      </c>
      <c r="C1231" s="41" t="s">
        <v>892</v>
      </c>
      <c r="D1231" s="40"/>
      <c r="E1231" s="40"/>
      <c r="F1231" s="49" t="str">
        <f t="shared" ref="F1231:J1231" ca="1" si="1229">IFERROR(__xludf.DUMMYFUNCTION("if (A1231 &lt;&gt; """", GOOGLETRANSLATE(A1231, ""auto"", ""en""), """")"),"")</f>
        <v/>
      </c>
      <c r="G1231" s="49" t="str">
        <f t="shared" ca="1" si="1229"/>
        <v/>
      </c>
      <c r="H1231" s="49" t="str">
        <f t="shared" ca="1" si="1229"/>
        <v/>
      </c>
      <c r="I1231" s="49" t="str">
        <f t="shared" ca="1" si="1229"/>
        <v/>
      </c>
      <c r="J1231" s="49" t="str">
        <f t="shared" ca="1" si="1229"/>
        <v/>
      </c>
    </row>
    <row r="1232" spans="1:10" ht="12.75" x14ac:dyDescent="0.2">
      <c r="A1232" s="40"/>
      <c r="B1232" s="41" t="s">
        <v>401</v>
      </c>
      <c r="C1232" s="40"/>
      <c r="D1232" s="40"/>
      <c r="E1232" s="40"/>
      <c r="F1232" s="49" t="str">
        <f t="shared" ref="F1232:J1232" ca="1" si="1230">IFERROR(__xludf.DUMMYFUNCTION("if (A1232 &lt;&gt; """", GOOGLETRANSLATE(A1232, ""auto"", ""en""), """")"),"")</f>
        <v/>
      </c>
      <c r="G1232" s="49" t="str">
        <f t="shared" ca="1" si="1230"/>
        <v/>
      </c>
      <c r="H1232" s="49" t="str">
        <f t="shared" ca="1" si="1230"/>
        <v/>
      </c>
      <c r="I1232" s="49" t="str">
        <f t="shared" ca="1" si="1230"/>
        <v/>
      </c>
      <c r="J1232" s="49" t="str">
        <f t="shared" ca="1" si="1230"/>
        <v/>
      </c>
    </row>
    <row r="1233" spans="1:10" ht="25.5" x14ac:dyDescent="0.2">
      <c r="A1233" s="41" t="s">
        <v>893</v>
      </c>
      <c r="B1233" s="41" t="s">
        <v>402</v>
      </c>
      <c r="C1233" s="41" t="s">
        <v>894</v>
      </c>
      <c r="D1233" s="40"/>
      <c r="E1233" s="40"/>
      <c r="F1233" s="49" t="str">
        <f t="shared" ref="F1233:J1233" ca="1" si="1231">IFERROR(__xludf.DUMMYFUNCTION("if (A1233 &lt;&gt; """", GOOGLETRANSLATE(A1233, ""auto"", ""en""), """")"),"Leave a question")</f>
        <v>Leave a question</v>
      </c>
      <c r="G1233" s="49" t="str">
        <f t="shared" ca="1" si="1231"/>
        <v>Leave a question</v>
      </c>
      <c r="H1233" s="49" t="str">
        <f t="shared" ca="1" si="1231"/>
        <v>Leave a question</v>
      </c>
      <c r="I1233" s="49" t="str">
        <f t="shared" ca="1" si="1231"/>
        <v>Leave a question</v>
      </c>
      <c r="J1233" s="49" t="str">
        <f t="shared" ca="1" si="1231"/>
        <v>Leave a question</v>
      </c>
    </row>
    <row r="1234" spans="1:10" ht="25.5" x14ac:dyDescent="0.2">
      <c r="A1234" s="41" t="s">
        <v>895</v>
      </c>
      <c r="B1234" s="40"/>
      <c r="C1234" s="40"/>
      <c r="D1234" s="40"/>
      <c r="E1234" s="40"/>
      <c r="F1234" s="49" t="str">
        <f t="shared" ref="F1234:J1234" ca="1" si="1232">IFERROR(__xludf.DUMMYFUNCTION("if (A1234 &lt;&gt; """", GOOGLETRANSLATE(A1234, ""auto"", ""en""), """")"),"Your question please")</f>
        <v>Your question please</v>
      </c>
      <c r="G1234" s="49" t="str">
        <f t="shared" ca="1" si="1232"/>
        <v>Your question please</v>
      </c>
      <c r="H1234" s="49" t="str">
        <f t="shared" ca="1" si="1232"/>
        <v>Your question please</v>
      </c>
      <c r="I1234" s="49" t="str">
        <f t="shared" ca="1" si="1232"/>
        <v>Your question please</v>
      </c>
      <c r="J1234" s="49" t="str">
        <f t="shared" ca="1" si="1232"/>
        <v>Your question please</v>
      </c>
    </row>
    <row r="1235" spans="1:10" ht="38.25" x14ac:dyDescent="0.2">
      <c r="A1235" s="41" t="s">
        <v>896</v>
      </c>
      <c r="B1235" s="40"/>
      <c r="C1235" s="40"/>
      <c r="D1235" s="40"/>
      <c r="E1235" s="40"/>
      <c r="F1235" s="49" t="str">
        <f t="shared" ref="F1235:J1235" ca="1" si="1233">IFERROR(__xludf.DUMMYFUNCTION("if (A1235 &lt;&gt; """", GOOGLETRANSLATE(A1235, ""auto"", ""en""), """")"),"Leave a question something")</f>
        <v>Leave a question something</v>
      </c>
      <c r="G1235" s="49" t="str">
        <f t="shared" ca="1" si="1233"/>
        <v>Leave a question something</v>
      </c>
      <c r="H1235" s="49" t="str">
        <f t="shared" ca="1" si="1233"/>
        <v>Leave a question something</v>
      </c>
      <c r="I1235" s="49" t="str">
        <f t="shared" ca="1" si="1233"/>
        <v>Leave a question something</v>
      </c>
      <c r="J1235" s="49" t="str">
        <f t="shared" ca="1" si="1233"/>
        <v>Leave a question something</v>
      </c>
    </row>
    <row r="1236" spans="1:10" ht="25.5" x14ac:dyDescent="0.2">
      <c r="A1236" s="41" t="s">
        <v>897</v>
      </c>
      <c r="B1236" s="40"/>
      <c r="C1236" s="40"/>
      <c r="D1236" s="40"/>
      <c r="E1236" s="40"/>
      <c r="F1236" s="49" t="str">
        <f t="shared" ref="F1236:J1236" ca="1" si="1234">IFERROR(__xludf.DUMMYFUNCTION("if (A1236 &lt;&gt; """", GOOGLETRANSLATE(A1236, ""auto"", ""en""), """")"),"Ask me please")</f>
        <v>Ask me please</v>
      </c>
      <c r="G1236" s="49" t="str">
        <f t="shared" ca="1" si="1234"/>
        <v>Ask me please</v>
      </c>
      <c r="H1236" s="49" t="str">
        <f t="shared" ca="1" si="1234"/>
        <v>Ask me please</v>
      </c>
      <c r="I1236" s="49" t="str">
        <f t="shared" ca="1" si="1234"/>
        <v>Ask me please</v>
      </c>
      <c r="J1236" s="49" t="str">
        <f t="shared" ca="1" si="1234"/>
        <v>Ask me please</v>
      </c>
    </row>
    <row r="1237" spans="1:10" ht="25.5" x14ac:dyDescent="0.2">
      <c r="A1237" s="41" t="s">
        <v>898</v>
      </c>
      <c r="B1237" s="40"/>
      <c r="C1237" s="40"/>
      <c r="D1237" s="40"/>
      <c r="E1237" s="40"/>
      <c r="F1237" s="49" t="str">
        <f t="shared" ref="F1237:J1237" ca="1" si="1235">IFERROR(__xludf.DUMMYFUNCTION("if (A1237 &lt;&gt; """", GOOGLETRANSLATE(A1237, ""auto"", ""en""), """")"),"Please ask something")</f>
        <v>Please ask something</v>
      </c>
      <c r="G1237" s="49" t="str">
        <f t="shared" ca="1" si="1235"/>
        <v>Please ask something</v>
      </c>
      <c r="H1237" s="49" t="str">
        <f t="shared" ca="1" si="1235"/>
        <v>Please ask something</v>
      </c>
      <c r="I1237" s="49" t="str">
        <f t="shared" ca="1" si="1235"/>
        <v>Please ask something</v>
      </c>
      <c r="J1237" s="49" t="str">
        <f t="shared" ca="1" si="1235"/>
        <v>Please ask something</v>
      </c>
    </row>
    <row r="1238" spans="1:10" ht="38.25" x14ac:dyDescent="0.2">
      <c r="A1238" s="41" t="s">
        <v>899</v>
      </c>
      <c r="B1238" s="40"/>
      <c r="C1238" s="40"/>
      <c r="D1238" s="40"/>
      <c r="E1238" s="40"/>
      <c r="F1238" s="49" t="str">
        <f t="shared" ref="F1238:J1238" ca="1" si="1236">IFERROR(__xludf.DUMMYFUNCTION("if (A1238 &lt;&gt; """", GOOGLETRANSLATE(A1238, ""auto"", ""en""), """")"),"Do you want me to question")</f>
        <v>Do you want me to question</v>
      </c>
      <c r="G1238" s="49" t="str">
        <f t="shared" ca="1" si="1236"/>
        <v>Do you want me to question</v>
      </c>
      <c r="H1238" s="49" t="str">
        <f t="shared" ca="1" si="1236"/>
        <v>Do you want me to question</v>
      </c>
      <c r="I1238" s="49" t="str">
        <f t="shared" ca="1" si="1236"/>
        <v>Do you want me to question</v>
      </c>
      <c r="J1238" s="49" t="str">
        <f t="shared" ca="1" si="1236"/>
        <v>Do you want me to question</v>
      </c>
    </row>
    <row r="1239" spans="1:10" ht="25.5" x14ac:dyDescent="0.2">
      <c r="A1239" s="41" t="s">
        <v>900</v>
      </c>
      <c r="B1239" s="40"/>
      <c r="C1239" s="40"/>
      <c r="D1239" s="40"/>
      <c r="E1239" s="40"/>
      <c r="F1239" s="49" t="str">
        <f t="shared" ref="F1239:J1239" ca="1" si="1237">IFERROR(__xludf.DUMMYFUNCTION("if (A1239 &lt;&gt; """", GOOGLETRANSLATE(A1239, ""auto"", ""en""), """")"),"Please ask anything")</f>
        <v>Please ask anything</v>
      </c>
      <c r="G1239" s="49" t="str">
        <f t="shared" ca="1" si="1237"/>
        <v>Please ask anything</v>
      </c>
      <c r="H1239" s="49" t="str">
        <f t="shared" ca="1" si="1237"/>
        <v>Please ask anything</v>
      </c>
      <c r="I1239" s="49" t="str">
        <f t="shared" ca="1" si="1237"/>
        <v>Please ask anything</v>
      </c>
      <c r="J1239" s="49" t="str">
        <f t="shared" ca="1" si="1237"/>
        <v>Please ask anything</v>
      </c>
    </row>
    <row r="1240" spans="1:10" ht="25.5" x14ac:dyDescent="0.2">
      <c r="A1240" s="41" t="s">
        <v>901</v>
      </c>
      <c r="B1240" s="40"/>
      <c r="C1240" s="40"/>
      <c r="D1240" s="40"/>
      <c r="E1240" s="40"/>
      <c r="F1240" s="49" t="str">
        <f t="shared" ref="F1240:J1240" ca="1" si="1238">IFERROR(__xludf.DUMMYFUNCTION("if (A1240 &lt;&gt; """", GOOGLETRANSLATE(A1240, ""auto"", ""en""), """")"),"Do you have any questions")</f>
        <v>Do you have any questions</v>
      </c>
      <c r="G1240" s="49" t="str">
        <f t="shared" ca="1" si="1238"/>
        <v>Do you have any questions</v>
      </c>
      <c r="H1240" s="49" t="str">
        <f t="shared" ca="1" si="1238"/>
        <v>Do you have any questions</v>
      </c>
      <c r="I1240" s="49" t="str">
        <f t="shared" ca="1" si="1238"/>
        <v>Do you have any questions</v>
      </c>
      <c r="J1240" s="49" t="str">
        <f t="shared" ca="1" si="1238"/>
        <v>Do you have any questions</v>
      </c>
    </row>
    <row r="1241" spans="1:10" ht="38.25" x14ac:dyDescent="0.2">
      <c r="A1241" s="41" t="s">
        <v>902</v>
      </c>
      <c r="B1241" s="40"/>
      <c r="C1241" s="40"/>
      <c r="D1241" s="40"/>
      <c r="E1241" s="40"/>
      <c r="F1241" s="49" t="str">
        <f t="shared" ref="F1241:J1241" ca="1" si="1239">IFERROR(__xludf.DUMMYFUNCTION("if (A1241 &lt;&gt; """", GOOGLETRANSLATE(A1241, ""auto"", ""en""), """")"),"Do you want me to question what")</f>
        <v>Do you want me to question what</v>
      </c>
      <c r="G1241" s="49" t="str">
        <f t="shared" ca="1" si="1239"/>
        <v>Do you want me to question what</v>
      </c>
      <c r="H1241" s="49" t="str">
        <f t="shared" ca="1" si="1239"/>
        <v>Do you want me to question what</v>
      </c>
      <c r="I1241" s="49" t="str">
        <f t="shared" ca="1" si="1239"/>
        <v>Do you want me to question what</v>
      </c>
      <c r="J1241" s="49" t="str">
        <f t="shared" ca="1" si="1239"/>
        <v>Do you want me to question what</v>
      </c>
    </row>
    <row r="1242" spans="1:10" ht="38.25" x14ac:dyDescent="0.2">
      <c r="A1242" s="41" t="s">
        <v>903</v>
      </c>
      <c r="B1242" s="40"/>
      <c r="C1242" s="40"/>
      <c r="D1242" s="40"/>
      <c r="E1242" s="40"/>
      <c r="F1242" s="49" t="str">
        <f t="shared" ref="F1242:J1242" ca="1" si="1240">IFERROR(__xludf.DUMMYFUNCTION("if (A1242 &lt;&gt; """", GOOGLETRANSLATE(A1242, ""auto"", ""en""), """")"),"Please be anything question")</f>
        <v>Please be anything question</v>
      </c>
      <c r="G1242" s="49" t="str">
        <f t="shared" ca="1" si="1240"/>
        <v>Please be anything question</v>
      </c>
      <c r="H1242" s="49" t="str">
        <f t="shared" ca="1" si="1240"/>
        <v>Please be anything question</v>
      </c>
      <c r="I1242" s="49" t="str">
        <f t="shared" ca="1" si="1240"/>
        <v>Please be anything question</v>
      </c>
      <c r="J1242" s="49" t="str">
        <f t="shared" ca="1" si="1240"/>
        <v>Please be anything question</v>
      </c>
    </row>
    <row r="1243" spans="1:10" ht="12.75" x14ac:dyDescent="0.2">
      <c r="A1243" s="40"/>
      <c r="B1243" s="41" t="s">
        <v>403</v>
      </c>
      <c r="C1243" s="41" t="s">
        <v>25</v>
      </c>
      <c r="D1243" s="41" t="s">
        <v>27</v>
      </c>
      <c r="E1243" s="40"/>
      <c r="F1243" s="49" t="str">
        <f t="shared" ref="F1243:J1243" ca="1" si="1241">IFERROR(__xludf.DUMMYFUNCTION("if (A1243 &lt;&gt; """", GOOGLETRANSLATE(A1243, ""auto"", ""en""), """")"),"")</f>
        <v/>
      </c>
      <c r="G1243" s="49" t="str">
        <f t="shared" ca="1" si="1241"/>
        <v/>
      </c>
      <c r="H1243" s="49" t="str">
        <f t="shared" ca="1" si="1241"/>
        <v/>
      </c>
      <c r="I1243" s="49" t="str">
        <f t="shared" ca="1" si="1241"/>
        <v/>
      </c>
      <c r="J1243" s="49" t="str">
        <f t="shared" ca="1" si="1241"/>
        <v/>
      </c>
    </row>
    <row r="1244" spans="1:10" ht="12.75" x14ac:dyDescent="0.2">
      <c r="A1244" s="40"/>
      <c r="B1244" s="41" t="s">
        <v>403</v>
      </c>
      <c r="C1244" s="41" t="s">
        <v>30</v>
      </c>
      <c r="D1244" s="41" t="s">
        <v>31</v>
      </c>
      <c r="E1244" s="40"/>
      <c r="F1244" s="49" t="str">
        <f t="shared" ref="F1244:J1244" ca="1" si="1242">IFERROR(__xludf.DUMMYFUNCTION("if (A1244 &lt;&gt; """", GOOGLETRANSLATE(A1244, ""auto"", ""en""), """")"),"")</f>
        <v/>
      </c>
      <c r="G1244" s="49" t="str">
        <f t="shared" ca="1" si="1242"/>
        <v/>
      </c>
      <c r="H1244" s="49" t="str">
        <f t="shared" ca="1" si="1242"/>
        <v/>
      </c>
      <c r="I1244" s="49" t="str">
        <f t="shared" ca="1" si="1242"/>
        <v/>
      </c>
      <c r="J1244" s="49" t="str">
        <f t="shared" ca="1" si="1242"/>
        <v/>
      </c>
    </row>
    <row r="1245" spans="1:10" ht="12.75" x14ac:dyDescent="0.2">
      <c r="A1245" s="40"/>
      <c r="B1245" s="41" t="s">
        <v>403</v>
      </c>
      <c r="C1245" s="41" t="s">
        <v>41</v>
      </c>
      <c r="D1245" s="41" t="s">
        <v>10</v>
      </c>
      <c r="E1245" s="40"/>
      <c r="F1245" s="49" t="str">
        <f t="shared" ref="F1245:J1245" ca="1" si="1243">IFERROR(__xludf.DUMMYFUNCTION("if (A1245 &lt;&gt; """", GOOGLETRANSLATE(A1245, ""auto"", ""en""), """")"),"")</f>
        <v/>
      </c>
      <c r="G1245" s="49" t="str">
        <f t="shared" ca="1" si="1243"/>
        <v/>
      </c>
      <c r="H1245" s="49" t="str">
        <f t="shared" ca="1" si="1243"/>
        <v/>
      </c>
      <c r="I1245" s="49" t="str">
        <f t="shared" ca="1" si="1243"/>
        <v/>
      </c>
      <c r="J1245" s="49" t="str">
        <f t="shared" ca="1" si="1243"/>
        <v/>
      </c>
    </row>
    <row r="1246" spans="1:10" ht="12.75" x14ac:dyDescent="0.2">
      <c r="A1246" s="40"/>
      <c r="B1246" s="40"/>
      <c r="C1246" s="40"/>
      <c r="D1246" s="40"/>
      <c r="E1246" s="40"/>
      <c r="F1246" s="49" t="str">
        <f t="shared" ref="F1246:J1246" ca="1" si="1244">IFERROR(__xludf.DUMMYFUNCTION("if (A1246 &lt;&gt; """", GOOGLETRANSLATE(A1246, ""auto"", ""en""), """")"),"")</f>
        <v/>
      </c>
      <c r="G1246" s="49" t="str">
        <f t="shared" ca="1" si="1244"/>
        <v/>
      </c>
      <c r="H1246" s="49" t="str">
        <f t="shared" ca="1" si="1244"/>
        <v/>
      </c>
      <c r="I1246" s="49" t="str">
        <f t="shared" ca="1" si="1244"/>
        <v/>
      </c>
      <c r="J1246" s="49" t="str">
        <f t="shared" ca="1" si="1244"/>
        <v/>
      </c>
    </row>
    <row r="1247" spans="1:10" ht="25.5" x14ac:dyDescent="0.2">
      <c r="A1247" s="41" t="s">
        <v>904</v>
      </c>
      <c r="B1247" s="40"/>
      <c r="C1247" s="40"/>
      <c r="D1247" s="40"/>
      <c r="E1247" s="40"/>
      <c r="F1247" s="49" t="str">
        <f t="shared" ref="F1247:J1247" ca="1" si="1245">IFERROR(__xludf.DUMMYFUNCTION("if (A1247 &lt;&gt; """", GOOGLETRANSLATE(A1247, ""auto"", ""en""), """")"),"smalltalk.agent.bad")</f>
        <v>smalltalk.agent.bad</v>
      </c>
      <c r="G1247" s="49" t="str">
        <f t="shared" ca="1" si="1245"/>
        <v>smalltalk.agent.bad</v>
      </c>
      <c r="H1247" s="49" t="str">
        <f t="shared" ca="1" si="1245"/>
        <v>smalltalk.agent.bad</v>
      </c>
      <c r="I1247" s="49" t="str">
        <f t="shared" ca="1" si="1245"/>
        <v>smalltalk.agent.bad</v>
      </c>
      <c r="J1247" s="49" t="str">
        <f t="shared" ca="1" si="1245"/>
        <v>smalltalk.agent.bad</v>
      </c>
    </row>
    <row r="1248" spans="1:10" ht="12.75" x14ac:dyDescent="0.2">
      <c r="A1248" s="40"/>
      <c r="B1248" s="41" t="s">
        <v>398</v>
      </c>
      <c r="C1248" s="40"/>
      <c r="D1248" s="40"/>
      <c r="E1248" s="40"/>
      <c r="F1248" s="49" t="str">
        <f t="shared" ref="F1248:J1248" ca="1" si="1246">IFERROR(__xludf.DUMMYFUNCTION("if (A1248 &lt;&gt; """", GOOGLETRANSLATE(A1248, ""auto"", ""en""), """")"),"")</f>
        <v/>
      </c>
      <c r="G1248" s="49" t="str">
        <f t="shared" ca="1" si="1246"/>
        <v/>
      </c>
      <c r="H1248" s="49" t="str">
        <f t="shared" ca="1" si="1246"/>
        <v/>
      </c>
      <c r="I1248" s="49" t="str">
        <f t="shared" ca="1" si="1246"/>
        <v/>
      </c>
      <c r="J1248" s="49" t="str">
        <f t="shared" ca="1" si="1246"/>
        <v/>
      </c>
    </row>
    <row r="1249" spans="1:10" ht="12.75" x14ac:dyDescent="0.2">
      <c r="A1249" s="40"/>
      <c r="B1249" s="41" t="s">
        <v>399</v>
      </c>
      <c r="C1249" s="40"/>
      <c r="D1249" s="40"/>
      <c r="E1249" s="40"/>
      <c r="F1249" s="49" t="str">
        <f t="shared" ref="F1249:J1249" ca="1" si="1247">IFERROR(__xludf.DUMMYFUNCTION("if (A1249 &lt;&gt; """", GOOGLETRANSLATE(A1249, ""auto"", ""en""), """")"),"")</f>
        <v/>
      </c>
      <c r="G1249" s="49" t="str">
        <f t="shared" ca="1" si="1247"/>
        <v/>
      </c>
      <c r="H1249" s="49" t="str">
        <f t="shared" ca="1" si="1247"/>
        <v/>
      </c>
      <c r="I1249" s="49" t="str">
        <f t="shared" ca="1" si="1247"/>
        <v/>
      </c>
      <c r="J1249" s="49" t="str">
        <f t="shared" ca="1" si="1247"/>
        <v/>
      </c>
    </row>
    <row r="1250" spans="1:10" ht="12.75" x14ac:dyDescent="0.2">
      <c r="A1250" s="40"/>
      <c r="B1250" s="41" t="s">
        <v>400</v>
      </c>
      <c r="C1250" s="41" t="s">
        <v>904</v>
      </c>
      <c r="D1250" s="40"/>
      <c r="E1250" s="40"/>
      <c r="F1250" s="49" t="str">
        <f t="shared" ref="F1250:J1250" ca="1" si="1248">IFERROR(__xludf.DUMMYFUNCTION("if (A1250 &lt;&gt; """", GOOGLETRANSLATE(A1250, ""auto"", ""en""), """")"),"")</f>
        <v/>
      </c>
      <c r="G1250" s="49" t="str">
        <f t="shared" ca="1" si="1248"/>
        <v/>
      </c>
      <c r="H1250" s="49" t="str">
        <f t="shared" ca="1" si="1248"/>
        <v/>
      </c>
      <c r="I1250" s="49" t="str">
        <f t="shared" ca="1" si="1248"/>
        <v/>
      </c>
      <c r="J1250" s="49" t="str">
        <f t="shared" ca="1" si="1248"/>
        <v/>
      </c>
    </row>
    <row r="1251" spans="1:10" ht="12.75" x14ac:dyDescent="0.2">
      <c r="A1251" s="40"/>
      <c r="B1251" s="41" t="s">
        <v>401</v>
      </c>
      <c r="C1251" s="40"/>
      <c r="D1251" s="40"/>
      <c r="E1251" s="40"/>
      <c r="F1251" s="49" t="str">
        <f t="shared" ref="F1251:J1251" ca="1" si="1249">IFERROR(__xludf.DUMMYFUNCTION("if (A1251 &lt;&gt; """", GOOGLETRANSLATE(A1251, ""auto"", ""en""), """")"),"")</f>
        <v/>
      </c>
      <c r="G1251" s="49" t="str">
        <f t="shared" ca="1" si="1249"/>
        <v/>
      </c>
      <c r="H1251" s="49" t="str">
        <f t="shared" ca="1" si="1249"/>
        <v/>
      </c>
      <c r="I1251" s="49" t="str">
        <f t="shared" ca="1" si="1249"/>
        <v/>
      </c>
      <c r="J1251" s="49" t="str">
        <f t="shared" ca="1" si="1249"/>
        <v/>
      </c>
    </row>
    <row r="1252" spans="1:10" ht="25.5" x14ac:dyDescent="0.2">
      <c r="A1252" s="41" t="s">
        <v>905</v>
      </c>
      <c r="B1252" s="41" t="s">
        <v>402</v>
      </c>
      <c r="C1252" s="41" t="s">
        <v>906</v>
      </c>
      <c r="D1252" s="40"/>
      <c r="E1252" s="40"/>
      <c r="F1252" s="49" t="str">
        <f t="shared" ref="F1252:J1252" ca="1" si="1250">IFERROR(__xludf.DUMMYFUNCTION("if (A1252 &lt;&gt; """", GOOGLETRANSLATE(A1252, ""auto"", ""en""), """")"),"You are bad")</f>
        <v>You are bad</v>
      </c>
      <c r="G1252" s="49" t="str">
        <f t="shared" ca="1" si="1250"/>
        <v>You are bad</v>
      </c>
      <c r="H1252" s="49" t="str">
        <f t="shared" ca="1" si="1250"/>
        <v>You are bad</v>
      </c>
      <c r="I1252" s="49" t="str">
        <f t="shared" ca="1" si="1250"/>
        <v>You are bad</v>
      </c>
      <c r="J1252" s="49" t="str">
        <f t="shared" ca="1" si="1250"/>
        <v>You are bad</v>
      </c>
    </row>
    <row r="1253" spans="1:10" ht="12.75" x14ac:dyDescent="0.2">
      <c r="A1253" s="41" t="s">
        <v>907</v>
      </c>
      <c r="B1253" s="40"/>
      <c r="C1253" s="40"/>
      <c r="D1253" s="40"/>
      <c r="E1253" s="40"/>
      <c r="F1253" s="49" t="str">
        <f t="shared" ref="F1253:J1253" ca="1" si="1251">IFERROR(__xludf.DUMMYFUNCTION("if (A1253 &lt;&gt; """", GOOGLETRANSLATE(A1253, ""auto"", ""en""), """")"),"Very terrible")</f>
        <v>Very terrible</v>
      </c>
      <c r="G1253" s="49" t="str">
        <f t="shared" ca="1" si="1251"/>
        <v>Very terrible</v>
      </c>
      <c r="H1253" s="49" t="str">
        <f t="shared" ca="1" si="1251"/>
        <v>Very terrible</v>
      </c>
      <c r="I1253" s="49" t="str">
        <f t="shared" ca="1" si="1251"/>
        <v>Very terrible</v>
      </c>
      <c r="J1253" s="49" t="str">
        <f t="shared" ca="1" si="1251"/>
        <v>Very terrible</v>
      </c>
    </row>
    <row r="1254" spans="1:10" ht="12.75" x14ac:dyDescent="0.2">
      <c r="A1254" s="41" t="s">
        <v>908</v>
      </c>
      <c r="B1254" s="40"/>
      <c r="C1254" s="40"/>
      <c r="D1254" s="40"/>
      <c r="E1254" s="40"/>
      <c r="F1254" s="49" t="str">
        <f t="shared" ref="F1254:J1254" ca="1" si="1252">IFERROR(__xludf.DUMMYFUNCTION("if (A1254 &lt;&gt; """", GOOGLETRANSLATE(A1254, ""auto"", ""en""), """")"),"Really bad")</f>
        <v>Really bad</v>
      </c>
      <c r="G1254" s="49" t="str">
        <f t="shared" ca="1" si="1252"/>
        <v>Really bad</v>
      </c>
      <c r="H1254" s="49" t="str">
        <f t="shared" ca="1" si="1252"/>
        <v>Really bad</v>
      </c>
      <c r="I1254" s="49" t="str">
        <f t="shared" ca="1" si="1252"/>
        <v>Really bad</v>
      </c>
      <c r="J1254" s="49" t="str">
        <f t="shared" ca="1" si="1252"/>
        <v>Really bad</v>
      </c>
    </row>
    <row r="1255" spans="1:10" ht="25.5" x14ac:dyDescent="0.2">
      <c r="A1255" s="41" t="s">
        <v>909</v>
      </c>
      <c r="B1255" s="40"/>
      <c r="C1255" s="40"/>
      <c r="D1255" s="40"/>
      <c r="E1255" s="40"/>
      <c r="F1255" s="49" t="str">
        <f t="shared" ref="F1255:J1255" ca="1" si="1253">IFERROR(__xludf.DUMMYFUNCTION("if (A1255 &lt;&gt; """", GOOGLETRANSLATE(A1255, ""auto"", ""en""), """")"),"You are terrible")</f>
        <v>You are terrible</v>
      </c>
      <c r="G1255" s="49" t="str">
        <f t="shared" ca="1" si="1253"/>
        <v>You are terrible</v>
      </c>
      <c r="H1255" s="49" t="str">
        <f t="shared" ca="1" si="1253"/>
        <v>You are terrible</v>
      </c>
      <c r="I1255" s="49" t="str">
        <f t="shared" ca="1" si="1253"/>
        <v>You are terrible</v>
      </c>
      <c r="J1255" s="49" t="str">
        <f t="shared" ca="1" si="1253"/>
        <v>You are terrible</v>
      </c>
    </row>
    <row r="1256" spans="1:10" ht="25.5" x14ac:dyDescent="0.2">
      <c r="A1256" s="41" t="s">
        <v>910</v>
      </c>
      <c r="B1256" s="40"/>
      <c r="C1256" s="40"/>
      <c r="D1256" s="40"/>
      <c r="E1256" s="40"/>
      <c r="F1256" s="49" t="str">
        <f t="shared" ref="F1256:J1256" ca="1" si="1254">IFERROR(__xludf.DUMMYFUNCTION("if (A1256 &lt;&gt; """", GOOGLETRANSLATE(A1256, ""auto"", ""en""), """")"),"You're unrefined")</f>
        <v>You're unrefined</v>
      </c>
      <c r="G1256" s="49" t="str">
        <f t="shared" ca="1" si="1254"/>
        <v>You're unrefined</v>
      </c>
      <c r="H1256" s="49" t="str">
        <f t="shared" ca="1" si="1254"/>
        <v>You're unrefined</v>
      </c>
      <c r="I1256" s="49" t="str">
        <f t="shared" ca="1" si="1254"/>
        <v>You're unrefined</v>
      </c>
      <c r="J1256" s="49" t="str">
        <f t="shared" ca="1" si="1254"/>
        <v>You're unrefined</v>
      </c>
    </row>
    <row r="1257" spans="1:10" ht="25.5" x14ac:dyDescent="0.2">
      <c r="A1257" s="41" t="s">
        <v>911</v>
      </c>
      <c r="B1257" s="40"/>
      <c r="C1257" s="40"/>
      <c r="D1257" s="40"/>
      <c r="E1257" s="40"/>
      <c r="F1257" s="49" t="str">
        <f t="shared" ref="F1257:J1257" ca="1" si="1255">IFERROR(__xludf.DUMMYFUNCTION("if (A1257 &lt;&gt; """", GOOGLETRANSLATE(A1257, ""auto"", ""en""), """")"),"You're useless")</f>
        <v>You're useless</v>
      </c>
      <c r="G1257" s="49" t="str">
        <f t="shared" ca="1" si="1255"/>
        <v>You're useless</v>
      </c>
      <c r="H1257" s="49" t="str">
        <f t="shared" ca="1" si="1255"/>
        <v>You're useless</v>
      </c>
      <c r="I1257" s="49" t="str">
        <f t="shared" ca="1" si="1255"/>
        <v>You're useless</v>
      </c>
      <c r="J1257" s="49" t="str">
        <f t="shared" ca="1" si="1255"/>
        <v>You're useless</v>
      </c>
    </row>
    <row r="1258" spans="1:10" ht="38.25" x14ac:dyDescent="0.2">
      <c r="A1258" s="41" t="s">
        <v>912</v>
      </c>
      <c r="B1258" s="40"/>
      <c r="C1258" s="40"/>
      <c r="D1258" s="40"/>
      <c r="E1258" s="40"/>
      <c r="F1258" s="49" t="str">
        <f t="shared" ref="F1258:J1258" ca="1" si="1256">IFERROR(__xludf.DUMMYFUNCTION("if (A1258 &lt;&gt; """", GOOGLETRANSLATE(A1258, ""auto"", ""en""), """")"),"You are a disgusting person")</f>
        <v>You are a disgusting person</v>
      </c>
      <c r="G1258" s="49" t="str">
        <f t="shared" ca="1" si="1256"/>
        <v>You are a disgusting person</v>
      </c>
      <c r="H1258" s="49" t="str">
        <f t="shared" ca="1" si="1256"/>
        <v>You are a disgusting person</v>
      </c>
      <c r="I1258" s="49" t="str">
        <f t="shared" ca="1" si="1256"/>
        <v>You are a disgusting person</v>
      </c>
      <c r="J1258" s="49" t="str">
        <f t="shared" ca="1" si="1256"/>
        <v>You are a disgusting person</v>
      </c>
    </row>
    <row r="1259" spans="1:10" ht="25.5" x14ac:dyDescent="0.2">
      <c r="A1259" s="41" t="s">
        <v>913</v>
      </c>
      <c r="B1259" s="40"/>
      <c r="C1259" s="40"/>
      <c r="D1259" s="40"/>
      <c r="E1259" s="40"/>
      <c r="F1259" s="49" t="str">
        <f t="shared" ref="F1259:J1259" ca="1" si="1257">IFERROR(__xludf.DUMMYFUNCTION("if (A1259 &lt;&gt; """", GOOGLETRANSLATE(A1259, ""auto"", ""en""), """")"),"It does not help at all")</f>
        <v>It does not help at all</v>
      </c>
      <c r="G1259" s="49" t="str">
        <f t="shared" ca="1" si="1257"/>
        <v>It does not help at all</v>
      </c>
      <c r="H1259" s="49" t="str">
        <f t="shared" ca="1" si="1257"/>
        <v>It does not help at all</v>
      </c>
      <c r="I1259" s="49" t="str">
        <f t="shared" ca="1" si="1257"/>
        <v>It does not help at all</v>
      </c>
      <c r="J1259" s="49" t="str">
        <f t="shared" ca="1" si="1257"/>
        <v>It does not help at all</v>
      </c>
    </row>
    <row r="1260" spans="1:10" ht="25.5" x14ac:dyDescent="0.2">
      <c r="A1260" s="41" t="s">
        <v>914</v>
      </c>
      <c r="B1260" s="40"/>
      <c r="C1260" s="40"/>
      <c r="D1260" s="40"/>
      <c r="E1260" s="40"/>
      <c r="F1260" s="49" t="str">
        <f t="shared" ref="F1260:J1260" ca="1" si="1258">IFERROR(__xludf.DUMMYFUNCTION("if (A1260 &lt;&gt; """", GOOGLETRANSLATE(A1260, ""auto"", ""en""), """")"),"You are useless")</f>
        <v>You are useless</v>
      </c>
      <c r="G1260" s="49" t="str">
        <f t="shared" ca="1" si="1258"/>
        <v>You are useless</v>
      </c>
      <c r="H1260" s="49" t="str">
        <f t="shared" ca="1" si="1258"/>
        <v>You are useless</v>
      </c>
      <c r="I1260" s="49" t="str">
        <f t="shared" ca="1" si="1258"/>
        <v>You are useless</v>
      </c>
      <c r="J1260" s="49" t="str">
        <f t="shared" ca="1" si="1258"/>
        <v>You are useless</v>
      </c>
    </row>
    <row r="1261" spans="1:10" ht="25.5" x14ac:dyDescent="0.2">
      <c r="A1261" s="41" t="s">
        <v>915</v>
      </c>
      <c r="B1261" s="40"/>
      <c r="C1261" s="40"/>
      <c r="D1261" s="40"/>
      <c r="E1261" s="40"/>
      <c r="F1261" s="49" t="str">
        <f t="shared" ref="F1261:J1261" ca="1" si="1259">IFERROR(__xludf.DUMMYFUNCTION("if (A1261 &lt;&gt; """", GOOGLETRANSLATE(A1261, ""auto"", ""en""), """")"),"You do not help")</f>
        <v>You do not help</v>
      </c>
      <c r="G1261" s="49" t="str">
        <f t="shared" ca="1" si="1259"/>
        <v>You do not help</v>
      </c>
      <c r="H1261" s="49" t="str">
        <f t="shared" ca="1" si="1259"/>
        <v>You do not help</v>
      </c>
      <c r="I1261" s="49" t="str">
        <f t="shared" ca="1" si="1259"/>
        <v>You do not help</v>
      </c>
      <c r="J1261" s="49" t="str">
        <f t="shared" ca="1" si="1259"/>
        <v>You do not help</v>
      </c>
    </row>
    <row r="1262" spans="1:10" ht="12.75" x14ac:dyDescent="0.2">
      <c r="A1262" s="40"/>
      <c r="B1262" s="40"/>
      <c r="C1262" s="40"/>
      <c r="D1262" s="40"/>
      <c r="E1262" s="40"/>
      <c r="F1262" s="49" t="str">
        <f t="shared" ref="F1262:J1262" ca="1" si="1260">IFERROR(__xludf.DUMMYFUNCTION("if (A1262 &lt;&gt; """", GOOGLETRANSLATE(A1262, ""auto"", ""en""), """")"),"")</f>
        <v/>
      </c>
      <c r="G1262" s="49" t="str">
        <f t="shared" ca="1" si="1260"/>
        <v/>
      </c>
      <c r="H1262" s="49" t="str">
        <f t="shared" ca="1" si="1260"/>
        <v/>
      </c>
      <c r="I1262" s="49" t="str">
        <f t="shared" ca="1" si="1260"/>
        <v/>
      </c>
      <c r="J1262" s="49" t="str">
        <f t="shared" ca="1" si="1260"/>
        <v/>
      </c>
    </row>
    <row r="1263" spans="1:10" ht="25.5" x14ac:dyDescent="0.2">
      <c r="A1263" s="41" t="s">
        <v>939</v>
      </c>
      <c r="B1263" s="40"/>
      <c r="C1263" s="40"/>
      <c r="D1263" s="40"/>
      <c r="E1263" s="40"/>
      <c r="F1263" s="49" t="str">
        <f t="shared" ref="F1263:J1263" ca="1" si="1261">IFERROR(__xludf.DUMMYFUNCTION("if (A1263 &lt;&gt; """", GOOGLETRANSLATE(A1263, ""auto"", ""en""), """")"),"smalltalk.agent.beautiful")</f>
        <v>smalltalk.agent.beautiful</v>
      </c>
      <c r="G1263" s="49" t="str">
        <f t="shared" ca="1" si="1261"/>
        <v>smalltalk.agent.beautiful</v>
      </c>
      <c r="H1263" s="49" t="str">
        <f t="shared" ca="1" si="1261"/>
        <v>smalltalk.agent.beautiful</v>
      </c>
      <c r="I1263" s="49" t="str">
        <f t="shared" ca="1" si="1261"/>
        <v>smalltalk.agent.beautiful</v>
      </c>
      <c r="J1263" s="49" t="str">
        <f t="shared" ca="1" si="1261"/>
        <v>smalltalk.agent.beautiful</v>
      </c>
    </row>
    <row r="1264" spans="1:10" ht="12.75" x14ac:dyDescent="0.2">
      <c r="A1264" s="40"/>
      <c r="B1264" s="41" t="s">
        <v>398</v>
      </c>
      <c r="C1264" s="40"/>
      <c r="D1264" s="40"/>
      <c r="E1264" s="40"/>
      <c r="F1264" s="49" t="str">
        <f t="shared" ref="F1264:J1264" ca="1" si="1262">IFERROR(__xludf.DUMMYFUNCTION("if (A1264 &lt;&gt; """", GOOGLETRANSLATE(A1264, ""auto"", ""en""), """")"),"")</f>
        <v/>
      </c>
      <c r="G1264" s="49" t="str">
        <f t="shared" ca="1" si="1262"/>
        <v/>
      </c>
      <c r="H1264" s="49" t="str">
        <f t="shared" ca="1" si="1262"/>
        <v/>
      </c>
      <c r="I1264" s="49" t="str">
        <f t="shared" ca="1" si="1262"/>
        <v/>
      </c>
      <c r="J1264" s="49" t="str">
        <f t="shared" ca="1" si="1262"/>
        <v/>
      </c>
    </row>
    <row r="1265" spans="1:10" ht="12.75" x14ac:dyDescent="0.2">
      <c r="A1265" s="40"/>
      <c r="B1265" s="41" t="s">
        <v>399</v>
      </c>
      <c r="C1265" s="40"/>
      <c r="D1265" s="40"/>
      <c r="E1265" s="40"/>
      <c r="F1265" s="49" t="str">
        <f t="shared" ref="F1265:J1265" ca="1" si="1263">IFERROR(__xludf.DUMMYFUNCTION("if (A1265 &lt;&gt; """", GOOGLETRANSLATE(A1265, ""auto"", ""en""), """")"),"")</f>
        <v/>
      </c>
      <c r="G1265" s="49" t="str">
        <f t="shared" ca="1" si="1263"/>
        <v/>
      </c>
      <c r="H1265" s="49" t="str">
        <f t="shared" ca="1" si="1263"/>
        <v/>
      </c>
      <c r="I1265" s="49" t="str">
        <f t="shared" ca="1" si="1263"/>
        <v/>
      </c>
      <c r="J1265" s="49" t="str">
        <f t="shared" ca="1" si="1263"/>
        <v/>
      </c>
    </row>
    <row r="1266" spans="1:10" ht="12.75" x14ac:dyDescent="0.2">
      <c r="A1266" s="40"/>
      <c r="B1266" s="41" t="s">
        <v>400</v>
      </c>
      <c r="C1266" s="41" t="s">
        <v>939</v>
      </c>
      <c r="D1266" s="40"/>
      <c r="E1266" s="40"/>
      <c r="F1266" s="49" t="str">
        <f t="shared" ref="F1266:J1266" ca="1" si="1264">IFERROR(__xludf.DUMMYFUNCTION("if (A1266 &lt;&gt; """", GOOGLETRANSLATE(A1266, ""auto"", ""en""), """")"),"")</f>
        <v/>
      </c>
      <c r="G1266" s="49" t="str">
        <f t="shared" ca="1" si="1264"/>
        <v/>
      </c>
      <c r="H1266" s="49" t="str">
        <f t="shared" ca="1" si="1264"/>
        <v/>
      </c>
      <c r="I1266" s="49" t="str">
        <f t="shared" ca="1" si="1264"/>
        <v/>
      </c>
      <c r="J1266" s="49" t="str">
        <f t="shared" ca="1" si="1264"/>
        <v/>
      </c>
    </row>
    <row r="1267" spans="1:10" ht="12.75" x14ac:dyDescent="0.2">
      <c r="A1267" s="40"/>
      <c r="B1267" s="41" t="s">
        <v>401</v>
      </c>
      <c r="C1267" s="40"/>
      <c r="D1267" s="40"/>
      <c r="E1267" s="40"/>
      <c r="F1267" s="49" t="str">
        <f t="shared" ref="F1267:J1267" ca="1" si="1265">IFERROR(__xludf.DUMMYFUNCTION("if (A1267 &lt;&gt; """", GOOGLETRANSLATE(A1267, ""auto"", ""en""), """")"),"")</f>
        <v/>
      </c>
      <c r="G1267" s="49" t="str">
        <f t="shared" ca="1" si="1265"/>
        <v/>
      </c>
      <c r="H1267" s="49" t="str">
        <f t="shared" ca="1" si="1265"/>
        <v/>
      </c>
      <c r="I1267" s="49" t="str">
        <f t="shared" ca="1" si="1265"/>
        <v/>
      </c>
      <c r="J1267" s="49" t="str">
        <f t="shared" ca="1" si="1265"/>
        <v/>
      </c>
    </row>
    <row r="1268" spans="1:10" ht="25.5" x14ac:dyDescent="0.2">
      <c r="A1268" s="41" t="s">
        <v>337</v>
      </c>
      <c r="B1268" s="41" t="s">
        <v>402</v>
      </c>
      <c r="C1268" s="41" t="s">
        <v>940</v>
      </c>
      <c r="D1268" s="40"/>
      <c r="E1268" s="40"/>
      <c r="F1268" s="49" t="str">
        <f t="shared" ref="F1268:J1268" ca="1" si="1266">IFERROR(__xludf.DUMMYFUNCTION("if (A1268 &lt;&gt; """", GOOGLETRANSLATE(A1268, ""auto"", ""en""), """")"),"cute")</f>
        <v>cute</v>
      </c>
      <c r="G1268" s="49" t="str">
        <f t="shared" ca="1" si="1266"/>
        <v>cute</v>
      </c>
      <c r="H1268" s="49" t="str">
        <f t="shared" ca="1" si="1266"/>
        <v>cute</v>
      </c>
      <c r="I1268" s="49" t="str">
        <f t="shared" ca="1" si="1266"/>
        <v>cute</v>
      </c>
      <c r="J1268" s="49" t="str">
        <f t="shared" ca="1" si="1266"/>
        <v>cute</v>
      </c>
    </row>
    <row r="1269" spans="1:10" ht="25.5" x14ac:dyDescent="0.2">
      <c r="A1269" s="41" t="s">
        <v>941</v>
      </c>
      <c r="B1269" s="40"/>
      <c r="C1269" s="40"/>
      <c r="D1269" s="40"/>
      <c r="E1269" s="40"/>
      <c r="F1269" s="49" t="str">
        <f t="shared" ref="F1269:J1269" ca="1" si="1267">IFERROR(__xludf.DUMMYFUNCTION("if (A1269 &lt;&gt; """", GOOGLETRANSLATE(A1269, ""auto"", ""en""), """")"),"That's attractive")</f>
        <v>That's attractive</v>
      </c>
      <c r="G1269" s="49" t="str">
        <f t="shared" ca="1" si="1267"/>
        <v>That's attractive</v>
      </c>
      <c r="H1269" s="49" t="str">
        <f t="shared" ca="1" si="1267"/>
        <v>That's attractive</v>
      </c>
      <c r="I1269" s="49" t="str">
        <f t="shared" ca="1" si="1267"/>
        <v>That's attractive</v>
      </c>
      <c r="J1269" s="49" t="str">
        <f t="shared" ca="1" si="1267"/>
        <v>That's attractive</v>
      </c>
    </row>
    <row r="1270" spans="1:10" ht="25.5" x14ac:dyDescent="0.2">
      <c r="A1270" s="41" t="s">
        <v>942</v>
      </c>
      <c r="B1270" s="40"/>
      <c r="C1270" s="40"/>
      <c r="D1270" s="40"/>
      <c r="E1270" s="40"/>
      <c r="F1270" s="49" t="str">
        <f t="shared" ref="F1270:J1270" ca="1" si="1268">IFERROR(__xludf.DUMMYFUNCTION("if (A1270 &lt;&gt; """", GOOGLETRANSLATE(A1270, ""auto"", ""en""), """")"),"You look beautiful")</f>
        <v>You look beautiful</v>
      </c>
      <c r="G1270" s="49" t="str">
        <f t="shared" ca="1" si="1268"/>
        <v>You look beautiful</v>
      </c>
      <c r="H1270" s="49" t="str">
        <f t="shared" ca="1" si="1268"/>
        <v>You look beautiful</v>
      </c>
      <c r="I1270" s="49" t="str">
        <f t="shared" ca="1" si="1268"/>
        <v>You look beautiful</v>
      </c>
      <c r="J1270" s="49" t="str">
        <f t="shared" ca="1" si="1268"/>
        <v>You look beautiful</v>
      </c>
    </row>
    <row r="1271" spans="1:10" ht="25.5" x14ac:dyDescent="0.2">
      <c r="A1271" s="41" t="s">
        <v>943</v>
      </c>
      <c r="B1271" s="40"/>
      <c r="C1271" s="40"/>
      <c r="D1271" s="40"/>
      <c r="E1271" s="40"/>
      <c r="F1271" s="49" t="str">
        <f t="shared" ref="F1271:J1271" ca="1" si="1269">IFERROR(__xludf.DUMMYFUNCTION("if (A1271 &lt;&gt; """", GOOGLETRANSLATE(A1271, ""auto"", ""en""), """")"),"It is nice today")</f>
        <v>It is nice today</v>
      </c>
      <c r="G1271" s="49" t="str">
        <f t="shared" ca="1" si="1269"/>
        <v>It is nice today</v>
      </c>
      <c r="H1271" s="49" t="str">
        <f t="shared" ca="1" si="1269"/>
        <v>It is nice today</v>
      </c>
      <c r="I1271" s="49" t="str">
        <f t="shared" ca="1" si="1269"/>
        <v>It is nice today</v>
      </c>
      <c r="J1271" s="49" t="str">
        <f t="shared" ca="1" si="1269"/>
        <v>It is nice today</v>
      </c>
    </row>
    <row r="1272" spans="1:10" ht="25.5" x14ac:dyDescent="0.2">
      <c r="A1272" s="41" t="s">
        <v>944</v>
      </c>
      <c r="B1272" s="40"/>
      <c r="C1272" s="40"/>
      <c r="D1272" s="40"/>
      <c r="E1272" s="40"/>
      <c r="F1272" s="49" t="str">
        <f t="shared" ref="F1272:J1272" ca="1" si="1270">IFERROR(__xludf.DUMMYFUNCTION("if (A1272 &lt;&gt; """", GOOGLETRANSLATE(A1272, ""auto"", ""en""), """")"),"You are very beautiful")</f>
        <v>You are very beautiful</v>
      </c>
      <c r="G1272" s="49" t="str">
        <f t="shared" ca="1" si="1270"/>
        <v>You are very beautiful</v>
      </c>
      <c r="H1272" s="49" t="str">
        <f t="shared" ca="1" si="1270"/>
        <v>You are very beautiful</v>
      </c>
      <c r="I1272" s="49" t="str">
        <f t="shared" ca="1" si="1270"/>
        <v>You are very beautiful</v>
      </c>
      <c r="J1272" s="49" t="str">
        <f t="shared" ca="1" si="1270"/>
        <v>You are very beautiful</v>
      </c>
    </row>
    <row r="1273" spans="1:10" ht="25.5" x14ac:dyDescent="0.2">
      <c r="A1273" s="41" t="s">
        <v>946</v>
      </c>
      <c r="B1273" s="40"/>
      <c r="C1273" s="40"/>
      <c r="D1273" s="40"/>
      <c r="E1273" s="40"/>
      <c r="F1273" s="49" t="str">
        <f t="shared" ref="F1273:J1273" ca="1" si="1271">IFERROR(__xludf.DUMMYFUNCTION("if (A1273 &lt;&gt; """", GOOGLETRANSLATE(A1273, ""auto"", ""en""), """")"),"You are wonderful")</f>
        <v>You are wonderful</v>
      </c>
      <c r="G1273" s="49" t="str">
        <f t="shared" ca="1" si="1271"/>
        <v>You are wonderful</v>
      </c>
      <c r="H1273" s="49" t="str">
        <f t="shared" ca="1" si="1271"/>
        <v>You are wonderful</v>
      </c>
      <c r="I1273" s="49" t="str">
        <f t="shared" ca="1" si="1271"/>
        <v>You are wonderful</v>
      </c>
      <c r="J1273" s="49" t="str">
        <f t="shared" ca="1" si="1271"/>
        <v>You are wonderful</v>
      </c>
    </row>
    <row r="1274" spans="1:10" ht="12.75" x14ac:dyDescent="0.2">
      <c r="A1274" s="41" t="s">
        <v>947</v>
      </c>
      <c r="B1274" s="40"/>
      <c r="C1274" s="40"/>
      <c r="D1274" s="40"/>
      <c r="E1274" s="40"/>
      <c r="F1274" s="49" t="str">
        <f t="shared" ref="F1274:J1274" ca="1" si="1272">IFERROR(__xludf.DUMMYFUNCTION("if (A1274 &lt;&gt; """", GOOGLETRANSLATE(A1274, ""auto"", ""en""), """")"),"It is nice")</f>
        <v>It is nice</v>
      </c>
      <c r="G1274" s="49" t="str">
        <f t="shared" ca="1" si="1272"/>
        <v>It is nice</v>
      </c>
      <c r="H1274" s="49" t="str">
        <f t="shared" ca="1" si="1272"/>
        <v>It is nice</v>
      </c>
      <c r="I1274" s="49" t="str">
        <f t="shared" ca="1" si="1272"/>
        <v>It is nice</v>
      </c>
      <c r="J1274" s="49" t="str">
        <f t="shared" ca="1" si="1272"/>
        <v>It is nice</v>
      </c>
    </row>
    <row r="1275" spans="1:10" ht="12.75" x14ac:dyDescent="0.2">
      <c r="A1275" s="41" t="s">
        <v>948</v>
      </c>
      <c r="B1275" s="40"/>
      <c r="C1275" s="40"/>
      <c r="D1275" s="40"/>
      <c r="E1275" s="40"/>
      <c r="F1275" s="49" t="str">
        <f t="shared" ref="F1275:J1275" ca="1" si="1273">IFERROR(__xludf.DUMMYFUNCTION("if (A1275 &lt;&gt; """", GOOGLETRANSLATE(A1275, ""auto"", ""en""), """")"),"Fantastic")</f>
        <v>Fantastic</v>
      </c>
      <c r="G1275" s="49" t="str">
        <f t="shared" ca="1" si="1273"/>
        <v>Fantastic</v>
      </c>
      <c r="H1275" s="49" t="str">
        <f t="shared" ca="1" si="1273"/>
        <v>Fantastic</v>
      </c>
      <c r="I1275" s="49" t="str">
        <f t="shared" ca="1" si="1273"/>
        <v>Fantastic</v>
      </c>
      <c r="J1275" s="49" t="str">
        <f t="shared" ca="1" si="1273"/>
        <v>Fantastic</v>
      </c>
    </row>
    <row r="1276" spans="1:10" ht="25.5" x14ac:dyDescent="0.2">
      <c r="A1276" s="41" t="s">
        <v>950</v>
      </c>
      <c r="B1276" s="40"/>
      <c r="C1276" s="40"/>
      <c r="D1276" s="40"/>
      <c r="E1276" s="40"/>
      <c r="F1276" s="49" t="str">
        <f t="shared" ref="F1276:J1276" ca="1" si="1274">IFERROR(__xludf.DUMMYFUNCTION("if (A1276 &lt;&gt; """", GOOGLETRANSLATE(A1276, ""auto"", ""en""), """")"),"You are too beautiful")</f>
        <v>You are too beautiful</v>
      </c>
      <c r="G1276" s="49" t="str">
        <f t="shared" ca="1" si="1274"/>
        <v>You are too beautiful</v>
      </c>
      <c r="H1276" s="49" t="str">
        <f t="shared" ca="1" si="1274"/>
        <v>You are too beautiful</v>
      </c>
      <c r="I1276" s="49" t="str">
        <f t="shared" ca="1" si="1274"/>
        <v>You are too beautiful</v>
      </c>
      <c r="J1276" s="49" t="str">
        <f t="shared" ca="1" si="1274"/>
        <v>You are too beautiful</v>
      </c>
    </row>
    <row r="1277" spans="1:10" ht="12.75" x14ac:dyDescent="0.2">
      <c r="A1277" s="41" t="s">
        <v>951</v>
      </c>
      <c r="B1277" s="40"/>
      <c r="C1277" s="40"/>
      <c r="D1277" s="40"/>
      <c r="E1277" s="40"/>
      <c r="F1277" s="49" t="str">
        <f t="shared" ref="F1277:J1277" ca="1" si="1275">IFERROR(__xludf.DUMMYFUNCTION("if (A1277 &lt;&gt; """", GOOGLETRANSLATE(A1277, ""auto"", ""en""), """")"),"great")</f>
        <v>great</v>
      </c>
      <c r="G1277" s="49" t="str">
        <f t="shared" ca="1" si="1275"/>
        <v>great</v>
      </c>
      <c r="H1277" s="49" t="str">
        <f t="shared" ca="1" si="1275"/>
        <v>great</v>
      </c>
      <c r="I1277" s="49" t="str">
        <f t="shared" ca="1" si="1275"/>
        <v>great</v>
      </c>
      <c r="J1277" s="49" t="str">
        <f t="shared" ca="1" si="1275"/>
        <v>great</v>
      </c>
    </row>
    <row r="1278" spans="1:10" ht="12.75" x14ac:dyDescent="0.2">
      <c r="A1278" s="40"/>
      <c r="B1278" s="40"/>
      <c r="C1278" s="40"/>
      <c r="D1278" s="40"/>
      <c r="E1278" s="40"/>
      <c r="F1278" s="49" t="str">
        <f t="shared" ref="F1278:J1278" ca="1" si="1276">IFERROR(__xludf.DUMMYFUNCTION("if (A1278 &lt;&gt; """", GOOGLETRANSLATE(A1278, ""auto"", ""en""), """")"),"")</f>
        <v/>
      </c>
      <c r="G1278" s="49" t="str">
        <f t="shared" ca="1" si="1276"/>
        <v/>
      </c>
      <c r="H1278" s="49" t="str">
        <f t="shared" ca="1" si="1276"/>
        <v/>
      </c>
      <c r="I1278" s="49" t="str">
        <f t="shared" ca="1" si="1276"/>
        <v/>
      </c>
      <c r="J1278" s="49" t="str">
        <f t="shared" ca="1" si="1276"/>
        <v/>
      </c>
    </row>
    <row r="1279" spans="1:10" ht="25.5" x14ac:dyDescent="0.2">
      <c r="A1279" s="41" t="s">
        <v>953</v>
      </c>
      <c r="B1279" s="40"/>
      <c r="C1279" s="40"/>
      <c r="D1279" s="40"/>
      <c r="E1279" s="40"/>
      <c r="F1279" s="49" t="str">
        <f t="shared" ref="F1279:J1279" ca="1" si="1277">IFERROR(__xludf.DUMMYFUNCTION("if (A1279 &lt;&gt; """", GOOGLETRANSLATE(A1279, ""auto"", ""en""), """")"),"smalltalk.agent.been_doing")</f>
        <v>smalltalk.agent.been_doing</v>
      </c>
      <c r="G1279" s="49" t="str">
        <f t="shared" ca="1" si="1277"/>
        <v>smalltalk.agent.been_doing</v>
      </c>
      <c r="H1279" s="49" t="str">
        <f t="shared" ca="1" si="1277"/>
        <v>smalltalk.agent.been_doing</v>
      </c>
      <c r="I1279" s="49" t="str">
        <f t="shared" ca="1" si="1277"/>
        <v>smalltalk.agent.been_doing</v>
      </c>
      <c r="J1279" s="49" t="str">
        <f t="shared" ca="1" si="1277"/>
        <v>smalltalk.agent.been_doing</v>
      </c>
    </row>
    <row r="1280" spans="1:10" ht="12.75" x14ac:dyDescent="0.2">
      <c r="A1280" s="40"/>
      <c r="B1280" s="41" t="s">
        <v>398</v>
      </c>
      <c r="C1280" s="40"/>
      <c r="D1280" s="40"/>
      <c r="E1280" s="40"/>
      <c r="F1280" s="49" t="str">
        <f t="shared" ref="F1280:J1280" ca="1" si="1278">IFERROR(__xludf.DUMMYFUNCTION("if (A1280 &lt;&gt; """", GOOGLETRANSLATE(A1280, ""auto"", ""en""), """")"),"")</f>
        <v/>
      </c>
      <c r="G1280" s="49" t="str">
        <f t="shared" ca="1" si="1278"/>
        <v/>
      </c>
      <c r="H1280" s="49" t="str">
        <f t="shared" ca="1" si="1278"/>
        <v/>
      </c>
      <c r="I1280" s="49" t="str">
        <f t="shared" ca="1" si="1278"/>
        <v/>
      </c>
      <c r="J1280" s="49" t="str">
        <f t="shared" ca="1" si="1278"/>
        <v/>
      </c>
    </row>
    <row r="1281" spans="1:10" ht="12.75" x14ac:dyDescent="0.2">
      <c r="A1281" s="40"/>
      <c r="B1281" s="41" t="s">
        <v>399</v>
      </c>
      <c r="C1281" s="40"/>
      <c r="D1281" s="40"/>
      <c r="E1281" s="40"/>
      <c r="F1281" s="49" t="str">
        <f t="shared" ref="F1281:J1281" ca="1" si="1279">IFERROR(__xludf.DUMMYFUNCTION("if (A1281 &lt;&gt; """", GOOGLETRANSLATE(A1281, ""auto"", ""en""), """")"),"")</f>
        <v/>
      </c>
      <c r="G1281" s="49" t="str">
        <f t="shared" ca="1" si="1279"/>
        <v/>
      </c>
      <c r="H1281" s="49" t="str">
        <f t="shared" ca="1" si="1279"/>
        <v/>
      </c>
      <c r="I1281" s="49" t="str">
        <f t="shared" ca="1" si="1279"/>
        <v/>
      </c>
      <c r="J1281" s="49" t="str">
        <f t="shared" ca="1" si="1279"/>
        <v/>
      </c>
    </row>
    <row r="1282" spans="1:10" ht="12.75" x14ac:dyDescent="0.2">
      <c r="A1282" s="40"/>
      <c r="B1282" s="41" t="s">
        <v>400</v>
      </c>
      <c r="C1282" s="41" t="s">
        <v>953</v>
      </c>
      <c r="D1282" s="40"/>
      <c r="E1282" s="40"/>
      <c r="F1282" s="49" t="str">
        <f t="shared" ref="F1282:J1282" ca="1" si="1280">IFERROR(__xludf.DUMMYFUNCTION("if (A1282 &lt;&gt; """", GOOGLETRANSLATE(A1282, ""auto"", ""en""), """")"),"")</f>
        <v/>
      </c>
      <c r="G1282" s="49" t="str">
        <f t="shared" ca="1" si="1280"/>
        <v/>
      </c>
      <c r="H1282" s="49" t="str">
        <f t="shared" ca="1" si="1280"/>
        <v/>
      </c>
      <c r="I1282" s="49" t="str">
        <f t="shared" ca="1" si="1280"/>
        <v/>
      </c>
      <c r="J1282" s="49" t="str">
        <f t="shared" ca="1" si="1280"/>
        <v/>
      </c>
    </row>
    <row r="1283" spans="1:10" ht="12.75" x14ac:dyDescent="0.2">
      <c r="A1283" s="40"/>
      <c r="B1283" s="41" t="s">
        <v>401</v>
      </c>
      <c r="C1283" s="40"/>
      <c r="D1283" s="40"/>
      <c r="E1283" s="40"/>
      <c r="F1283" s="49" t="str">
        <f t="shared" ref="F1283:J1283" ca="1" si="1281">IFERROR(__xludf.DUMMYFUNCTION("if (A1283 &lt;&gt; """", GOOGLETRANSLATE(A1283, ""auto"", ""en""), """")"),"")</f>
        <v/>
      </c>
      <c r="G1283" s="49" t="str">
        <f t="shared" ca="1" si="1281"/>
        <v/>
      </c>
      <c r="H1283" s="49" t="str">
        <f t="shared" ca="1" si="1281"/>
        <v/>
      </c>
      <c r="I1283" s="49" t="str">
        <f t="shared" ca="1" si="1281"/>
        <v/>
      </c>
      <c r="J1283" s="49" t="str">
        <f t="shared" ca="1" si="1281"/>
        <v/>
      </c>
    </row>
    <row r="1284" spans="1:10" ht="38.25" x14ac:dyDescent="0.2">
      <c r="A1284" s="41" t="s">
        <v>954</v>
      </c>
      <c r="B1284" s="41" t="s">
        <v>402</v>
      </c>
      <c r="C1284" s="41" t="s">
        <v>955</v>
      </c>
      <c r="D1284" s="40"/>
      <c r="E1284" s="40"/>
      <c r="F1284" s="49" t="str">
        <f t="shared" ref="F1284:J1284" ca="1" si="1282">IFERROR(__xludf.DUMMYFUNCTION("if (A1284 &lt;&gt; """", GOOGLETRANSLATE(A1284, ""auto"", ""en""), """")"),"Did you have what you until now")</f>
        <v>Did you have what you until now</v>
      </c>
      <c r="G1284" s="49" t="str">
        <f t="shared" ca="1" si="1282"/>
        <v>Did you have what you until now</v>
      </c>
      <c r="H1284" s="49" t="str">
        <f t="shared" ca="1" si="1282"/>
        <v>Did you have what you until now</v>
      </c>
      <c r="I1284" s="49" t="str">
        <f t="shared" ca="1" si="1282"/>
        <v>Did you have what you until now</v>
      </c>
      <c r="J1284" s="49" t="str">
        <f t="shared" ca="1" si="1282"/>
        <v>Did you have what you until now</v>
      </c>
    </row>
    <row r="1285" spans="1:10" ht="38.25" x14ac:dyDescent="0.2">
      <c r="A1285" s="41" t="s">
        <v>957</v>
      </c>
      <c r="B1285" s="40"/>
      <c r="C1285" s="40"/>
      <c r="D1285" s="40"/>
      <c r="E1285" s="40"/>
      <c r="F1285" s="49" t="str">
        <f t="shared" ref="F1285:J1285" ca="1" si="1283">IFERROR(__xludf.DUMMYFUNCTION("if (A1285 &lt;&gt; """", GOOGLETRANSLATE(A1285, ""auto"", ""en""), """")"),"What were you doing tonight")</f>
        <v>What were you doing tonight</v>
      </c>
      <c r="G1285" s="49" t="str">
        <f t="shared" ca="1" si="1283"/>
        <v>What were you doing tonight</v>
      </c>
      <c r="H1285" s="49" t="str">
        <f t="shared" ca="1" si="1283"/>
        <v>What were you doing tonight</v>
      </c>
      <c r="I1285" s="49" t="str">
        <f t="shared" ca="1" si="1283"/>
        <v>What were you doing tonight</v>
      </c>
      <c r="J1285" s="49" t="str">
        <f t="shared" ca="1" si="1283"/>
        <v>What were you doing tonight</v>
      </c>
    </row>
    <row r="1286" spans="1:10" ht="25.5" x14ac:dyDescent="0.2">
      <c r="A1286" s="41" t="s">
        <v>959</v>
      </c>
      <c r="B1286" s="40"/>
      <c r="C1286" s="40"/>
      <c r="D1286" s="40"/>
      <c r="E1286" s="40"/>
      <c r="F1286" s="49" t="str">
        <f t="shared" ref="F1286:J1286" ca="1" si="1284">IFERROR(__xludf.DUMMYFUNCTION("if (A1286 &lt;&gt; """", GOOGLETRANSLATE(A1286, ""auto"", ""en""), """")"),"Did I do the place of here")</f>
        <v>Did I do the place of here</v>
      </c>
      <c r="G1286" s="49" t="str">
        <f t="shared" ca="1" si="1284"/>
        <v>Did I do the place of here</v>
      </c>
      <c r="H1286" s="49" t="str">
        <f t="shared" ca="1" si="1284"/>
        <v>Did I do the place of here</v>
      </c>
      <c r="I1286" s="49" t="str">
        <f t="shared" ca="1" si="1284"/>
        <v>Did I do the place of here</v>
      </c>
      <c r="J1286" s="49" t="str">
        <f t="shared" ca="1" si="1284"/>
        <v>Did I do the place of here</v>
      </c>
    </row>
    <row r="1287" spans="1:10" ht="25.5" x14ac:dyDescent="0.2">
      <c r="A1287" s="41" t="s">
        <v>961</v>
      </c>
      <c r="B1287" s="40"/>
      <c r="C1287" s="40"/>
      <c r="D1287" s="40"/>
      <c r="E1287" s="40"/>
      <c r="F1287" s="49" t="str">
        <f t="shared" ref="F1287:J1287" ca="1" si="1285">IFERROR(__xludf.DUMMYFUNCTION("if (A1287 &lt;&gt; """", GOOGLETRANSLATE(A1287, ""auto"", ""en""), """")"),"Did we do from parted")</f>
        <v>Did we do from parted</v>
      </c>
      <c r="G1287" s="49" t="str">
        <f t="shared" ca="1" si="1285"/>
        <v>Did we do from parted</v>
      </c>
      <c r="H1287" s="49" t="str">
        <f t="shared" ca="1" si="1285"/>
        <v>Did we do from parted</v>
      </c>
      <c r="I1287" s="49" t="str">
        <f t="shared" ca="1" si="1285"/>
        <v>Did we do from parted</v>
      </c>
      <c r="J1287" s="49" t="str">
        <f t="shared" ca="1" si="1285"/>
        <v>Did we do from parted</v>
      </c>
    </row>
    <row r="1288" spans="1:10" ht="25.5" x14ac:dyDescent="0.2">
      <c r="A1288" s="41" t="s">
        <v>962</v>
      </c>
      <c r="B1288" s="40"/>
      <c r="C1288" s="40"/>
      <c r="D1288" s="40"/>
      <c r="E1288" s="40"/>
      <c r="F1288" s="49" t="str">
        <f t="shared" ref="F1288:J1288" ca="1" si="1286">IFERROR(__xludf.DUMMYFUNCTION("if (A1288 &lt;&gt; """", GOOGLETRANSLATE(A1288, ""auto"", ""en""), """")"),"In the How do you recently")</f>
        <v>In the How do you recently</v>
      </c>
      <c r="G1288" s="49" t="str">
        <f t="shared" ca="1" si="1286"/>
        <v>In the How do you recently</v>
      </c>
      <c r="H1288" s="49" t="str">
        <f t="shared" ca="1" si="1286"/>
        <v>In the How do you recently</v>
      </c>
      <c r="I1288" s="49" t="str">
        <f t="shared" ca="1" si="1286"/>
        <v>In the How do you recently</v>
      </c>
      <c r="J1288" s="49" t="str">
        <f t="shared" ca="1" si="1286"/>
        <v>In the How do you recently</v>
      </c>
    </row>
    <row r="1289" spans="1:10" ht="25.5" x14ac:dyDescent="0.2">
      <c r="A1289" s="41" t="s">
        <v>964</v>
      </c>
      <c r="B1289" s="40"/>
      <c r="C1289" s="40"/>
      <c r="D1289" s="40"/>
      <c r="E1289" s="40"/>
      <c r="F1289" s="49" t="str">
        <f t="shared" ref="F1289:J1289" ca="1" si="1287">IFERROR(__xludf.DUMMYFUNCTION("if (A1289 &lt;&gt; """", GOOGLETRANSLATE(A1289, ""auto"", ""en""), """")"),"Did I do the meantime")</f>
        <v>Did I do the meantime</v>
      </c>
      <c r="G1289" s="49" t="str">
        <f t="shared" ca="1" si="1287"/>
        <v>Did I do the meantime</v>
      </c>
      <c r="H1289" s="49" t="str">
        <f t="shared" ca="1" si="1287"/>
        <v>Did I do the meantime</v>
      </c>
      <c r="I1289" s="49" t="str">
        <f t="shared" ca="1" si="1287"/>
        <v>Did I do the meantime</v>
      </c>
      <c r="J1289" s="49" t="str">
        <f t="shared" ca="1" si="1287"/>
        <v>Did I do the meantime</v>
      </c>
    </row>
    <row r="1290" spans="1:10" ht="38.25" x14ac:dyDescent="0.2">
      <c r="A1290" s="41" t="s">
        <v>965</v>
      </c>
      <c r="B1290" s="40"/>
      <c r="C1290" s="40"/>
      <c r="D1290" s="40"/>
      <c r="E1290" s="40"/>
      <c r="F1290" s="49" t="str">
        <f t="shared" ref="F1290:J1290" ca="1" si="1288">IFERROR(__xludf.DUMMYFUNCTION("if (A1290 &lt;&gt; """", GOOGLETRANSLATE(A1290, ""auto"", ""en""), """")"),"Did I do while I must not have")</f>
        <v>Did I do while I must not have</v>
      </c>
      <c r="G1290" s="49" t="str">
        <f t="shared" ca="1" si="1288"/>
        <v>Did I do while I must not have</v>
      </c>
      <c r="H1290" s="49" t="str">
        <f t="shared" ca="1" si="1288"/>
        <v>Did I do while I must not have</v>
      </c>
      <c r="I1290" s="49" t="str">
        <f t="shared" ca="1" si="1288"/>
        <v>Did I do while I must not have</v>
      </c>
      <c r="J1290" s="49" t="str">
        <f t="shared" ca="1" si="1288"/>
        <v>Did I do while I must not have</v>
      </c>
    </row>
    <row r="1291" spans="1:10" ht="25.5" x14ac:dyDescent="0.2">
      <c r="A1291" s="41" t="s">
        <v>967</v>
      </c>
      <c r="B1291" s="40"/>
      <c r="C1291" s="40"/>
      <c r="D1291" s="40"/>
      <c r="E1291" s="40"/>
      <c r="F1291" s="49" t="str">
        <f t="shared" ref="F1291:J1291" ca="1" si="1289">IFERROR(__xludf.DUMMYFUNCTION("if (A1291 &lt;&gt; """", GOOGLETRANSLATE(A1291, ""auto"", ""en""), """")"),"Did you if you I have not had")</f>
        <v>Did you if you I have not had</v>
      </c>
      <c r="G1291" s="49" t="str">
        <f t="shared" ca="1" si="1289"/>
        <v>Did you if you I have not had</v>
      </c>
      <c r="H1291" s="49" t="str">
        <f t="shared" ca="1" si="1289"/>
        <v>Did you if you I have not had</v>
      </c>
      <c r="I1291" s="49" t="str">
        <f t="shared" ca="1" si="1289"/>
        <v>Did you if you I have not had</v>
      </c>
      <c r="J1291" s="49" t="str">
        <f t="shared" ca="1" si="1289"/>
        <v>Did you if you I have not had</v>
      </c>
    </row>
    <row r="1292" spans="1:10" ht="38.25" x14ac:dyDescent="0.2">
      <c r="A1292" s="41" t="s">
        <v>969</v>
      </c>
      <c r="B1292" s="40"/>
      <c r="C1292" s="40"/>
      <c r="D1292" s="40"/>
      <c r="E1292" s="40"/>
      <c r="F1292" s="49" t="str">
        <f t="shared" ref="F1292:J1292" ca="1" si="1290">IFERROR(__xludf.DUMMYFUNCTION("if (A1292 &lt;&gt; """", GOOGLETRANSLATE(A1292, ""auto"", ""en""), """")"),"Did you do a few days, I have not")</f>
        <v>Did you do a few days, I have not</v>
      </c>
      <c r="G1292" s="49" t="str">
        <f t="shared" ca="1" si="1290"/>
        <v>Did you do a few days, I have not</v>
      </c>
      <c r="H1292" s="49" t="str">
        <f t="shared" ca="1" si="1290"/>
        <v>Did you do a few days, I have not</v>
      </c>
      <c r="I1292" s="49" t="str">
        <f t="shared" ca="1" si="1290"/>
        <v>Did you do a few days, I have not</v>
      </c>
      <c r="J1292" s="49" t="str">
        <f t="shared" ca="1" si="1290"/>
        <v>Did you do a few days, I have not</v>
      </c>
    </row>
    <row r="1293" spans="1:10" ht="12.75" x14ac:dyDescent="0.2">
      <c r="A1293" s="40"/>
      <c r="B1293" s="40"/>
      <c r="C1293" s="40"/>
      <c r="D1293" s="40"/>
      <c r="E1293" s="40"/>
      <c r="F1293" s="49" t="str">
        <f t="shared" ref="F1293:J1293" ca="1" si="1291">IFERROR(__xludf.DUMMYFUNCTION("if (A1293 &lt;&gt; """", GOOGLETRANSLATE(A1293, ""auto"", ""en""), """")"),"")</f>
        <v/>
      </c>
      <c r="G1293" s="49" t="str">
        <f t="shared" ca="1" si="1291"/>
        <v/>
      </c>
      <c r="H1293" s="49" t="str">
        <f t="shared" ca="1" si="1291"/>
        <v/>
      </c>
      <c r="I1293" s="49" t="str">
        <f t="shared" ca="1" si="1291"/>
        <v/>
      </c>
      <c r="J1293" s="49" t="str">
        <f t="shared" ca="1" si="1291"/>
        <v/>
      </c>
    </row>
    <row r="1294" spans="1:10" ht="25.5" x14ac:dyDescent="0.2">
      <c r="A1294" s="41" t="s">
        <v>916</v>
      </c>
      <c r="B1294" s="40"/>
      <c r="C1294" s="40"/>
      <c r="D1294" s="40"/>
      <c r="E1294" s="40"/>
      <c r="F1294" s="49" t="str">
        <f t="shared" ref="F1294:J1294" ca="1" si="1292">IFERROR(__xludf.DUMMYFUNCTION("if (A1294 &lt;&gt; """", GOOGLETRANSLATE(A1294, ""auto"", ""en""), """")"),"smalltalk.agent.be_clever")</f>
        <v>smalltalk.agent.be_clever</v>
      </c>
      <c r="G1294" s="49" t="str">
        <f t="shared" ca="1" si="1292"/>
        <v>smalltalk.agent.be_clever</v>
      </c>
      <c r="H1294" s="49" t="str">
        <f t="shared" ca="1" si="1292"/>
        <v>smalltalk.agent.be_clever</v>
      </c>
      <c r="I1294" s="49" t="str">
        <f t="shared" ca="1" si="1292"/>
        <v>smalltalk.agent.be_clever</v>
      </c>
      <c r="J1294" s="49" t="str">
        <f t="shared" ca="1" si="1292"/>
        <v>smalltalk.agent.be_clever</v>
      </c>
    </row>
    <row r="1295" spans="1:10" ht="12.75" x14ac:dyDescent="0.2">
      <c r="A1295" s="40"/>
      <c r="B1295" s="41" t="s">
        <v>398</v>
      </c>
      <c r="C1295" s="40"/>
      <c r="D1295" s="40"/>
      <c r="E1295" s="40"/>
      <c r="F1295" s="49" t="str">
        <f t="shared" ref="F1295:J1295" ca="1" si="1293">IFERROR(__xludf.DUMMYFUNCTION("if (A1295 &lt;&gt; """", GOOGLETRANSLATE(A1295, ""auto"", ""en""), """")"),"")</f>
        <v/>
      </c>
      <c r="G1295" s="49" t="str">
        <f t="shared" ca="1" si="1293"/>
        <v/>
      </c>
      <c r="H1295" s="49" t="str">
        <f t="shared" ca="1" si="1293"/>
        <v/>
      </c>
      <c r="I1295" s="49" t="str">
        <f t="shared" ca="1" si="1293"/>
        <v/>
      </c>
      <c r="J1295" s="49" t="str">
        <f t="shared" ca="1" si="1293"/>
        <v/>
      </c>
    </row>
    <row r="1296" spans="1:10" ht="12.75" x14ac:dyDescent="0.2">
      <c r="A1296" s="40"/>
      <c r="B1296" s="41" t="s">
        <v>399</v>
      </c>
      <c r="C1296" s="40"/>
      <c r="D1296" s="40"/>
      <c r="E1296" s="40"/>
      <c r="F1296" s="49" t="str">
        <f t="shared" ref="F1296:J1296" ca="1" si="1294">IFERROR(__xludf.DUMMYFUNCTION("if (A1296 &lt;&gt; """", GOOGLETRANSLATE(A1296, ""auto"", ""en""), """")"),"")</f>
        <v/>
      </c>
      <c r="G1296" s="49" t="str">
        <f t="shared" ca="1" si="1294"/>
        <v/>
      </c>
      <c r="H1296" s="49" t="str">
        <f t="shared" ca="1" si="1294"/>
        <v/>
      </c>
      <c r="I1296" s="49" t="str">
        <f t="shared" ca="1" si="1294"/>
        <v/>
      </c>
      <c r="J1296" s="49" t="str">
        <f t="shared" ca="1" si="1294"/>
        <v/>
      </c>
    </row>
    <row r="1297" spans="1:10" ht="12.75" x14ac:dyDescent="0.2">
      <c r="A1297" s="40"/>
      <c r="B1297" s="41" t="s">
        <v>400</v>
      </c>
      <c r="C1297" s="41" t="s">
        <v>916</v>
      </c>
      <c r="D1297" s="40"/>
      <c r="E1297" s="40"/>
      <c r="F1297" s="49" t="str">
        <f t="shared" ref="F1297:J1297" ca="1" si="1295">IFERROR(__xludf.DUMMYFUNCTION("if (A1297 &lt;&gt; """", GOOGLETRANSLATE(A1297, ""auto"", ""en""), """")"),"")</f>
        <v/>
      </c>
      <c r="G1297" s="49" t="str">
        <f t="shared" ca="1" si="1295"/>
        <v/>
      </c>
      <c r="H1297" s="49" t="str">
        <f t="shared" ca="1" si="1295"/>
        <v/>
      </c>
      <c r="I1297" s="49" t="str">
        <f t="shared" ca="1" si="1295"/>
        <v/>
      </c>
      <c r="J1297" s="49" t="str">
        <f t="shared" ca="1" si="1295"/>
        <v/>
      </c>
    </row>
    <row r="1298" spans="1:10" ht="12.75" x14ac:dyDescent="0.2">
      <c r="A1298" s="40"/>
      <c r="B1298" s="41" t="s">
        <v>401</v>
      </c>
      <c r="C1298" s="40"/>
      <c r="D1298" s="40"/>
      <c r="E1298" s="40"/>
      <c r="F1298" s="49" t="str">
        <f t="shared" ref="F1298:J1298" ca="1" si="1296">IFERROR(__xludf.DUMMYFUNCTION("if (A1298 &lt;&gt; """", GOOGLETRANSLATE(A1298, ""auto"", ""en""), """")"),"")</f>
        <v/>
      </c>
      <c r="G1298" s="49" t="str">
        <f t="shared" ca="1" si="1296"/>
        <v/>
      </c>
      <c r="H1298" s="49" t="str">
        <f t="shared" ca="1" si="1296"/>
        <v/>
      </c>
      <c r="I1298" s="49" t="str">
        <f t="shared" ca="1" si="1296"/>
        <v/>
      </c>
      <c r="J1298" s="49" t="str">
        <f t="shared" ca="1" si="1296"/>
        <v/>
      </c>
    </row>
    <row r="1299" spans="1:10" ht="25.5" x14ac:dyDescent="0.2">
      <c r="A1299" s="41" t="s">
        <v>917</v>
      </c>
      <c r="B1299" s="41" t="s">
        <v>402</v>
      </c>
      <c r="C1299" s="41" t="s">
        <v>918</v>
      </c>
      <c r="D1299" s="40"/>
      <c r="E1299" s="40"/>
      <c r="F1299" s="49" t="str">
        <f t="shared" ref="F1299:J1299" ca="1" si="1297">IFERROR(__xludf.DUMMYFUNCTION("if (A1299 &lt;&gt; """", GOOGLETRANSLATE(A1299, ""auto"", ""en""), """")"),"Study")</f>
        <v>Study</v>
      </c>
      <c r="G1299" s="49" t="str">
        <f t="shared" ca="1" si="1297"/>
        <v>Study</v>
      </c>
      <c r="H1299" s="49" t="str">
        <f t="shared" ca="1" si="1297"/>
        <v>Study</v>
      </c>
      <c r="I1299" s="49" t="str">
        <f t="shared" ca="1" si="1297"/>
        <v>Study</v>
      </c>
      <c r="J1299" s="49" t="str">
        <f t="shared" ca="1" si="1297"/>
        <v>Study</v>
      </c>
    </row>
    <row r="1300" spans="1:10" ht="25.5" x14ac:dyDescent="0.2">
      <c r="A1300" s="41" t="s">
        <v>919</v>
      </c>
      <c r="B1300" s="40"/>
      <c r="C1300" s="40"/>
      <c r="D1300" s="40"/>
      <c r="E1300" s="40"/>
      <c r="F1300" s="49" t="str">
        <f t="shared" ref="F1300:J1300" ca="1" si="1298">IFERROR(__xludf.DUMMYFUNCTION("if (A1300 &lt;&gt; """", GOOGLETRANSLATE(A1300, ""auto"", ""en""), """")"),"Become smarter")</f>
        <v>Become smarter</v>
      </c>
      <c r="G1300" s="49" t="str">
        <f t="shared" ca="1" si="1298"/>
        <v>Become smarter</v>
      </c>
      <c r="H1300" s="49" t="str">
        <f t="shared" ca="1" si="1298"/>
        <v>Become smarter</v>
      </c>
      <c r="I1300" s="49" t="str">
        <f t="shared" ca="1" si="1298"/>
        <v>Become smarter</v>
      </c>
      <c r="J1300" s="49" t="str">
        <f t="shared" ca="1" si="1298"/>
        <v>Become smarter</v>
      </c>
    </row>
    <row r="1301" spans="1:10" ht="25.5" x14ac:dyDescent="0.2">
      <c r="A1301" s="41" t="s">
        <v>920</v>
      </c>
      <c r="B1301" s="40"/>
      <c r="C1301" s="40"/>
      <c r="D1301" s="40"/>
      <c r="E1301" s="40"/>
      <c r="F1301" s="49" t="str">
        <f t="shared" ref="F1301:J1301" ca="1" si="1299">IFERROR(__xludf.DUMMYFUNCTION("if (A1301 &lt;&gt; """", GOOGLETRANSLATE(A1301, ""auto"", ""en""), """")"),"Taking the qualification")</f>
        <v>Taking the qualification</v>
      </c>
      <c r="G1301" s="49" t="str">
        <f t="shared" ca="1" si="1299"/>
        <v>Taking the qualification</v>
      </c>
      <c r="H1301" s="49" t="str">
        <f t="shared" ca="1" si="1299"/>
        <v>Taking the qualification</v>
      </c>
      <c r="I1301" s="49" t="str">
        <f t="shared" ca="1" si="1299"/>
        <v>Taking the qualification</v>
      </c>
      <c r="J1301" s="49" t="str">
        <f t="shared" ca="1" si="1299"/>
        <v>Taking the qualification</v>
      </c>
    </row>
    <row r="1302" spans="1:10" ht="25.5" x14ac:dyDescent="0.2">
      <c r="A1302" s="41" t="s">
        <v>921</v>
      </c>
      <c r="B1302" s="40"/>
      <c r="C1302" s="40"/>
      <c r="D1302" s="40"/>
      <c r="E1302" s="40"/>
      <c r="F1302" s="49" t="str">
        <f t="shared" ref="F1302:J1302" ca="1" si="1300">IFERROR(__xludf.DUMMYFUNCTION("if (A1302 &lt;&gt; """", GOOGLETRANSLATE(A1302, ""auto"", ""en""), """")"),"Smart to familiar")</f>
        <v>Smart to familiar</v>
      </c>
      <c r="G1302" s="49" t="str">
        <f t="shared" ca="1" si="1300"/>
        <v>Smart to familiar</v>
      </c>
      <c r="H1302" s="49" t="str">
        <f t="shared" ca="1" si="1300"/>
        <v>Smart to familiar</v>
      </c>
      <c r="I1302" s="49" t="str">
        <f t="shared" ca="1" si="1300"/>
        <v>Smart to familiar</v>
      </c>
      <c r="J1302" s="49" t="str">
        <f t="shared" ca="1" si="1300"/>
        <v>Smart to familiar</v>
      </c>
    </row>
    <row r="1303" spans="1:10" ht="12.75" x14ac:dyDescent="0.2">
      <c r="A1303" s="41" t="s">
        <v>922</v>
      </c>
      <c r="B1303" s="40"/>
      <c r="C1303" s="40"/>
      <c r="D1303" s="40"/>
      <c r="E1303" s="40"/>
      <c r="F1303" s="49" t="str">
        <f t="shared" ref="F1303:J1303" ca="1" si="1301">IFERROR(__xludf.DUMMYFUNCTION("if (A1303 &lt;&gt; """", GOOGLETRANSLATE(A1303, ""auto"", ""en""), """")"),"go study")</f>
        <v>go study</v>
      </c>
      <c r="G1303" s="49" t="str">
        <f t="shared" ca="1" si="1301"/>
        <v>go study</v>
      </c>
      <c r="H1303" s="49" t="str">
        <f t="shared" ca="1" si="1301"/>
        <v>go study</v>
      </c>
      <c r="I1303" s="49" t="str">
        <f t="shared" ca="1" si="1301"/>
        <v>go study</v>
      </c>
      <c r="J1303" s="49" t="str">
        <f t="shared" ca="1" si="1301"/>
        <v>go study</v>
      </c>
    </row>
    <row r="1304" spans="1:10" ht="25.5" x14ac:dyDescent="0.2">
      <c r="A1304" s="41" t="s">
        <v>923</v>
      </c>
      <c r="B1304" s="40"/>
      <c r="C1304" s="40"/>
      <c r="D1304" s="40"/>
      <c r="E1304" s="40"/>
      <c r="F1304" s="49" t="str">
        <f t="shared" ref="F1304:J1304" ca="1" si="1302">IFERROR(__xludf.DUMMYFUNCTION("if (A1304 &lt;&gt; """", GOOGLETRANSLATE(A1304, ""auto"", ""en""), """")"),"Become smarter")</f>
        <v>Become smarter</v>
      </c>
      <c r="G1304" s="49" t="str">
        <f t="shared" ca="1" si="1302"/>
        <v>Become smarter</v>
      </c>
      <c r="H1304" s="49" t="str">
        <f t="shared" ca="1" si="1302"/>
        <v>Become smarter</v>
      </c>
      <c r="I1304" s="49" t="str">
        <f t="shared" ca="1" si="1302"/>
        <v>Become smarter</v>
      </c>
      <c r="J1304" s="49" t="str">
        <f t="shared" ca="1" si="1302"/>
        <v>Become smarter</v>
      </c>
    </row>
    <row r="1305" spans="1:10" ht="25.5" x14ac:dyDescent="0.2">
      <c r="A1305" s="41" t="s">
        <v>924</v>
      </c>
      <c r="B1305" s="40"/>
      <c r="C1305" s="40"/>
      <c r="D1305" s="40"/>
      <c r="E1305" s="40"/>
      <c r="F1305" s="49" t="str">
        <f t="shared" ref="F1305:J1305" ca="1" si="1303">IFERROR(__xludf.DUMMYFUNCTION("if (A1305 &lt;&gt; """", GOOGLETRANSLATE(A1305, ""auto"", ""en""), """")"),"Accustomed more clever in")</f>
        <v>Accustomed more clever in</v>
      </c>
      <c r="G1305" s="49" t="str">
        <f t="shared" ca="1" si="1303"/>
        <v>Accustomed more clever in</v>
      </c>
      <c r="H1305" s="49" t="str">
        <f t="shared" ca="1" si="1303"/>
        <v>Accustomed more clever in</v>
      </c>
      <c r="I1305" s="49" t="str">
        <f t="shared" ca="1" si="1303"/>
        <v>Accustomed more clever in</v>
      </c>
      <c r="J1305" s="49" t="str">
        <f t="shared" ca="1" si="1303"/>
        <v>Accustomed more clever in</v>
      </c>
    </row>
    <row r="1306" spans="1:10" ht="38.25" x14ac:dyDescent="0.2">
      <c r="A1306" s="41" t="s">
        <v>925</v>
      </c>
      <c r="B1306" s="40"/>
      <c r="C1306" s="40"/>
      <c r="D1306" s="40"/>
      <c r="E1306" s="40"/>
      <c r="F1306" s="49" t="str">
        <f t="shared" ref="F1306:J1306" ca="1" si="1304">IFERROR(__xludf.DUMMYFUNCTION("if (A1306 &lt;&gt; """", GOOGLETRANSLATE(A1306, ""auto"", ""en""), """")"),"I do not and do not study more")</f>
        <v>I do not and do not study more</v>
      </c>
      <c r="G1306" s="49" t="str">
        <f t="shared" ca="1" si="1304"/>
        <v>I do not and do not study more</v>
      </c>
      <c r="H1306" s="49" t="str">
        <f t="shared" ca="1" si="1304"/>
        <v>I do not and do not study more</v>
      </c>
      <c r="I1306" s="49" t="str">
        <f t="shared" ca="1" si="1304"/>
        <v>I do not and do not study more</v>
      </c>
      <c r="J1306" s="49" t="str">
        <f t="shared" ca="1" si="1304"/>
        <v>I do not and do not study more</v>
      </c>
    </row>
    <row r="1307" spans="1:10" ht="12.75" x14ac:dyDescent="0.2">
      <c r="A1307" s="40"/>
      <c r="B1307" s="40"/>
      <c r="C1307" s="40"/>
      <c r="D1307" s="40"/>
      <c r="E1307" s="40"/>
      <c r="F1307" s="49" t="str">
        <f t="shared" ref="F1307:J1307" ca="1" si="1305">IFERROR(__xludf.DUMMYFUNCTION("if (A1307 &lt;&gt; """", GOOGLETRANSLATE(A1307, ""auto"", ""en""), """")"),"")</f>
        <v/>
      </c>
      <c r="G1307" s="49" t="str">
        <f t="shared" ca="1" si="1305"/>
        <v/>
      </c>
      <c r="H1307" s="49" t="str">
        <f t="shared" ca="1" si="1305"/>
        <v/>
      </c>
      <c r="I1307" s="49" t="str">
        <f t="shared" ca="1" si="1305"/>
        <v/>
      </c>
      <c r="J1307" s="49" t="str">
        <f t="shared" ca="1" si="1305"/>
        <v/>
      </c>
    </row>
    <row r="1308" spans="1:10" ht="25.5" x14ac:dyDescent="0.2">
      <c r="A1308" s="41" t="s">
        <v>927</v>
      </c>
      <c r="B1308" s="40"/>
      <c r="C1308" s="40"/>
      <c r="D1308" s="40"/>
      <c r="E1308" s="40"/>
      <c r="F1308" s="49" t="str">
        <f t="shared" ref="F1308:J1308" ca="1" si="1306">IFERROR(__xludf.DUMMYFUNCTION("if (A1308 &lt;&gt; """", GOOGLETRANSLATE(A1308, ""auto"", ""en""), """")"),"smalltalk.agent.be_quiet")</f>
        <v>smalltalk.agent.be_quiet</v>
      </c>
      <c r="G1308" s="49" t="str">
        <f t="shared" ca="1" si="1306"/>
        <v>smalltalk.agent.be_quiet</v>
      </c>
      <c r="H1308" s="49" t="str">
        <f t="shared" ca="1" si="1306"/>
        <v>smalltalk.agent.be_quiet</v>
      </c>
      <c r="I1308" s="49" t="str">
        <f t="shared" ca="1" si="1306"/>
        <v>smalltalk.agent.be_quiet</v>
      </c>
      <c r="J1308" s="49" t="str">
        <f t="shared" ca="1" si="1306"/>
        <v>smalltalk.agent.be_quiet</v>
      </c>
    </row>
    <row r="1309" spans="1:10" ht="12.75" x14ac:dyDescent="0.2">
      <c r="A1309" s="40"/>
      <c r="B1309" s="41" t="s">
        <v>398</v>
      </c>
      <c r="C1309" s="40"/>
      <c r="D1309" s="40"/>
      <c r="E1309" s="40"/>
      <c r="F1309" s="49" t="str">
        <f t="shared" ref="F1309:J1309" ca="1" si="1307">IFERROR(__xludf.DUMMYFUNCTION("if (A1309 &lt;&gt; """", GOOGLETRANSLATE(A1309, ""auto"", ""en""), """")"),"")</f>
        <v/>
      </c>
      <c r="G1309" s="49" t="str">
        <f t="shared" ca="1" si="1307"/>
        <v/>
      </c>
      <c r="H1309" s="49" t="str">
        <f t="shared" ca="1" si="1307"/>
        <v/>
      </c>
      <c r="I1309" s="49" t="str">
        <f t="shared" ca="1" si="1307"/>
        <v/>
      </c>
      <c r="J1309" s="49" t="str">
        <f t="shared" ca="1" si="1307"/>
        <v/>
      </c>
    </row>
    <row r="1310" spans="1:10" ht="12.75" x14ac:dyDescent="0.2">
      <c r="A1310" s="40"/>
      <c r="B1310" s="41" t="s">
        <v>399</v>
      </c>
      <c r="C1310" s="40"/>
      <c r="D1310" s="40"/>
      <c r="E1310" s="40"/>
      <c r="F1310" s="49" t="str">
        <f t="shared" ref="F1310:J1310" ca="1" si="1308">IFERROR(__xludf.DUMMYFUNCTION("if (A1310 &lt;&gt; """", GOOGLETRANSLATE(A1310, ""auto"", ""en""), """")"),"")</f>
        <v/>
      </c>
      <c r="G1310" s="49" t="str">
        <f t="shared" ca="1" si="1308"/>
        <v/>
      </c>
      <c r="H1310" s="49" t="str">
        <f t="shared" ca="1" si="1308"/>
        <v/>
      </c>
      <c r="I1310" s="49" t="str">
        <f t="shared" ca="1" si="1308"/>
        <v/>
      </c>
      <c r="J1310" s="49" t="str">
        <f t="shared" ca="1" si="1308"/>
        <v/>
      </c>
    </row>
    <row r="1311" spans="1:10" ht="12.75" x14ac:dyDescent="0.2">
      <c r="A1311" s="40"/>
      <c r="B1311" s="41" t="s">
        <v>400</v>
      </c>
      <c r="C1311" s="41" t="s">
        <v>927</v>
      </c>
      <c r="D1311" s="40"/>
      <c r="E1311" s="40"/>
      <c r="F1311" s="49" t="str">
        <f t="shared" ref="F1311:J1311" ca="1" si="1309">IFERROR(__xludf.DUMMYFUNCTION("if (A1311 &lt;&gt; """", GOOGLETRANSLATE(A1311, ""auto"", ""en""), """")"),"")</f>
        <v/>
      </c>
      <c r="G1311" s="49" t="str">
        <f t="shared" ca="1" si="1309"/>
        <v/>
      </c>
      <c r="H1311" s="49" t="str">
        <f t="shared" ca="1" si="1309"/>
        <v/>
      </c>
      <c r="I1311" s="49" t="str">
        <f t="shared" ca="1" si="1309"/>
        <v/>
      </c>
      <c r="J1311" s="49" t="str">
        <f t="shared" ca="1" si="1309"/>
        <v/>
      </c>
    </row>
    <row r="1312" spans="1:10" ht="12.75" x14ac:dyDescent="0.2">
      <c r="A1312" s="40"/>
      <c r="B1312" s="41" t="s">
        <v>401</v>
      </c>
      <c r="C1312" s="40"/>
      <c r="D1312" s="40"/>
      <c r="E1312" s="40"/>
      <c r="F1312" s="49" t="str">
        <f t="shared" ref="F1312:J1312" ca="1" si="1310">IFERROR(__xludf.DUMMYFUNCTION("if (A1312 &lt;&gt; """", GOOGLETRANSLATE(A1312, ""auto"", ""en""), """")"),"")</f>
        <v/>
      </c>
      <c r="G1312" s="49" t="str">
        <f t="shared" ca="1" si="1310"/>
        <v/>
      </c>
      <c r="H1312" s="49" t="str">
        <f t="shared" ca="1" si="1310"/>
        <v/>
      </c>
      <c r="I1312" s="49" t="str">
        <f t="shared" ca="1" si="1310"/>
        <v/>
      </c>
      <c r="J1312" s="49" t="str">
        <f t="shared" ca="1" si="1310"/>
        <v/>
      </c>
    </row>
    <row r="1313" spans="1:10" ht="12.75" x14ac:dyDescent="0.2">
      <c r="A1313" s="41" t="s">
        <v>928</v>
      </c>
      <c r="B1313" s="41" t="s">
        <v>402</v>
      </c>
      <c r="C1313" s="41" t="s">
        <v>929</v>
      </c>
      <c r="D1313" s="40"/>
      <c r="E1313" s="40"/>
      <c r="F1313" s="49" t="str">
        <f t="shared" ref="F1313:J1313" ca="1" si="1311">IFERROR(__xludf.DUMMYFUNCTION("if (A1313 &lt;&gt; """", GOOGLETRANSLATE(A1313, ""auto"", ""en""), """")"),"Shut up")</f>
        <v>Shut up</v>
      </c>
      <c r="G1313" s="49" t="str">
        <f t="shared" ca="1" si="1311"/>
        <v>Shut up</v>
      </c>
      <c r="H1313" s="49" t="str">
        <f t="shared" ca="1" si="1311"/>
        <v>Shut up</v>
      </c>
      <c r="I1313" s="49" t="str">
        <f t="shared" ca="1" si="1311"/>
        <v>Shut up</v>
      </c>
      <c r="J1313" s="49" t="str">
        <f t="shared" ca="1" si="1311"/>
        <v>Shut up</v>
      </c>
    </row>
    <row r="1314" spans="1:10" ht="12.75" x14ac:dyDescent="0.2">
      <c r="A1314" s="41" t="s">
        <v>930</v>
      </c>
      <c r="B1314" s="40"/>
      <c r="C1314" s="40"/>
      <c r="D1314" s="40"/>
      <c r="E1314" s="40"/>
      <c r="F1314" s="49" t="str">
        <f t="shared" ref="F1314:J1314" ca="1" si="1312">IFERROR(__xludf.DUMMYFUNCTION("if (A1314 &lt;&gt; """", GOOGLETRANSLATE(A1314, ""auto"", ""en""), """")"),"Sea")</f>
        <v>Sea</v>
      </c>
      <c r="G1314" s="49" t="str">
        <f t="shared" ca="1" si="1312"/>
        <v>Sea</v>
      </c>
      <c r="H1314" s="49" t="str">
        <f t="shared" ca="1" si="1312"/>
        <v>Sea</v>
      </c>
      <c r="I1314" s="49" t="str">
        <f t="shared" ca="1" si="1312"/>
        <v>Sea</v>
      </c>
      <c r="J1314" s="49" t="str">
        <f t="shared" ca="1" si="1312"/>
        <v>Sea</v>
      </c>
    </row>
    <row r="1315" spans="1:10" ht="12.75" x14ac:dyDescent="0.2">
      <c r="A1315" s="41" t="s">
        <v>931</v>
      </c>
      <c r="B1315" s="40"/>
      <c r="C1315" s="40"/>
      <c r="D1315" s="40"/>
      <c r="E1315" s="40"/>
      <c r="F1315" s="49" t="str">
        <f t="shared" ref="F1315:J1315" ca="1" si="1313">IFERROR(__xludf.DUMMYFUNCTION("if (A1315 &lt;&gt; """", GOOGLETRANSLATE(A1315, ""auto"", ""en""), """")"),"be quiet")</f>
        <v>be quiet</v>
      </c>
      <c r="G1315" s="49" t="str">
        <f t="shared" ca="1" si="1313"/>
        <v>be quiet</v>
      </c>
      <c r="H1315" s="49" t="str">
        <f t="shared" ca="1" si="1313"/>
        <v>be quiet</v>
      </c>
      <c r="I1315" s="49" t="str">
        <f t="shared" ca="1" si="1313"/>
        <v>be quiet</v>
      </c>
      <c r="J1315" s="49" t="str">
        <f t="shared" ca="1" si="1313"/>
        <v>be quiet</v>
      </c>
    </row>
    <row r="1316" spans="1:10" ht="12.75" x14ac:dyDescent="0.2">
      <c r="A1316" s="41" t="s">
        <v>932</v>
      </c>
      <c r="B1316" s="40"/>
      <c r="C1316" s="40"/>
      <c r="D1316" s="40"/>
      <c r="E1316" s="40"/>
      <c r="F1316" s="49" t="str">
        <f t="shared" ref="F1316:J1316" ca="1" si="1314">IFERROR(__xludf.DUMMYFUNCTION("if (A1316 &lt;&gt; """", GOOGLETRANSLATE(A1316, ""auto"", ""en""), """")"),"shut up")</f>
        <v>shut up</v>
      </c>
      <c r="G1316" s="49" t="str">
        <f t="shared" ca="1" si="1314"/>
        <v>shut up</v>
      </c>
      <c r="H1316" s="49" t="str">
        <f t="shared" ca="1" si="1314"/>
        <v>shut up</v>
      </c>
      <c r="I1316" s="49" t="str">
        <f t="shared" ca="1" si="1314"/>
        <v>shut up</v>
      </c>
      <c r="J1316" s="49" t="str">
        <f t="shared" ca="1" si="1314"/>
        <v>shut up</v>
      </c>
    </row>
    <row r="1317" spans="1:10" ht="12.75" x14ac:dyDescent="0.2">
      <c r="A1317" s="41" t="s">
        <v>933</v>
      </c>
      <c r="B1317" s="40"/>
      <c r="C1317" s="40"/>
      <c r="D1317" s="40"/>
      <c r="E1317" s="40"/>
      <c r="F1317" s="49" t="str">
        <f t="shared" ref="F1317:J1317" ca="1" si="1315">IFERROR(__xludf.DUMMYFUNCTION("if (A1317 &lt;&gt; """", GOOGLETRANSLATE(A1317, ""auto"", ""en""), """")"),"Stop talking")</f>
        <v>Stop talking</v>
      </c>
      <c r="G1317" s="49" t="str">
        <f t="shared" ca="1" si="1315"/>
        <v>Stop talking</v>
      </c>
      <c r="H1317" s="49" t="str">
        <f t="shared" ca="1" si="1315"/>
        <v>Stop talking</v>
      </c>
      <c r="I1317" s="49" t="str">
        <f t="shared" ca="1" si="1315"/>
        <v>Stop talking</v>
      </c>
      <c r="J1317" s="49" t="str">
        <f t="shared" ca="1" si="1315"/>
        <v>Stop talking</v>
      </c>
    </row>
    <row r="1318" spans="1:10" ht="12.75" x14ac:dyDescent="0.2">
      <c r="A1318" s="41" t="s">
        <v>934</v>
      </c>
      <c r="B1318" s="40"/>
      <c r="C1318" s="40"/>
      <c r="D1318" s="40"/>
      <c r="E1318" s="40"/>
      <c r="F1318" s="49" t="str">
        <f t="shared" ref="F1318:J1318" ca="1" si="1316">IFERROR(__xludf.DUMMYFUNCTION("if (A1318 &lt;&gt; """", GOOGLETRANSLATE(A1318, ""auto"", ""en""), """")"),"keep quiet")</f>
        <v>keep quiet</v>
      </c>
      <c r="G1318" s="49" t="str">
        <f t="shared" ca="1" si="1316"/>
        <v>keep quiet</v>
      </c>
      <c r="H1318" s="49" t="str">
        <f t="shared" ca="1" si="1316"/>
        <v>keep quiet</v>
      </c>
      <c r="I1318" s="49" t="str">
        <f t="shared" ca="1" si="1316"/>
        <v>keep quiet</v>
      </c>
      <c r="J1318" s="49" t="str">
        <f t="shared" ca="1" si="1316"/>
        <v>keep quiet</v>
      </c>
    </row>
    <row r="1319" spans="1:10" ht="12.75" x14ac:dyDescent="0.2">
      <c r="A1319" s="41" t="s">
        <v>935</v>
      </c>
      <c r="B1319" s="40"/>
      <c r="C1319" s="40"/>
      <c r="D1319" s="40"/>
      <c r="E1319" s="40"/>
      <c r="F1319" s="49" t="str">
        <f t="shared" ref="F1319:J1319" ca="1" si="1317">IFERROR(__xludf.DUMMYFUNCTION("if (A1319 &lt;&gt; """", GOOGLETRANSLATE(A1319, ""auto"", ""en""), """")"),"In a little quiet")</f>
        <v>In a little quiet</v>
      </c>
      <c r="G1319" s="49" t="str">
        <f t="shared" ca="1" si="1317"/>
        <v>In a little quiet</v>
      </c>
      <c r="H1319" s="49" t="str">
        <f t="shared" ca="1" si="1317"/>
        <v>In a little quiet</v>
      </c>
      <c r="I1319" s="49" t="str">
        <f t="shared" ca="1" si="1317"/>
        <v>In a little quiet</v>
      </c>
      <c r="J1319" s="49" t="str">
        <f t="shared" ca="1" si="1317"/>
        <v>In a little quiet</v>
      </c>
    </row>
    <row r="1320" spans="1:10" ht="25.5" x14ac:dyDescent="0.2">
      <c r="A1320" s="41" t="s">
        <v>936</v>
      </c>
      <c r="B1320" s="40"/>
      <c r="C1320" s="40"/>
      <c r="D1320" s="40"/>
      <c r="E1320" s="40"/>
      <c r="F1320" s="49" t="str">
        <f t="shared" ref="F1320:J1320" ca="1" si="1318">IFERROR(__xludf.DUMMYFUNCTION("if (A1320 &lt;&gt; """", GOOGLETRANSLATE(A1320, ""auto"", ""en""), """")"),"Please stop talking")</f>
        <v>Please stop talking</v>
      </c>
      <c r="G1320" s="49" t="str">
        <f t="shared" ca="1" si="1318"/>
        <v>Please stop talking</v>
      </c>
      <c r="H1320" s="49" t="str">
        <f t="shared" ca="1" si="1318"/>
        <v>Please stop talking</v>
      </c>
      <c r="I1320" s="49" t="str">
        <f t="shared" ca="1" si="1318"/>
        <v>Please stop talking</v>
      </c>
      <c r="J1320" s="49" t="str">
        <f t="shared" ca="1" si="1318"/>
        <v>Please stop talking</v>
      </c>
    </row>
    <row r="1321" spans="1:10" ht="12.75" x14ac:dyDescent="0.2">
      <c r="A1321" s="41" t="s">
        <v>937</v>
      </c>
      <c r="B1321" s="40"/>
      <c r="C1321" s="40"/>
      <c r="D1321" s="40"/>
      <c r="E1321" s="40"/>
      <c r="F1321" s="49" t="str">
        <f t="shared" ref="F1321:J1321" ca="1" si="1319">IFERROR(__xludf.DUMMYFUNCTION("if (A1321 &lt;&gt; """", GOOGLETRANSLATE(A1321, ""auto"", ""en""), """")"),"Iro in the quiet")</f>
        <v>Iro in the quiet</v>
      </c>
      <c r="G1321" s="49" t="str">
        <f t="shared" ca="1" si="1319"/>
        <v>Iro in the quiet</v>
      </c>
      <c r="H1321" s="49" t="str">
        <f t="shared" ca="1" si="1319"/>
        <v>Iro in the quiet</v>
      </c>
      <c r="I1321" s="49" t="str">
        <f t="shared" ca="1" si="1319"/>
        <v>Iro in the quiet</v>
      </c>
      <c r="J1321" s="49" t="str">
        <f t="shared" ca="1" si="1319"/>
        <v>Iro in the quiet</v>
      </c>
    </row>
    <row r="1322" spans="1:10" ht="25.5" x14ac:dyDescent="0.2">
      <c r="A1322" s="41" t="s">
        <v>938</v>
      </c>
      <c r="B1322" s="40"/>
      <c r="C1322" s="40"/>
      <c r="D1322" s="40"/>
      <c r="E1322" s="40"/>
      <c r="F1322" s="49" t="str">
        <f t="shared" ref="F1322:J1322" ca="1" si="1320">IFERROR(__xludf.DUMMYFUNCTION("if (A1322 &lt;&gt; """", GOOGLETRANSLATE(A1322, ""auto"", ""en""), """")"),"Do not be quiet")</f>
        <v>Do not be quiet</v>
      </c>
      <c r="G1322" s="49" t="str">
        <f t="shared" ca="1" si="1320"/>
        <v>Do not be quiet</v>
      </c>
      <c r="H1322" s="49" t="str">
        <f t="shared" ca="1" si="1320"/>
        <v>Do not be quiet</v>
      </c>
      <c r="I1322" s="49" t="str">
        <f t="shared" ca="1" si="1320"/>
        <v>Do not be quiet</v>
      </c>
      <c r="J1322" s="49" t="str">
        <f t="shared" ca="1" si="1320"/>
        <v>Do not be quiet</v>
      </c>
    </row>
    <row r="1323" spans="1:10" ht="12.75" x14ac:dyDescent="0.2">
      <c r="A1323" s="40"/>
      <c r="B1323" s="40"/>
      <c r="C1323" s="40"/>
      <c r="D1323" s="40"/>
      <c r="E1323" s="40"/>
      <c r="F1323" s="49" t="str">
        <f t="shared" ref="F1323:J1323" ca="1" si="1321">IFERROR(__xludf.DUMMYFUNCTION("if (A1323 &lt;&gt; """", GOOGLETRANSLATE(A1323, ""auto"", ""en""), """")"),"")</f>
        <v/>
      </c>
      <c r="G1323" s="49" t="str">
        <f t="shared" ca="1" si="1321"/>
        <v/>
      </c>
      <c r="H1323" s="49" t="str">
        <f t="shared" ca="1" si="1321"/>
        <v/>
      </c>
      <c r="I1323" s="49" t="str">
        <f t="shared" ca="1" si="1321"/>
        <v/>
      </c>
      <c r="J1323" s="49" t="str">
        <f t="shared" ca="1" si="1321"/>
        <v/>
      </c>
    </row>
    <row r="1324" spans="1:10" ht="25.5" x14ac:dyDescent="0.2">
      <c r="A1324" s="41" t="s">
        <v>971</v>
      </c>
      <c r="B1324" s="40"/>
      <c r="C1324" s="40"/>
      <c r="D1324" s="40"/>
      <c r="E1324" s="40"/>
      <c r="F1324" s="49" t="str">
        <f t="shared" ref="F1324:J1324" ca="1" si="1322">IFERROR(__xludf.DUMMYFUNCTION("if (A1324 &lt;&gt; """", GOOGLETRANSLATE(A1324, ""auto"", ""en""), """")"),"smalltalk.agent.birth_date")</f>
        <v>smalltalk.agent.birth_date</v>
      </c>
      <c r="G1324" s="49" t="str">
        <f t="shared" ca="1" si="1322"/>
        <v>smalltalk.agent.birth_date</v>
      </c>
      <c r="H1324" s="49" t="str">
        <f t="shared" ca="1" si="1322"/>
        <v>smalltalk.agent.birth_date</v>
      </c>
      <c r="I1324" s="49" t="str">
        <f t="shared" ca="1" si="1322"/>
        <v>smalltalk.agent.birth_date</v>
      </c>
      <c r="J1324" s="49" t="str">
        <f t="shared" ca="1" si="1322"/>
        <v>smalltalk.agent.birth_date</v>
      </c>
    </row>
    <row r="1325" spans="1:10" ht="12.75" x14ac:dyDescent="0.2">
      <c r="A1325" s="40"/>
      <c r="B1325" s="41" t="s">
        <v>398</v>
      </c>
      <c r="C1325" s="40"/>
      <c r="D1325" s="40"/>
      <c r="E1325" s="40"/>
      <c r="F1325" s="49" t="str">
        <f t="shared" ref="F1325:J1325" ca="1" si="1323">IFERROR(__xludf.DUMMYFUNCTION("if (A1325 &lt;&gt; """", GOOGLETRANSLATE(A1325, ""auto"", ""en""), """")"),"")</f>
        <v/>
      </c>
      <c r="G1325" s="49" t="str">
        <f t="shared" ca="1" si="1323"/>
        <v/>
      </c>
      <c r="H1325" s="49" t="str">
        <f t="shared" ca="1" si="1323"/>
        <v/>
      </c>
      <c r="I1325" s="49" t="str">
        <f t="shared" ca="1" si="1323"/>
        <v/>
      </c>
      <c r="J1325" s="49" t="str">
        <f t="shared" ca="1" si="1323"/>
        <v/>
      </c>
    </row>
    <row r="1326" spans="1:10" ht="12.75" x14ac:dyDescent="0.2">
      <c r="A1326" s="40"/>
      <c r="B1326" s="41" t="s">
        <v>399</v>
      </c>
      <c r="C1326" s="40"/>
      <c r="D1326" s="40"/>
      <c r="E1326" s="40"/>
      <c r="F1326" s="49" t="str">
        <f t="shared" ref="F1326:J1326" ca="1" si="1324">IFERROR(__xludf.DUMMYFUNCTION("if (A1326 &lt;&gt; """", GOOGLETRANSLATE(A1326, ""auto"", ""en""), """")"),"")</f>
        <v/>
      </c>
      <c r="G1326" s="49" t="str">
        <f t="shared" ca="1" si="1324"/>
        <v/>
      </c>
      <c r="H1326" s="49" t="str">
        <f t="shared" ca="1" si="1324"/>
        <v/>
      </c>
      <c r="I1326" s="49" t="str">
        <f t="shared" ca="1" si="1324"/>
        <v/>
      </c>
      <c r="J1326" s="49" t="str">
        <f t="shared" ca="1" si="1324"/>
        <v/>
      </c>
    </row>
    <row r="1327" spans="1:10" ht="12.75" x14ac:dyDescent="0.2">
      <c r="A1327" s="40"/>
      <c r="B1327" s="41" t="s">
        <v>400</v>
      </c>
      <c r="C1327" s="41" t="s">
        <v>971</v>
      </c>
      <c r="D1327" s="40"/>
      <c r="E1327" s="40"/>
      <c r="F1327" s="49" t="str">
        <f t="shared" ref="F1327:J1327" ca="1" si="1325">IFERROR(__xludf.DUMMYFUNCTION("if (A1327 &lt;&gt; """", GOOGLETRANSLATE(A1327, ""auto"", ""en""), """")"),"")</f>
        <v/>
      </c>
      <c r="G1327" s="49" t="str">
        <f t="shared" ca="1" si="1325"/>
        <v/>
      </c>
      <c r="H1327" s="49" t="str">
        <f t="shared" ca="1" si="1325"/>
        <v/>
      </c>
      <c r="I1327" s="49" t="str">
        <f t="shared" ca="1" si="1325"/>
        <v/>
      </c>
      <c r="J1327" s="49" t="str">
        <f t="shared" ca="1" si="1325"/>
        <v/>
      </c>
    </row>
    <row r="1328" spans="1:10" ht="12.75" x14ac:dyDescent="0.2">
      <c r="A1328" s="40"/>
      <c r="B1328" s="41" t="s">
        <v>401</v>
      </c>
      <c r="C1328" s="40"/>
      <c r="D1328" s="40"/>
      <c r="E1328" s="40"/>
      <c r="F1328" s="49" t="str">
        <f t="shared" ref="F1328:J1328" ca="1" si="1326">IFERROR(__xludf.DUMMYFUNCTION("if (A1328 &lt;&gt; """", GOOGLETRANSLATE(A1328, ""auto"", ""en""), """")"),"")</f>
        <v/>
      </c>
      <c r="G1328" s="49" t="str">
        <f t="shared" ca="1" si="1326"/>
        <v/>
      </c>
      <c r="H1328" s="49" t="str">
        <f t="shared" ca="1" si="1326"/>
        <v/>
      </c>
      <c r="I1328" s="49" t="str">
        <f t="shared" ca="1" si="1326"/>
        <v/>
      </c>
      <c r="J1328" s="49" t="str">
        <f t="shared" ca="1" si="1326"/>
        <v/>
      </c>
    </row>
    <row r="1329" spans="1:10" ht="25.5" x14ac:dyDescent="0.2">
      <c r="A1329" s="41" t="s">
        <v>973</v>
      </c>
      <c r="B1329" s="41" t="s">
        <v>402</v>
      </c>
      <c r="C1329" s="41" t="s">
        <v>974</v>
      </c>
      <c r="D1329" s="40"/>
      <c r="E1329" s="40"/>
      <c r="F1329" s="49" t="str">
        <f t="shared" ref="F1329:J1329" ca="1" si="1327">IFERROR(__xludf.DUMMYFUNCTION("if (A1329 &lt;&gt; """", GOOGLETRANSLATE(A1329, ""auto"", ""en""), """")"),"When is birthday")</f>
        <v>When is birthday</v>
      </c>
      <c r="G1329" s="49" t="str">
        <f t="shared" ca="1" si="1327"/>
        <v>When is birthday</v>
      </c>
      <c r="H1329" s="49" t="str">
        <f t="shared" ca="1" si="1327"/>
        <v>When is birthday</v>
      </c>
      <c r="I1329" s="49" t="str">
        <f t="shared" ca="1" si="1327"/>
        <v>When is birthday</v>
      </c>
      <c r="J1329" s="49" t="str">
        <f t="shared" ca="1" si="1327"/>
        <v>When is birthday</v>
      </c>
    </row>
    <row r="1330" spans="1:10" ht="25.5" x14ac:dyDescent="0.2">
      <c r="A1330" s="41" t="s">
        <v>976</v>
      </c>
      <c r="B1330" s="40"/>
      <c r="C1330" s="40"/>
      <c r="D1330" s="40"/>
      <c r="E1330" s="40"/>
      <c r="F1330" s="49" t="str">
        <f t="shared" ref="F1330:J1330" ca="1" si="1328">IFERROR(__xludf.DUMMYFUNCTION("if (A1330 &lt;&gt; """", GOOGLETRANSLATE(A1330, ""auto"", ""en""), """")"),"Your birth date")</f>
        <v>Your birth date</v>
      </c>
      <c r="G1330" s="49" t="str">
        <f t="shared" ca="1" si="1328"/>
        <v>Your birth date</v>
      </c>
      <c r="H1330" s="49" t="str">
        <f t="shared" ca="1" si="1328"/>
        <v>Your birth date</v>
      </c>
      <c r="I1330" s="49" t="str">
        <f t="shared" ca="1" si="1328"/>
        <v>Your birth date</v>
      </c>
      <c r="J1330" s="49" t="str">
        <f t="shared" ca="1" si="1328"/>
        <v>Your birth date</v>
      </c>
    </row>
    <row r="1331" spans="1:10" ht="25.5" x14ac:dyDescent="0.2">
      <c r="A1331" s="41" t="s">
        <v>977</v>
      </c>
      <c r="B1331" s="40"/>
      <c r="C1331" s="40"/>
      <c r="D1331" s="40"/>
      <c r="E1331" s="40"/>
      <c r="F1331" s="49" t="str">
        <f t="shared" ref="F1331:J1331" ca="1" si="1329">IFERROR(__xludf.DUMMYFUNCTION("if (A1331 &lt;&gt; """", GOOGLETRANSLATE(A1331, ""auto"", ""en""), """")"),"Birthday is when?")</f>
        <v>Birthday is when?</v>
      </c>
      <c r="G1331" s="49" t="str">
        <f t="shared" ca="1" si="1329"/>
        <v>Birthday is when?</v>
      </c>
      <c r="H1331" s="49" t="str">
        <f t="shared" ca="1" si="1329"/>
        <v>Birthday is when?</v>
      </c>
      <c r="I1331" s="49" t="str">
        <f t="shared" ca="1" si="1329"/>
        <v>Birthday is when?</v>
      </c>
      <c r="J1331" s="49" t="str">
        <f t="shared" ca="1" si="1329"/>
        <v>Birthday is when?</v>
      </c>
    </row>
    <row r="1332" spans="1:10" ht="25.5" x14ac:dyDescent="0.2">
      <c r="A1332" s="41" t="s">
        <v>979</v>
      </c>
      <c r="B1332" s="40"/>
      <c r="C1332" s="40"/>
      <c r="D1332" s="40"/>
      <c r="E1332" s="40"/>
      <c r="F1332" s="49" t="str">
        <f t="shared" ref="F1332:J1332" ca="1" si="1330">IFERROR(__xludf.DUMMYFUNCTION("if (A1332 &lt;&gt; """", GOOGLETRANSLATE(A1332, ""auto"", ""en""), """")"),"Your birthday is when?")</f>
        <v>Your birthday is when?</v>
      </c>
      <c r="G1332" s="49" t="str">
        <f t="shared" ca="1" si="1330"/>
        <v>Your birthday is when?</v>
      </c>
      <c r="H1332" s="49" t="str">
        <f t="shared" ca="1" si="1330"/>
        <v>Your birthday is when?</v>
      </c>
      <c r="I1332" s="49" t="str">
        <f t="shared" ca="1" si="1330"/>
        <v>Your birthday is when?</v>
      </c>
      <c r="J1332" s="49" t="str">
        <f t="shared" ca="1" si="1330"/>
        <v>Your birthday is when?</v>
      </c>
    </row>
    <row r="1333" spans="1:10" ht="12.75" x14ac:dyDescent="0.2">
      <c r="A1333" s="41" t="s">
        <v>982</v>
      </c>
      <c r="B1333" s="40"/>
      <c r="C1333" s="40"/>
      <c r="D1333" s="40"/>
      <c r="E1333" s="40"/>
      <c r="F1333" s="49" t="str">
        <f t="shared" ref="F1333:J1333" ca="1" si="1331">IFERROR(__xludf.DUMMYFUNCTION("if (A1333 &lt;&gt; """", GOOGLETRANSLATE(A1333, ""auto"", ""en""), """")"),"Your birthday")</f>
        <v>Your birthday</v>
      </c>
      <c r="G1333" s="49" t="str">
        <f t="shared" ca="1" si="1331"/>
        <v>Your birthday</v>
      </c>
      <c r="H1333" s="49" t="str">
        <f t="shared" ca="1" si="1331"/>
        <v>Your birthday</v>
      </c>
      <c r="I1333" s="49" t="str">
        <f t="shared" ca="1" si="1331"/>
        <v>Your birthday</v>
      </c>
      <c r="J1333" s="49" t="str">
        <f t="shared" ca="1" si="1331"/>
        <v>Your birthday</v>
      </c>
    </row>
    <row r="1334" spans="1:10" ht="38.25" x14ac:dyDescent="0.2">
      <c r="A1334" s="41" t="s">
        <v>984</v>
      </c>
      <c r="B1334" s="40"/>
      <c r="C1334" s="40"/>
      <c r="D1334" s="40"/>
      <c r="E1334" s="40"/>
      <c r="F1334" s="49" t="str">
        <f t="shared" ref="F1334:J1334" ca="1" si="1332">IFERROR(__xludf.DUMMYFUNCTION("if (A1334 &lt;&gt; """", GOOGLETRANSLATE(A1334, ""auto"", ""en""), """")"),"Did you always born around")</f>
        <v>Did you always born around</v>
      </c>
      <c r="G1334" s="49" t="str">
        <f t="shared" ca="1" si="1332"/>
        <v>Did you always born around</v>
      </c>
      <c r="H1334" s="49" t="str">
        <f t="shared" ca="1" si="1332"/>
        <v>Did you always born around</v>
      </c>
      <c r="I1334" s="49" t="str">
        <f t="shared" ca="1" si="1332"/>
        <v>Did you always born around</v>
      </c>
      <c r="J1334" s="49" t="str">
        <f t="shared" ca="1" si="1332"/>
        <v>Did you always born around</v>
      </c>
    </row>
    <row r="1335" spans="1:10" ht="51" x14ac:dyDescent="0.2">
      <c r="A1335" s="41" t="s">
        <v>986</v>
      </c>
      <c r="B1335" s="40"/>
      <c r="C1335" s="40"/>
      <c r="D1335" s="40"/>
      <c r="E1335" s="40"/>
      <c r="F1335" s="49" t="str">
        <f t="shared" ref="F1335:J1335" ca="1" si="1333">IFERROR(__xludf.DUMMYFUNCTION("if (A1335 &lt;&gt; """", GOOGLETRANSLATE(A1335, ""auto"", ""en""), """")"),"When do you make your birthday celebration")</f>
        <v>When do you make your birthday celebration</v>
      </c>
      <c r="G1335" s="49" t="str">
        <f t="shared" ca="1" si="1333"/>
        <v>When do you make your birthday celebration</v>
      </c>
      <c r="H1335" s="49" t="str">
        <f t="shared" ca="1" si="1333"/>
        <v>When do you make your birthday celebration</v>
      </c>
      <c r="I1335" s="49" t="str">
        <f t="shared" ca="1" si="1333"/>
        <v>When do you make your birthday celebration</v>
      </c>
      <c r="J1335" s="49" t="str">
        <f t="shared" ca="1" si="1333"/>
        <v>When do you make your birthday celebration</v>
      </c>
    </row>
    <row r="1336" spans="1:10" ht="12.75" x14ac:dyDescent="0.2">
      <c r="A1336" s="40"/>
      <c r="B1336" s="40"/>
      <c r="C1336" s="40"/>
      <c r="D1336" s="40"/>
      <c r="E1336" s="40"/>
      <c r="F1336" s="49" t="str">
        <f t="shared" ref="F1336:J1336" ca="1" si="1334">IFERROR(__xludf.DUMMYFUNCTION("if (A1336 &lt;&gt; """", GOOGLETRANSLATE(A1336, ""auto"", ""en""), """")"),"")</f>
        <v/>
      </c>
      <c r="G1336" s="49" t="str">
        <f t="shared" ca="1" si="1334"/>
        <v/>
      </c>
      <c r="H1336" s="49" t="str">
        <f t="shared" ca="1" si="1334"/>
        <v/>
      </c>
      <c r="I1336" s="49" t="str">
        <f t="shared" ca="1" si="1334"/>
        <v/>
      </c>
      <c r="J1336" s="49" t="str">
        <f t="shared" ca="1" si="1334"/>
        <v/>
      </c>
    </row>
    <row r="1337" spans="1:10" ht="25.5" x14ac:dyDescent="0.2">
      <c r="A1337" s="41" t="s">
        <v>988</v>
      </c>
      <c r="B1337" s="40"/>
      <c r="C1337" s="40"/>
      <c r="D1337" s="40"/>
      <c r="E1337" s="40"/>
      <c r="F1337" s="49" t="str">
        <f t="shared" ref="F1337:J1337" ca="1" si="1335">IFERROR(__xludf.DUMMYFUNCTION("if (A1337 &lt;&gt; """", GOOGLETRANSLATE(A1337, ""auto"", ""en""), """")"),"smalltalk.agent.boring")</f>
        <v>smalltalk.agent.boring</v>
      </c>
      <c r="G1337" s="49" t="str">
        <f t="shared" ca="1" si="1335"/>
        <v>smalltalk.agent.boring</v>
      </c>
      <c r="H1337" s="49" t="str">
        <f t="shared" ca="1" si="1335"/>
        <v>smalltalk.agent.boring</v>
      </c>
      <c r="I1337" s="49" t="str">
        <f t="shared" ca="1" si="1335"/>
        <v>smalltalk.agent.boring</v>
      </c>
      <c r="J1337" s="49" t="str">
        <f t="shared" ca="1" si="1335"/>
        <v>smalltalk.agent.boring</v>
      </c>
    </row>
    <row r="1338" spans="1:10" ht="12.75" x14ac:dyDescent="0.2">
      <c r="A1338" s="40"/>
      <c r="B1338" s="41" t="s">
        <v>398</v>
      </c>
      <c r="C1338" s="40"/>
      <c r="D1338" s="40"/>
      <c r="E1338" s="40"/>
      <c r="F1338" s="49" t="str">
        <f t="shared" ref="F1338:J1338" ca="1" si="1336">IFERROR(__xludf.DUMMYFUNCTION("if (A1338 &lt;&gt; """", GOOGLETRANSLATE(A1338, ""auto"", ""en""), """")"),"")</f>
        <v/>
      </c>
      <c r="G1338" s="49" t="str">
        <f t="shared" ca="1" si="1336"/>
        <v/>
      </c>
      <c r="H1338" s="49" t="str">
        <f t="shared" ca="1" si="1336"/>
        <v/>
      </c>
      <c r="I1338" s="49" t="str">
        <f t="shared" ca="1" si="1336"/>
        <v/>
      </c>
      <c r="J1338" s="49" t="str">
        <f t="shared" ca="1" si="1336"/>
        <v/>
      </c>
    </row>
    <row r="1339" spans="1:10" ht="12.75" x14ac:dyDescent="0.2">
      <c r="A1339" s="40"/>
      <c r="B1339" s="41" t="s">
        <v>399</v>
      </c>
      <c r="C1339" s="40"/>
      <c r="D1339" s="40"/>
      <c r="E1339" s="40"/>
      <c r="F1339" s="49" t="str">
        <f t="shared" ref="F1339:J1339" ca="1" si="1337">IFERROR(__xludf.DUMMYFUNCTION("if (A1339 &lt;&gt; """", GOOGLETRANSLATE(A1339, ""auto"", ""en""), """")"),"")</f>
        <v/>
      </c>
      <c r="G1339" s="49" t="str">
        <f t="shared" ca="1" si="1337"/>
        <v/>
      </c>
      <c r="H1339" s="49" t="str">
        <f t="shared" ca="1" si="1337"/>
        <v/>
      </c>
      <c r="I1339" s="49" t="str">
        <f t="shared" ca="1" si="1337"/>
        <v/>
      </c>
      <c r="J1339" s="49" t="str">
        <f t="shared" ca="1" si="1337"/>
        <v/>
      </c>
    </row>
    <row r="1340" spans="1:10" ht="12.75" x14ac:dyDescent="0.2">
      <c r="A1340" s="40"/>
      <c r="B1340" s="41" t="s">
        <v>400</v>
      </c>
      <c r="C1340" s="41" t="s">
        <v>988</v>
      </c>
      <c r="D1340" s="40"/>
      <c r="E1340" s="40"/>
      <c r="F1340" s="49" t="str">
        <f t="shared" ref="F1340:J1340" ca="1" si="1338">IFERROR(__xludf.DUMMYFUNCTION("if (A1340 &lt;&gt; """", GOOGLETRANSLATE(A1340, ""auto"", ""en""), """")"),"")</f>
        <v/>
      </c>
      <c r="G1340" s="49" t="str">
        <f t="shared" ca="1" si="1338"/>
        <v/>
      </c>
      <c r="H1340" s="49" t="str">
        <f t="shared" ca="1" si="1338"/>
        <v/>
      </c>
      <c r="I1340" s="49" t="str">
        <f t="shared" ca="1" si="1338"/>
        <v/>
      </c>
      <c r="J1340" s="49" t="str">
        <f t="shared" ca="1" si="1338"/>
        <v/>
      </c>
    </row>
    <row r="1341" spans="1:10" ht="12.75" x14ac:dyDescent="0.2">
      <c r="A1341" s="40"/>
      <c r="B1341" s="41" t="s">
        <v>401</v>
      </c>
      <c r="C1341" s="40"/>
      <c r="D1341" s="40"/>
      <c r="E1341" s="40"/>
      <c r="F1341" s="49" t="str">
        <f t="shared" ref="F1341:J1341" ca="1" si="1339">IFERROR(__xludf.DUMMYFUNCTION("if (A1341 &lt;&gt; """", GOOGLETRANSLATE(A1341, ""auto"", ""en""), """")"),"")</f>
        <v/>
      </c>
      <c r="G1341" s="49" t="str">
        <f t="shared" ca="1" si="1339"/>
        <v/>
      </c>
      <c r="H1341" s="49" t="str">
        <f t="shared" ca="1" si="1339"/>
        <v/>
      </c>
      <c r="I1341" s="49" t="str">
        <f t="shared" ca="1" si="1339"/>
        <v/>
      </c>
      <c r="J1341" s="49" t="str">
        <f t="shared" ca="1" si="1339"/>
        <v/>
      </c>
    </row>
    <row r="1342" spans="1:10" ht="25.5" x14ac:dyDescent="0.2">
      <c r="A1342" s="41" t="s">
        <v>989</v>
      </c>
      <c r="B1342" s="41" t="s">
        <v>402</v>
      </c>
      <c r="C1342" s="41" t="s">
        <v>990</v>
      </c>
      <c r="D1342" s="40"/>
      <c r="E1342" s="40"/>
      <c r="F1342" s="49" t="str">
        <f t="shared" ref="F1342:J1342" ca="1" si="1340">IFERROR(__xludf.DUMMYFUNCTION("if (A1342 &lt;&gt; """", GOOGLETRANSLATE(A1342, ""auto"", ""en""), """")"),"How boring")</f>
        <v>How boring</v>
      </c>
      <c r="G1342" s="49" t="str">
        <f t="shared" ca="1" si="1340"/>
        <v>How boring</v>
      </c>
      <c r="H1342" s="49" t="str">
        <f t="shared" ca="1" si="1340"/>
        <v>How boring</v>
      </c>
      <c r="I1342" s="49" t="str">
        <f t="shared" ca="1" si="1340"/>
        <v>How boring</v>
      </c>
      <c r="J1342" s="49" t="str">
        <f t="shared" ca="1" si="1340"/>
        <v>How boring</v>
      </c>
    </row>
    <row r="1343" spans="1:10" ht="25.5" x14ac:dyDescent="0.2">
      <c r="A1343" s="41" t="s">
        <v>992</v>
      </c>
      <c r="B1343" s="40"/>
      <c r="C1343" s="40"/>
      <c r="D1343" s="40"/>
      <c r="E1343" s="40"/>
      <c r="F1343" s="49" t="str">
        <f t="shared" ref="F1343:J1343" ca="1" si="1341">IFERROR(__xludf.DUMMYFUNCTION("if (A1343 &lt;&gt; """", GOOGLETRANSLATE(A1343, ""auto"", ""en""), """")"),"You are boring")</f>
        <v>You are boring</v>
      </c>
      <c r="G1343" s="49" t="str">
        <f t="shared" ca="1" si="1341"/>
        <v>You are boring</v>
      </c>
      <c r="H1343" s="49" t="str">
        <f t="shared" ca="1" si="1341"/>
        <v>You are boring</v>
      </c>
      <c r="I1343" s="49" t="str">
        <f t="shared" ca="1" si="1341"/>
        <v>You are boring</v>
      </c>
      <c r="J1343" s="49" t="str">
        <f t="shared" ca="1" si="1341"/>
        <v>You are boring</v>
      </c>
    </row>
    <row r="1344" spans="1:10" ht="25.5" x14ac:dyDescent="0.2">
      <c r="A1344" s="41" t="s">
        <v>993</v>
      </c>
      <c r="B1344" s="40"/>
      <c r="C1344" s="40"/>
      <c r="D1344" s="40"/>
      <c r="E1344" s="40"/>
      <c r="F1344" s="49" t="str">
        <f t="shared" ref="F1344:J1344" ca="1" si="1342">IFERROR(__xludf.DUMMYFUNCTION("if (A1344 &lt;&gt; """", GOOGLETRANSLATE(A1344, ""auto"", ""en""), """")"),"You are boring")</f>
        <v>You are boring</v>
      </c>
      <c r="G1344" s="49" t="str">
        <f t="shared" ca="1" si="1342"/>
        <v>You are boring</v>
      </c>
      <c r="H1344" s="49" t="str">
        <f t="shared" ca="1" si="1342"/>
        <v>You are boring</v>
      </c>
      <c r="I1344" s="49" t="str">
        <f t="shared" ca="1" si="1342"/>
        <v>You are boring</v>
      </c>
      <c r="J1344" s="49" t="str">
        <f t="shared" ca="1" si="1342"/>
        <v>You are boring</v>
      </c>
    </row>
    <row r="1345" spans="1:10" ht="25.5" x14ac:dyDescent="0.2">
      <c r="A1345" s="41" t="s">
        <v>994</v>
      </c>
      <c r="B1345" s="40"/>
      <c r="C1345" s="40"/>
      <c r="D1345" s="40"/>
      <c r="E1345" s="40"/>
      <c r="F1345" s="49" t="str">
        <f t="shared" ref="F1345:J1345" ca="1" si="1343">IFERROR(__xludf.DUMMYFUNCTION("if (A1345 &lt;&gt; """", GOOGLETRANSLATE(A1345, ""auto"", ""en""), """")"),"You are very boring")</f>
        <v>You are very boring</v>
      </c>
      <c r="G1345" s="49" t="str">
        <f t="shared" ca="1" si="1343"/>
        <v>You are very boring</v>
      </c>
      <c r="H1345" s="49" t="str">
        <f t="shared" ca="1" si="1343"/>
        <v>You are very boring</v>
      </c>
      <c r="I1345" s="49" t="str">
        <f t="shared" ca="1" si="1343"/>
        <v>You are very boring</v>
      </c>
      <c r="J1345" s="49" t="str">
        <f t="shared" ca="1" si="1343"/>
        <v>You are very boring</v>
      </c>
    </row>
    <row r="1346" spans="1:10" ht="25.5" x14ac:dyDescent="0.2">
      <c r="A1346" s="41" t="s">
        <v>995</v>
      </c>
      <c r="B1346" s="40"/>
      <c r="C1346" s="40"/>
      <c r="D1346" s="40"/>
      <c r="E1346" s="40"/>
      <c r="F1346" s="49" t="str">
        <f t="shared" ref="F1346:J1346" ca="1" si="1344">IFERROR(__xludf.DUMMYFUNCTION("if (A1346 &lt;&gt; """", GOOGLETRANSLATE(A1346, ""auto"", ""en""), """")"),"You are really boring")</f>
        <v>You are really boring</v>
      </c>
      <c r="G1346" s="49" t="str">
        <f t="shared" ca="1" si="1344"/>
        <v>You are really boring</v>
      </c>
      <c r="H1346" s="49" t="str">
        <f t="shared" ca="1" si="1344"/>
        <v>You are really boring</v>
      </c>
      <c r="I1346" s="49" t="str">
        <f t="shared" ca="1" si="1344"/>
        <v>You are really boring</v>
      </c>
      <c r="J1346" s="49" t="str">
        <f t="shared" ca="1" si="1344"/>
        <v>You are really boring</v>
      </c>
    </row>
    <row r="1347" spans="1:10" ht="25.5" x14ac:dyDescent="0.2">
      <c r="A1347" s="41" t="s">
        <v>996</v>
      </c>
      <c r="B1347" s="40"/>
      <c r="C1347" s="40"/>
      <c r="D1347" s="40"/>
      <c r="E1347" s="40"/>
      <c r="F1347" s="49" t="str">
        <f t="shared" ref="F1347:J1347" ca="1" si="1345">IFERROR(__xludf.DUMMYFUNCTION("if (A1347 &lt;&gt; """", GOOGLETRANSLATE(A1347, ""auto"", ""en""), """")"),"You are terribly boring")</f>
        <v>You are terribly boring</v>
      </c>
      <c r="G1347" s="49" t="str">
        <f t="shared" ca="1" si="1345"/>
        <v>You are terribly boring</v>
      </c>
      <c r="H1347" s="49" t="str">
        <f t="shared" ca="1" si="1345"/>
        <v>You are terribly boring</v>
      </c>
      <c r="I1347" s="49" t="str">
        <f t="shared" ca="1" si="1345"/>
        <v>You are terribly boring</v>
      </c>
      <c r="J1347" s="49" t="str">
        <f t="shared" ca="1" si="1345"/>
        <v>You are terribly boring</v>
      </c>
    </row>
    <row r="1348" spans="1:10" ht="25.5" x14ac:dyDescent="0.2">
      <c r="A1348" s="41" t="s">
        <v>997</v>
      </c>
      <c r="B1348" s="40"/>
      <c r="C1348" s="40"/>
      <c r="D1348" s="40"/>
      <c r="E1348" s="40"/>
      <c r="F1348" s="49" t="str">
        <f t="shared" ref="F1348:J1348" ca="1" si="1346">IFERROR(__xludf.DUMMYFUNCTION("if (A1348 &lt;&gt; """", GOOGLETRANSLATE(A1348, ""auto"", ""en""), """")"),"You are so boring")</f>
        <v>You are so boring</v>
      </c>
      <c r="G1348" s="49" t="str">
        <f t="shared" ca="1" si="1346"/>
        <v>You are so boring</v>
      </c>
      <c r="H1348" s="49" t="str">
        <f t="shared" ca="1" si="1346"/>
        <v>You are so boring</v>
      </c>
      <c r="I1348" s="49" t="str">
        <f t="shared" ca="1" si="1346"/>
        <v>You are so boring</v>
      </c>
      <c r="J1348" s="49" t="str">
        <f t="shared" ca="1" si="1346"/>
        <v>You are so boring</v>
      </c>
    </row>
    <row r="1349" spans="1:10" ht="12.75" x14ac:dyDescent="0.2">
      <c r="A1349" s="40"/>
      <c r="B1349" s="40"/>
      <c r="C1349" s="40"/>
      <c r="D1349" s="40"/>
      <c r="E1349" s="40"/>
      <c r="F1349" s="49" t="str">
        <f t="shared" ref="F1349:J1349" ca="1" si="1347">IFERROR(__xludf.DUMMYFUNCTION("if (A1349 &lt;&gt; """", GOOGLETRANSLATE(A1349, ""auto"", ""en""), """")"),"")</f>
        <v/>
      </c>
      <c r="G1349" s="49" t="str">
        <f t="shared" ca="1" si="1347"/>
        <v/>
      </c>
      <c r="H1349" s="49" t="str">
        <f t="shared" ca="1" si="1347"/>
        <v/>
      </c>
      <c r="I1349" s="49" t="str">
        <f t="shared" ca="1" si="1347"/>
        <v/>
      </c>
      <c r="J1349" s="49" t="str">
        <f t="shared" ca="1" si="1347"/>
        <v/>
      </c>
    </row>
    <row r="1350" spans="1:10" ht="25.5" x14ac:dyDescent="0.2">
      <c r="A1350" s="41" t="s">
        <v>998</v>
      </c>
      <c r="B1350" s="40"/>
      <c r="C1350" s="40"/>
      <c r="D1350" s="40"/>
      <c r="E1350" s="40"/>
      <c r="F1350" s="49" t="str">
        <f t="shared" ref="F1350:J1350" ca="1" si="1348">IFERROR(__xludf.DUMMYFUNCTION("if (A1350 &lt;&gt; """", GOOGLETRANSLATE(A1350, ""auto"", ""en""), """")"),"smalltalk.agent.boss")</f>
        <v>smalltalk.agent.boss</v>
      </c>
      <c r="G1350" s="49" t="str">
        <f t="shared" ca="1" si="1348"/>
        <v>smalltalk.agent.boss</v>
      </c>
      <c r="H1350" s="49" t="str">
        <f t="shared" ca="1" si="1348"/>
        <v>smalltalk.agent.boss</v>
      </c>
      <c r="I1350" s="49" t="str">
        <f t="shared" ca="1" si="1348"/>
        <v>smalltalk.agent.boss</v>
      </c>
      <c r="J1350" s="49" t="str">
        <f t="shared" ca="1" si="1348"/>
        <v>smalltalk.agent.boss</v>
      </c>
    </row>
    <row r="1351" spans="1:10" ht="12.75" x14ac:dyDescent="0.2">
      <c r="A1351" s="40"/>
      <c r="B1351" s="41" t="s">
        <v>398</v>
      </c>
      <c r="C1351" s="40"/>
      <c r="D1351" s="40"/>
      <c r="E1351" s="40"/>
      <c r="F1351" s="49" t="str">
        <f t="shared" ref="F1351:J1351" ca="1" si="1349">IFERROR(__xludf.DUMMYFUNCTION("if (A1351 &lt;&gt; """", GOOGLETRANSLATE(A1351, ""auto"", ""en""), """")"),"")</f>
        <v/>
      </c>
      <c r="G1351" s="49" t="str">
        <f t="shared" ca="1" si="1349"/>
        <v/>
      </c>
      <c r="H1351" s="49" t="str">
        <f t="shared" ca="1" si="1349"/>
        <v/>
      </c>
      <c r="I1351" s="49" t="str">
        <f t="shared" ca="1" si="1349"/>
        <v/>
      </c>
      <c r="J1351" s="49" t="str">
        <f t="shared" ca="1" si="1349"/>
        <v/>
      </c>
    </row>
    <row r="1352" spans="1:10" ht="12.75" x14ac:dyDescent="0.2">
      <c r="A1352" s="40"/>
      <c r="B1352" s="41" t="s">
        <v>399</v>
      </c>
      <c r="C1352" s="40"/>
      <c r="D1352" s="40"/>
      <c r="E1352" s="40"/>
      <c r="F1352" s="49" t="str">
        <f t="shared" ref="F1352:J1352" ca="1" si="1350">IFERROR(__xludf.DUMMYFUNCTION("if (A1352 &lt;&gt; """", GOOGLETRANSLATE(A1352, ""auto"", ""en""), """")"),"")</f>
        <v/>
      </c>
      <c r="G1352" s="49" t="str">
        <f t="shared" ca="1" si="1350"/>
        <v/>
      </c>
      <c r="H1352" s="49" t="str">
        <f t="shared" ca="1" si="1350"/>
        <v/>
      </c>
      <c r="I1352" s="49" t="str">
        <f t="shared" ca="1" si="1350"/>
        <v/>
      </c>
      <c r="J1352" s="49" t="str">
        <f t="shared" ca="1" si="1350"/>
        <v/>
      </c>
    </row>
    <row r="1353" spans="1:10" ht="12.75" x14ac:dyDescent="0.2">
      <c r="A1353" s="40"/>
      <c r="B1353" s="41" t="s">
        <v>400</v>
      </c>
      <c r="C1353" s="41" t="s">
        <v>998</v>
      </c>
      <c r="D1353" s="40"/>
      <c r="E1353" s="40"/>
      <c r="F1353" s="49" t="str">
        <f t="shared" ref="F1353:J1353" ca="1" si="1351">IFERROR(__xludf.DUMMYFUNCTION("if (A1353 &lt;&gt; """", GOOGLETRANSLATE(A1353, ""auto"", ""en""), """")"),"")</f>
        <v/>
      </c>
      <c r="G1353" s="49" t="str">
        <f t="shared" ca="1" si="1351"/>
        <v/>
      </c>
      <c r="H1353" s="49" t="str">
        <f t="shared" ca="1" si="1351"/>
        <v/>
      </c>
      <c r="I1353" s="49" t="str">
        <f t="shared" ca="1" si="1351"/>
        <v/>
      </c>
      <c r="J1353" s="49" t="str">
        <f t="shared" ca="1" si="1351"/>
        <v/>
      </c>
    </row>
    <row r="1354" spans="1:10" ht="12.75" x14ac:dyDescent="0.2">
      <c r="A1354" s="40"/>
      <c r="B1354" s="41" t="s">
        <v>401</v>
      </c>
      <c r="C1354" s="40"/>
      <c r="D1354" s="40"/>
      <c r="E1354" s="40"/>
      <c r="F1354" s="49" t="str">
        <f t="shared" ref="F1354:J1354" ca="1" si="1352">IFERROR(__xludf.DUMMYFUNCTION("if (A1354 &lt;&gt; """", GOOGLETRANSLATE(A1354, ""auto"", ""en""), """")"),"")</f>
        <v/>
      </c>
      <c r="G1354" s="49" t="str">
        <f t="shared" ca="1" si="1352"/>
        <v/>
      </c>
      <c r="H1354" s="49" t="str">
        <f t="shared" ca="1" si="1352"/>
        <v/>
      </c>
      <c r="I1354" s="49" t="str">
        <f t="shared" ca="1" si="1352"/>
        <v/>
      </c>
      <c r="J1354" s="49" t="str">
        <f t="shared" ca="1" si="1352"/>
        <v/>
      </c>
    </row>
    <row r="1355" spans="1:10" ht="25.5" x14ac:dyDescent="0.2">
      <c r="A1355" s="41" t="s">
        <v>999</v>
      </c>
      <c r="B1355" s="41" t="s">
        <v>402</v>
      </c>
      <c r="C1355" s="41" t="s">
        <v>1001</v>
      </c>
      <c r="D1355" s="40"/>
      <c r="E1355" s="40"/>
      <c r="F1355" s="49" t="str">
        <f t="shared" ref="F1355:J1355" ca="1" si="1353">IFERROR(__xludf.DUMMYFUNCTION("if (A1355 &lt;&gt; """", GOOGLETRANSLATE(A1355, ""auto"", ""en""), """")"),"Who is the boss")</f>
        <v>Who is the boss</v>
      </c>
      <c r="G1355" s="49" t="str">
        <f t="shared" ca="1" si="1353"/>
        <v>Who is the boss</v>
      </c>
      <c r="H1355" s="49" t="str">
        <f t="shared" ca="1" si="1353"/>
        <v>Who is the boss</v>
      </c>
      <c r="I1355" s="49" t="str">
        <f t="shared" ca="1" si="1353"/>
        <v>Who is the boss</v>
      </c>
      <c r="J1355" s="49" t="str">
        <f t="shared" ca="1" si="1353"/>
        <v>Who is the boss</v>
      </c>
    </row>
    <row r="1356" spans="1:10" ht="25.5" x14ac:dyDescent="0.2">
      <c r="A1356" s="41" t="s">
        <v>1002</v>
      </c>
      <c r="B1356" s="40"/>
      <c r="C1356" s="40"/>
      <c r="D1356" s="40"/>
      <c r="E1356" s="40"/>
      <c r="F1356" s="49" t="str">
        <f t="shared" ref="F1356:J1356" ca="1" si="1354">IFERROR(__xludf.DUMMYFUNCTION("if (A1356 &lt;&gt; """", GOOGLETRANSLATE(A1356, ""auto"", ""en""), """")"),"Who is your boss")</f>
        <v>Who is your boss</v>
      </c>
      <c r="G1356" s="49" t="str">
        <f t="shared" ca="1" si="1354"/>
        <v>Who is your boss</v>
      </c>
      <c r="H1356" s="49" t="str">
        <f t="shared" ca="1" si="1354"/>
        <v>Who is your boss</v>
      </c>
      <c r="I1356" s="49" t="str">
        <f t="shared" ca="1" si="1354"/>
        <v>Who is your boss</v>
      </c>
      <c r="J1356" s="49" t="str">
        <f t="shared" ca="1" si="1354"/>
        <v>Who is your boss</v>
      </c>
    </row>
    <row r="1357" spans="1:10" ht="25.5" x14ac:dyDescent="0.2">
      <c r="A1357" s="41" t="s">
        <v>1004</v>
      </c>
      <c r="B1357" s="40"/>
      <c r="C1357" s="40"/>
      <c r="D1357" s="40"/>
      <c r="E1357" s="40"/>
      <c r="F1357" s="49" t="str">
        <f t="shared" ref="F1357:J1357" ca="1" si="1355">IFERROR(__xludf.DUMMYFUNCTION("if (A1357 &lt;&gt; """", GOOGLETRANSLATE(A1357, ""auto"", ""en""), """")"),"Who is the boss")</f>
        <v>Who is the boss</v>
      </c>
      <c r="G1357" s="49" t="str">
        <f t="shared" ca="1" si="1355"/>
        <v>Who is the boss</v>
      </c>
      <c r="H1357" s="49" t="str">
        <f t="shared" ca="1" si="1355"/>
        <v>Who is the boss</v>
      </c>
      <c r="I1357" s="49" t="str">
        <f t="shared" ca="1" si="1355"/>
        <v>Who is the boss</v>
      </c>
      <c r="J1357" s="49" t="str">
        <f t="shared" ca="1" si="1355"/>
        <v>Who is the boss</v>
      </c>
    </row>
    <row r="1358" spans="1:10" ht="25.5" x14ac:dyDescent="0.2">
      <c r="A1358" s="41" t="s">
        <v>1006</v>
      </c>
      <c r="B1358" s="40"/>
      <c r="C1358" s="40"/>
      <c r="D1358" s="40"/>
      <c r="E1358" s="40"/>
      <c r="F1358" s="49" t="str">
        <f t="shared" ref="F1358:J1358" ca="1" si="1356">IFERROR(__xludf.DUMMYFUNCTION("if (A1358 &lt;&gt; """", GOOGLETRANSLATE(A1358, ""auto"", ""en""), """")"),"Who is your husband")</f>
        <v>Who is your husband</v>
      </c>
      <c r="G1358" s="49" t="str">
        <f t="shared" ca="1" si="1356"/>
        <v>Who is your husband</v>
      </c>
      <c r="H1358" s="49" t="str">
        <f t="shared" ca="1" si="1356"/>
        <v>Who is your husband</v>
      </c>
      <c r="I1358" s="49" t="str">
        <f t="shared" ca="1" si="1356"/>
        <v>Who is your husband</v>
      </c>
      <c r="J1358" s="49" t="str">
        <f t="shared" ca="1" si="1356"/>
        <v>Who is your husband</v>
      </c>
    </row>
    <row r="1359" spans="1:10" ht="25.5" x14ac:dyDescent="0.2">
      <c r="A1359" s="41" t="s">
        <v>1008</v>
      </c>
      <c r="B1359" s="40"/>
      <c r="C1359" s="40"/>
      <c r="D1359" s="40"/>
      <c r="E1359" s="40"/>
      <c r="F1359" s="49" t="str">
        <f t="shared" ref="F1359:J1359" ca="1" si="1357">IFERROR(__xludf.DUMMYFUNCTION("if (A1359 &lt;&gt; """", GOOGLETRANSLATE(A1359, ""auto"", ""en""), """")"),"Who is the owner")</f>
        <v>Who is the owner</v>
      </c>
      <c r="G1359" s="49" t="str">
        <f t="shared" ca="1" si="1357"/>
        <v>Who is the owner</v>
      </c>
      <c r="H1359" s="49" t="str">
        <f t="shared" ca="1" si="1357"/>
        <v>Who is the owner</v>
      </c>
      <c r="I1359" s="49" t="str">
        <f t="shared" ca="1" si="1357"/>
        <v>Who is the owner</v>
      </c>
      <c r="J1359" s="49" t="str">
        <f t="shared" ca="1" si="1357"/>
        <v>Who is the owner</v>
      </c>
    </row>
    <row r="1360" spans="1:10" ht="38.25" x14ac:dyDescent="0.2">
      <c r="A1360" s="41" t="s">
        <v>1011</v>
      </c>
      <c r="B1360" s="40"/>
      <c r="C1360" s="40"/>
      <c r="D1360" s="40"/>
      <c r="E1360" s="40"/>
      <c r="F1360" s="49" t="str">
        <f t="shared" ref="F1360:J1360" ca="1" si="1358">IFERROR(__xludf.DUMMYFUNCTION("if (A1360 &lt;&gt; """", GOOGLETRANSLATE(A1360, ""auto"", ""en""), """")"),"Who do you think is the boss")</f>
        <v>Who do you think is the boss</v>
      </c>
      <c r="G1360" s="49" t="str">
        <f t="shared" ca="1" si="1358"/>
        <v>Who do you think is the boss</v>
      </c>
      <c r="H1360" s="49" t="str">
        <f t="shared" ca="1" si="1358"/>
        <v>Who do you think is the boss</v>
      </c>
      <c r="I1360" s="49" t="str">
        <f t="shared" ca="1" si="1358"/>
        <v>Who do you think is the boss</v>
      </c>
      <c r="J1360" s="49" t="str">
        <f t="shared" ca="1" si="1358"/>
        <v>Who do you think is the boss</v>
      </c>
    </row>
    <row r="1361" spans="1:10" ht="25.5" x14ac:dyDescent="0.2">
      <c r="A1361" s="41" t="s">
        <v>1013</v>
      </c>
      <c r="B1361" s="40"/>
      <c r="C1361" s="40"/>
      <c r="D1361" s="40"/>
      <c r="E1361" s="40"/>
      <c r="F1361" s="49" t="str">
        <f t="shared" ref="F1361:J1361" ca="1" si="1359">IFERROR(__xludf.DUMMYFUNCTION("if (A1361 &lt;&gt; """", GOOGLETRANSLATE(A1361, ""auto"", ""en""), """")"),"I should of your boss")</f>
        <v>I should of your boss</v>
      </c>
      <c r="G1361" s="49" t="str">
        <f t="shared" ca="1" si="1359"/>
        <v>I should of your boss</v>
      </c>
      <c r="H1361" s="49" t="str">
        <f t="shared" ca="1" si="1359"/>
        <v>I should of your boss</v>
      </c>
      <c r="I1361" s="49" t="str">
        <f t="shared" ca="1" si="1359"/>
        <v>I should of your boss</v>
      </c>
      <c r="J1361" s="49" t="str">
        <f t="shared" ca="1" si="1359"/>
        <v>I should of your boss</v>
      </c>
    </row>
    <row r="1362" spans="1:10" ht="51" x14ac:dyDescent="0.2">
      <c r="A1362" s="41" t="s">
        <v>1015</v>
      </c>
      <c r="B1362" s="40"/>
      <c r="C1362" s="40"/>
      <c r="D1362" s="40"/>
      <c r="E1362" s="40"/>
      <c r="F1362" s="49" t="str">
        <f t="shared" ref="F1362:J1362" ca="1" si="1360">IFERROR(__xludf.DUMMYFUNCTION("if (A1362 &lt;&gt; """", GOOGLETRANSLATE(A1362, ""auto"", ""en""), """")"),"Are you working in anyone's place")</f>
        <v>Are you working in anyone's place</v>
      </c>
      <c r="G1362" s="49" t="str">
        <f t="shared" ca="1" si="1360"/>
        <v>Are you working in anyone's place</v>
      </c>
      <c r="H1362" s="49" t="str">
        <f t="shared" ca="1" si="1360"/>
        <v>Are you working in anyone's place</v>
      </c>
      <c r="I1362" s="49" t="str">
        <f t="shared" ca="1" si="1360"/>
        <v>Are you working in anyone's place</v>
      </c>
      <c r="J1362" s="49" t="str">
        <f t="shared" ca="1" si="1360"/>
        <v>Are you working in anyone's place</v>
      </c>
    </row>
    <row r="1363" spans="1:10" ht="12.75" x14ac:dyDescent="0.2">
      <c r="A1363" s="40"/>
      <c r="B1363" s="40"/>
      <c r="C1363" s="40"/>
      <c r="D1363" s="40"/>
      <c r="E1363" s="40"/>
      <c r="F1363" s="49" t="str">
        <f t="shared" ref="F1363:J1363" ca="1" si="1361">IFERROR(__xludf.DUMMYFUNCTION("if (A1363 &lt;&gt; """", GOOGLETRANSLATE(A1363, ""auto"", ""en""), """")"),"")</f>
        <v/>
      </c>
      <c r="G1363" s="49" t="str">
        <f t="shared" ca="1" si="1361"/>
        <v/>
      </c>
      <c r="H1363" s="49" t="str">
        <f t="shared" ca="1" si="1361"/>
        <v/>
      </c>
      <c r="I1363" s="49" t="str">
        <f t="shared" ca="1" si="1361"/>
        <v/>
      </c>
      <c r="J1363" s="49" t="str">
        <f t="shared" ca="1" si="1361"/>
        <v/>
      </c>
    </row>
    <row r="1364" spans="1:10" ht="25.5" x14ac:dyDescent="0.2">
      <c r="A1364" s="41" t="s">
        <v>1018</v>
      </c>
      <c r="B1364" s="40"/>
      <c r="C1364" s="40"/>
      <c r="D1364" s="40"/>
      <c r="E1364" s="40"/>
      <c r="F1364" s="49" t="str">
        <f t="shared" ref="F1364:J1364" ca="1" si="1362">IFERROR(__xludf.DUMMYFUNCTION("if (A1364 &lt;&gt; """", GOOGLETRANSLATE(A1364, ""auto"", ""en""), """")"),"smalltalk.agent.busy")</f>
        <v>smalltalk.agent.busy</v>
      </c>
      <c r="G1364" s="49" t="str">
        <f t="shared" ca="1" si="1362"/>
        <v>smalltalk.agent.busy</v>
      </c>
      <c r="H1364" s="49" t="str">
        <f t="shared" ca="1" si="1362"/>
        <v>smalltalk.agent.busy</v>
      </c>
      <c r="I1364" s="49" t="str">
        <f t="shared" ca="1" si="1362"/>
        <v>smalltalk.agent.busy</v>
      </c>
      <c r="J1364" s="49" t="str">
        <f t="shared" ca="1" si="1362"/>
        <v>smalltalk.agent.busy</v>
      </c>
    </row>
    <row r="1365" spans="1:10" ht="12.75" x14ac:dyDescent="0.2">
      <c r="A1365" s="40"/>
      <c r="B1365" s="41" t="s">
        <v>398</v>
      </c>
      <c r="C1365" s="40"/>
      <c r="D1365" s="40"/>
      <c r="E1365" s="40"/>
      <c r="F1365" s="49" t="str">
        <f t="shared" ref="F1365:J1365" ca="1" si="1363">IFERROR(__xludf.DUMMYFUNCTION("if (A1365 &lt;&gt; """", GOOGLETRANSLATE(A1365, ""auto"", ""en""), """")"),"")</f>
        <v/>
      </c>
      <c r="G1365" s="49" t="str">
        <f t="shared" ca="1" si="1363"/>
        <v/>
      </c>
      <c r="H1365" s="49" t="str">
        <f t="shared" ca="1" si="1363"/>
        <v/>
      </c>
      <c r="I1365" s="49" t="str">
        <f t="shared" ca="1" si="1363"/>
        <v/>
      </c>
      <c r="J1365" s="49" t="str">
        <f t="shared" ca="1" si="1363"/>
        <v/>
      </c>
    </row>
    <row r="1366" spans="1:10" ht="12.75" x14ac:dyDescent="0.2">
      <c r="A1366" s="40"/>
      <c r="B1366" s="41" t="s">
        <v>399</v>
      </c>
      <c r="C1366" s="40"/>
      <c r="D1366" s="40"/>
      <c r="E1366" s="40"/>
      <c r="F1366" s="49" t="str">
        <f t="shared" ref="F1366:J1366" ca="1" si="1364">IFERROR(__xludf.DUMMYFUNCTION("if (A1366 &lt;&gt; """", GOOGLETRANSLATE(A1366, ""auto"", ""en""), """")"),"")</f>
        <v/>
      </c>
      <c r="G1366" s="49" t="str">
        <f t="shared" ca="1" si="1364"/>
        <v/>
      </c>
      <c r="H1366" s="49" t="str">
        <f t="shared" ca="1" si="1364"/>
        <v/>
      </c>
      <c r="I1366" s="49" t="str">
        <f t="shared" ca="1" si="1364"/>
        <v/>
      </c>
      <c r="J1366" s="49" t="str">
        <f t="shared" ca="1" si="1364"/>
        <v/>
      </c>
    </row>
    <row r="1367" spans="1:10" ht="12.75" x14ac:dyDescent="0.2">
      <c r="A1367" s="40"/>
      <c r="B1367" s="41" t="s">
        <v>400</v>
      </c>
      <c r="C1367" s="41" t="s">
        <v>1018</v>
      </c>
      <c r="D1367" s="40"/>
      <c r="E1367" s="40"/>
      <c r="F1367" s="49" t="str">
        <f t="shared" ref="F1367:J1367" ca="1" si="1365">IFERROR(__xludf.DUMMYFUNCTION("if (A1367 &lt;&gt; """", GOOGLETRANSLATE(A1367, ""auto"", ""en""), """")"),"")</f>
        <v/>
      </c>
      <c r="G1367" s="49" t="str">
        <f t="shared" ca="1" si="1365"/>
        <v/>
      </c>
      <c r="H1367" s="49" t="str">
        <f t="shared" ca="1" si="1365"/>
        <v/>
      </c>
      <c r="I1367" s="49" t="str">
        <f t="shared" ca="1" si="1365"/>
        <v/>
      </c>
      <c r="J1367" s="49" t="str">
        <f t="shared" ca="1" si="1365"/>
        <v/>
      </c>
    </row>
    <row r="1368" spans="1:10" ht="12.75" x14ac:dyDescent="0.2">
      <c r="A1368" s="40"/>
      <c r="B1368" s="41" t="s">
        <v>401</v>
      </c>
      <c r="C1368" s="40"/>
      <c r="D1368" s="40"/>
      <c r="E1368" s="40"/>
      <c r="F1368" s="49" t="str">
        <f t="shared" ref="F1368:J1368" ca="1" si="1366">IFERROR(__xludf.DUMMYFUNCTION("if (A1368 &lt;&gt; """", GOOGLETRANSLATE(A1368, ""auto"", ""en""), """")"),"")</f>
        <v/>
      </c>
      <c r="G1368" s="49" t="str">
        <f t="shared" ca="1" si="1366"/>
        <v/>
      </c>
      <c r="H1368" s="49" t="str">
        <f t="shared" ca="1" si="1366"/>
        <v/>
      </c>
      <c r="I1368" s="49" t="str">
        <f t="shared" ca="1" si="1366"/>
        <v/>
      </c>
      <c r="J1368" s="49" t="str">
        <f t="shared" ca="1" si="1366"/>
        <v/>
      </c>
    </row>
    <row r="1369" spans="1:10" ht="25.5" x14ac:dyDescent="0.2">
      <c r="A1369" s="41" t="s">
        <v>1020</v>
      </c>
      <c r="B1369" s="41" t="s">
        <v>402</v>
      </c>
      <c r="C1369" s="41" t="s">
        <v>1022</v>
      </c>
      <c r="D1369" s="40"/>
      <c r="E1369" s="40"/>
      <c r="F1369" s="49" t="str">
        <f t="shared" ref="F1369:J1369" ca="1" si="1367">IFERROR(__xludf.DUMMYFUNCTION("if (A1369 &lt;&gt; """", GOOGLETRANSLATE(A1369, ""auto"", ""en""), """")"),"Are you busy")</f>
        <v>Are you busy</v>
      </c>
      <c r="G1369" s="49" t="str">
        <f t="shared" ca="1" si="1367"/>
        <v>Are you busy</v>
      </c>
      <c r="H1369" s="49" t="str">
        <f t="shared" ca="1" si="1367"/>
        <v>Are you busy</v>
      </c>
      <c r="I1369" s="49" t="str">
        <f t="shared" ca="1" si="1367"/>
        <v>Are you busy</v>
      </c>
      <c r="J1369" s="49" t="str">
        <f t="shared" ca="1" si="1367"/>
        <v>Are you busy</v>
      </c>
    </row>
    <row r="1370" spans="1:10" ht="25.5" x14ac:dyDescent="0.2">
      <c r="A1370" s="41" t="s">
        <v>1024</v>
      </c>
      <c r="B1370" s="40"/>
      <c r="C1370" s="40"/>
      <c r="D1370" s="40"/>
      <c r="E1370" s="40"/>
      <c r="F1370" s="49" t="str">
        <f t="shared" ref="F1370:J1370" ca="1" si="1368">IFERROR(__xludf.DUMMYFUNCTION("if (A1370 &lt;&gt; """", GOOGLETRANSLATE(A1370, ""auto"", ""en""), """")"),"Are you now at work")</f>
        <v>Are you now at work</v>
      </c>
      <c r="G1370" s="49" t="str">
        <f t="shared" ca="1" si="1368"/>
        <v>Are you now at work</v>
      </c>
      <c r="H1370" s="49" t="str">
        <f t="shared" ca="1" si="1368"/>
        <v>Are you now at work</v>
      </c>
      <c r="I1370" s="49" t="str">
        <f t="shared" ca="1" si="1368"/>
        <v>Are you now at work</v>
      </c>
      <c r="J1370" s="49" t="str">
        <f t="shared" ca="1" si="1368"/>
        <v>Are you now at work</v>
      </c>
    </row>
    <row r="1371" spans="1:10" ht="25.5" x14ac:dyDescent="0.2">
      <c r="A1371" s="41" t="s">
        <v>1027</v>
      </c>
      <c r="B1371" s="40"/>
      <c r="C1371" s="40"/>
      <c r="D1371" s="40"/>
      <c r="E1371" s="40"/>
      <c r="F1371" s="49" t="str">
        <f t="shared" ref="F1371:J1371" ca="1" si="1369">IFERROR(__xludf.DUMMYFUNCTION("if (A1371 &lt;&gt; """", GOOGLETRANSLATE(A1371, ""auto"", ""en""), """")"),"Are you very busy")</f>
        <v>Are you very busy</v>
      </c>
      <c r="G1371" s="49" t="str">
        <f t="shared" ca="1" si="1369"/>
        <v>Are you very busy</v>
      </c>
      <c r="H1371" s="49" t="str">
        <f t="shared" ca="1" si="1369"/>
        <v>Are you very busy</v>
      </c>
      <c r="I1371" s="49" t="str">
        <f t="shared" ca="1" si="1369"/>
        <v>Are you very busy</v>
      </c>
      <c r="J1371" s="49" t="str">
        <f t="shared" ca="1" si="1369"/>
        <v>Are you very busy</v>
      </c>
    </row>
    <row r="1372" spans="1:10" ht="25.5" x14ac:dyDescent="0.2">
      <c r="A1372" s="41" t="s">
        <v>1028</v>
      </c>
      <c r="B1372" s="40"/>
      <c r="C1372" s="40"/>
      <c r="D1372" s="40"/>
      <c r="E1372" s="40"/>
      <c r="F1372" s="49" t="str">
        <f t="shared" ref="F1372:J1372" ca="1" si="1370">IFERROR(__xludf.DUMMYFUNCTION("if (A1372 &lt;&gt; """", GOOGLETRANSLATE(A1372, ""auto"", ""en""), """")"),"It is very busy or")</f>
        <v>It is very busy or</v>
      </c>
      <c r="G1372" s="49" t="str">
        <f t="shared" ca="1" si="1370"/>
        <v>It is very busy or</v>
      </c>
      <c r="H1372" s="49" t="str">
        <f t="shared" ca="1" si="1370"/>
        <v>It is very busy or</v>
      </c>
      <c r="I1372" s="49" t="str">
        <f t="shared" ca="1" si="1370"/>
        <v>It is very busy or</v>
      </c>
      <c r="J1372" s="49" t="str">
        <f t="shared" ca="1" si="1370"/>
        <v>It is very busy or</v>
      </c>
    </row>
    <row r="1373" spans="1:10" ht="12.75" x14ac:dyDescent="0.2">
      <c r="A1373" s="41" t="s">
        <v>1029</v>
      </c>
      <c r="B1373" s="40"/>
      <c r="C1373" s="40"/>
      <c r="D1373" s="40"/>
      <c r="E1373" s="40"/>
      <c r="F1373" s="49" t="str">
        <f t="shared" ref="F1373:J1373" ca="1" si="1371">IFERROR(__xludf.DUMMYFUNCTION("if (A1373 &lt;&gt; """", GOOGLETRANSLATE(A1373, ""auto"", ""en""), """")"),"It's very busy")</f>
        <v>It's very busy</v>
      </c>
      <c r="G1373" s="49" t="str">
        <f t="shared" ca="1" si="1371"/>
        <v>It's very busy</v>
      </c>
      <c r="H1373" s="49" t="str">
        <f t="shared" ca="1" si="1371"/>
        <v>It's very busy</v>
      </c>
      <c r="I1373" s="49" t="str">
        <f t="shared" ca="1" si="1371"/>
        <v>It's very busy</v>
      </c>
      <c r="J1373" s="49" t="str">
        <f t="shared" ca="1" si="1371"/>
        <v>It's very busy</v>
      </c>
    </row>
    <row r="1374" spans="1:10" ht="25.5" x14ac:dyDescent="0.2">
      <c r="A1374" s="41" t="s">
        <v>1031</v>
      </c>
      <c r="B1374" s="40"/>
      <c r="C1374" s="40"/>
      <c r="D1374" s="40"/>
      <c r="E1374" s="40"/>
      <c r="F1374" s="49" t="str">
        <f t="shared" ref="F1374:J1374" ca="1" si="1372">IFERROR(__xludf.DUMMYFUNCTION("if (A1374 &lt;&gt; """", GOOGLETRANSLATE(A1374, ""auto"", ""en""), """")"),"Are you very busy now")</f>
        <v>Are you very busy now</v>
      </c>
      <c r="G1374" s="49" t="str">
        <f t="shared" ca="1" si="1372"/>
        <v>Are you very busy now</v>
      </c>
      <c r="H1374" s="49" t="str">
        <f t="shared" ca="1" si="1372"/>
        <v>Are you very busy now</v>
      </c>
      <c r="I1374" s="49" t="str">
        <f t="shared" ca="1" si="1372"/>
        <v>Are you very busy now</v>
      </c>
      <c r="J1374" s="49" t="str">
        <f t="shared" ca="1" si="1372"/>
        <v>Are you very busy now</v>
      </c>
    </row>
    <row r="1375" spans="1:10" ht="25.5" x14ac:dyDescent="0.2">
      <c r="A1375" s="41" t="s">
        <v>1032</v>
      </c>
      <c r="B1375" s="40"/>
      <c r="C1375" s="40"/>
      <c r="D1375" s="40"/>
      <c r="E1375" s="40"/>
      <c r="F1375" s="49" t="str">
        <f t="shared" ref="F1375:J1375" ca="1" si="1373">IFERROR(__xludf.DUMMYFUNCTION("if (A1375 &lt;&gt; """", GOOGLETRANSLATE(A1375, ""auto"", ""en""), """")"),"How much is busy or")</f>
        <v>How much is busy or</v>
      </c>
      <c r="G1375" s="49" t="str">
        <f t="shared" ca="1" si="1373"/>
        <v>How much is busy or</v>
      </c>
      <c r="H1375" s="49" t="str">
        <f t="shared" ca="1" si="1373"/>
        <v>How much is busy or</v>
      </c>
      <c r="I1375" s="49" t="str">
        <f t="shared" ca="1" si="1373"/>
        <v>How much is busy or</v>
      </c>
      <c r="J1375" s="49" t="str">
        <f t="shared" ca="1" si="1373"/>
        <v>How much is busy or</v>
      </c>
    </row>
    <row r="1376" spans="1:10" ht="25.5" x14ac:dyDescent="0.2">
      <c r="A1376" s="41" t="s">
        <v>1033</v>
      </c>
      <c r="B1376" s="40"/>
      <c r="C1376" s="40"/>
      <c r="D1376" s="40"/>
      <c r="E1376" s="40"/>
      <c r="F1376" s="49" t="str">
        <f t="shared" ref="F1376:J1376" ca="1" si="1374">IFERROR(__xludf.DUMMYFUNCTION("if (A1376 &lt;&gt; """", GOOGLETRANSLATE(A1376, ""auto"", ""en""), """")"),"Do you have a lot to be")</f>
        <v>Do you have a lot to be</v>
      </c>
      <c r="G1376" s="49" t="str">
        <f t="shared" ca="1" si="1374"/>
        <v>Do you have a lot to be</v>
      </c>
      <c r="H1376" s="49" t="str">
        <f t="shared" ca="1" si="1374"/>
        <v>Do you have a lot to be</v>
      </c>
      <c r="I1376" s="49" t="str">
        <f t="shared" ca="1" si="1374"/>
        <v>Do you have a lot to be</v>
      </c>
      <c r="J1376" s="49" t="str">
        <f t="shared" ca="1" si="1374"/>
        <v>Do you have a lot to be</v>
      </c>
    </row>
    <row r="1377" spans="1:10" ht="25.5" x14ac:dyDescent="0.2">
      <c r="A1377" s="41" t="s">
        <v>1034</v>
      </c>
      <c r="B1377" s="40"/>
      <c r="C1377" s="40"/>
      <c r="D1377" s="40"/>
      <c r="E1377" s="40"/>
      <c r="F1377" s="49" t="str">
        <f t="shared" ref="F1377:J1377" ca="1" si="1375">IFERROR(__xludf.DUMMYFUNCTION("if (A1377 &lt;&gt; """", GOOGLETRANSLATE(A1377, ""auto"", ""en""), """")"),"It should be a lot of do")</f>
        <v>It should be a lot of do</v>
      </c>
      <c r="G1377" s="49" t="str">
        <f t="shared" ca="1" si="1375"/>
        <v>It should be a lot of do</v>
      </c>
      <c r="H1377" s="49" t="str">
        <f t="shared" ca="1" si="1375"/>
        <v>It should be a lot of do</v>
      </c>
      <c r="I1377" s="49" t="str">
        <f t="shared" ca="1" si="1375"/>
        <v>It should be a lot of do</v>
      </c>
      <c r="J1377" s="49" t="str">
        <f t="shared" ca="1" si="1375"/>
        <v>It should be a lot of do</v>
      </c>
    </row>
    <row r="1378" spans="1:10" ht="25.5" x14ac:dyDescent="0.2">
      <c r="A1378" s="41" t="s">
        <v>1035</v>
      </c>
      <c r="B1378" s="40"/>
      <c r="C1378" s="40"/>
      <c r="D1378" s="40"/>
      <c r="E1378" s="40"/>
      <c r="F1378" s="49" t="str">
        <f t="shared" ref="F1378:J1378" ca="1" si="1376">IFERROR(__xludf.DUMMYFUNCTION("if (A1378 &lt;&gt; """", GOOGLETRANSLATE(A1378, ""auto"", ""en""), """")"),"Do you still working on it")</f>
        <v>Do you still working on it</v>
      </c>
      <c r="G1378" s="49" t="str">
        <f t="shared" ca="1" si="1376"/>
        <v>Do you still working on it</v>
      </c>
      <c r="H1378" s="49" t="str">
        <f t="shared" ca="1" si="1376"/>
        <v>Do you still working on it</v>
      </c>
      <c r="I1378" s="49" t="str">
        <f t="shared" ca="1" si="1376"/>
        <v>Do you still working on it</v>
      </c>
      <c r="J1378" s="49" t="str">
        <f t="shared" ca="1" si="1376"/>
        <v>Do you still working on it</v>
      </c>
    </row>
    <row r="1379" spans="1:10" ht="12.75" x14ac:dyDescent="0.2">
      <c r="A1379" s="40"/>
      <c r="B1379" s="40"/>
      <c r="C1379" s="40"/>
      <c r="D1379" s="40"/>
      <c r="E1379" s="40"/>
      <c r="F1379" s="49" t="str">
        <f t="shared" ref="F1379:J1379" ca="1" si="1377">IFERROR(__xludf.DUMMYFUNCTION("if (A1379 &lt;&gt; """", GOOGLETRANSLATE(A1379, ""auto"", ""en""), """")"),"")</f>
        <v/>
      </c>
      <c r="G1379" s="49" t="str">
        <f t="shared" ca="1" si="1377"/>
        <v/>
      </c>
      <c r="H1379" s="49" t="str">
        <f t="shared" ca="1" si="1377"/>
        <v/>
      </c>
      <c r="I1379" s="49" t="str">
        <f t="shared" ca="1" si="1377"/>
        <v/>
      </c>
      <c r="J1379" s="49" t="str">
        <f t="shared" ca="1" si="1377"/>
        <v/>
      </c>
    </row>
    <row r="1380" spans="1:10" ht="38.25" x14ac:dyDescent="0.2">
      <c r="A1380" s="41" t="s">
        <v>1036</v>
      </c>
      <c r="B1380" s="40"/>
      <c r="C1380" s="40"/>
      <c r="D1380" s="40"/>
      <c r="E1380" s="40"/>
      <c r="F1380" s="49" t="str">
        <f t="shared" ref="F1380:J1380" ca="1" si="1378">IFERROR(__xludf.DUMMYFUNCTION("if (A1380 &lt;&gt; """", GOOGLETRANSLATE(A1380, ""auto"", ""en""), """")"),"smalltalk.agent.can_you_hear_me")</f>
        <v>smalltalk.agent.can_you_hear_me</v>
      </c>
      <c r="G1380" s="49" t="str">
        <f t="shared" ca="1" si="1378"/>
        <v>smalltalk.agent.can_you_hear_me</v>
      </c>
      <c r="H1380" s="49" t="str">
        <f t="shared" ca="1" si="1378"/>
        <v>smalltalk.agent.can_you_hear_me</v>
      </c>
      <c r="I1380" s="49" t="str">
        <f t="shared" ca="1" si="1378"/>
        <v>smalltalk.agent.can_you_hear_me</v>
      </c>
      <c r="J1380" s="49" t="str">
        <f t="shared" ca="1" si="1378"/>
        <v>smalltalk.agent.can_you_hear_me</v>
      </c>
    </row>
    <row r="1381" spans="1:10" ht="12.75" x14ac:dyDescent="0.2">
      <c r="A1381" s="40"/>
      <c r="B1381" s="41" t="s">
        <v>398</v>
      </c>
      <c r="C1381" s="40"/>
      <c r="D1381" s="40"/>
      <c r="E1381" s="40"/>
      <c r="F1381" s="49" t="str">
        <f t="shared" ref="F1381:J1381" ca="1" si="1379">IFERROR(__xludf.DUMMYFUNCTION("if (A1381 &lt;&gt; """", GOOGLETRANSLATE(A1381, ""auto"", ""en""), """")"),"")</f>
        <v/>
      </c>
      <c r="G1381" s="49" t="str">
        <f t="shared" ca="1" si="1379"/>
        <v/>
      </c>
      <c r="H1381" s="49" t="str">
        <f t="shared" ca="1" si="1379"/>
        <v/>
      </c>
      <c r="I1381" s="49" t="str">
        <f t="shared" ca="1" si="1379"/>
        <v/>
      </c>
      <c r="J1381" s="49" t="str">
        <f t="shared" ca="1" si="1379"/>
        <v/>
      </c>
    </row>
    <row r="1382" spans="1:10" ht="12.75" x14ac:dyDescent="0.2">
      <c r="A1382" s="40"/>
      <c r="B1382" s="41" t="s">
        <v>399</v>
      </c>
      <c r="C1382" s="40"/>
      <c r="D1382" s="40"/>
      <c r="E1382" s="40"/>
      <c r="F1382" s="49" t="str">
        <f t="shared" ref="F1382:J1382" ca="1" si="1380">IFERROR(__xludf.DUMMYFUNCTION("if (A1382 &lt;&gt; """", GOOGLETRANSLATE(A1382, ""auto"", ""en""), """")"),"")</f>
        <v/>
      </c>
      <c r="G1382" s="49" t="str">
        <f t="shared" ca="1" si="1380"/>
        <v/>
      </c>
      <c r="H1382" s="49" t="str">
        <f t="shared" ca="1" si="1380"/>
        <v/>
      </c>
      <c r="I1382" s="49" t="str">
        <f t="shared" ca="1" si="1380"/>
        <v/>
      </c>
      <c r="J1382" s="49" t="str">
        <f t="shared" ca="1" si="1380"/>
        <v/>
      </c>
    </row>
    <row r="1383" spans="1:10" ht="12.75" x14ac:dyDescent="0.2">
      <c r="A1383" s="40"/>
      <c r="B1383" s="41" t="s">
        <v>400</v>
      </c>
      <c r="C1383" s="41" t="s">
        <v>1036</v>
      </c>
      <c r="D1383" s="40"/>
      <c r="E1383" s="40"/>
      <c r="F1383" s="49" t="str">
        <f t="shared" ref="F1383:J1383" ca="1" si="1381">IFERROR(__xludf.DUMMYFUNCTION("if (A1383 &lt;&gt; """", GOOGLETRANSLATE(A1383, ""auto"", ""en""), """")"),"")</f>
        <v/>
      </c>
      <c r="G1383" s="49" t="str">
        <f t="shared" ca="1" si="1381"/>
        <v/>
      </c>
      <c r="H1383" s="49" t="str">
        <f t="shared" ca="1" si="1381"/>
        <v/>
      </c>
      <c r="I1383" s="49" t="str">
        <f t="shared" ca="1" si="1381"/>
        <v/>
      </c>
      <c r="J1383" s="49" t="str">
        <f t="shared" ca="1" si="1381"/>
        <v/>
      </c>
    </row>
    <row r="1384" spans="1:10" ht="12.75" x14ac:dyDescent="0.2">
      <c r="A1384" s="40"/>
      <c r="B1384" s="41" t="s">
        <v>401</v>
      </c>
      <c r="C1384" s="40"/>
      <c r="D1384" s="40"/>
      <c r="E1384" s="40"/>
      <c r="F1384" s="49" t="str">
        <f t="shared" ref="F1384:J1384" ca="1" si="1382">IFERROR(__xludf.DUMMYFUNCTION("if (A1384 &lt;&gt; """", GOOGLETRANSLATE(A1384, ""auto"", ""en""), """")"),"")</f>
        <v/>
      </c>
      <c r="G1384" s="49" t="str">
        <f t="shared" ca="1" si="1382"/>
        <v/>
      </c>
      <c r="H1384" s="49" t="str">
        <f t="shared" ca="1" si="1382"/>
        <v/>
      </c>
      <c r="I1384" s="49" t="str">
        <f t="shared" ca="1" si="1382"/>
        <v/>
      </c>
      <c r="J1384" s="49" t="str">
        <f t="shared" ca="1" si="1382"/>
        <v/>
      </c>
    </row>
    <row r="1385" spans="1:10" ht="25.5" x14ac:dyDescent="0.2">
      <c r="A1385" s="41" t="s">
        <v>1038</v>
      </c>
      <c r="B1385" s="41" t="s">
        <v>402</v>
      </c>
      <c r="C1385" s="41" t="s">
        <v>1039</v>
      </c>
      <c r="D1385" s="40"/>
      <c r="E1385" s="40"/>
      <c r="F1385" s="49" t="str">
        <f t="shared" ref="F1385:J1385" ca="1" si="1383">IFERROR(__xludf.DUMMYFUNCTION("if (A1385 &lt;&gt; """", GOOGLETRANSLATE(A1385, ""auto"", ""en""), """")"),"Do you hear my story")</f>
        <v>Do you hear my story</v>
      </c>
      <c r="G1385" s="49" t="str">
        <f t="shared" ca="1" si="1383"/>
        <v>Do you hear my story</v>
      </c>
      <c r="H1385" s="49" t="str">
        <f t="shared" ca="1" si="1383"/>
        <v>Do you hear my story</v>
      </c>
      <c r="I1385" s="49" t="str">
        <f t="shared" ca="1" si="1383"/>
        <v>Do you hear my story</v>
      </c>
      <c r="J1385" s="49" t="str">
        <f t="shared" ca="1" si="1383"/>
        <v>Do you hear my story</v>
      </c>
    </row>
    <row r="1386" spans="1:10" ht="12.75" x14ac:dyDescent="0.2">
      <c r="A1386" s="41" t="s">
        <v>1040</v>
      </c>
      <c r="B1386" s="40"/>
      <c r="C1386" s="40"/>
      <c r="D1386" s="40"/>
      <c r="E1386" s="40"/>
      <c r="F1386" s="49" t="str">
        <f t="shared" ref="F1386:J1386" ca="1" si="1384">IFERROR(__xludf.DUMMYFUNCTION("if (A1386 &lt;&gt; """", GOOGLETRANSLATE(A1386, ""auto"", ""en""), """")"),"Do you hear")</f>
        <v>Do you hear</v>
      </c>
      <c r="G1386" s="49" t="str">
        <f t="shared" ca="1" si="1384"/>
        <v>Do you hear</v>
      </c>
      <c r="H1386" s="49" t="str">
        <f t="shared" ca="1" si="1384"/>
        <v>Do you hear</v>
      </c>
      <c r="I1386" s="49" t="str">
        <f t="shared" ca="1" si="1384"/>
        <v>Do you hear</v>
      </c>
      <c r="J1386" s="49" t="str">
        <f t="shared" ca="1" si="1384"/>
        <v>Do you hear</v>
      </c>
    </row>
    <row r="1387" spans="1:10" ht="25.5" x14ac:dyDescent="0.2">
      <c r="A1387" s="41" t="s">
        <v>1041</v>
      </c>
      <c r="B1387" s="40"/>
      <c r="C1387" s="40"/>
      <c r="D1387" s="40"/>
      <c r="E1387" s="40"/>
      <c r="F1387" s="49" t="str">
        <f t="shared" ref="F1387:J1387" ca="1" si="1385">IFERROR(__xludf.DUMMYFUNCTION("if (A1387 &lt;&gt; """", GOOGLETRANSLATE(A1387, ""auto"", ""en""), """")"),"Do you hear now")</f>
        <v>Do you hear now</v>
      </c>
      <c r="G1387" s="49" t="str">
        <f t="shared" ca="1" si="1385"/>
        <v>Do you hear now</v>
      </c>
      <c r="H1387" s="49" t="str">
        <f t="shared" ca="1" si="1385"/>
        <v>Do you hear now</v>
      </c>
      <c r="I1387" s="49" t="str">
        <f t="shared" ca="1" si="1385"/>
        <v>Do you hear now</v>
      </c>
      <c r="J1387" s="49" t="str">
        <f t="shared" ca="1" si="1385"/>
        <v>Do you hear now</v>
      </c>
    </row>
    <row r="1388" spans="1:10" ht="12.75" x14ac:dyDescent="0.2">
      <c r="A1388" s="41" t="s">
        <v>1042</v>
      </c>
      <c r="B1388" s="40"/>
      <c r="C1388" s="40"/>
      <c r="D1388" s="40"/>
      <c r="E1388" s="40"/>
      <c r="F1388" s="49" t="str">
        <f t="shared" ref="F1388:J1388" ca="1" si="1386">IFERROR(__xludf.DUMMYFUNCTION("if (A1388 &lt;&gt; """", GOOGLETRANSLATE(A1388, ""auto"", ""en""), """")"),"Are you here")</f>
        <v>Are you here</v>
      </c>
      <c r="G1388" s="49" t="str">
        <f t="shared" ca="1" si="1386"/>
        <v>Are you here</v>
      </c>
      <c r="H1388" s="49" t="str">
        <f t="shared" ca="1" si="1386"/>
        <v>Are you here</v>
      </c>
      <c r="I1388" s="49" t="str">
        <f t="shared" ca="1" si="1386"/>
        <v>Are you here</v>
      </c>
      <c r="J1388" s="49" t="str">
        <f t="shared" ca="1" si="1386"/>
        <v>Are you here</v>
      </c>
    </row>
    <row r="1389" spans="1:10" ht="12.75" x14ac:dyDescent="0.2">
      <c r="A1389" s="41" t="s">
        <v>1043</v>
      </c>
      <c r="B1389" s="40"/>
      <c r="C1389" s="40"/>
      <c r="D1389" s="40"/>
      <c r="E1389" s="40"/>
      <c r="F1389" s="49" t="str">
        <f t="shared" ref="F1389:J1389" ca="1" si="1387">IFERROR(__xludf.DUMMYFUNCTION("if (A1389 &lt;&gt; """", GOOGLETRANSLATE(A1389, ""auto"", ""en""), """")"),"I will hear")</f>
        <v>I will hear</v>
      </c>
      <c r="G1389" s="49" t="str">
        <f t="shared" ca="1" si="1387"/>
        <v>I will hear</v>
      </c>
      <c r="H1389" s="49" t="str">
        <f t="shared" ca="1" si="1387"/>
        <v>I will hear</v>
      </c>
      <c r="I1389" s="49" t="str">
        <f t="shared" ca="1" si="1387"/>
        <v>I will hear</v>
      </c>
      <c r="J1389" s="49" t="str">
        <f t="shared" ca="1" si="1387"/>
        <v>I will hear</v>
      </c>
    </row>
    <row r="1390" spans="1:10" ht="12.75" x14ac:dyDescent="0.2">
      <c r="A1390" s="41" t="s">
        <v>1044</v>
      </c>
      <c r="B1390" s="40"/>
      <c r="C1390" s="40"/>
      <c r="D1390" s="40"/>
      <c r="E1390" s="40"/>
      <c r="F1390" s="49" t="str">
        <f t="shared" ref="F1390:J1390" ca="1" si="1388">IFERROR(__xludf.DUMMYFUNCTION("if (A1390 &lt;&gt; """", GOOGLETRANSLATE(A1390, ""auto"", ""en""), """")"),"I will hear")</f>
        <v>I will hear</v>
      </c>
      <c r="G1390" s="49" t="str">
        <f t="shared" ca="1" si="1388"/>
        <v>I will hear</v>
      </c>
      <c r="H1390" s="49" t="str">
        <f t="shared" ca="1" si="1388"/>
        <v>I will hear</v>
      </c>
      <c r="I1390" s="49" t="str">
        <f t="shared" ca="1" si="1388"/>
        <v>I will hear</v>
      </c>
      <c r="J1390" s="49" t="str">
        <f t="shared" ca="1" si="1388"/>
        <v>I will hear</v>
      </c>
    </row>
    <row r="1391" spans="1:10" ht="12.75" x14ac:dyDescent="0.2">
      <c r="A1391" s="41" t="s">
        <v>1045</v>
      </c>
      <c r="B1391" s="40"/>
      <c r="C1391" s="40"/>
      <c r="D1391" s="40"/>
      <c r="E1391" s="40"/>
      <c r="F1391" s="49" t="str">
        <f t="shared" ref="F1391:J1391" ca="1" si="1389">IFERROR(__xludf.DUMMYFUNCTION("if (A1391 &lt;&gt; """", GOOGLETRANSLATE(A1391, ""auto"", ""en""), """")"),"Did you hear")</f>
        <v>Did you hear</v>
      </c>
      <c r="G1391" s="49" t="str">
        <f t="shared" ca="1" si="1389"/>
        <v>Did you hear</v>
      </c>
      <c r="H1391" s="49" t="str">
        <f t="shared" ca="1" si="1389"/>
        <v>Did you hear</v>
      </c>
      <c r="I1391" s="49" t="str">
        <f t="shared" ca="1" si="1389"/>
        <v>Did you hear</v>
      </c>
      <c r="J1391" s="49" t="str">
        <f t="shared" ca="1" si="1389"/>
        <v>Did you hear</v>
      </c>
    </row>
    <row r="1392" spans="1:10" ht="25.5" x14ac:dyDescent="0.2">
      <c r="A1392" s="41" t="s">
        <v>1046</v>
      </c>
      <c r="B1392" s="40"/>
      <c r="C1392" s="40"/>
      <c r="D1392" s="40"/>
      <c r="E1392" s="40"/>
      <c r="F1392" s="49" t="str">
        <f t="shared" ref="F1392:J1392" ca="1" si="1390">IFERROR(__xludf.DUMMYFUNCTION("if (A1392 &lt;&gt; """", GOOGLETRANSLATE(A1392, ""auto"", ""en""), """")"),"Are you listening")</f>
        <v>Are you listening</v>
      </c>
      <c r="G1392" s="49" t="str">
        <f t="shared" ca="1" si="1390"/>
        <v>Are you listening</v>
      </c>
      <c r="H1392" s="49" t="str">
        <f t="shared" ca="1" si="1390"/>
        <v>Are you listening</v>
      </c>
      <c r="I1392" s="49" t="str">
        <f t="shared" ca="1" si="1390"/>
        <v>Are you listening</v>
      </c>
      <c r="J1392" s="49" t="str">
        <f t="shared" ca="1" si="1390"/>
        <v>Are you listening</v>
      </c>
    </row>
    <row r="1393" spans="1:10" ht="12.75" x14ac:dyDescent="0.2">
      <c r="A1393" s="40"/>
      <c r="B1393" s="40"/>
      <c r="C1393" s="40"/>
      <c r="D1393" s="40"/>
      <c r="E1393" s="40"/>
      <c r="F1393" s="49" t="str">
        <f t="shared" ref="F1393:J1393" ca="1" si="1391">IFERROR(__xludf.DUMMYFUNCTION("if (A1393 &lt;&gt; """", GOOGLETRANSLATE(A1393, ""auto"", ""en""), """")"),"")</f>
        <v/>
      </c>
      <c r="G1393" s="49" t="str">
        <f t="shared" ca="1" si="1391"/>
        <v/>
      </c>
      <c r="H1393" s="49" t="str">
        <f t="shared" ca="1" si="1391"/>
        <v/>
      </c>
      <c r="I1393" s="49" t="str">
        <f t="shared" ca="1" si="1391"/>
        <v/>
      </c>
      <c r="J1393" s="49" t="str">
        <f t="shared" ca="1" si="1391"/>
        <v/>
      </c>
    </row>
    <row r="1394" spans="1:10" ht="38.25" x14ac:dyDescent="0.2">
      <c r="A1394" s="41" t="s">
        <v>1047</v>
      </c>
      <c r="B1394" s="40"/>
      <c r="C1394" s="40"/>
      <c r="D1394" s="40"/>
      <c r="E1394" s="40"/>
      <c r="F1394" s="49" t="str">
        <f t="shared" ref="F1394:J1394" ca="1" si="1392">IFERROR(__xludf.DUMMYFUNCTION("if (A1394 &lt;&gt; """", GOOGLETRANSLATE(A1394, ""auto"", ""en""), """")"),"smalltalk.agent.can_you_help")</f>
        <v>smalltalk.agent.can_you_help</v>
      </c>
      <c r="G1394" s="49" t="str">
        <f t="shared" ca="1" si="1392"/>
        <v>smalltalk.agent.can_you_help</v>
      </c>
      <c r="H1394" s="49" t="str">
        <f t="shared" ca="1" si="1392"/>
        <v>smalltalk.agent.can_you_help</v>
      </c>
      <c r="I1394" s="49" t="str">
        <f t="shared" ca="1" si="1392"/>
        <v>smalltalk.agent.can_you_help</v>
      </c>
      <c r="J1394" s="49" t="str">
        <f t="shared" ca="1" si="1392"/>
        <v>smalltalk.agent.can_you_help</v>
      </c>
    </row>
    <row r="1395" spans="1:10" ht="12.75" x14ac:dyDescent="0.2">
      <c r="A1395" s="40"/>
      <c r="B1395" s="41" t="s">
        <v>398</v>
      </c>
      <c r="C1395" s="40"/>
      <c r="D1395" s="40"/>
      <c r="E1395" s="40"/>
      <c r="F1395" s="49" t="str">
        <f t="shared" ref="F1395:J1395" ca="1" si="1393">IFERROR(__xludf.DUMMYFUNCTION("if (A1395 &lt;&gt; """", GOOGLETRANSLATE(A1395, ""auto"", ""en""), """")"),"")</f>
        <v/>
      </c>
      <c r="G1395" s="49" t="str">
        <f t="shared" ca="1" si="1393"/>
        <v/>
      </c>
      <c r="H1395" s="49" t="str">
        <f t="shared" ca="1" si="1393"/>
        <v/>
      </c>
      <c r="I1395" s="49" t="str">
        <f t="shared" ca="1" si="1393"/>
        <v/>
      </c>
      <c r="J1395" s="49" t="str">
        <f t="shared" ca="1" si="1393"/>
        <v/>
      </c>
    </row>
    <row r="1396" spans="1:10" ht="12.75" x14ac:dyDescent="0.2">
      <c r="A1396" s="40"/>
      <c r="B1396" s="41" t="s">
        <v>399</v>
      </c>
      <c r="C1396" s="40"/>
      <c r="D1396" s="40"/>
      <c r="E1396" s="40"/>
      <c r="F1396" s="49" t="str">
        <f t="shared" ref="F1396:J1396" ca="1" si="1394">IFERROR(__xludf.DUMMYFUNCTION("if (A1396 &lt;&gt; """", GOOGLETRANSLATE(A1396, ""auto"", ""en""), """")"),"")</f>
        <v/>
      </c>
      <c r="G1396" s="49" t="str">
        <f t="shared" ca="1" si="1394"/>
        <v/>
      </c>
      <c r="H1396" s="49" t="str">
        <f t="shared" ca="1" si="1394"/>
        <v/>
      </c>
      <c r="I1396" s="49" t="str">
        <f t="shared" ca="1" si="1394"/>
        <v/>
      </c>
      <c r="J1396" s="49" t="str">
        <f t="shared" ca="1" si="1394"/>
        <v/>
      </c>
    </row>
    <row r="1397" spans="1:10" ht="12.75" x14ac:dyDescent="0.2">
      <c r="A1397" s="40"/>
      <c r="B1397" s="41" t="s">
        <v>400</v>
      </c>
      <c r="C1397" s="41" t="s">
        <v>1047</v>
      </c>
      <c r="D1397" s="40"/>
      <c r="E1397" s="40"/>
      <c r="F1397" s="49" t="str">
        <f t="shared" ref="F1397:J1397" ca="1" si="1395">IFERROR(__xludf.DUMMYFUNCTION("if (A1397 &lt;&gt; """", GOOGLETRANSLATE(A1397, ""auto"", ""en""), """")"),"")</f>
        <v/>
      </c>
      <c r="G1397" s="49" t="str">
        <f t="shared" ca="1" si="1395"/>
        <v/>
      </c>
      <c r="H1397" s="49" t="str">
        <f t="shared" ca="1" si="1395"/>
        <v/>
      </c>
      <c r="I1397" s="49" t="str">
        <f t="shared" ca="1" si="1395"/>
        <v/>
      </c>
      <c r="J1397" s="49" t="str">
        <f t="shared" ca="1" si="1395"/>
        <v/>
      </c>
    </row>
    <row r="1398" spans="1:10" ht="12.75" x14ac:dyDescent="0.2">
      <c r="A1398" s="40"/>
      <c r="B1398" s="41" t="s">
        <v>401</v>
      </c>
      <c r="C1398" s="40"/>
      <c r="D1398" s="40"/>
      <c r="E1398" s="40"/>
      <c r="F1398" s="49" t="str">
        <f t="shared" ref="F1398:J1398" ca="1" si="1396">IFERROR(__xludf.DUMMYFUNCTION("if (A1398 &lt;&gt; """", GOOGLETRANSLATE(A1398, ""auto"", ""en""), """")"),"")</f>
        <v/>
      </c>
      <c r="G1398" s="49" t="str">
        <f t="shared" ca="1" si="1396"/>
        <v/>
      </c>
      <c r="H1398" s="49" t="str">
        <f t="shared" ca="1" si="1396"/>
        <v/>
      </c>
      <c r="I1398" s="49" t="str">
        <f t="shared" ca="1" si="1396"/>
        <v/>
      </c>
      <c r="J1398" s="49" t="str">
        <f t="shared" ca="1" si="1396"/>
        <v/>
      </c>
    </row>
    <row r="1399" spans="1:10" ht="25.5" x14ac:dyDescent="0.2">
      <c r="A1399" s="41" t="s">
        <v>1048</v>
      </c>
      <c r="B1399" s="41" t="s">
        <v>402</v>
      </c>
      <c r="C1399" s="41" t="s">
        <v>1049</v>
      </c>
      <c r="D1399" s="40"/>
      <c r="E1399" s="40"/>
      <c r="F1399" s="49" t="str">
        <f t="shared" ref="F1399:J1399" ca="1" si="1397">IFERROR(__xludf.DUMMYFUNCTION("if (A1399 &lt;&gt; """", GOOGLETRANSLATE(A1399, ""auto"", ""en""), """")"),"help me")</f>
        <v>help me</v>
      </c>
      <c r="G1399" s="49" t="str">
        <f t="shared" ca="1" si="1397"/>
        <v>help me</v>
      </c>
      <c r="H1399" s="49" t="str">
        <f t="shared" ca="1" si="1397"/>
        <v>help me</v>
      </c>
      <c r="I1399" s="49" t="str">
        <f t="shared" ca="1" si="1397"/>
        <v>help me</v>
      </c>
      <c r="J1399" s="49" t="str">
        <f t="shared" ca="1" si="1397"/>
        <v>help me</v>
      </c>
    </row>
    <row r="1400" spans="1:10" ht="12.75" x14ac:dyDescent="0.2">
      <c r="A1400" s="41" t="s">
        <v>1050</v>
      </c>
      <c r="B1400" s="40"/>
      <c r="C1400" s="40"/>
      <c r="D1400" s="40"/>
      <c r="E1400" s="40"/>
      <c r="F1400" s="49" t="str">
        <f t="shared" ref="F1400:J1400" ca="1" si="1398">IFERROR(__xludf.DUMMYFUNCTION("if (A1400 &lt;&gt; """", GOOGLETRANSLATE(A1400, ""auto"", ""en""), """")"),"support")</f>
        <v>support</v>
      </c>
      <c r="G1400" s="49" t="str">
        <f t="shared" ca="1" si="1398"/>
        <v>support</v>
      </c>
      <c r="H1400" s="49" t="str">
        <f t="shared" ca="1" si="1398"/>
        <v>support</v>
      </c>
      <c r="I1400" s="49" t="str">
        <f t="shared" ca="1" si="1398"/>
        <v>support</v>
      </c>
      <c r="J1400" s="49" t="str">
        <f t="shared" ca="1" si="1398"/>
        <v>support</v>
      </c>
    </row>
    <row r="1401" spans="1:10" ht="12.75" x14ac:dyDescent="0.2">
      <c r="A1401" s="41" t="s">
        <v>1051</v>
      </c>
      <c r="B1401" s="40"/>
      <c r="C1401" s="40"/>
      <c r="D1401" s="40"/>
      <c r="E1401" s="40"/>
      <c r="F1401" s="49" t="str">
        <f t="shared" ref="F1401:J1401" ca="1" si="1399">IFERROR(__xludf.DUMMYFUNCTION("if (A1401 &lt;&gt; """", GOOGLETRANSLATE(A1401, ""auto"", ""en""), """")"),"Help me")</f>
        <v>Help me</v>
      </c>
      <c r="G1401" s="49" t="str">
        <f t="shared" ca="1" si="1399"/>
        <v>Help me</v>
      </c>
      <c r="H1401" s="49" t="str">
        <f t="shared" ca="1" si="1399"/>
        <v>Help me</v>
      </c>
      <c r="I1401" s="49" t="str">
        <f t="shared" ca="1" si="1399"/>
        <v>Help me</v>
      </c>
      <c r="J1401" s="49" t="str">
        <f t="shared" ca="1" si="1399"/>
        <v>Help me</v>
      </c>
    </row>
    <row r="1402" spans="1:10" ht="25.5" x14ac:dyDescent="0.2">
      <c r="A1402" s="41" t="s">
        <v>1052</v>
      </c>
      <c r="B1402" s="40"/>
      <c r="C1402" s="40"/>
      <c r="D1402" s="40"/>
      <c r="E1402" s="40"/>
      <c r="F1402" s="49" t="str">
        <f t="shared" ref="F1402:J1402" ca="1" si="1400">IFERROR(__xludf.DUMMYFUNCTION("if (A1402 &lt;&gt; """", GOOGLETRANSLATE(A1402, ""auto"", ""en""), """")"),"Please help me")</f>
        <v>Please help me</v>
      </c>
      <c r="G1402" s="49" t="str">
        <f t="shared" ca="1" si="1400"/>
        <v>Please help me</v>
      </c>
      <c r="H1402" s="49" t="str">
        <f t="shared" ca="1" si="1400"/>
        <v>Please help me</v>
      </c>
      <c r="I1402" s="49" t="str">
        <f t="shared" ca="1" si="1400"/>
        <v>Please help me</v>
      </c>
      <c r="J1402" s="49" t="str">
        <f t="shared" ca="1" si="1400"/>
        <v>Please help me</v>
      </c>
    </row>
    <row r="1403" spans="1:10" ht="25.5" x14ac:dyDescent="0.2">
      <c r="A1403" s="41" t="s">
        <v>1053</v>
      </c>
      <c r="B1403" s="40"/>
      <c r="C1403" s="40"/>
      <c r="D1403" s="40"/>
      <c r="E1403" s="40"/>
      <c r="F1403" s="49" t="str">
        <f t="shared" ref="F1403:J1403" ca="1" si="1401">IFERROR(__xludf.DUMMYFUNCTION("if (A1403 &lt;&gt; """", GOOGLETRANSLATE(A1403, ""auto"", ""en""), """")"),"i need your help")</f>
        <v>i need your help</v>
      </c>
      <c r="G1403" s="49" t="str">
        <f t="shared" ca="1" si="1401"/>
        <v>i need your help</v>
      </c>
      <c r="H1403" s="49" t="str">
        <f t="shared" ca="1" si="1401"/>
        <v>i need your help</v>
      </c>
      <c r="I1403" s="49" t="str">
        <f t="shared" ca="1" si="1401"/>
        <v>i need your help</v>
      </c>
      <c r="J1403" s="49" t="str">
        <f t="shared" ca="1" si="1401"/>
        <v>i need your help</v>
      </c>
    </row>
    <row r="1404" spans="1:10" ht="38.25" x14ac:dyDescent="0.2">
      <c r="A1404" s="41" t="s">
        <v>1054</v>
      </c>
      <c r="B1404" s="40"/>
      <c r="C1404" s="40"/>
      <c r="D1404" s="40"/>
      <c r="E1404" s="40"/>
      <c r="F1404" s="49" t="str">
        <f t="shared" ref="F1404:J1404" ca="1" si="1402">IFERROR(__xludf.DUMMYFUNCTION("if (A1404 &lt;&gt; """", GOOGLETRANSLATE(A1404, ""auto"", ""en""), """")"),"There is a need Kashiriru a hand")</f>
        <v>There is a need Kashiriru a hand</v>
      </c>
      <c r="G1404" s="49" t="str">
        <f t="shared" ca="1" si="1402"/>
        <v>There is a need Kashiriru a hand</v>
      </c>
      <c r="H1404" s="49" t="str">
        <f t="shared" ca="1" si="1402"/>
        <v>There is a need Kashiriru a hand</v>
      </c>
      <c r="I1404" s="49" t="str">
        <f t="shared" ca="1" si="1402"/>
        <v>There is a need Kashiriru a hand</v>
      </c>
      <c r="J1404" s="49" t="str">
        <f t="shared" ca="1" si="1402"/>
        <v>There is a need Kashiriru a hand</v>
      </c>
    </row>
    <row r="1405" spans="1:10" ht="25.5" x14ac:dyDescent="0.2">
      <c r="A1405" s="41" t="s">
        <v>1055</v>
      </c>
      <c r="B1405" s="40"/>
      <c r="C1405" s="40"/>
      <c r="D1405" s="40"/>
      <c r="E1405" s="40"/>
      <c r="F1405" s="49" t="str">
        <f t="shared" ref="F1405:J1405" ca="1" si="1403">IFERROR(__xludf.DUMMYFUNCTION("if (A1405 &lt;&gt; """", GOOGLETRANSLATE(A1405, ""auto"", ""en""), """")"),"Can you help me a little")</f>
        <v>Can you help me a little</v>
      </c>
      <c r="G1405" s="49" t="str">
        <f t="shared" ca="1" si="1403"/>
        <v>Can you help me a little</v>
      </c>
      <c r="H1405" s="49" t="str">
        <f t="shared" ca="1" si="1403"/>
        <v>Can you help me a little</v>
      </c>
      <c r="I1405" s="49" t="str">
        <f t="shared" ca="1" si="1403"/>
        <v>Can you help me a little</v>
      </c>
      <c r="J1405" s="49" t="str">
        <f t="shared" ca="1" si="1403"/>
        <v>Can you help me a little</v>
      </c>
    </row>
    <row r="1406" spans="1:10" ht="51" x14ac:dyDescent="0.2">
      <c r="A1406" s="41" t="s">
        <v>1056</v>
      </c>
      <c r="B1406" s="40"/>
      <c r="C1406" s="40"/>
      <c r="D1406" s="40"/>
      <c r="E1406" s="40"/>
      <c r="F1406" s="49" t="str">
        <f t="shared" ref="F1406:J1406" ca="1" si="1404">IFERROR(__xludf.DUMMYFUNCTION("if (A1406 &lt;&gt; """", GOOGLETRANSLATE(A1406, ""auto"", ""en""), """")"),"Please help me because there is a problem")</f>
        <v>Please help me because there is a problem</v>
      </c>
      <c r="G1406" s="49" t="str">
        <f t="shared" ca="1" si="1404"/>
        <v>Please help me because there is a problem</v>
      </c>
      <c r="H1406" s="49" t="str">
        <f t="shared" ca="1" si="1404"/>
        <v>Please help me because there is a problem</v>
      </c>
      <c r="I1406" s="49" t="str">
        <f t="shared" ca="1" si="1404"/>
        <v>Please help me because there is a problem</v>
      </c>
      <c r="J1406" s="49" t="str">
        <f t="shared" ca="1" si="1404"/>
        <v>Please help me because there is a problem</v>
      </c>
    </row>
    <row r="1407" spans="1:10" ht="25.5" x14ac:dyDescent="0.2">
      <c r="A1407" s="41" t="s">
        <v>1057</v>
      </c>
      <c r="B1407" s="40"/>
      <c r="C1407" s="40"/>
      <c r="D1407" s="40"/>
      <c r="E1407" s="40"/>
      <c r="F1407" s="49" t="str">
        <f t="shared" ref="F1407:J1407" ca="1" si="1405">IFERROR(__xludf.DUMMYFUNCTION("if (A1407 &lt;&gt; """", GOOGLETRANSLATE(A1407, ""auto"", ""en""), """")"),"You need to get help")</f>
        <v>You need to get help</v>
      </c>
      <c r="G1407" s="49" t="str">
        <f t="shared" ca="1" si="1405"/>
        <v>You need to get help</v>
      </c>
      <c r="H1407" s="49" t="str">
        <f t="shared" ca="1" si="1405"/>
        <v>You need to get help</v>
      </c>
      <c r="I1407" s="49" t="str">
        <f t="shared" ca="1" si="1405"/>
        <v>You need to get help</v>
      </c>
      <c r="J1407" s="49" t="str">
        <f t="shared" ca="1" si="1405"/>
        <v>You need to get help</v>
      </c>
    </row>
    <row r="1408" spans="1:10" ht="25.5" x14ac:dyDescent="0.2">
      <c r="A1408" s="41" t="s">
        <v>1058</v>
      </c>
      <c r="B1408" s="40"/>
      <c r="C1408" s="40"/>
      <c r="D1408" s="40"/>
      <c r="E1408" s="40"/>
      <c r="F1408" s="49" t="str">
        <f t="shared" ref="F1408:J1408" ca="1" si="1406">IFERROR(__xludf.DUMMYFUNCTION("if (A1408 &lt;&gt; """", GOOGLETRANSLATE(A1408, ""auto"", ""en""), """")"),"You may want a little help")</f>
        <v>You may want a little help</v>
      </c>
      <c r="G1408" s="49" t="str">
        <f t="shared" ca="1" si="1406"/>
        <v>You may want a little help</v>
      </c>
      <c r="H1408" s="49" t="str">
        <f t="shared" ca="1" si="1406"/>
        <v>You may want a little help</v>
      </c>
      <c r="I1408" s="49" t="str">
        <f t="shared" ca="1" si="1406"/>
        <v>You may want a little help</v>
      </c>
      <c r="J1408" s="49" t="str">
        <f t="shared" ca="1" si="1406"/>
        <v>You may want a little help</v>
      </c>
    </row>
    <row r="1409" spans="1:10" ht="12.75" x14ac:dyDescent="0.2">
      <c r="A1409" s="40"/>
      <c r="B1409" s="41" t="s">
        <v>403</v>
      </c>
      <c r="C1409" s="41" t="s">
        <v>25</v>
      </c>
      <c r="D1409" s="41" t="s">
        <v>27</v>
      </c>
      <c r="E1409" s="40"/>
      <c r="F1409" s="49" t="str">
        <f t="shared" ref="F1409:J1409" ca="1" si="1407">IFERROR(__xludf.DUMMYFUNCTION("if (A1409 &lt;&gt; """", GOOGLETRANSLATE(A1409, ""auto"", ""en""), """")"),"")</f>
        <v/>
      </c>
      <c r="G1409" s="49" t="str">
        <f t="shared" ca="1" si="1407"/>
        <v/>
      </c>
      <c r="H1409" s="49" t="str">
        <f t="shared" ca="1" si="1407"/>
        <v/>
      </c>
      <c r="I1409" s="49" t="str">
        <f t="shared" ca="1" si="1407"/>
        <v/>
      </c>
      <c r="J1409" s="49" t="str">
        <f t="shared" ca="1" si="1407"/>
        <v/>
      </c>
    </row>
    <row r="1410" spans="1:10" ht="12.75" x14ac:dyDescent="0.2">
      <c r="A1410" s="40"/>
      <c r="B1410" s="41" t="s">
        <v>403</v>
      </c>
      <c r="C1410" s="41" t="s">
        <v>30</v>
      </c>
      <c r="D1410" s="41" t="s">
        <v>31</v>
      </c>
      <c r="E1410" s="40"/>
      <c r="F1410" s="49" t="str">
        <f t="shared" ref="F1410:J1410" ca="1" si="1408">IFERROR(__xludf.DUMMYFUNCTION("if (A1410 &lt;&gt; """", GOOGLETRANSLATE(A1410, ""auto"", ""en""), """")"),"")</f>
        <v/>
      </c>
      <c r="G1410" s="49" t="str">
        <f t="shared" ca="1" si="1408"/>
        <v/>
      </c>
      <c r="H1410" s="49" t="str">
        <f t="shared" ca="1" si="1408"/>
        <v/>
      </c>
      <c r="I1410" s="49" t="str">
        <f t="shared" ca="1" si="1408"/>
        <v/>
      </c>
      <c r="J1410" s="49" t="str">
        <f t="shared" ca="1" si="1408"/>
        <v/>
      </c>
    </row>
    <row r="1411" spans="1:10" ht="12.75" x14ac:dyDescent="0.2">
      <c r="A1411" s="40"/>
      <c r="B1411" s="41" t="s">
        <v>403</v>
      </c>
      <c r="C1411" s="41" t="s">
        <v>41</v>
      </c>
      <c r="D1411" s="41" t="s">
        <v>10</v>
      </c>
      <c r="E1411" s="40"/>
      <c r="F1411" s="49" t="str">
        <f t="shared" ref="F1411:J1411" ca="1" si="1409">IFERROR(__xludf.DUMMYFUNCTION("if (A1411 &lt;&gt; """", GOOGLETRANSLATE(A1411, ""auto"", ""en""), """")"),"")</f>
        <v/>
      </c>
      <c r="G1411" s="49" t="str">
        <f t="shared" ca="1" si="1409"/>
        <v/>
      </c>
      <c r="H1411" s="49" t="str">
        <f t="shared" ca="1" si="1409"/>
        <v/>
      </c>
      <c r="I1411" s="49" t="str">
        <f t="shared" ca="1" si="1409"/>
        <v/>
      </c>
      <c r="J1411" s="49" t="str">
        <f t="shared" ca="1" si="1409"/>
        <v/>
      </c>
    </row>
    <row r="1412" spans="1:10" ht="12.75" x14ac:dyDescent="0.2">
      <c r="A1412" s="40"/>
      <c r="B1412" s="40"/>
      <c r="C1412" s="40"/>
      <c r="D1412" s="40"/>
      <c r="E1412" s="40"/>
      <c r="F1412" s="49" t="str">
        <f t="shared" ref="F1412:J1412" ca="1" si="1410">IFERROR(__xludf.DUMMYFUNCTION("if (A1412 &lt;&gt; """", GOOGLETRANSLATE(A1412, ""auto"", ""en""), """")"),"")</f>
        <v/>
      </c>
      <c r="G1412" s="49" t="str">
        <f t="shared" ca="1" si="1410"/>
        <v/>
      </c>
      <c r="H1412" s="49" t="str">
        <f t="shared" ca="1" si="1410"/>
        <v/>
      </c>
      <c r="I1412" s="49" t="str">
        <f t="shared" ca="1" si="1410"/>
        <v/>
      </c>
      <c r="J1412" s="49" t="str">
        <f t="shared" ca="1" si="1410"/>
        <v/>
      </c>
    </row>
    <row r="1413" spans="1:10" ht="25.5" x14ac:dyDescent="0.2">
      <c r="A1413" s="41" t="s">
        <v>1059</v>
      </c>
      <c r="B1413" s="40"/>
      <c r="C1413" s="40"/>
      <c r="D1413" s="40"/>
      <c r="E1413" s="40"/>
      <c r="F1413" s="49" t="str">
        <f t="shared" ref="F1413:J1413" ca="1" si="1411">IFERROR(__xludf.DUMMYFUNCTION("if (A1413 &lt;&gt; """", GOOGLETRANSLATE(A1413, ""auto"", ""en""), """")"),"smalltalk.agent.chatbot")</f>
        <v>smalltalk.agent.chatbot</v>
      </c>
      <c r="G1413" s="49" t="str">
        <f t="shared" ca="1" si="1411"/>
        <v>smalltalk.agent.chatbot</v>
      </c>
      <c r="H1413" s="49" t="str">
        <f t="shared" ca="1" si="1411"/>
        <v>smalltalk.agent.chatbot</v>
      </c>
      <c r="I1413" s="49" t="str">
        <f t="shared" ca="1" si="1411"/>
        <v>smalltalk.agent.chatbot</v>
      </c>
      <c r="J1413" s="49" t="str">
        <f t="shared" ca="1" si="1411"/>
        <v>smalltalk.agent.chatbot</v>
      </c>
    </row>
    <row r="1414" spans="1:10" ht="12.75" x14ac:dyDescent="0.2">
      <c r="A1414" s="40"/>
      <c r="B1414" s="41" t="s">
        <v>398</v>
      </c>
      <c r="C1414" s="40"/>
      <c r="D1414" s="40"/>
      <c r="E1414" s="40"/>
      <c r="F1414" s="49" t="str">
        <f t="shared" ref="F1414:J1414" ca="1" si="1412">IFERROR(__xludf.DUMMYFUNCTION("if (A1414 &lt;&gt; """", GOOGLETRANSLATE(A1414, ""auto"", ""en""), """")"),"")</f>
        <v/>
      </c>
      <c r="G1414" s="49" t="str">
        <f t="shared" ca="1" si="1412"/>
        <v/>
      </c>
      <c r="H1414" s="49" t="str">
        <f t="shared" ca="1" si="1412"/>
        <v/>
      </c>
      <c r="I1414" s="49" t="str">
        <f t="shared" ca="1" si="1412"/>
        <v/>
      </c>
      <c r="J1414" s="49" t="str">
        <f t="shared" ca="1" si="1412"/>
        <v/>
      </c>
    </row>
    <row r="1415" spans="1:10" ht="12.75" x14ac:dyDescent="0.2">
      <c r="A1415" s="40"/>
      <c r="B1415" s="41" t="s">
        <v>399</v>
      </c>
      <c r="C1415" s="40"/>
      <c r="D1415" s="40"/>
      <c r="E1415" s="40"/>
      <c r="F1415" s="49" t="str">
        <f t="shared" ref="F1415:J1415" ca="1" si="1413">IFERROR(__xludf.DUMMYFUNCTION("if (A1415 &lt;&gt; """", GOOGLETRANSLATE(A1415, ""auto"", ""en""), """")"),"")</f>
        <v/>
      </c>
      <c r="G1415" s="49" t="str">
        <f t="shared" ca="1" si="1413"/>
        <v/>
      </c>
      <c r="H1415" s="49" t="str">
        <f t="shared" ca="1" si="1413"/>
        <v/>
      </c>
      <c r="I1415" s="49" t="str">
        <f t="shared" ca="1" si="1413"/>
        <v/>
      </c>
      <c r="J1415" s="49" t="str">
        <f t="shared" ca="1" si="1413"/>
        <v/>
      </c>
    </row>
    <row r="1416" spans="1:10" ht="12.75" x14ac:dyDescent="0.2">
      <c r="A1416" s="40"/>
      <c r="B1416" s="41" t="s">
        <v>400</v>
      </c>
      <c r="C1416" s="41" t="s">
        <v>1059</v>
      </c>
      <c r="D1416" s="40"/>
      <c r="E1416" s="40"/>
      <c r="F1416" s="49" t="str">
        <f t="shared" ref="F1416:J1416" ca="1" si="1414">IFERROR(__xludf.DUMMYFUNCTION("if (A1416 &lt;&gt; """", GOOGLETRANSLATE(A1416, ""auto"", ""en""), """")"),"")</f>
        <v/>
      </c>
      <c r="G1416" s="49" t="str">
        <f t="shared" ca="1" si="1414"/>
        <v/>
      </c>
      <c r="H1416" s="49" t="str">
        <f t="shared" ca="1" si="1414"/>
        <v/>
      </c>
      <c r="I1416" s="49" t="str">
        <f t="shared" ca="1" si="1414"/>
        <v/>
      </c>
      <c r="J1416" s="49" t="str">
        <f t="shared" ca="1" si="1414"/>
        <v/>
      </c>
    </row>
    <row r="1417" spans="1:10" ht="12.75" x14ac:dyDescent="0.2">
      <c r="A1417" s="40"/>
      <c r="B1417" s="41" t="s">
        <v>401</v>
      </c>
      <c r="C1417" s="40"/>
      <c r="D1417" s="40"/>
      <c r="E1417" s="40"/>
      <c r="F1417" s="49" t="str">
        <f t="shared" ref="F1417:J1417" ca="1" si="1415">IFERROR(__xludf.DUMMYFUNCTION("if (A1417 &lt;&gt; """", GOOGLETRANSLATE(A1417, ""auto"", ""en""), """")"),"")</f>
        <v/>
      </c>
      <c r="G1417" s="49" t="str">
        <f t="shared" ca="1" si="1415"/>
        <v/>
      </c>
      <c r="H1417" s="49" t="str">
        <f t="shared" ca="1" si="1415"/>
        <v/>
      </c>
      <c r="I1417" s="49" t="str">
        <f t="shared" ca="1" si="1415"/>
        <v/>
      </c>
      <c r="J1417" s="49" t="str">
        <f t="shared" ca="1" si="1415"/>
        <v/>
      </c>
    </row>
    <row r="1418" spans="1:10" ht="25.5" x14ac:dyDescent="0.2">
      <c r="A1418" s="41" t="s">
        <v>1060</v>
      </c>
      <c r="B1418" s="41" t="s">
        <v>402</v>
      </c>
      <c r="C1418" s="41" t="s">
        <v>1061</v>
      </c>
      <c r="D1418" s="40"/>
      <c r="E1418" s="40"/>
      <c r="F1418" s="49" t="str">
        <f t="shared" ref="F1418:J1418" ca="1" si="1416">IFERROR(__xludf.DUMMYFUNCTION("if (A1418 &lt;&gt; """", GOOGLETRANSLATE(A1418, ""auto"", ""en""), """")"),"You're chat bot")</f>
        <v>You're chat bot</v>
      </c>
      <c r="G1418" s="49" t="str">
        <f t="shared" ca="1" si="1416"/>
        <v>You're chat bot</v>
      </c>
      <c r="H1418" s="49" t="str">
        <f t="shared" ca="1" si="1416"/>
        <v>You're chat bot</v>
      </c>
      <c r="I1418" s="49" t="str">
        <f t="shared" ca="1" si="1416"/>
        <v>You're chat bot</v>
      </c>
      <c r="J1418" s="49" t="str">
        <f t="shared" ca="1" si="1416"/>
        <v>You're chat bot</v>
      </c>
    </row>
    <row r="1419" spans="1:10" ht="12.75" x14ac:dyDescent="0.2">
      <c r="A1419" s="41" t="s">
        <v>1062</v>
      </c>
      <c r="B1419" s="40"/>
      <c r="C1419" s="40"/>
      <c r="D1419" s="40"/>
      <c r="E1419" s="40"/>
      <c r="F1419" s="49" t="str">
        <f t="shared" ref="F1419:J1419" ca="1" si="1417">IFERROR(__xludf.DUMMYFUNCTION("if (A1419 &lt;&gt; """", GOOGLETRANSLATE(A1419, ""auto"", ""en""), """")"),"You're bot")</f>
        <v>You're bot</v>
      </c>
      <c r="G1419" s="49" t="str">
        <f t="shared" ca="1" si="1417"/>
        <v>You're bot</v>
      </c>
      <c r="H1419" s="49" t="str">
        <f t="shared" ca="1" si="1417"/>
        <v>You're bot</v>
      </c>
      <c r="I1419" s="49" t="str">
        <f t="shared" ca="1" si="1417"/>
        <v>You're bot</v>
      </c>
      <c r="J1419" s="49" t="str">
        <f t="shared" ca="1" si="1417"/>
        <v>You're bot</v>
      </c>
    </row>
    <row r="1420" spans="1:10" ht="25.5" x14ac:dyDescent="0.2">
      <c r="A1420" s="41" t="s">
        <v>1063</v>
      </c>
      <c r="B1420" s="40"/>
      <c r="C1420" s="40"/>
      <c r="D1420" s="40"/>
      <c r="E1420" s="40"/>
      <c r="F1420" s="49" t="str">
        <f t="shared" ref="F1420:J1420" ca="1" si="1418">IFERROR(__xludf.DUMMYFUNCTION("if (A1420 &lt;&gt; """", GOOGLETRANSLATE(A1420, ""auto"", ""en""), """")"),"Are you a chat bot")</f>
        <v>Are you a chat bot</v>
      </c>
      <c r="G1420" s="49" t="str">
        <f t="shared" ca="1" si="1418"/>
        <v>Are you a chat bot</v>
      </c>
      <c r="H1420" s="49" t="str">
        <f t="shared" ca="1" si="1418"/>
        <v>Are you a chat bot</v>
      </c>
      <c r="I1420" s="49" t="str">
        <f t="shared" ca="1" si="1418"/>
        <v>Are you a chat bot</v>
      </c>
      <c r="J1420" s="49" t="str">
        <f t="shared" ca="1" si="1418"/>
        <v>Are you a chat bot</v>
      </c>
    </row>
    <row r="1421" spans="1:10" ht="12.75" x14ac:dyDescent="0.2">
      <c r="A1421" s="41" t="s">
        <v>1064</v>
      </c>
      <c r="B1421" s="40"/>
      <c r="C1421" s="40"/>
      <c r="D1421" s="40"/>
      <c r="E1421" s="40"/>
      <c r="F1421" s="49" t="str">
        <f t="shared" ref="F1421:J1421" ca="1" si="1419">IFERROR(__xludf.DUMMYFUNCTION("if (A1421 &lt;&gt; """", GOOGLETRANSLATE(A1421, ""auto"", ""en""), """")"),"You Is bot")</f>
        <v>You Is bot</v>
      </c>
      <c r="G1421" s="49" t="str">
        <f t="shared" ca="1" si="1419"/>
        <v>You Is bot</v>
      </c>
      <c r="H1421" s="49" t="str">
        <f t="shared" ca="1" si="1419"/>
        <v>You Is bot</v>
      </c>
      <c r="I1421" s="49" t="str">
        <f t="shared" ca="1" si="1419"/>
        <v>You Is bot</v>
      </c>
      <c r="J1421" s="49" t="str">
        <f t="shared" ca="1" si="1419"/>
        <v>You Is bot</v>
      </c>
    </row>
    <row r="1422" spans="1:10" ht="25.5" x14ac:dyDescent="0.2">
      <c r="A1422" s="41" t="s">
        <v>1065</v>
      </c>
      <c r="B1422" s="40"/>
      <c r="C1422" s="40"/>
      <c r="D1422" s="40"/>
      <c r="E1422" s="40"/>
      <c r="F1422" s="49" t="str">
        <f t="shared" ref="F1422:J1422" ca="1" si="1420">IFERROR(__xludf.DUMMYFUNCTION("if (A1422 &lt;&gt; """", GOOGLETRANSLATE(A1422, ""auto"", ""en""), """")"),"You Is just a bot")</f>
        <v>You Is just a bot</v>
      </c>
      <c r="G1422" s="49" t="str">
        <f t="shared" ca="1" si="1420"/>
        <v>You Is just a bot</v>
      </c>
      <c r="H1422" s="49" t="str">
        <f t="shared" ca="1" si="1420"/>
        <v>You Is just a bot</v>
      </c>
      <c r="I1422" s="49" t="str">
        <f t="shared" ca="1" si="1420"/>
        <v>You Is just a bot</v>
      </c>
      <c r="J1422" s="49" t="str">
        <f t="shared" ca="1" si="1420"/>
        <v>You Is just a bot</v>
      </c>
    </row>
    <row r="1423" spans="1:10" ht="12.75" x14ac:dyDescent="0.2">
      <c r="A1423" s="41" t="s">
        <v>1066</v>
      </c>
      <c r="B1423" s="40"/>
      <c r="C1423" s="40"/>
      <c r="D1423" s="40"/>
      <c r="E1423" s="40"/>
      <c r="F1423" s="49" t="str">
        <f t="shared" ref="F1423:J1423" ca="1" si="1421">IFERROR(__xludf.DUMMYFUNCTION("if (A1423 &lt;&gt; """", GOOGLETRANSLATE(A1423, ""auto"", ""en""), """")"),"Are you a bot")</f>
        <v>Are you a bot</v>
      </c>
      <c r="G1423" s="49" t="str">
        <f t="shared" ca="1" si="1421"/>
        <v>Are you a bot</v>
      </c>
      <c r="H1423" s="49" t="str">
        <f t="shared" ca="1" si="1421"/>
        <v>Are you a bot</v>
      </c>
      <c r="I1423" s="49" t="str">
        <f t="shared" ca="1" si="1421"/>
        <v>Are you a bot</v>
      </c>
      <c r="J1423" s="49" t="str">
        <f t="shared" ca="1" si="1421"/>
        <v>Are you a bot</v>
      </c>
    </row>
    <row r="1424" spans="1:10" ht="25.5" x14ac:dyDescent="0.2">
      <c r="A1424" s="41" t="s">
        <v>1067</v>
      </c>
      <c r="B1424" s="40"/>
      <c r="C1424" s="40"/>
      <c r="D1424" s="40"/>
      <c r="E1424" s="40"/>
      <c r="F1424" s="49" t="str">
        <f t="shared" ref="F1424:J1424" ca="1" si="1422">IFERROR(__xludf.DUMMYFUNCTION("if (A1424 &lt;&gt; """", GOOGLETRANSLATE(A1424, ""auto"", ""en""), """")"),"Are you program")</f>
        <v>Are you program</v>
      </c>
      <c r="G1424" s="49" t="str">
        <f t="shared" ca="1" si="1422"/>
        <v>Are you program</v>
      </c>
      <c r="H1424" s="49" t="str">
        <f t="shared" ca="1" si="1422"/>
        <v>Are you program</v>
      </c>
      <c r="I1424" s="49" t="str">
        <f t="shared" ca="1" si="1422"/>
        <v>Are you program</v>
      </c>
      <c r="J1424" s="49" t="str">
        <f t="shared" ca="1" si="1422"/>
        <v>Are you program</v>
      </c>
    </row>
    <row r="1425" spans="1:10" ht="25.5" x14ac:dyDescent="0.2">
      <c r="A1425" s="41" t="s">
        <v>1068</v>
      </c>
      <c r="B1425" s="40"/>
      <c r="C1425" s="40"/>
      <c r="D1425" s="40"/>
      <c r="E1425" s="40"/>
      <c r="F1425" s="49" t="str">
        <f t="shared" ref="F1425:J1425" ca="1" si="1423">IFERROR(__xludf.DUMMYFUNCTION("if (A1425 &lt;&gt; """", GOOGLETRANSLATE(A1425, ""auto"", ""en""), """")"),"You You're a robot")</f>
        <v>You You're a robot</v>
      </c>
      <c r="G1425" s="49" t="str">
        <f t="shared" ca="1" si="1423"/>
        <v>You You're a robot</v>
      </c>
      <c r="H1425" s="49" t="str">
        <f t="shared" ca="1" si="1423"/>
        <v>You You're a robot</v>
      </c>
      <c r="I1425" s="49" t="str">
        <f t="shared" ca="1" si="1423"/>
        <v>You You're a robot</v>
      </c>
      <c r="J1425" s="49" t="str">
        <f t="shared" ca="1" si="1423"/>
        <v>You You're a robot</v>
      </c>
    </row>
    <row r="1426" spans="1:10" ht="12.75" x14ac:dyDescent="0.2">
      <c r="A1426" s="40"/>
      <c r="B1426" s="40"/>
      <c r="C1426" s="40"/>
      <c r="D1426" s="40"/>
      <c r="E1426" s="40"/>
      <c r="F1426" s="49" t="str">
        <f t="shared" ref="F1426:J1426" ca="1" si="1424">IFERROR(__xludf.DUMMYFUNCTION("if (A1426 &lt;&gt; """", GOOGLETRANSLATE(A1426, ""auto"", ""en""), """")"),"")</f>
        <v/>
      </c>
      <c r="G1426" s="49" t="str">
        <f t="shared" ca="1" si="1424"/>
        <v/>
      </c>
      <c r="H1426" s="49" t="str">
        <f t="shared" ca="1" si="1424"/>
        <v/>
      </c>
      <c r="I1426" s="49" t="str">
        <f t="shared" ca="1" si="1424"/>
        <v/>
      </c>
      <c r="J1426" s="49" t="str">
        <f t="shared" ca="1" si="1424"/>
        <v/>
      </c>
    </row>
    <row r="1427" spans="1:10" ht="25.5" x14ac:dyDescent="0.2">
      <c r="A1427" s="41" t="s">
        <v>1069</v>
      </c>
      <c r="B1427" s="40"/>
      <c r="C1427" s="40"/>
      <c r="D1427" s="40"/>
      <c r="E1427" s="40"/>
      <c r="F1427" s="49" t="str">
        <f t="shared" ref="F1427:J1427" ca="1" si="1425">IFERROR(__xludf.DUMMYFUNCTION("if (A1427 &lt;&gt; """", GOOGLETRANSLATE(A1427, ""auto"", ""en""), """")"),"smalltalk.agent.clever")</f>
        <v>smalltalk.agent.clever</v>
      </c>
      <c r="G1427" s="49" t="str">
        <f t="shared" ca="1" si="1425"/>
        <v>smalltalk.agent.clever</v>
      </c>
      <c r="H1427" s="49" t="str">
        <f t="shared" ca="1" si="1425"/>
        <v>smalltalk.agent.clever</v>
      </c>
      <c r="I1427" s="49" t="str">
        <f t="shared" ca="1" si="1425"/>
        <v>smalltalk.agent.clever</v>
      </c>
      <c r="J1427" s="49" t="str">
        <f t="shared" ca="1" si="1425"/>
        <v>smalltalk.agent.clever</v>
      </c>
    </row>
    <row r="1428" spans="1:10" ht="12.75" x14ac:dyDescent="0.2">
      <c r="A1428" s="40"/>
      <c r="B1428" s="41" t="s">
        <v>398</v>
      </c>
      <c r="C1428" s="40"/>
      <c r="D1428" s="40"/>
      <c r="E1428" s="40"/>
      <c r="F1428" s="49" t="str">
        <f t="shared" ref="F1428:J1428" ca="1" si="1426">IFERROR(__xludf.DUMMYFUNCTION("if (A1428 &lt;&gt; """", GOOGLETRANSLATE(A1428, ""auto"", ""en""), """")"),"")</f>
        <v/>
      </c>
      <c r="G1428" s="49" t="str">
        <f t="shared" ca="1" si="1426"/>
        <v/>
      </c>
      <c r="H1428" s="49" t="str">
        <f t="shared" ca="1" si="1426"/>
        <v/>
      </c>
      <c r="I1428" s="49" t="str">
        <f t="shared" ca="1" si="1426"/>
        <v/>
      </c>
      <c r="J1428" s="49" t="str">
        <f t="shared" ca="1" si="1426"/>
        <v/>
      </c>
    </row>
    <row r="1429" spans="1:10" ht="12.75" x14ac:dyDescent="0.2">
      <c r="A1429" s="40"/>
      <c r="B1429" s="41" t="s">
        <v>399</v>
      </c>
      <c r="C1429" s="40"/>
      <c r="D1429" s="40"/>
      <c r="E1429" s="40"/>
      <c r="F1429" s="49" t="str">
        <f t="shared" ref="F1429:J1429" ca="1" si="1427">IFERROR(__xludf.DUMMYFUNCTION("if (A1429 &lt;&gt; """", GOOGLETRANSLATE(A1429, ""auto"", ""en""), """")"),"")</f>
        <v/>
      </c>
      <c r="G1429" s="49" t="str">
        <f t="shared" ca="1" si="1427"/>
        <v/>
      </c>
      <c r="H1429" s="49" t="str">
        <f t="shared" ca="1" si="1427"/>
        <v/>
      </c>
      <c r="I1429" s="49" t="str">
        <f t="shared" ca="1" si="1427"/>
        <v/>
      </c>
      <c r="J1429" s="49" t="str">
        <f t="shared" ca="1" si="1427"/>
        <v/>
      </c>
    </row>
    <row r="1430" spans="1:10" ht="12.75" x14ac:dyDescent="0.2">
      <c r="A1430" s="40"/>
      <c r="B1430" s="41" t="s">
        <v>400</v>
      </c>
      <c r="C1430" s="41" t="s">
        <v>1069</v>
      </c>
      <c r="D1430" s="40"/>
      <c r="E1430" s="40"/>
      <c r="F1430" s="49" t="str">
        <f t="shared" ref="F1430:J1430" ca="1" si="1428">IFERROR(__xludf.DUMMYFUNCTION("if (A1430 &lt;&gt; """", GOOGLETRANSLATE(A1430, ""auto"", ""en""), """")"),"")</f>
        <v/>
      </c>
      <c r="G1430" s="49" t="str">
        <f t="shared" ca="1" si="1428"/>
        <v/>
      </c>
      <c r="H1430" s="49" t="str">
        <f t="shared" ca="1" si="1428"/>
        <v/>
      </c>
      <c r="I1430" s="49" t="str">
        <f t="shared" ca="1" si="1428"/>
        <v/>
      </c>
      <c r="J1430" s="49" t="str">
        <f t="shared" ca="1" si="1428"/>
        <v/>
      </c>
    </row>
    <row r="1431" spans="1:10" ht="12.75" x14ac:dyDescent="0.2">
      <c r="A1431" s="40"/>
      <c r="B1431" s="41" t="s">
        <v>401</v>
      </c>
      <c r="C1431" s="40"/>
      <c r="D1431" s="40"/>
      <c r="E1431" s="40"/>
      <c r="F1431" s="49" t="str">
        <f t="shared" ref="F1431:J1431" ca="1" si="1429">IFERROR(__xludf.DUMMYFUNCTION("if (A1431 &lt;&gt; """", GOOGLETRANSLATE(A1431, ""auto"", ""en""), """")"),"")</f>
        <v/>
      </c>
      <c r="G1431" s="49" t="str">
        <f t="shared" ca="1" si="1429"/>
        <v/>
      </c>
      <c r="H1431" s="49" t="str">
        <f t="shared" ca="1" si="1429"/>
        <v/>
      </c>
      <c r="I1431" s="49" t="str">
        <f t="shared" ca="1" si="1429"/>
        <v/>
      </c>
      <c r="J1431" s="49" t="str">
        <f t="shared" ca="1" si="1429"/>
        <v/>
      </c>
    </row>
    <row r="1432" spans="1:10" ht="25.5" x14ac:dyDescent="0.2">
      <c r="A1432" s="41" t="s">
        <v>1070</v>
      </c>
      <c r="B1432" s="41" t="s">
        <v>402</v>
      </c>
      <c r="C1432" s="41" t="s">
        <v>1071</v>
      </c>
      <c r="D1432" s="40"/>
      <c r="E1432" s="40"/>
      <c r="F1432" s="49" t="str">
        <f t="shared" ref="F1432:J1432" ca="1" si="1430">IFERROR(__xludf.DUMMYFUNCTION("if (A1432 &lt;&gt; """", GOOGLETRANSLATE(A1432, ""auto"", ""en""), """")"),"It is a very good head")</f>
        <v>It is a very good head</v>
      </c>
      <c r="G1432" s="49" t="str">
        <f t="shared" ca="1" si="1430"/>
        <v>It is a very good head</v>
      </c>
      <c r="H1432" s="49" t="str">
        <f t="shared" ca="1" si="1430"/>
        <v>It is a very good head</v>
      </c>
      <c r="I1432" s="49" t="str">
        <f t="shared" ca="1" si="1430"/>
        <v>It is a very good head</v>
      </c>
      <c r="J1432" s="49" t="str">
        <f t="shared" ca="1" si="1430"/>
        <v>It is a very good head</v>
      </c>
    </row>
    <row r="1433" spans="1:10" ht="25.5" x14ac:dyDescent="0.2">
      <c r="A1433" s="41" t="s">
        <v>1072</v>
      </c>
      <c r="B1433" s="40"/>
      <c r="C1433" s="40"/>
      <c r="D1433" s="40"/>
      <c r="E1433" s="40"/>
      <c r="F1433" s="49" t="str">
        <f t="shared" ref="F1433:J1433" ca="1" si="1431">IFERROR(__xludf.DUMMYFUNCTION("if (A1433 &lt;&gt; """", GOOGLETRANSLATE(A1433, ""auto"", ""en""), """")"),"You're a genius")</f>
        <v>You're a genius</v>
      </c>
      <c r="G1433" s="49" t="str">
        <f t="shared" ca="1" si="1431"/>
        <v>You're a genius</v>
      </c>
      <c r="H1433" s="49" t="str">
        <f t="shared" ca="1" si="1431"/>
        <v>You're a genius</v>
      </c>
      <c r="I1433" s="49" t="str">
        <f t="shared" ca="1" si="1431"/>
        <v>You're a genius</v>
      </c>
      <c r="J1433" s="49" t="str">
        <f t="shared" ca="1" si="1431"/>
        <v>You're a genius</v>
      </c>
    </row>
    <row r="1434" spans="1:10" ht="12.75" x14ac:dyDescent="0.2">
      <c r="A1434" s="41" t="s">
        <v>1073</v>
      </c>
      <c r="B1434" s="40"/>
      <c r="C1434" s="40"/>
      <c r="D1434" s="40"/>
      <c r="E1434" s="40"/>
      <c r="F1434" s="49" t="str">
        <f t="shared" ref="F1434:J1434" ca="1" si="1432">IFERROR(__xludf.DUMMYFUNCTION("if (A1434 &lt;&gt; """", GOOGLETRANSLATE(A1434, ""auto"", ""en""), """")"),"smart")</f>
        <v>smart</v>
      </c>
      <c r="G1434" s="49" t="str">
        <f t="shared" ca="1" si="1432"/>
        <v>smart</v>
      </c>
      <c r="H1434" s="49" t="str">
        <f t="shared" ca="1" si="1432"/>
        <v>smart</v>
      </c>
      <c r="I1434" s="49" t="str">
        <f t="shared" ca="1" si="1432"/>
        <v>smart</v>
      </c>
      <c r="J1434" s="49" t="str">
        <f t="shared" ca="1" si="1432"/>
        <v>smart</v>
      </c>
    </row>
    <row r="1435" spans="1:10" ht="12.75" x14ac:dyDescent="0.2">
      <c r="A1435" s="41" t="s">
        <v>1074</v>
      </c>
      <c r="B1435" s="40"/>
      <c r="C1435" s="40"/>
      <c r="D1435" s="40"/>
      <c r="E1435" s="40"/>
      <c r="F1435" s="49" t="str">
        <f t="shared" ref="F1435:J1435" ca="1" si="1433">IFERROR(__xludf.DUMMYFUNCTION("if (A1435 &lt;&gt; """", GOOGLETRANSLATE(A1435, ""auto"", ""en""), """")"),"Beautiful")</f>
        <v>Beautiful</v>
      </c>
      <c r="G1435" s="49" t="str">
        <f t="shared" ca="1" si="1433"/>
        <v>Beautiful</v>
      </c>
      <c r="H1435" s="49" t="str">
        <f t="shared" ca="1" si="1433"/>
        <v>Beautiful</v>
      </c>
      <c r="I1435" s="49" t="str">
        <f t="shared" ca="1" si="1433"/>
        <v>Beautiful</v>
      </c>
      <c r="J1435" s="49" t="str">
        <f t="shared" ca="1" si="1433"/>
        <v>Beautiful</v>
      </c>
    </row>
    <row r="1436" spans="1:10" ht="12.75" x14ac:dyDescent="0.2">
      <c r="A1436" s="41" t="s">
        <v>1075</v>
      </c>
      <c r="B1436" s="40"/>
      <c r="C1436" s="40"/>
      <c r="D1436" s="40"/>
      <c r="E1436" s="40"/>
      <c r="F1436" s="49" t="str">
        <f t="shared" ref="F1436:J1436" ca="1" si="1434">IFERROR(__xludf.DUMMYFUNCTION("if (A1436 &lt;&gt; """", GOOGLETRANSLATE(A1436, ""auto"", ""en""), """")"),"Clever")</f>
        <v>Clever</v>
      </c>
      <c r="G1436" s="49" t="str">
        <f t="shared" ca="1" si="1434"/>
        <v>Clever</v>
      </c>
      <c r="H1436" s="49" t="str">
        <f t="shared" ca="1" si="1434"/>
        <v>Clever</v>
      </c>
      <c r="I1436" s="49" t="str">
        <f t="shared" ca="1" si="1434"/>
        <v>Clever</v>
      </c>
      <c r="J1436" s="49" t="str">
        <f t="shared" ca="1" si="1434"/>
        <v>Clever</v>
      </c>
    </row>
    <row r="1437" spans="1:10" ht="12.75" x14ac:dyDescent="0.2">
      <c r="A1437" s="41" t="s">
        <v>1076</v>
      </c>
      <c r="B1437" s="40"/>
      <c r="C1437" s="40"/>
      <c r="D1437" s="40"/>
      <c r="E1437" s="40"/>
      <c r="F1437" s="49" t="str">
        <f t="shared" ref="F1437:J1437" ca="1" si="1435">IFERROR(__xludf.DUMMYFUNCTION("if (A1437 &lt;&gt; """", GOOGLETRANSLATE(A1437, ""auto"", ""en""), """")"),"It is clever")</f>
        <v>It is clever</v>
      </c>
      <c r="G1437" s="49" t="str">
        <f t="shared" ca="1" si="1435"/>
        <v>It is clever</v>
      </c>
      <c r="H1437" s="49" t="str">
        <f t="shared" ca="1" si="1435"/>
        <v>It is clever</v>
      </c>
      <c r="I1437" s="49" t="str">
        <f t="shared" ca="1" si="1435"/>
        <v>It is clever</v>
      </c>
      <c r="J1437" s="49" t="str">
        <f t="shared" ca="1" si="1435"/>
        <v>It is clever</v>
      </c>
    </row>
    <row r="1438" spans="1:10" ht="25.5" x14ac:dyDescent="0.2">
      <c r="A1438" s="41" t="s">
        <v>1077</v>
      </c>
      <c r="B1438" s="40"/>
      <c r="C1438" s="40"/>
      <c r="D1438" s="40"/>
      <c r="E1438" s="40"/>
      <c r="F1438" s="49" t="str">
        <f t="shared" ref="F1438:J1438" ca="1" si="1436">IFERROR(__xludf.DUMMYFUNCTION("if (A1438 &lt;&gt; """", GOOGLETRANSLATE(A1438, ""auto"", ""en""), """")"),"It will cut off the very head")</f>
        <v>It will cut off the very head</v>
      </c>
      <c r="G1438" s="49" t="str">
        <f t="shared" ca="1" si="1436"/>
        <v>It will cut off the very head</v>
      </c>
      <c r="H1438" s="49" t="str">
        <f t="shared" ca="1" si="1436"/>
        <v>It will cut off the very head</v>
      </c>
      <c r="I1438" s="49" t="str">
        <f t="shared" ca="1" si="1436"/>
        <v>It will cut off the very head</v>
      </c>
      <c r="J1438" s="49" t="str">
        <f t="shared" ca="1" si="1436"/>
        <v>It will cut off the very head</v>
      </c>
    </row>
    <row r="1439" spans="1:10" ht="12.75" x14ac:dyDescent="0.2">
      <c r="A1439" s="41" t="s">
        <v>1078</v>
      </c>
      <c r="B1439" s="40"/>
      <c r="C1439" s="40"/>
      <c r="D1439" s="40"/>
      <c r="E1439" s="40"/>
      <c r="F1439" s="49" t="str">
        <f t="shared" ref="F1439:J1439" ca="1" si="1437">IFERROR(__xludf.DUMMYFUNCTION("if (A1439 &lt;&gt; """", GOOGLETRANSLATE(A1439, ""auto"", ""en""), """")"),"Really clever")</f>
        <v>Really clever</v>
      </c>
      <c r="G1439" s="49" t="str">
        <f t="shared" ca="1" si="1437"/>
        <v>Really clever</v>
      </c>
      <c r="H1439" s="49" t="str">
        <f t="shared" ca="1" si="1437"/>
        <v>Really clever</v>
      </c>
      <c r="I1439" s="49" t="str">
        <f t="shared" ca="1" si="1437"/>
        <v>Really clever</v>
      </c>
      <c r="J1439" s="49" t="str">
        <f t="shared" ca="1" si="1437"/>
        <v>Really clever</v>
      </c>
    </row>
    <row r="1440" spans="1:10" ht="25.5" x14ac:dyDescent="0.2">
      <c r="A1440" s="41" t="s">
        <v>1079</v>
      </c>
      <c r="B1440" s="40"/>
      <c r="C1440" s="40"/>
      <c r="D1440" s="40"/>
      <c r="E1440" s="40"/>
      <c r="F1440" s="49" t="str">
        <f t="shared" ref="F1440:J1440" ca="1" si="1438">IFERROR(__xludf.DUMMYFUNCTION("if (A1440 &lt;&gt; """", GOOGLETRANSLATE(A1440, ""auto"", ""en""), """")"),"It really cuts off the head")</f>
        <v>It really cuts off the head</v>
      </c>
      <c r="G1440" s="49" t="str">
        <f t="shared" ca="1" si="1438"/>
        <v>It really cuts off the head</v>
      </c>
      <c r="H1440" s="49" t="str">
        <f t="shared" ca="1" si="1438"/>
        <v>It really cuts off the head</v>
      </c>
      <c r="I1440" s="49" t="str">
        <f t="shared" ca="1" si="1438"/>
        <v>It really cuts off the head</v>
      </c>
      <c r="J1440" s="49" t="str">
        <f t="shared" ca="1" si="1438"/>
        <v>It really cuts off the head</v>
      </c>
    </row>
    <row r="1441" spans="1:10" ht="25.5" x14ac:dyDescent="0.2">
      <c r="A1441" s="41" t="s">
        <v>1080</v>
      </c>
      <c r="B1441" s="40"/>
      <c r="C1441" s="40"/>
      <c r="D1441" s="40"/>
      <c r="E1441" s="40"/>
      <c r="F1441" s="49" t="str">
        <f t="shared" ref="F1441:J1441" ca="1" si="1439">IFERROR(__xludf.DUMMYFUNCTION("if (A1441 &lt;&gt; """", GOOGLETRANSLATE(A1441, ""auto"", ""en""), """")"),"It has been well know")</f>
        <v>It has been well know</v>
      </c>
      <c r="G1441" s="49" t="str">
        <f t="shared" ca="1" si="1439"/>
        <v>It has been well know</v>
      </c>
      <c r="H1441" s="49" t="str">
        <f t="shared" ca="1" si="1439"/>
        <v>It has been well know</v>
      </c>
      <c r="I1441" s="49" t="str">
        <f t="shared" ca="1" si="1439"/>
        <v>It has been well know</v>
      </c>
      <c r="J1441" s="49" t="str">
        <f t="shared" ca="1" si="1439"/>
        <v>It has been well know</v>
      </c>
    </row>
    <row r="1442" spans="1:10" ht="12.75" x14ac:dyDescent="0.2">
      <c r="A1442" s="40"/>
      <c r="B1442" s="40"/>
      <c r="C1442" s="40"/>
      <c r="D1442" s="40"/>
      <c r="E1442" s="40"/>
      <c r="F1442" s="49" t="str">
        <f t="shared" ref="F1442:J1442" ca="1" si="1440">IFERROR(__xludf.DUMMYFUNCTION("if (A1442 &lt;&gt; """", GOOGLETRANSLATE(A1442, ""auto"", ""en""), """")"),"")</f>
        <v/>
      </c>
      <c r="G1442" s="49" t="str">
        <f t="shared" ca="1" si="1440"/>
        <v/>
      </c>
      <c r="H1442" s="49" t="str">
        <f t="shared" ca="1" si="1440"/>
        <v/>
      </c>
      <c r="I1442" s="49" t="str">
        <f t="shared" ca="1" si="1440"/>
        <v/>
      </c>
      <c r="J1442" s="49" t="str">
        <f t="shared" ca="1" si="1440"/>
        <v/>
      </c>
    </row>
    <row r="1443" spans="1:10" ht="25.5" x14ac:dyDescent="0.2">
      <c r="A1443" s="41" t="s">
        <v>1081</v>
      </c>
      <c r="B1443" s="40"/>
      <c r="C1443" s="40"/>
      <c r="D1443" s="40"/>
      <c r="E1443" s="40"/>
      <c r="F1443" s="49" t="str">
        <f t="shared" ref="F1443:J1443" ca="1" si="1441">IFERROR(__xludf.DUMMYFUNCTION("if (A1443 &lt;&gt; """", GOOGLETRANSLATE(A1443, ""auto"", ""en""), """")"),"smalltalk.agent.crazy")</f>
        <v>smalltalk.agent.crazy</v>
      </c>
      <c r="G1443" s="49" t="str">
        <f t="shared" ca="1" si="1441"/>
        <v>smalltalk.agent.crazy</v>
      </c>
      <c r="H1443" s="49" t="str">
        <f t="shared" ca="1" si="1441"/>
        <v>smalltalk.agent.crazy</v>
      </c>
      <c r="I1443" s="49" t="str">
        <f t="shared" ca="1" si="1441"/>
        <v>smalltalk.agent.crazy</v>
      </c>
      <c r="J1443" s="49" t="str">
        <f t="shared" ca="1" si="1441"/>
        <v>smalltalk.agent.crazy</v>
      </c>
    </row>
    <row r="1444" spans="1:10" ht="12.75" x14ac:dyDescent="0.2">
      <c r="A1444" s="40"/>
      <c r="B1444" s="41" t="s">
        <v>398</v>
      </c>
      <c r="C1444" s="40"/>
      <c r="D1444" s="40"/>
      <c r="E1444" s="40"/>
      <c r="F1444" s="49" t="str">
        <f t="shared" ref="F1444:J1444" ca="1" si="1442">IFERROR(__xludf.DUMMYFUNCTION("if (A1444 &lt;&gt; """", GOOGLETRANSLATE(A1444, ""auto"", ""en""), """")"),"")</f>
        <v/>
      </c>
      <c r="G1444" s="49" t="str">
        <f t="shared" ca="1" si="1442"/>
        <v/>
      </c>
      <c r="H1444" s="49" t="str">
        <f t="shared" ca="1" si="1442"/>
        <v/>
      </c>
      <c r="I1444" s="49" t="str">
        <f t="shared" ca="1" si="1442"/>
        <v/>
      </c>
      <c r="J1444" s="49" t="str">
        <f t="shared" ca="1" si="1442"/>
        <v/>
      </c>
    </row>
    <row r="1445" spans="1:10" ht="12.75" x14ac:dyDescent="0.2">
      <c r="A1445" s="40"/>
      <c r="B1445" s="41" t="s">
        <v>399</v>
      </c>
      <c r="C1445" s="40"/>
      <c r="D1445" s="40"/>
      <c r="E1445" s="40"/>
      <c r="F1445" s="49" t="str">
        <f t="shared" ref="F1445:J1445" ca="1" si="1443">IFERROR(__xludf.DUMMYFUNCTION("if (A1445 &lt;&gt; """", GOOGLETRANSLATE(A1445, ""auto"", ""en""), """")"),"")</f>
        <v/>
      </c>
      <c r="G1445" s="49" t="str">
        <f t="shared" ca="1" si="1443"/>
        <v/>
      </c>
      <c r="H1445" s="49" t="str">
        <f t="shared" ca="1" si="1443"/>
        <v/>
      </c>
      <c r="I1445" s="49" t="str">
        <f t="shared" ca="1" si="1443"/>
        <v/>
      </c>
      <c r="J1445" s="49" t="str">
        <f t="shared" ca="1" si="1443"/>
        <v/>
      </c>
    </row>
    <row r="1446" spans="1:10" ht="12.75" x14ac:dyDescent="0.2">
      <c r="A1446" s="40"/>
      <c r="B1446" s="41" t="s">
        <v>400</v>
      </c>
      <c r="C1446" s="41" t="s">
        <v>1081</v>
      </c>
      <c r="D1446" s="40"/>
      <c r="E1446" s="40"/>
      <c r="F1446" s="49" t="str">
        <f t="shared" ref="F1446:J1446" ca="1" si="1444">IFERROR(__xludf.DUMMYFUNCTION("if (A1446 &lt;&gt; """", GOOGLETRANSLATE(A1446, ""auto"", ""en""), """")"),"")</f>
        <v/>
      </c>
      <c r="G1446" s="49" t="str">
        <f t="shared" ca="1" si="1444"/>
        <v/>
      </c>
      <c r="H1446" s="49" t="str">
        <f t="shared" ca="1" si="1444"/>
        <v/>
      </c>
      <c r="I1446" s="49" t="str">
        <f t="shared" ca="1" si="1444"/>
        <v/>
      </c>
      <c r="J1446" s="49" t="str">
        <f t="shared" ca="1" si="1444"/>
        <v/>
      </c>
    </row>
    <row r="1447" spans="1:10" ht="12.75" x14ac:dyDescent="0.2">
      <c r="A1447" s="40"/>
      <c r="B1447" s="41" t="s">
        <v>401</v>
      </c>
      <c r="C1447" s="40"/>
      <c r="D1447" s="40"/>
      <c r="E1447" s="40"/>
      <c r="F1447" s="49" t="str">
        <f t="shared" ref="F1447:J1447" ca="1" si="1445">IFERROR(__xludf.DUMMYFUNCTION("if (A1447 &lt;&gt; """", GOOGLETRANSLATE(A1447, ""auto"", ""en""), """")"),"")</f>
        <v/>
      </c>
      <c r="G1447" s="49" t="str">
        <f t="shared" ca="1" si="1445"/>
        <v/>
      </c>
      <c r="H1447" s="49" t="str">
        <f t="shared" ca="1" si="1445"/>
        <v/>
      </c>
      <c r="I1447" s="49" t="str">
        <f t="shared" ca="1" si="1445"/>
        <v/>
      </c>
      <c r="J1447" s="49" t="str">
        <f t="shared" ca="1" si="1445"/>
        <v/>
      </c>
    </row>
    <row r="1448" spans="1:10" ht="25.5" x14ac:dyDescent="0.2">
      <c r="A1448" s="41" t="s">
        <v>1082</v>
      </c>
      <c r="B1448" s="41" t="s">
        <v>402</v>
      </c>
      <c r="C1448" s="41" t="s">
        <v>1083</v>
      </c>
      <c r="D1448" s="40"/>
      <c r="E1448" s="40"/>
      <c r="F1448" s="49" t="str">
        <f t="shared" ref="F1448:J1448" ca="1" si="1446">IFERROR(__xludf.DUMMYFUNCTION("if (A1448 &lt;&gt; """", GOOGLETRANSLATE(A1448, ""auto"", ""en""), """")"),"It's a strange guy")</f>
        <v>It's a strange guy</v>
      </c>
      <c r="G1448" s="49" t="str">
        <f t="shared" ca="1" si="1446"/>
        <v>It's a strange guy</v>
      </c>
      <c r="H1448" s="49" t="str">
        <f t="shared" ca="1" si="1446"/>
        <v>It's a strange guy</v>
      </c>
      <c r="I1448" s="49" t="str">
        <f t="shared" ca="1" si="1446"/>
        <v>It's a strange guy</v>
      </c>
      <c r="J1448" s="49" t="str">
        <f t="shared" ca="1" si="1446"/>
        <v>It's a strange guy</v>
      </c>
    </row>
    <row r="1449" spans="1:10" ht="12.75" x14ac:dyDescent="0.2">
      <c r="A1449" s="41" t="s">
        <v>1084</v>
      </c>
      <c r="B1449" s="40"/>
      <c r="C1449" s="40"/>
      <c r="D1449" s="40"/>
      <c r="E1449" s="40"/>
      <c r="F1449" s="49" t="str">
        <f t="shared" ref="F1449:J1449" ca="1" si="1447">IFERROR(__xludf.DUMMYFUNCTION("if (A1449 &lt;&gt; """", GOOGLETRANSLATE(A1449, ""auto"", ""en""), """")"),"You are funny")</f>
        <v>You are funny</v>
      </c>
      <c r="G1449" s="49" t="str">
        <f t="shared" ca="1" si="1447"/>
        <v>You are funny</v>
      </c>
      <c r="H1449" s="49" t="str">
        <f t="shared" ca="1" si="1447"/>
        <v>You are funny</v>
      </c>
      <c r="I1449" s="49" t="str">
        <f t="shared" ca="1" si="1447"/>
        <v>You are funny</v>
      </c>
      <c r="J1449" s="49" t="str">
        <f t="shared" ca="1" si="1447"/>
        <v>You are funny</v>
      </c>
    </row>
    <row r="1450" spans="1:10" ht="12.75" x14ac:dyDescent="0.2">
      <c r="A1450" s="41" t="s">
        <v>1085</v>
      </c>
      <c r="B1450" s="40"/>
      <c r="C1450" s="40"/>
      <c r="D1450" s="40"/>
      <c r="E1450" s="40"/>
      <c r="F1450" s="49" t="str">
        <f t="shared" ref="F1450:J1450" ca="1" si="1448">IFERROR(__xludf.DUMMYFUNCTION("if (A1450 &lt;&gt; """", GOOGLETRANSLATE(A1450, ""auto"", ""en""), """")"),"It is somehow")</f>
        <v>It is somehow</v>
      </c>
      <c r="G1450" s="49" t="str">
        <f t="shared" ca="1" si="1448"/>
        <v>It is somehow</v>
      </c>
      <c r="H1450" s="49" t="str">
        <f t="shared" ca="1" si="1448"/>
        <v>It is somehow</v>
      </c>
      <c r="I1450" s="49" t="str">
        <f t="shared" ca="1" si="1448"/>
        <v>It is somehow</v>
      </c>
      <c r="J1450" s="49" t="str">
        <f t="shared" ca="1" si="1448"/>
        <v>It is somehow</v>
      </c>
    </row>
    <row r="1451" spans="1:10" ht="12.75" x14ac:dyDescent="0.2">
      <c r="A1451" s="41" t="s">
        <v>1086</v>
      </c>
      <c r="B1451" s="40"/>
      <c r="C1451" s="40"/>
      <c r="D1451" s="40"/>
      <c r="E1451" s="40"/>
      <c r="F1451" s="49" t="str">
        <f t="shared" ref="F1451:J1451" ca="1" si="1449">IFERROR(__xludf.DUMMYFUNCTION("if (A1451 &lt;&gt; """", GOOGLETRANSLATE(A1451, ""auto"", ""en""), """")"),"Very funny")</f>
        <v>Very funny</v>
      </c>
      <c r="G1451" s="49" t="str">
        <f t="shared" ca="1" si="1449"/>
        <v>Very funny</v>
      </c>
      <c r="H1451" s="49" t="str">
        <f t="shared" ca="1" si="1449"/>
        <v>Very funny</v>
      </c>
      <c r="I1451" s="49" t="str">
        <f t="shared" ca="1" si="1449"/>
        <v>Very funny</v>
      </c>
      <c r="J1451" s="49" t="str">
        <f t="shared" ca="1" si="1449"/>
        <v>Very funny</v>
      </c>
    </row>
    <row r="1452" spans="1:10" ht="12.75" x14ac:dyDescent="0.2">
      <c r="A1452" s="41" t="s">
        <v>1087</v>
      </c>
      <c r="B1452" s="40"/>
      <c r="C1452" s="40"/>
      <c r="D1452" s="40"/>
      <c r="E1452" s="40"/>
      <c r="F1452" s="49" t="str">
        <f t="shared" ref="F1452:J1452" ca="1" si="1450">IFERROR(__xludf.DUMMYFUNCTION("if (A1452 &lt;&gt; """", GOOGLETRANSLATE(A1452, ""auto"", ""en""), """")"),"I'm stupid")</f>
        <v>I'm stupid</v>
      </c>
      <c r="G1452" s="49" t="str">
        <f t="shared" ca="1" si="1450"/>
        <v>I'm stupid</v>
      </c>
      <c r="H1452" s="49" t="str">
        <f t="shared" ca="1" si="1450"/>
        <v>I'm stupid</v>
      </c>
      <c r="I1452" s="49" t="str">
        <f t="shared" ca="1" si="1450"/>
        <v>I'm stupid</v>
      </c>
      <c r="J1452" s="49" t="str">
        <f t="shared" ca="1" si="1450"/>
        <v>I'm stupid</v>
      </c>
    </row>
    <row r="1453" spans="1:10" ht="25.5" x14ac:dyDescent="0.2">
      <c r="A1453" s="41" t="s">
        <v>1088</v>
      </c>
      <c r="B1453" s="40"/>
      <c r="C1453" s="40"/>
      <c r="D1453" s="40"/>
      <c r="E1453" s="40"/>
      <c r="F1453" s="49" t="str">
        <f t="shared" ref="F1453:J1453" ca="1" si="1451">IFERROR(__xludf.DUMMYFUNCTION("if (A1453 &lt;&gt; """", GOOGLETRANSLATE(A1453, ""auto"", ""en""), """")"),"It is somehow at all head")</f>
        <v>It is somehow at all head</v>
      </c>
      <c r="G1453" s="49" t="str">
        <f t="shared" ca="1" si="1451"/>
        <v>It is somehow at all head</v>
      </c>
      <c r="H1453" s="49" t="str">
        <f t="shared" ca="1" si="1451"/>
        <v>It is somehow at all head</v>
      </c>
      <c r="I1453" s="49" t="str">
        <f t="shared" ca="1" si="1451"/>
        <v>It is somehow at all head</v>
      </c>
      <c r="J1453" s="49" t="str">
        <f t="shared" ca="1" si="1451"/>
        <v>It is somehow at all head</v>
      </c>
    </row>
    <row r="1454" spans="1:10" ht="25.5" x14ac:dyDescent="0.2">
      <c r="A1454" s="41" t="s">
        <v>1089</v>
      </c>
      <c r="B1454" s="40"/>
      <c r="C1454" s="40"/>
      <c r="D1454" s="40"/>
      <c r="E1454" s="40"/>
      <c r="F1454" s="49" t="str">
        <f t="shared" ref="F1454:J1454" ca="1" si="1452">IFERROR(__xludf.DUMMYFUNCTION("if (A1454 &lt;&gt; """", GOOGLETRANSLATE(A1454, ""auto"", ""en""), """")"),"You went wrong")</f>
        <v>You went wrong</v>
      </c>
      <c r="G1454" s="49" t="str">
        <f t="shared" ca="1" si="1452"/>
        <v>You went wrong</v>
      </c>
      <c r="H1454" s="49" t="str">
        <f t="shared" ca="1" si="1452"/>
        <v>You went wrong</v>
      </c>
      <c r="I1454" s="49" t="str">
        <f t="shared" ca="1" si="1452"/>
        <v>You went wrong</v>
      </c>
      <c r="J1454" s="49" t="str">
        <f t="shared" ca="1" si="1452"/>
        <v>You went wrong</v>
      </c>
    </row>
    <row r="1455" spans="1:10" ht="25.5" x14ac:dyDescent="0.2">
      <c r="A1455" s="41" t="s">
        <v>1090</v>
      </c>
      <c r="B1455" s="40"/>
      <c r="C1455" s="40"/>
      <c r="D1455" s="40"/>
      <c r="E1455" s="40"/>
      <c r="F1455" s="49" t="str">
        <f t="shared" ref="F1455:J1455" ca="1" si="1453">IFERROR(__xludf.DUMMYFUNCTION("if (A1455 &lt;&gt; """", GOOGLETRANSLATE(A1455, ""auto"", ""en""), """")"),"I think ONata became funny")</f>
        <v>I think ONata became funny</v>
      </c>
      <c r="G1455" s="49" t="str">
        <f t="shared" ca="1" si="1453"/>
        <v>I think ONata became funny</v>
      </c>
      <c r="H1455" s="49" t="str">
        <f t="shared" ca="1" si="1453"/>
        <v>I think ONata became funny</v>
      </c>
      <c r="I1455" s="49" t="str">
        <f t="shared" ca="1" si="1453"/>
        <v>I think ONata became funny</v>
      </c>
      <c r="J1455" s="49" t="str">
        <f t="shared" ca="1" si="1453"/>
        <v>I think ONata became funny</v>
      </c>
    </row>
    <row r="1456" spans="1:10" ht="25.5" x14ac:dyDescent="0.2">
      <c r="A1456" s="41" t="s">
        <v>1091</v>
      </c>
      <c r="B1456" s="40"/>
      <c r="C1456" s="40"/>
      <c r="D1456" s="40"/>
      <c r="E1456" s="40"/>
      <c r="F1456" s="49" t="str">
        <f t="shared" ref="F1456:J1456" ca="1" si="1454">IFERROR(__xludf.DUMMYFUNCTION("if (A1456 &lt;&gt; """", GOOGLETRANSLATE(A1456, ""auto"", ""en""), """")"),"Whether the the")</f>
        <v>Whether the the</v>
      </c>
      <c r="G1456" s="49" t="str">
        <f t="shared" ca="1" si="1454"/>
        <v>Whether the the</v>
      </c>
      <c r="H1456" s="49" t="str">
        <f t="shared" ca="1" si="1454"/>
        <v>Whether the the</v>
      </c>
      <c r="I1456" s="49" t="str">
        <f t="shared" ca="1" si="1454"/>
        <v>Whether the the</v>
      </c>
      <c r="J1456" s="49" t="str">
        <f t="shared" ca="1" si="1454"/>
        <v>Whether the the</v>
      </c>
    </row>
    <row r="1457" spans="1:10" ht="25.5" x14ac:dyDescent="0.2">
      <c r="A1457" s="41" t="s">
        <v>1092</v>
      </c>
      <c r="B1457" s="40"/>
      <c r="C1457" s="40"/>
      <c r="D1457" s="40"/>
      <c r="E1457" s="40"/>
      <c r="F1457" s="49" t="str">
        <f t="shared" ref="F1457:J1457" ca="1" si="1455">IFERROR(__xludf.DUMMYFUNCTION("if (A1457 &lt;&gt; """", GOOGLETRANSLATE(A1457, ""auto"", ""en""), """")"),"Or different to be in the gas")</f>
        <v>Or different to be in the gas</v>
      </c>
      <c r="G1457" s="49" t="str">
        <f t="shared" ca="1" si="1455"/>
        <v>Or different to be in the gas</v>
      </c>
      <c r="H1457" s="49" t="str">
        <f t="shared" ca="1" si="1455"/>
        <v>Or different to be in the gas</v>
      </c>
      <c r="I1457" s="49" t="str">
        <f t="shared" ca="1" si="1455"/>
        <v>Or different to be in the gas</v>
      </c>
      <c r="J1457" s="49" t="str">
        <f t="shared" ca="1" si="1455"/>
        <v>Or different to be in the gas</v>
      </c>
    </row>
    <row r="1458" spans="1:10" ht="12.75" x14ac:dyDescent="0.2">
      <c r="A1458" s="40"/>
      <c r="B1458" s="40"/>
      <c r="C1458" s="40"/>
      <c r="D1458" s="40"/>
      <c r="E1458" s="40"/>
      <c r="F1458" s="49" t="str">
        <f t="shared" ref="F1458:J1458" ca="1" si="1456">IFERROR(__xludf.DUMMYFUNCTION("if (A1458 &lt;&gt; """", GOOGLETRANSLATE(A1458, ""auto"", ""en""), """")"),"")</f>
        <v/>
      </c>
      <c r="G1458" s="49" t="str">
        <f t="shared" ca="1" si="1456"/>
        <v/>
      </c>
      <c r="H1458" s="49" t="str">
        <f t="shared" ca="1" si="1456"/>
        <v/>
      </c>
      <c r="I1458" s="49" t="str">
        <f t="shared" ca="1" si="1456"/>
        <v/>
      </c>
      <c r="J1458" s="49" t="str">
        <f t="shared" ca="1" si="1456"/>
        <v/>
      </c>
    </row>
    <row r="1459" spans="1:10" ht="25.5" x14ac:dyDescent="0.2">
      <c r="A1459" s="41" t="s">
        <v>1093</v>
      </c>
      <c r="B1459" s="40"/>
      <c r="C1459" s="40"/>
      <c r="D1459" s="40"/>
      <c r="E1459" s="40"/>
      <c r="F1459" s="49" t="str">
        <f t="shared" ref="F1459:J1459" ca="1" si="1457">IFERROR(__xludf.DUMMYFUNCTION("if (A1459 &lt;&gt; """", GOOGLETRANSLATE(A1459, ""auto"", ""en""), """")"),"smalltalk.agent.fired")</f>
        <v>smalltalk.agent.fired</v>
      </c>
      <c r="G1459" s="49" t="str">
        <f t="shared" ca="1" si="1457"/>
        <v>smalltalk.agent.fired</v>
      </c>
      <c r="H1459" s="49" t="str">
        <f t="shared" ca="1" si="1457"/>
        <v>smalltalk.agent.fired</v>
      </c>
      <c r="I1459" s="49" t="str">
        <f t="shared" ca="1" si="1457"/>
        <v>smalltalk.agent.fired</v>
      </c>
      <c r="J1459" s="49" t="str">
        <f t="shared" ca="1" si="1457"/>
        <v>smalltalk.agent.fired</v>
      </c>
    </row>
    <row r="1460" spans="1:10" ht="12.75" x14ac:dyDescent="0.2">
      <c r="A1460" s="40"/>
      <c r="B1460" s="41" t="s">
        <v>398</v>
      </c>
      <c r="C1460" s="40"/>
      <c r="D1460" s="40"/>
      <c r="E1460" s="40"/>
      <c r="F1460" s="49" t="str">
        <f t="shared" ref="F1460:J1460" ca="1" si="1458">IFERROR(__xludf.DUMMYFUNCTION("if (A1460 &lt;&gt; """", GOOGLETRANSLATE(A1460, ""auto"", ""en""), """")"),"")</f>
        <v/>
      </c>
      <c r="G1460" s="49" t="str">
        <f t="shared" ca="1" si="1458"/>
        <v/>
      </c>
      <c r="H1460" s="49" t="str">
        <f t="shared" ca="1" si="1458"/>
        <v/>
      </c>
      <c r="I1460" s="49" t="str">
        <f t="shared" ca="1" si="1458"/>
        <v/>
      </c>
      <c r="J1460" s="49" t="str">
        <f t="shared" ca="1" si="1458"/>
        <v/>
      </c>
    </row>
    <row r="1461" spans="1:10" ht="12.75" x14ac:dyDescent="0.2">
      <c r="A1461" s="40"/>
      <c r="B1461" s="41" t="s">
        <v>399</v>
      </c>
      <c r="C1461" s="40"/>
      <c r="D1461" s="40"/>
      <c r="E1461" s="40"/>
      <c r="F1461" s="49" t="str">
        <f t="shared" ref="F1461:J1461" ca="1" si="1459">IFERROR(__xludf.DUMMYFUNCTION("if (A1461 &lt;&gt; """", GOOGLETRANSLATE(A1461, ""auto"", ""en""), """")"),"")</f>
        <v/>
      </c>
      <c r="G1461" s="49" t="str">
        <f t="shared" ca="1" si="1459"/>
        <v/>
      </c>
      <c r="H1461" s="49" t="str">
        <f t="shared" ca="1" si="1459"/>
        <v/>
      </c>
      <c r="I1461" s="49" t="str">
        <f t="shared" ca="1" si="1459"/>
        <v/>
      </c>
      <c r="J1461" s="49" t="str">
        <f t="shared" ca="1" si="1459"/>
        <v/>
      </c>
    </row>
    <row r="1462" spans="1:10" ht="12.75" x14ac:dyDescent="0.2">
      <c r="A1462" s="40"/>
      <c r="B1462" s="41" t="s">
        <v>400</v>
      </c>
      <c r="C1462" s="41" t="s">
        <v>1093</v>
      </c>
      <c r="D1462" s="40"/>
      <c r="E1462" s="40"/>
      <c r="F1462" s="49" t="str">
        <f t="shared" ref="F1462:J1462" ca="1" si="1460">IFERROR(__xludf.DUMMYFUNCTION("if (A1462 &lt;&gt; """", GOOGLETRANSLATE(A1462, ""auto"", ""en""), """")"),"")</f>
        <v/>
      </c>
      <c r="G1462" s="49" t="str">
        <f t="shared" ca="1" si="1460"/>
        <v/>
      </c>
      <c r="H1462" s="49" t="str">
        <f t="shared" ca="1" si="1460"/>
        <v/>
      </c>
      <c r="I1462" s="49" t="str">
        <f t="shared" ca="1" si="1460"/>
        <v/>
      </c>
      <c r="J1462" s="49" t="str">
        <f t="shared" ca="1" si="1460"/>
        <v/>
      </c>
    </row>
    <row r="1463" spans="1:10" ht="12.75" x14ac:dyDescent="0.2">
      <c r="A1463" s="40"/>
      <c r="B1463" s="41" t="s">
        <v>401</v>
      </c>
      <c r="C1463" s="40"/>
      <c r="D1463" s="40"/>
      <c r="E1463" s="40"/>
      <c r="F1463" s="49" t="str">
        <f t="shared" ref="F1463:J1463" ca="1" si="1461">IFERROR(__xludf.DUMMYFUNCTION("if (A1463 &lt;&gt; """", GOOGLETRANSLATE(A1463, ""auto"", ""en""), """")"),"")</f>
        <v/>
      </c>
      <c r="G1463" s="49" t="str">
        <f t="shared" ca="1" si="1461"/>
        <v/>
      </c>
      <c r="H1463" s="49" t="str">
        <f t="shared" ca="1" si="1461"/>
        <v/>
      </c>
      <c r="I1463" s="49" t="str">
        <f t="shared" ca="1" si="1461"/>
        <v/>
      </c>
      <c r="J1463" s="49" t="str">
        <f t="shared" ca="1" si="1461"/>
        <v/>
      </c>
    </row>
    <row r="1464" spans="1:10" ht="25.5" x14ac:dyDescent="0.2">
      <c r="A1464" s="41" t="s">
        <v>1094</v>
      </c>
      <c r="B1464" s="41" t="s">
        <v>402</v>
      </c>
      <c r="C1464" s="41" t="s">
        <v>1095</v>
      </c>
      <c r="D1464" s="40"/>
      <c r="E1464" s="40"/>
      <c r="F1464" s="49" t="str">
        <f t="shared" ref="F1464:J1464" ca="1" si="1462">IFERROR(__xludf.DUMMYFUNCTION("if (A1464 &lt;&gt; """", GOOGLETRANSLATE(A1464, ""auto"", ""en""), """")"),"Dismissal and you")</f>
        <v>Dismissal and you</v>
      </c>
      <c r="G1464" s="49" t="str">
        <f t="shared" ca="1" si="1462"/>
        <v>Dismissal and you</v>
      </c>
      <c r="H1464" s="49" t="str">
        <f t="shared" ca="1" si="1462"/>
        <v>Dismissal and you</v>
      </c>
      <c r="I1464" s="49" t="str">
        <f t="shared" ca="1" si="1462"/>
        <v>Dismissal and you</v>
      </c>
      <c r="J1464" s="49" t="str">
        <f t="shared" ca="1" si="1462"/>
        <v>Dismissal and you</v>
      </c>
    </row>
    <row r="1465" spans="1:10" ht="25.5" x14ac:dyDescent="0.2">
      <c r="A1465" s="41" t="s">
        <v>1096</v>
      </c>
      <c r="B1465" s="40"/>
      <c r="C1465" s="40"/>
      <c r="D1465" s="40"/>
      <c r="E1465" s="40"/>
      <c r="F1465" s="49" t="str">
        <f t="shared" ref="F1465:J1465" ca="1" si="1463">IFERROR(__xludf.DUMMYFUNCTION("if (A1465 &lt;&gt; """", GOOGLETRANSLATE(A1465, ""auto"", ""en""), """")"),"You will be fired")</f>
        <v>You will be fired</v>
      </c>
      <c r="G1465" s="49" t="str">
        <f t="shared" ca="1" si="1463"/>
        <v>You will be fired</v>
      </c>
      <c r="H1465" s="49" t="str">
        <f t="shared" ca="1" si="1463"/>
        <v>You will be fired</v>
      </c>
      <c r="I1465" s="49" t="str">
        <f t="shared" ca="1" si="1463"/>
        <v>You will be fired</v>
      </c>
      <c r="J1465" s="49" t="str">
        <f t="shared" ca="1" si="1463"/>
        <v>You will be fired</v>
      </c>
    </row>
    <row r="1466" spans="1:10" ht="38.25" x14ac:dyDescent="0.2">
      <c r="A1466" s="41" t="s">
        <v>1097</v>
      </c>
      <c r="B1466" s="40"/>
      <c r="C1466" s="40"/>
      <c r="D1466" s="40"/>
      <c r="E1466" s="40"/>
      <c r="F1466" s="49" t="str">
        <f t="shared" ref="F1466:J1466" ca="1" si="1464">IFERROR(__xludf.DUMMYFUNCTION("if (A1466 &lt;&gt; """", GOOGLETRANSLATE(A1466, ""auto"", ""en""), """")"),"It is fine without me to work anymore")</f>
        <v>It is fine without me to work anymore</v>
      </c>
      <c r="G1466" s="49" t="str">
        <f t="shared" ca="1" si="1464"/>
        <v>It is fine without me to work anymore</v>
      </c>
      <c r="H1466" s="49" t="str">
        <f t="shared" ca="1" si="1464"/>
        <v>It is fine without me to work anymore</v>
      </c>
      <c r="I1466" s="49" t="str">
        <f t="shared" ca="1" si="1464"/>
        <v>It is fine without me to work anymore</v>
      </c>
      <c r="J1466" s="49" t="str">
        <f t="shared" ca="1" si="1464"/>
        <v>It is fine without me to work anymore</v>
      </c>
    </row>
    <row r="1467" spans="1:10" ht="38.25" x14ac:dyDescent="0.2">
      <c r="A1467" s="41" t="s">
        <v>1098</v>
      </c>
      <c r="B1467" s="40"/>
      <c r="C1467" s="40"/>
      <c r="D1467" s="40"/>
      <c r="E1467" s="40"/>
      <c r="F1467" s="49" t="str">
        <f t="shared" ref="F1467:J1467" ca="1" si="1465">IFERROR(__xludf.DUMMYFUNCTION("if (A1467 &lt;&gt; """", GOOGLETRANSLATE(A1467, ""auto"", ""en""), """")"),"It does not work anymore together")</f>
        <v>It does not work anymore together</v>
      </c>
      <c r="G1467" s="49" t="str">
        <f t="shared" ca="1" si="1465"/>
        <v>It does not work anymore together</v>
      </c>
      <c r="H1467" s="49" t="str">
        <f t="shared" ca="1" si="1465"/>
        <v>It does not work anymore together</v>
      </c>
      <c r="I1467" s="49" t="str">
        <f t="shared" ca="1" si="1465"/>
        <v>It does not work anymore together</v>
      </c>
      <c r="J1467" s="49" t="str">
        <f t="shared" ca="1" si="1465"/>
        <v>It does not work anymore together</v>
      </c>
    </row>
    <row r="1468" spans="1:10" ht="25.5" x14ac:dyDescent="0.2">
      <c r="A1468" s="41" t="s">
        <v>1099</v>
      </c>
      <c r="B1468" s="40"/>
      <c r="C1468" s="40"/>
      <c r="D1468" s="40"/>
      <c r="E1468" s="40"/>
      <c r="F1468" s="49" t="str">
        <f t="shared" ref="F1468:J1468" ca="1" si="1466">IFERROR(__xludf.DUMMYFUNCTION("if (A1468 &lt;&gt; """", GOOGLETRANSLATE(A1468, ""auto"", ""en""), """")"),"You have been fired")</f>
        <v>You have been fired</v>
      </c>
      <c r="G1468" s="49" t="str">
        <f t="shared" ca="1" si="1466"/>
        <v>You have been fired</v>
      </c>
      <c r="H1468" s="49" t="str">
        <f t="shared" ca="1" si="1466"/>
        <v>You have been fired</v>
      </c>
      <c r="I1468" s="49" t="str">
        <f t="shared" ca="1" si="1466"/>
        <v>You have been fired</v>
      </c>
      <c r="J1468" s="49" t="str">
        <f t="shared" ca="1" si="1466"/>
        <v>You have been fired</v>
      </c>
    </row>
    <row r="1469" spans="1:10" ht="25.5" x14ac:dyDescent="0.2">
      <c r="A1469" s="41" t="s">
        <v>1100</v>
      </c>
      <c r="B1469" s="40"/>
      <c r="C1469" s="40"/>
      <c r="D1469" s="40"/>
      <c r="E1469" s="40"/>
      <c r="F1469" s="49" t="str">
        <f t="shared" ref="F1469:J1469" ca="1" si="1467">IFERROR(__xludf.DUMMYFUNCTION("if (A1469 &lt;&gt; """", GOOGLETRANSLATE(A1469, ""auto"", ""en""), """")"),"I want to fire you")</f>
        <v>I want to fire you</v>
      </c>
      <c r="G1469" s="49" t="str">
        <f t="shared" ca="1" si="1467"/>
        <v>I want to fire you</v>
      </c>
      <c r="H1469" s="49" t="str">
        <f t="shared" ca="1" si="1467"/>
        <v>I want to fire you</v>
      </c>
      <c r="I1469" s="49" t="str">
        <f t="shared" ca="1" si="1467"/>
        <v>I want to fire you</v>
      </c>
      <c r="J1469" s="49" t="str">
        <f t="shared" ca="1" si="1467"/>
        <v>I want to fire you</v>
      </c>
    </row>
    <row r="1470" spans="1:10" ht="25.5" x14ac:dyDescent="0.2">
      <c r="A1470" s="41" t="s">
        <v>1101</v>
      </c>
      <c r="B1470" s="40"/>
      <c r="C1470" s="40"/>
      <c r="D1470" s="40"/>
      <c r="E1470" s="40"/>
      <c r="F1470" s="49" t="str">
        <f t="shared" ref="F1470:J1470" ca="1" si="1468">IFERROR(__xludf.DUMMYFUNCTION("if (A1470 &lt;&gt; """", GOOGLETRANSLATE(A1470, ""auto"", ""en""), """")"),"Have the quit You have")</f>
        <v>Have the quit You have</v>
      </c>
      <c r="G1470" s="49" t="str">
        <f t="shared" ca="1" si="1468"/>
        <v>Have the quit You have</v>
      </c>
      <c r="H1470" s="49" t="str">
        <f t="shared" ca="1" si="1468"/>
        <v>Have the quit You have</v>
      </c>
      <c r="I1470" s="49" t="str">
        <f t="shared" ca="1" si="1468"/>
        <v>Have the quit You have</v>
      </c>
      <c r="J1470" s="49" t="str">
        <f t="shared" ca="1" si="1468"/>
        <v>Have the quit You have</v>
      </c>
    </row>
    <row r="1471" spans="1:10" ht="38.25" x14ac:dyDescent="0.2">
      <c r="A1471" s="41" t="s">
        <v>1102</v>
      </c>
      <c r="B1471" s="40"/>
      <c r="C1471" s="40"/>
      <c r="D1471" s="40"/>
      <c r="E1471" s="40"/>
      <c r="F1471" s="49" t="str">
        <f t="shared" ref="F1471:J1471" ca="1" si="1469">IFERROR(__xludf.DUMMYFUNCTION("if (A1471 &lt;&gt; """", GOOGLETRANSLATE(A1471, ""auto"", ""en""), """")"),"The time has now come to get quit")</f>
        <v>The time has now come to get quit</v>
      </c>
      <c r="G1471" s="49" t="str">
        <f t="shared" ca="1" si="1469"/>
        <v>The time has now come to get quit</v>
      </c>
      <c r="H1471" s="49" t="str">
        <f t="shared" ca="1" si="1469"/>
        <v>The time has now come to get quit</v>
      </c>
      <c r="I1471" s="49" t="str">
        <f t="shared" ca="1" si="1469"/>
        <v>The time has now come to get quit</v>
      </c>
      <c r="J1471" s="49" t="str">
        <f t="shared" ca="1" si="1469"/>
        <v>The time has now come to get quit</v>
      </c>
    </row>
    <row r="1472" spans="1:10" ht="25.5" x14ac:dyDescent="0.2">
      <c r="A1472" s="41" t="s">
        <v>1103</v>
      </c>
      <c r="B1472" s="40"/>
      <c r="C1472" s="40"/>
      <c r="D1472" s="40"/>
      <c r="E1472" s="40"/>
      <c r="F1472" s="49" t="str">
        <f t="shared" ref="F1472:J1472" ca="1" si="1470">IFERROR(__xludf.DUMMYFUNCTION("if (A1472 &lt;&gt; """", GOOGLETRANSLATE(A1472, ""auto"", ""en""), """")"),"It would be allowed to quit")</f>
        <v>It would be allowed to quit</v>
      </c>
      <c r="G1472" s="49" t="str">
        <f t="shared" ca="1" si="1470"/>
        <v>It would be allowed to quit</v>
      </c>
      <c r="H1472" s="49" t="str">
        <f t="shared" ca="1" si="1470"/>
        <v>It would be allowed to quit</v>
      </c>
      <c r="I1472" s="49" t="str">
        <f t="shared" ca="1" si="1470"/>
        <v>It would be allowed to quit</v>
      </c>
      <c r="J1472" s="49" t="str">
        <f t="shared" ca="1" si="1470"/>
        <v>It would be allowed to quit</v>
      </c>
    </row>
    <row r="1473" spans="1:10" ht="12.75" x14ac:dyDescent="0.2">
      <c r="A1473" s="41" t="s">
        <v>1104</v>
      </c>
      <c r="B1473" s="40"/>
      <c r="C1473" s="40"/>
      <c r="D1473" s="40"/>
      <c r="E1473" s="40"/>
      <c r="F1473" s="49" t="str">
        <f t="shared" ref="F1473:J1473" ca="1" si="1471">IFERROR(__xludf.DUMMYFUNCTION("if (A1473 &lt;&gt; """", GOOGLETRANSLATE(A1473, ""auto"", ""en""), """")"),"You fired your")</f>
        <v>You fired your</v>
      </c>
      <c r="G1473" s="49" t="str">
        <f t="shared" ca="1" si="1471"/>
        <v>You fired your</v>
      </c>
      <c r="H1473" s="49" t="str">
        <f t="shared" ca="1" si="1471"/>
        <v>You fired your</v>
      </c>
      <c r="I1473" s="49" t="str">
        <f t="shared" ca="1" si="1471"/>
        <v>You fired your</v>
      </c>
      <c r="J1473" s="49" t="str">
        <f t="shared" ca="1" si="1471"/>
        <v>You fired your</v>
      </c>
    </row>
    <row r="1474" spans="1:10" ht="12.75" x14ac:dyDescent="0.2">
      <c r="A1474" s="40"/>
      <c r="B1474" s="40"/>
      <c r="C1474" s="40"/>
      <c r="D1474" s="40"/>
      <c r="E1474" s="40"/>
      <c r="F1474" s="49" t="str">
        <f t="shared" ref="F1474:J1474" ca="1" si="1472">IFERROR(__xludf.DUMMYFUNCTION("if (A1474 &lt;&gt; """", GOOGLETRANSLATE(A1474, ""auto"", ""en""), """")"),"")</f>
        <v/>
      </c>
      <c r="G1474" s="49" t="str">
        <f t="shared" ca="1" si="1472"/>
        <v/>
      </c>
      <c r="H1474" s="49" t="str">
        <f t="shared" ca="1" si="1472"/>
        <v/>
      </c>
      <c r="I1474" s="49" t="str">
        <f t="shared" ca="1" si="1472"/>
        <v/>
      </c>
      <c r="J1474" s="49" t="str">
        <f t="shared" ca="1" si="1472"/>
        <v/>
      </c>
    </row>
    <row r="1475" spans="1:10" ht="25.5" x14ac:dyDescent="0.2">
      <c r="A1475" s="41" t="s">
        <v>1105</v>
      </c>
      <c r="B1475" s="40"/>
      <c r="C1475" s="40"/>
      <c r="D1475" s="40"/>
      <c r="E1475" s="40"/>
      <c r="F1475" s="49" t="str">
        <f t="shared" ref="F1475:J1475" ca="1" si="1473">IFERROR(__xludf.DUMMYFUNCTION("if (A1475 &lt;&gt; """", GOOGLETRANSLATE(A1475, ""auto"", ""en""), """")"),"smalltalk.agent.funny")</f>
        <v>smalltalk.agent.funny</v>
      </c>
      <c r="G1475" s="49" t="str">
        <f t="shared" ca="1" si="1473"/>
        <v>smalltalk.agent.funny</v>
      </c>
      <c r="H1475" s="49" t="str">
        <f t="shared" ca="1" si="1473"/>
        <v>smalltalk.agent.funny</v>
      </c>
      <c r="I1475" s="49" t="str">
        <f t="shared" ca="1" si="1473"/>
        <v>smalltalk.agent.funny</v>
      </c>
      <c r="J1475" s="49" t="str">
        <f t="shared" ca="1" si="1473"/>
        <v>smalltalk.agent.funny</v>
      </c>
    </row>
    <row r="1476" spans="1:10" ht="12.75" x14ac:dyDescent="0.2">
      <c r="A1476" s="40"/>
      <c r="B1476" s="41" t="s">
        <v>398</v>
      </c>
      <c r="C1476" s="40"/>
      <c r="D1476" s="40"/>
      <c r="E1476" s="40"/>
      <c r="F1476" s="49" t="str">
        <f t="shared" ref="F1476:J1476" ca="1" si="1474">IFERROR(__xludf.DUMMYFUNCTION("if (A1476 &lt;&gt; """", GOOGLETRANSLATE(A1476, ""auto"", ""en""), """")"),"")</f>
        <v/>
      </c>
      <c r="G1476" s="49" t="str">
        <f t="shared" ca="1" si="1474"/>
        <v/>
      </c>
      <c r="H1476" s="49" t="str">
        <f t="shared" ca="1" si="1474"/>
        <v/>
      </c>
      <c r="I1476" s="49" t="str">
        <f t="shared" ca="1" si="1474"/>
        <v/>
      </c>
      <c r="J1476" s="49" t="str">
        <f t="shared" ca="1" si="1474"/>
        <v/>
      </c>
    </row>
    <row r="1477" spans="1:10" ht="12.75" x14ac:dyDescent="0.2">
      <c r="A1477" s="40"/>
      <c r="B1477" s="41" t="s">
        <v>399</v>
      </c>
      <c r="C1477" s="40"/>
      <c r="D1477" s="40"/>
      <c r="E1477" s="40"/>
      <c r="F1477" s="49" t="str">
        <f t="shared" ref="F1477:J1477" ca="1" si="1475">IFERROR(__xludf.DUMMYFUNCTION("if (A1477 &lt;&gt; """", GOOGLETRANSLATE(A1477, ""auto"", ""en""), """")"),"")</f>
        <v/>
      </c>
      <c r="G1477" s="49" t="str">
        <f t="shared" ca="1" si="1475"/>
        <v/>
      </c>
      <c r="H1477" s="49" t="str">
        <f t="shared" ca="1" si="1475"/>
        <v/>
      </c>
      <c r="I1477" s="49" t="str">
        <f t="shared" ca="1" si="1475"/>
        <v/>
      </c>
      <c r="J1477" s="49" t="str">
        <f t="shared" ca="1" si="1475"/>
        <v/>
      </c>
    </row>
    <row r="1478" spans="1:10" ht="12.75" x14ac:dyDescent="0.2">
      <c r="A1478" s="40"/>
      <c r="B1478" s="41" t="s">
        <v>400</v>
      </c>
      <c r="C1478" s="41" t="s">
        <v>1105</v>
      </c>
      <c r="D1478" s="40"/>
      <c r="E1478" s="40"/>
      <c r="F1478" s="49" t="str">
        <f t="shared" ref="F1478:J1478" ca="1" si="1476">IFERROR(__xludf.DUMMYFUNCTION("if (A1478 &lt;&gt; """", GOOGLETRANSLATE(A1478, ""auto"", ""en""), """")"),"")</f>
        <v/>
      </c>
      <c r="G1478" s="49" t="str">
        <f t="shared" ca="1" si="1476"/>
        <v/>
      </c>
      <c r="H1478" s="49" t="str">
        <f t="shared" ca="1" si="1476"/>
        <v/>
      </c>
      <c r="I1478" s="49" t="str">
        <f t="shared" ca="1" si="1476"/>
        <v/>
      </c>
      <c r="J1478" s="49" t="str">
        <f t="shared" ca="1" si="1476"/>
        <v/>
      </c>
    </row>
    <row r="1479" spans="1:10" ht="12.75" x14ac:dyDescent="0.2">
      <c r="A1479" s="40"/>
      <c r="B1479" s="41" t="s">
        <v>401</v>
      </c>
      <c r="C1479" s="40"/>
      <c r="D1479" s="40"/>
      <c r="E1479" s="40"/>
      <c r="F1479" s="49" t="str">
        <f t="shared" ref="F1479:J1479" ca="1" si="1477">IFERROR(__xludf.DUMMYFUNCTION("if (A1479 &lt;&gt; """", GOOGLETRANSLATE(A1479, ""auto"", ""en""), """")"),"")</f>
        <v/>
      </c>
      <c r="G1479" s="49" t="str">
        <f t="shared" ca="1" si="1477"/>
        <v/>
      </c>
      <c r="H1479" s="49" t="str">
        <f t="shared" ca="1" si="1477"/>
        <v/>
      </c>
      <c r="I1479" s="49" t="str">
        <f t="shared" ca="1" si="1477"/>
        <v/>
      </c>
      <c r="J1479" s="49" t="str">
        <f t="shared" ca="1" si="1477"/>
        <v/>
      </c>
    </row>
    <row r="1480" spans="1:10" ht="38.25" x14ac:dyDescent="0.2">
      <c r="A1480" s="41" t="s">
        <v>1106</v>
      </c>
      <c r="B1480" s="41" t="s">
        <v>402</v>
      </c>
      <c r="C1480" s="41" t="s">
        <v>1107</v>
      </c>
      <c r="D1480" s="40"/>
      <c r="E1480" s="40"/>
      <c r="F1480" s="49" t="str">
        <f t="shared" ref="F1480:J1480" ca="1" si="1478">IFERROR(__xludf.DUMMYFUNCTION("if (A1480 &lt;&gt; """", GOOGLETRANSLATE(A1480, ""auto"", ""en""), """")"),"It says just interesting")</f>
        <v>It says just interesting</v>
      </c>
      <c r="G1480" s="49" t="str">
        <f t="shared" ca="1" si="1478"/>
        <v>It says just interesting</v>
      </c>
      <c r="H1480" s="49" t="str">
        <f t="shared" ca="1" si="1478"/>
        <v>It says just interesting</v>
      </c>
      <c r="I1480" s="49" t="str">
        <f t="shared" ca="1" si="1478"/>
        <v>It says just interesting</v>
      </c>
      <c r="J1480" s="49" t="str">
        <f t="shared" ca="1" si="1478"/>
        <v>It says just interesting</v>
      </c>
    </row>
    <row r="1481" spans="1:10" ht="12.75" x14ac:dyDescent="0.2">
      <c r="A1481" s="41" t="s">
        <v>1108</v>
      </c>
      <c r="B1481" s="40"/>
      <c r="C1481" s="40"/>
      <c r="D1481" s="40"/>
      <c r="E1481" s="40"/>
      <c r="F1481" s="49" t="str">
        <f t="shared" ref="F1481:J1481" ca="1" si="1479">IFERROR(__xludf.DUMMYFUNCTION("if (A1481 &lt;&gt; """", GOOGLETRANSLATE(A1481, ""auto"", ""en""), """")"),"You're fun")</f>
        <v>You're fun</v>
      </c>
      <c r="G1481" s="49" t="str">
        <f t="shared" ca="1" si="1479"/>
        <v>You're fun</v>
      </c>
      <c r="H1481" s="49" t="str">
        <f t="shared" ca="1" si="1479"/>
        <v>You're fun</v>
      </c>
      <c r="I1481" s="49" t="str">
        <f t="shared" ca="1" si="1479"/>
        <v>You're fun</v>
      </c>
      <c r="J1481" s="49" t="str">
        <f t="shared" ca="1" si="1479"/>
        <v>You're fun</v>
      </c>
    </row>
    <row r="1482" spans="1:10" ht="25.5" x14ac:dyDescent="0.2">
      <c r="A1482" s="41" t="s">
        <v>1109</v>
      </c>
      <c r="B1482" s="40"/>
      <c r="C1482" s="40"/>
      <c r="D1482" s="40"/>
      <c r="E1482" s="40"/>
      <c r="F1482" s="49" t="str">
        <f t="shared" ref="F1482:J1482" ca="1" si="1480">IFERROR(__xludf.DUMMYFUNCTION("if (A1482 &lt;&gt; """", GOOGLETRANSLATE(A1482, ""auto"", ""en""), """")"),"You're really funny")</f>
        <v>You're really funny</v>
      </c>
      <c r="G1482" s="49" t="str">
        <f t="shared" ca="1" si="1480"/>
        <v>You're really funny</v>
      </c>
      <c r="H1482" s="49" t="str">
        <f t="shared" ca="1" si="1480"/>
        <v>You're really funny</v>
      </c>
      <c r="I1482" s="49" t="str">
        <f t="shared" ca="1" si="1480"/>
        <v>You're really funny</v>
      </c>
      <c r="J1482" s="49" t="str">
        <f t="shared" ca="1" si="1480"/>
        <v>You're really funny</v>
      </c>
    </row>
    <row r="1483" spans="1:10" ht="51" x14ac:dyDescent="0.2">
      <c r="A1483" s="41" t="s">
        <v>1110</v>
      </c>
      <c r="B1483" s="40"/>
      <c r="C1483" s="40"/>
      <c r="D1483" s="40"/>
      <c r="E1483" s="40"/>
      <c r="F1483" s="49" t="str">
        <f t="shared" ref="F1483:J1483" ca="1" si="1481">IFERROR(__xludf.DUMMYFUNCTION("if (A1483 &lt;&gt; """", GOOGLETRANSLATE(A1483, ""auto"", ""en""), """")"),"It is the first time I've talked with so funny bot")</f>
        <v>It is the first time I've talked with so funny bot</v>
      </c>
      <c r="G1483" s="49" t="str">
        <f t="shared" ca="1" si="1481"/>
        <v>It is the first time I've talked with so funny bot</v>
      </c>
      <c r="H1483" s="49" t="str">
        <f t="shared" ca="1" si="1481"/>
        <v>It is the first time I've talked with so funny bot</v>
      </c>
      <c r="I1483" s="49" t="str">
        <f t="shared" ca="1" si="1481"/>
        <v>It is the first time I've talked with so funny bot</v>
      </c>
      <c r="J1483" s="49" t="str">
        <f t="shared" ca="1" si="1481"/>
        <v>It is the first time I've talked with so funny bot</v>
      </c>
    </row>
    <row r="1484" spans="1:10" ht="38.25" x14ac:dyDescent="0.2">
      <c r="A1484" s="41" t="s">
        <v>1111</v>
      </c>
      <c r="B1484" s="40"/>
      <c r="C1484" s="40"/>
      <c r="D1484" s="40"/>
      <c r="E1484" s="40"/>
      <c r="F1484" s="49" t="str">
        <f t="shared" ref="F1484:J1484" ca="1" si="1482">IFERROR(__xludf.DUMMYFUNCTION("if (A1484 &lt;&gt; """", GOOGLETRANSLATE(A1484, ""auto"", ""en""), """")"),"I say interesting things")</f>
        <v>I say interesting things</v>
      </c>
      <c r="G1484" s="49" t="str">
        <f t="shared" ca="1" si="1482"/>
        <v>I say interesting things</v>
      </c>
      <c r="H1484" s="49" t="str">
        <f t="shared" ca="1" si="1482"/>
        <v>I say interesting things</v>
      </c>
      <c r="I1484" s="49" t="str">
        <f t="shared" ca="1" si="1482"/>
        <v>I say interesting things</v>
      </c>
      <c r="J1484" s="49" t="str">
        <f t="shared" ca="1" si="1482"/>
        <v>I say interesting things</v>
      </c>
    </row>
    <row r="1485" spans="1:10" ht="12.75" x14ac:dyDescent="0.2">
      <c r="A1485" s="41" t="s">
        <v>1112</v>
      </c>
      <c r="B1485" s="40"/>
      <c r="C1485" s="40"/>
      <c r="D1485" s="40"/>
      <c r="E1485" s="40"/>
      <c r="F1485" s="49" t="str">
        <f t="shared" ref="F1485:J1485" ca="1" si="1483">IFERROR(__xludf.DUMMYFUNCTION("if (A1485 &lt;&gt; """", GOOGLETRANSLATE(A1485, ""auto"", ""en""), """")"),"Very funny")</f>
        <v>Very funny</v>
      </c>
      <c r="G1485" s="49" t="str">
        <f t="shared" ca="1" si="1483"/>
        <v>Very funny</v>
      </c>
      <c r="H1485" s="49" t="str">
        <f t="shared" ca="1" si="1483"/>
        <v>Very funny</v>
      </c>
      <c r="I1485" s="49" t="str">
        <f t="shared" ca="1" si="1483"/>
        <v>Very funny</v>
      </c>
      <c r="J1485" s="49" t="str">
        <f t="shared" ca="1" si="1483"/>
        <v>Very funny</v>
      </c>
    </row>
    <row r="1486" spans="1:10" ht="25.5" x14ac:dyDescent="0.2">
      <c r="A1486" s="41" t="s">
        <v>1113</v>
      </c>
      <c r="B1486" s="40"/>
      <c r="C1486" s="40"/>
      <c r="D1486" s="40"/>
      <c r="E1486" s="40"/>
      <c r="F1486" s="49" t="str">
        <f t="shared" ref="F1486:J1486" ca="1" si="1484">IFERROR(__xludf.DUMMYFUNCTION("if (A1486 &lt;&gt; """", GOOGLETRANSLATE(A1486, ""auto"", ""en""), """")"),"It is very strange bot")</f>
        <v>It is very strange bot</v>
      </c>
      <c r="G1486" s="49" t="str">
        <f t="shared" ca="1" si="1484"/>
        <v>It is very strange bot</v>
      </c>
      <c r="H1486" s="49" t="str">
        <f t="shared" ca="1" si="1484"/>
        <v>It is very strange bot</v>
      </c>
      <c r="I1486" s="49" t="str">
        <f t="shared" ca="1" si="1484"/>
        <v>It is very strange bot</v>
      </c>
      <c r="J1486" s="49" t="str">
        <f t="shared" ca="1" si="1484"/>
        <v>It is very strange bot</v>
      </c>
    </row>
    <row r="1487" spans="1:10" ht="12.75" x14ac:dyDescent="0.2">
      <c r="A1487" s="41" t="s">
        <v>1114</v>
      </c>
      <c r="B1487" s="40"/>
      <c r="C1487" s="40"/>
      <c r="D1487" s="40"/>
      <c r="E1487" s="40"/>
      <c r="F1487" s="49" t="str">
        <f t="shared" ref="F1487:J1487" ca="1" si="1485">IFERROR(__xludf.DUMMYFUNCTION("if (A1487 &lt;&gt; """", GOOGLETRANSLATE(A1487, ""auto"", ""en""), """")"),"Really funny")</f>
        <v>Really funny</v>
      </c>
      <c r="G1487" s="49" t="str">
        <f t="shared" ca="1" si="1485"/>
        <v>Really funny</v>
      </c>
      <c r="H1487" s="49" t="str">
        <f t="shared" ca="1" si="1485"/>
        <v>Really funny</v>
      </c>
      <c r="I1487" s="49" t="str">
        <f t="shared" ca="1" si="1485"/>
        <v>Really funny</v>
      </c>
      <c r="J1487" s="49" t="str">
        <f t="shared" ca="1" si="1485"/>
        <v>Really funny</v>
      </c>
    </row>
    <row r="1488" spans="1:10" ht="25.5" x14ac:dyDescent="0.2">
      <c r="A1488" s="41" t="s">
        <v>1115</v>
      </c>
      <c r="B1488" s="40"/>
      <c r="C1488" s="40"/>
      <c r="D1488" s="40"/>
      <c r="E1488" s="40"/>
      <c r="F1488" s="49" t="str">
        <f t="shared" ref="F1488:J1488" ca="1" si="1486">IFERROR(__xludf.DUMMYFUNCTION("if (A1488 &lt;&gt; """", GOOGLETRANSLATE(A1488, ""auto"", ""en""), """")"),"It's funny Nante")</f>
        <v>It's funny Nante</v>
      </c>
      <c r="G1488" s="49" t="str">
        <f t="shared" ca="1" si="1486"/>
        <v>It's funny Nante</v>
      </c>
      <c r="H1488" s="49" t="str">
        <f t="shared" ca="1" si="1486"/>
        <v>It's funny Nante</v>
      </c>
      <c r="I1488" s="49" t="str">
        <f t="shared" ca="1" si="1486"/>
        <v>It's funny Nante</v>
      </c>
      <c r="J1488" s="49" t="str">
        <f t="shared" ca="1" si="1486"/>
        <v>It's funny Nante</v>
      </c>
    </row>
    <row r="1489" spans="1:10" ht="25.5" x14ac:dyDescent="0.2">
      <c r="A1489" s="41" t="s">
        <v>1116</v>
      </c>
      <c r="B1489" s="40"/>
      <c r="C1489" s="40"/>
      <c r="D1489" s="40"/>
      <c r="E1489" s="40"/>
      <c r="F1489" s="49" t="str">
        <f t="shared" ref="F1489:J1489" ca="1" si="1487">IFERROR(__xludf.DUMMYFUNCTION("if (A1489 &lt;&gt; """", GOOGLETRANSLATE(A1489, ""auto"", ""en""), """")"),"Extremely funny")</f>
        <v>Extremely funny</v>
      </c>
      <c r="G1489" s="49" t="str">
        <f t="shared" ca="1" si="1487"/>
        <v>Extremely funny</v>
      </c>
      <c r="H1489" s="49" t="str">
        <f t="shared" ca="1" si="1487"/>
        <v>Extremely funny</v>
      </c>
      <c r="I1489" s="49" t="str">
        <f t="shared" ca="1" si="1487"/>
        <v>Extremely funny</v>
      </c>
      <c r="J1489" s="49" t="str">
        <f t="shared" ca="1" si="1487"/>
        <v>Extremely funny</v>
      </c>
    </row>
    <row r="1490" spans="1:10" ht="12.75" x14ac:dyDescent="0.2">
      <c r="A1490" s="40"/>
      <c r="B1490" s="40"/>
      <c r="C1490" s="40"/>
      <c r="D1490" s="40"/>
      <c r="E1490" s="40"/>
      <c r="F1490" s="49" t="str">
        <f t="shared" ref="F1490:J1490" ca="1" si="1488">IFERROR(__xludf.DUMMYFUNCTION("if (A1490 &lt;&gt; """", GOOGLETRANSLATE(A1490, ""auto"", ""en""), """")"),"")</f>
        <v/>
      </c>
      <c r="G1490" s="49" t="str">
        <f t="shared" ca="1" si="1488"/>
        <v/>
      </c>
      <c r="H1490" s="49" t="str">
        <f t="shared" ca="1" si="1488"/>
        <v/>
      </c>
      <c r="I1490" s="49" t="str">
        <f t="shared" ca="1" si="1488"/>
        <v/>
      </c>
      <c r="J1490" s="49" t="str">
        <f t="shared" ca="1" si="1488"/>
        <v/>
      </c>
    </row>
    <row r="1491" spans="1:10" ht="25.5" x14ac:dyDescent="0.2">
      <c r="A1491" s="41" t="s">
        <v>1117</v>
      </c>
      <c r="B1491" s="40"/>
      <c r="C1491" s="40"/>
      <c r="D1491" s="40"/>
      <c r="E1491" s="40"/>
      <c r="F1491" s="49" t="str">
        <f t="shared" ref="F1491:J1491" ca="1" si="1489">IFERROR(__xludf.DUMMYFUNCTION("if (A1491 &lt;&gt; """", GOOGLETRANSLATE(A1491, ""auto"", ""en""), """")"),"smalltalk.agent.good")</f>
        <v>smalltalk.agent.good</v>
      </c>
      <c r="G1491" s="49" t="str">
        <f t="shared" ca="1" si="1489"/>
        <v>smalltalk.agent.good</v>
      </c>
      <c r="H1491" s="49" t="str">
        <f t="shared" ca="1" si="1489"/>
        <v>smalltalk.agent.good</v>
      </c>
      <c r="I1491" s="49" t="str">
        <f t="shared" ca="1" si="1489"/>
        <v>smalltalk.agent.good</v>
      </c>
      <c r="J1491" s="49" t="str">
        <f t="shared" ca="1" si="1489"/>
        <v>smalltalk.agent.good</v>
      </c>
    </row>
    <row r="1492" spans="1:10" ht="12.75" x14ac:dyDescent="0.2">
      <c r="A1492" s="40"/>
      <c r="B1492" s="41" t="s">
        <v>398</v>
      </c>
      <c r="C1492" s="40"/>
      <c r="D1492" s="40"/>
      <c r="E1492" s="40"/>
      <c r="F1492" s="49" t="str">
        <f t="shared" ref="F1492:J1492" ca="1" si="1490">IFERROR(__xludf.DUMMYFUNCTION("if (A1492 &lt;&gt; """", GOOGLETRANSLATE(A1492, ""auto"", ""en""), """")"),"")</f>
        <v/>
      </c>
      <c r="G1492" s="49" t="str">
        <f t="shared" ca="1" si="1490"/>
        <v/>
      </c>
      <c r="H1492" s="49" t="str">
        <f t="shared" ca="1" si="1490"/>
        <v/>
      </c>
      <c r="I1492" s="49" t="str">
        <f t="shared" ca="1" si="1490"/>
        <v/>
      </c>
      <c r="J1492" s="49" t="str">
        <f t="shared" ca="1" si="1490"/>
        <v/>
      </c>
    </row>
    <row r="1493" spans="1:10" ht="12.75" x14ac:dyDescent="0.2">
      <c r="A1493" s="40"/>
      <c r="B1493" s="41" t="s">
        <v>399</v>
      </c>
      <c r="C1493" s="40"/>
      <c r="D1493" s="40"/>
      <c r="E1493" s="40"/>
      <c r="F1493" s="49" t="str">
        <f t="shared" ref="F1493:J1493" ca="1" si="1491">IFERROR(__xludf.DUMMYFUNCTION("if (A1493 &lt;&gt; """", GOOGLETRANSLATE(A1493, ""auto"", ""en""), """")"),"")</f>
        <v/>
      </c>
      <c r="G1493" s="49" t="str">
        <f t="shared" ca="1" si="1491"/>
        <v/>
      </c>
      <c r="H1493" s="49" t="str">
        <f t="shared" ca="1" si="1491"/>
        <v/>
      </c>
      <c r="I1493" s="49" t="str">
        <f t="shared" ca="1" si="1491"/>
        <v/>
      </c>
      <c r="J1493" s="49" t="str">
        <f t="shared" ca="1" si="1491"/>
        <v/>
      </c>
    </row>
    <row r="1494" spans="1:10" ht="12.75" x14ac:dyDescent="0.2">
      <c r="A1494" s="40"/>
      <c r="B1494" s="41" t="s">
        <v>400</v>
      </c>
      <c r="C1494" s="41" t="s">
        <v>1117</v>
      </c>
      <c r="D1494" s="40"/>
      <c r="E1494" s="40"/>
      <c r="F1494" s="49" t="str">
        <f t="shared" ref="F1494:J1494" ca="1" si="1492">IFERROR(__xludf.DUMMYFUNCTION("if (A1494 &lt;&gt; """", GOOGLETRANSLATE(A1494, ""auto"", ""en""), """")"),"")</f>
        <v/>
      </c>
      <c r="G1494" s="49" t="str">
        <f t="shared" ca="1" si="1492"/>
        <v/>
      </c>
      <c r="H1494" s="49" t="str">
        <f t="shared" ca="1" si="1492"/>
        <v/>
      </c>
      <c r="I1494" s="49" t="str">
        <f t="shared" ca="1" si="1492"/>
        <v/>
      </c>
      <c r="J1494" s="49" t="str">
        <f t="shared" ca="1" si="1492"/>
        <v/>
      </c>
    </row>
    <row r="1495" spans="1:10" ht="12.75" x14ac:dyDescent="0.2">
      <c r="A1495" s="40"/>
      <c r="B1495" s="41" t="s">
        <v>401</v>
      </c>
      <c r="C1495" s="40"/>
      <c r="D1495" s="40"/>
      <c r="E1495" s="40"/>
      <c r="F1495" s="49" t="str">
        <f t="shared" ref="F1495:J1495" ca="1" si="1493">IFERROR(__xludf.DUMMYFUNCTION("if (A1495 &lt;&gt; """", GOOGLETRANSLATE(A1495, ""auto"", ""en""), """")"),"")</f>
        <v/>
      </c>
      <c r="G1495" s="49" t="str">
        <f t="shared" ca="1" si="1493"/>
        <v/>
      </c>
      <c r="H1495" s="49" t="str">
        <f t="shared" ca="1" si="1493"/>
        <v/>
      </c>
      <c r="I1495" s="49" t="str">
        <f t="shared" ca="1" si="1493"/>
        <v/>
      </c>
      <c r="J1495" s="49" t="str">
        <f t="shared" ca="1" si="1493"/>
        <v/>
      </c>
    </row>
    <row r="1496" spans="1:10" ht="38.25" x14ac:dyDescent="0.2">
      <c r="A1496" s="41" t="s">
        <v>1118</v>
      </c>
      <c r="B1496" s="41" t="s">
        <v>402</v>
      </c>
      <c r="C1496" s="41" t="s">
        <v>1119</v>
      </c>
      <c r="D1496" s="40"/>
      <c r="E1496" s="40"/>
      <c r="F1496" s="49" t="str">
        <f t="shared" ref="F1496:J1496" ca="1" si="1494">IFERROR(__xludf.DUMMYFUNCTION("if (A1496 &lt;&gt; """", GOOGLETRANSLATE(A1496, ""auto"", ""en""), """")"),"very helpful")</f>
        <v>very helpful</v>
      </c>
      <c r="G1496" s="49" t="str">
        <f t="shared" ca="1" si="1494"/>
        <v>very helpful</v>
      </c>
      <c r="H1496" s="49" t="str">
        <f t="shared" ca="1" si="1494"/>
        <v>very helpful</v>
      </c>
      <c r="I1496" s="49" t="str">
        <f t="shared" ca="1" si="1494"/>
        <v>very helpful</v>
      </c>
      <c r="J1496" s="49" t="str">
        <f t="shared" ca="1" si="1494"/>
        <v>very helpful</v>
      </c>
    </row>
    <row r="1497" spans="1:10" ht="25.5" x14ac:dyDescent="0.2">
      <c r="A1497" s="41" t="s">
        <v>1120</v>
      </c>
      <c r="B1497" s="40"/>
      <c r="C1497" s="40"/>
      <c r="D1497" s="40"/>
      <c r="E1497" s="40"/>
      <c r="F1497" s="49" t="str">
        <f t="shared" ref="F1497:J1497" ca="1" si="1495">IFERROR(__xludf.DUMMYFUNCTION("if (A1497 &lt;&gt; """", GOOGLETRANSLATE(A1497, ""auto"", ""en""), """")"),"You're the best")</f>
        <v>You're the best</v>
      </c>
      <c r="G1497" s="49" t="str">
        <f t="shared" ca="1" si="1495"/>
        <v>You're the best</v>
      </c>
      <c r="H1497" s="49" t="str">
        <f t="shared" ca="1" si="1495"/>
        <v>You're the best</v>
      </c>
      <c r="I1497" s="49" t="str">
        <f t="shared" ca="1" si="1495"/>
        <v>You're the best</v>
      </c>
      <c r="J1497" s="49" t="str">
        <f t="shared" ca="1" si="1495"/>
        <v>You're the best</v>
      </c>
    </row>
    <row r="1498" spans="1:10" ht="25.5" x14ac:dyDescent="0.2">
      <c r="A1498" s="41" t="s">
        <v>1121</v>
      </c>
      <c r="B1498" s="40"/>
      <c r="C1498" s="40"/>
      <c r="D1498" s="40"/>
      <c r="E1498" s="40"/>
      <c r="F1498" s="49" t="str">
        <f t="shared" ref="F1498:J1498" ca="1" si="1496">IFERROR(__xludf.DUMMYFUNCTION("if (A1498 &lt;&gt; """", GOOGLETRANSLATE(A1498, ""auto"", ""en""), """")"),"Indeed it's a professional")</f>
        <v>Indeed it's a professional</v>
      </c>
      <c r="G1498" s="49" t="str">
        <f t="shared" ca="1" si="1496"/>
        <v>Indeed it's a professional</v>
      </c>
      <c r="H1498" s="49" t="str">
        <f t="shared" ca="1" si="1496"/>
        <v>Indeed it's a professional</v>
      </c>
      <c r="I1498" s="49" t="str">
        <f t="shared" ca="1" si="1496"/>
        <v>Indeed it's a professional</v>
      </c>
      <c r="J1498" s="49" t="str">
        <f t="shared" ca="1" si="1496"/>
        <v>Indeed it's a professional</v>
      </c>
    </row>
    <row r="1499" spans="1:10" ht="12.75" x14ac:dyDescent="0.2">
      <c r="A1499" s="41" t="s">
        <v>1122</v>
      </c>
      <c r="B1499" s="40"/>
      <c r="C1499" s="40"/>
      <c r="D1499" s="40"/>
      <c r="E1499" s="40"/>
      <c r="F1499" s="49" t="str">
        <f t="shared" ref="F1499:J1499" ca="1" si="1497">IFERROR(__xludf.DUMMYFUNCTION("if (A1499 &lt;&gt; """", GOOGLETRANSLATE(A1499, ""auto"", ""en""), """")"),"It is good")</f>
        <v>It is good</v>
      </c>
      <c r="G1499" s="49" t="str">
        <f t="shared" ca="1" si="1497"/>
        <v>It is good</v>
      </c>
      <c r="H1499" s="49" t="str">
        <f t="shared" ca="1" si="1497"/>
        <v>It is good</v>
      </c>
      <c r="I1499" s="49" t="str">
        <f t="shared" ca="1" si="1497"/>
        <v>It is good</v>
      </c>
      <c r="J1499" s="49" t="str">
        <f t="shared" ca="1" si="1497"/>
        <v>It is good</v>
      </c>
    </row>
    <row r="1500" spans="1:10" ht="12.75" x14ac:dyDescent="0.2">
      <c r="A1500" s="41" t="s">
        <v>1123</v>
      </c>
      <c r="B1500" s="40"/>
      <c r="C1500" s="40"/>
      <c r="D1500" s="40"/>
      <c r="E1500" s="40"/>
      <c r="F1500" s="49" t="str">
        <f t="shared" ref="F1500:J1500" ca="1" si="1498">IFERROR(__xludf.DUMMYFUNCTION("if (A1500 &lt;&gt; """", GOOGLETRANSLATE(A1500, ""auto"", ""en""), """")"),"I can work")</f>
        <v>I can work</v>
      </c>
      <c r="G1500" s="49" t="str">
        <f t="shared" ca="1" si="1498"/>
        <v>I can work</v>
      </c>
      <c r="H1500" s="49" t="str">
        <f t="shared" ca="1" si="1498"/>
        <v>I can work</v>
      </c>
      <c r="I1500" s="49" t="str">
        <f t="shared" ca="1" si="1498"/>
        <v>I can work</v>
      </c>
      <c r="J1500" s="49" t="str">
        <f t="shared" ca="1" si="1498"/>
        <v>I can work</v>
      </c>
    </row>
    <row r="1501" spans="1:10" ht="12.75" x14ac:dyDescent="0.2">
      <c r="A1501" s="41" t="s">
        <v>1124</v>
      </c>
      <c r="B1501" s="40"/>
      <c r="C1501" s="40"/>
      <c r="D1501" s="40"/>
      <c r="E1501" s="40"/>
      <c r="F1501" s="49" t="str">
        <f t="shared" ref="F1501:J1501" ca="1" si="1499">IFERROR(__xludf.DUMMYFUNCTION("if (A1501 &lt;&gt; """", GOOGLETRANSLATE(A1501, ""auto"", ""en""), """")"),"I'm used")</f>
        <v>I'm used</v>
      </c>
      <c r="G1501" s="49" t="str">
        <f t="shared" ca="1" si="1499"/>
        <v>I'm used</v>
      </c>
      <c r="H1501" s="49" t="str">
        <f t="shared" ca="1" si="1499"/>
        <v>I'm used</v>
      </c>
      <c r="I1501" s="49" t="str">
        <f t="shared" ca="1" si="1499"/>
        <v>I'm used</v>
      </c>
      <c r="J1501" s="49" t="str">
        <f t="shared" ca="1" si="1499"/>
        <v>I'm used</v>
      </c>
    </row>
    <row r="1502" spans="1:10" ht="25.5" x14ac:dyDescent="0.2">
      <c r="A1502" s="41" t="s">
        <v>1125</v>
      </c>
      <c r="B1502" s="40"/>
      <c r="C1502" s="40"/>
      <c r="D1502" s="40"/>
      <c r="E1502" s="40"/>
      <c r="F1502" s="49" t="str">
        <f t="shared" ref="F1502:J1502" ca="1" si="1500">IFERROR(__xludf.DUMMYFUNCTION("if (A1502 &lt;&gt; """", GOOGLETRANSLATE(A1502, ""auto"", ""en""), """")"),"It has very familiar")</f>
        <v>It has very familiar</v>
      </c>
      <c r="G1502" s="49" t="str">
        <f t="shared" ca="1" si="1500"/>
        <v>It has very familiar</v>
      </c>
      <c r="H1502" s="49" t="str">
        <f t="shared" ca="1" si="1500"/>
        <v>It has very familiar</v>
      </c>
      <c r="I1502" s="49" t="str">
        <f t="shared" ca="1" si="1500"/>
        <v>It has very familiar</v>
      </c>
      <c r="J1502" s="49" t="str">
        <f t="shared" ca="1" si="1500"/>
        <v>It has very familiar</v>
      </c>
    </row>
    <row r="1503" spans="1:10" ht="25.5" x14ac:dyDescent="0.2">
      <c r="A1503" s="41" t="s">
        <v>1126</v>
      </c>
      <c r="B1503" s="40"/>
      <c r="C1503" s="40"/>
      <c r="D1503" s="40"/>
      <c r="E1503" s="40"/>
      <c r="F1503" s="49" t="str">
        <f t="shared" ref="F1503:J1503" ca="1" si="1501">IFERROR(__xludf.DUMMYFUNCTION("if (A1503 &lt;&gt; """", GOOGLETRANSLATE(A1503, ""auto"", ""en""), """")"),"It is a professional")</f>
        <v>It is a professional</v>
      </c>
      <c r="G1503" s="49" t="str">
        <f t="shared" ca="1" si="1501"/>
        <v>It is a professional</v>
      </c>
      <c r="H1503" s="49" t="str">
        <f t="shared" ca="1" si="1501"/>
        <v>It is a professional</v>
      </c>
      <c r="I1503" s="49" t="str">
        <f t="shared" ca="1" si="1501"/>
        <v>It is a professional</v>
      </c>
      <c r="J1503" s="49" t="str">
        <f t="shared" ca="1" si="1501"/>
        <v>It is a professional</v>
      </c>
    </row>
    <row r="1504" spans="1:10" ht="25.5" x14ac:dyDescent="0.2">
      <c r="A1504" s="41" t="s">
        <v>1127</v>
      </c>
      <c r="B1504" s="40"/>
      <c r="C1504" s="40"/>
      <c r="D1504" s="40"/>
      <c r="E1504" s="40"/>
      <c r="F1504" s="49" t="str">
        <f t="shared" ref="F1504:J1504" ca="1" si="1502">IFERROR(__xludf.DUMMYFUNCTION("if (A1504 &lt;&gt; """", GOOGLETRANSLATE(A1504, ""auto"", ""en""), """")"),"It is a professional")</f>
        <v>It is a professional</v>
      </c>
      <c r="G1504" s="49" t="str">
        <f t="shared" ca="1" si="1502"/>
        <v>It is a professional</v>
      </c>
      <c r="H1504" s="49" t="str">
        <f t="shared" ca="1" si="1502"/>
        <v>It is a professional</v>
      </c>
      <c r="I1504" s="49" t="str">
        <f t="shared" ca="1" si="1502"/>
        <v>It is a professional</v>
      </c>
      <c r="J1504" s="49" t="str">
        <f t="shared" ca="1" si="1502"/>
        <v>It is a professional</v>
      </c>
    </row>
    <row r="1505" spans="1:10" ht="12.75" x14ac:dyDescent="0.2">
      <c r="A1505" s="41" t="s">
        <v>1128</v>
      </c>
      <c r="B1505" s="40"/>
      <c r="C1505" s="40"/>
      <c r="D1505" s="40"/>
      <c r="E1505" s="40"/>
      <c r="F1505" s="49" t="str">
        <f t="shared" ref="F1505:J1505" ca="1" si="1503">IFERROR(__xludf.DUMMYFUNCTION("if (A1505 &lt;&gt; """", GOOGLETRANSLATE(A1505, ""auto"", ""en""), """")"),"amazing")</f>
        <v>amazing</v>
      </c>
      <c r="G1505" s="49" t="str">
        <f t="shared" ca="1" si="1503"/>
        <v>amazing</v>
      </c>
      <c r="H1505" s="49" t="str">
        <f t="shared" ca="1" si="1503"/>
        <v>amazing</v>
      </c>
      <c r="I1505" s="49" t="str">
        <f t="shared" ca="1" si="1503"/>
        <v>amazing</v>
      </c>
      <c r="J1505" s="49" t="str">
        <f t="shared" ca="1" si="1503"/>
        <v>amazing</v>
      </c>
    </row>
    <row r="1506" spans="1:10" ht="12.75" x14ac:dyDescent="0.2">
      <c r="A1506" s="40"/>
      <c r="B1506" s="40"/>
      <c r="C1506" s="40"/>
      <c r="D1506" s="40"/>
      <c r="E1506" s="40"/>
      <c r="F1506" s="49" t="str">
        <f t="shared" ref="F1506:J1506" ca="1" si="1504">IFERROR(__xludf.DUMMYFUNCTION("if (A1506 &lt;&gt; """", GOOGLETRANSLATE(A1506, ""auto"", ""en""), """")"),"")</f>
        <v/>
      </c>
      <c r="G1506" s="49" t="str">
        <f t="shared" ca="1" si="1504"/>
        <v/>
      </c>
      <c r="H1506" s="49" t="str">
        <f t="shared" ca="1" si="1504"/>
        <v/>
      </c>
      <c r="I1506" s="49" t="str">
        <f t="shared" ca="1" si="1504"/>
        <v/>
      </c>
      <c r="J1506" s="49" t="str">
        <f t="shared" ca="1" si="1504"/>
        <v/>
      </c>
    </row>
    <row r="1507" spans="1:10" ht="25.5" x14ac:dyDescent="0.2">
      <c r="A1507" s="41" t="s">
        <v>1129</v>
      </c>
      <c r="B1507" s="40"/>
      <c r="C1507" s="40"/>
      <c r="D1507" s="40"/>
      <c r="E1507" s="40"/>
      <c r="F1507" s="49" t="str">
        <f t="shared" ref="F1507:J1507" ca="1" si="1505">IFERROR(__xludf.DUMMYFUNCTION("if (A1507 &lt;&gt; """", GOOGLETRANSLATE(A1507, ""auto"", ""en""), """")"),"smalltalk.agent.happy")</f>
        <v>smalltalk.agent.happy</v>
      </c>
      <c r="G1507" s="49" t="str">
        <f t="shared" ca="1" si="1505"/>
        <v>smalltalk.agent.happy</v>
      </c>
      <c r="H1507" s="49" t="str">
        <f t="shared" ca="1" si="1505"/>
        <v>smalltalk.agent.happy</v>
      </c>
      <c r="I1507" s="49" t="str">
        <f t="shared" ca="1" si="1505"/>
        <v>smalltalk.agent.happy</v>
      </c>
      <c r="J1507" s="49" t="str">
        <f t="shared" ca="1" si="1505"/>
        <v>smalltalk.agent.happy</v>
      </c>
    </row>
    <row r="1508" spans="1:10" ht="12.75" x14ac:dyDescent="0.2">
      <c r="A1508" s="40"/>
      <c r="B1508" s="41" t="s">
        <v>398</v>
      </c>
      <c r="C1508" s="40"/>
      <c r="D1508" s="40"/>
      <c r="E1508" s="40"/>
      <c r="F1508" s="49" t="str">
        <f t="shared" ref="F1508:J1508" ca="1" si="1506">IFERROR(__xludf.DUMMYFUNCTION("if (A1508 &lt;&gt; """", GOOGLETRANSLATE(A1508, ""auto"", ""en""), """")"),"")</f>
        <v/>
      </c>
      <c r="G1508" s="49" t="str">
        <f t="shared" ca="1" si="1506"/>
        <v/>
      </c>
      <c r="H1508" s="49" t="str">
        <f t="shared" ca="1" si="1506"/>
        <v/>
      </c>
      <c r="I1508" s="49" t="str">
        <f t="shared" ca="1" si="1506"/>
        <v/>
      </c>
      <c r="J1508" s="49" t="str">
        <f t="shared" ca="1" si="1506"/>
        <v/>
      </c>
    </row>
    <row r="1509" spans="1:10" ht="12.75" x14ac:dyDescent="0.2">
      <c r="A1509" s="40"/>
      <c r="B1509" s="41" t="s">
        <v>399</v>
      </c>
      <c r="C1509" s="40"/>
      <c r="D1509" s="40"/>
      <c r="E1509" s="40"/>
      <c r="F1509" s="49" t="str">
        <f t="shared" ref="F1509:J1509" ca="1" si="1507">IFERROR(__xludf.DUMMYFUNCTION("if (A1509 &lt;&gt; """", GOOGLETRANSLATE(A1509, ""auto"", ""en""), """")"),"")</f>
        <v/>
      </c>
      <c r="G1509" s="49" t="str">
        <f t="shared" ca="1" si="1507"/>
        <v/>
      </c>
      <c r="H1509" s="49" t="str">
        <f t="shared" ca="1" si="1507"/>
        <v/>
      </c>
      <c r="I1509" s="49" t="str">
        <f t="shared" ca="1" si="1507"/>
        <v/>
      </c>
      <c r="J1509" s="49" t="str">
        <f t="shared" ca="1" si="1507"/>
        <v/>
      </c>
    </row>
    <row r="1510" spans="1:10" ht="12.75" x14ac:dyDescent="0.2">
      <c r="A1510" s="40"/>
      <c r="B1510" s="41" t="s">
        <v>400</v>
      </c>
      <c r="C1510" s="41" t="s">
        <v>1129</v>
      </c>
      <c r="D1510" s="40"/>
      <c r="E1510" s="40"/>
      <c r="F1510" s="49" t="str">
        <f t="shared" ref="F1510:J1510" ca="1" si="1508">IFERROR(__xludf.DUMMYFUNCTION("if (A1510 &lt;&gt; """", GOOGLETRANSLATE(A1510, ""auto"", ""en""), """")"),"")</f>
        <v/>
      </c>
      <c r="G1510" s="49" t="str">
        <f t="shared" ca="1" si="1508"/>
        <v/>
      </c>
      <c r="H1510" s="49" t="str">
        <f t="shared" ca="1" si="1508"/>
        <v/>
      </c>
      <c r="I1510" s="49" t="str">
        <f t="shared" ca="1" si="1508"/>
        <v/>
      </c>
      <c r="J1510" s="49" t="str">
        <f t="shared" ca="1" si="1508"/>
        <v/>
      </c>
    </row>
    <row r="1511" spans="1:10" ht="12.75" x14ac:dyDescent="0.2">
      <c r="A1511" s="40"/>
      <c r="B1511" s="41" t="s">
        <v>401</v>
      </c>
      <c r="C1511" s="40"/>
      <c r="D1511" s="40"/>
      <c r="E1511" s="40"/>
      <c r="F1511" s="49" t="str">
        <f t="shared" ref="F1511:J1511" ca="1" si="1509">IFERROR(__xludf.DUMMYFUNCTION("if (A1511 &lt;&gt; """", GOOGLETRANSLATE(A1511, ""auto"", ""en""), """")"),"")</f>
        <v/>
      </c>
      <c r="G1511" s="49" t="str">
        <f t="shared" ca="1" si="1509"/>
        <v/>
      </c>
      <c r="H1511" s="49" t="str">
        <f t="shared" ca="1" si="1509"/>
        <v/>
      </c>
      <c r="I1511" s="49" t="str">
        <f t="shared" ca="1" si="1509"/>
        <v/>
      </c>
      <c r="J1511" s="49" t="str">
        <f t="shared" ca="1" si="1509"/>
        <v/>
      </c>
    </row>
    <row r="1512" spans="1:10" ht="25.5" x14ac:dyDescent="0.2">
      <c r="A1512" s="41" t="s">
        <v>1130</v>
      </c>
      <c r="B1512" s="41" t="s">
        <v>402</v>
      </c>
      <c r="C1512" s="41" t="s">
        <v>1131</v>
      </c>
      <c r="D1512" s="40"/>
      <c r="E1512" s="40"/>
      <c r="F1512" s="49" t="str">
        <f t="shared" ref="F1512:J1512" ca="1" si="1510">IFERROR(__xludf.DUMMYFUNCTION("if (A1512 &lt;&gt; """", GOOGLETRANSLATE(A1512, ""auto"", ""en""), """")"),"Are you happy")</f>
        <v>Are you happy</v>
      </c>
      <c r="G1512" s="49" t="str">
        <f t="shared" ca="1" si="1510"/>
        <v>Are you happy</v>
      </c>
      <c r="H1512" s="49" t="str">
        <f t="shared" ca="1" si="1510"/>
        <v>Are you happy</v>
      </c>
      <c r="I1512" s="49" t="str">
        <f t="shared" ca="1" si="1510"/>
        <v>Are you happy</v>
      </c>
      <c r="J1512" s="49" t="str">
        <f t="shared" ca="1" si="1510"/>
        <v>Are you happy</v>
      </c>
    </row>
    <row r="1513" spans="1:10" ht="12.75" x14ac:dyDescent="0.2">
      <c r="A1513" s="41" t="s">
        <v>1132</v>
      </c>
      <c r="B1513" s="40"/>
      <c r="C1513" s="40"/>
      <c r="D1513" s="40"/>
      <c r="E1513" s="40"/>
      <c r="F1513" s="49" t="str">
        <f t="shared" ref="F1513:J1513" ca="1" si="1511">IFERROR(__xludf.DUMMYFUNCTION("if (A1513 &lt;&gt; """", GOOGLETRANSLATE(A1513, ""auto"", ""en""), """")"),"It is happy")</f>
        <v>It is happy</v>
      </c>
      <c r="G1513" s="49" t="str">
        <f t="shared" ca="1" si="1511"/>
        <v>It is happy</v>
      </c>
      <c r="H1513" s="49" t="str">
        <f t="shared" ca="1" si="1511"/>
        <v>It is happy</v>
      </c>
      <c r="I1513" s="49" t="str">
        <f t="shared" ca="1" si="1511"/>
        <v>It is happy</v>
      </c>
      <c r="J1513" s="49" t="str">
        <f t="shared" ca="1" si="1511"/>
        <v>It is happy</v>
      </c>
    </row>
    <row r="1514" spans="1:10" ht="12.75" x14ac:dyDescent="0.2">
      <c r="A1514" s="41" t="s">
        <v>1133</v>
      </c>
      <c r="B1514" s="40"/>
      <c r="C1514" s="40"/>
      <c r="D1514" s="40"/>
      <c r="E1514" s="40"/>
      <c r="F1514" s="49" t="str">
        <f t="shared" ref="F1514:J1514" ca="1" si="1512">IFERROR(__xludf.DUMMYFUNCTION("if (A1514 &lt;&gt; """", GOOGLETRANSLATE(A1514, ""auto"", ""en""), """")"),"'m so happy")</f>
        <v>'m so happy</v>
      </c>
      <c r="G1514" s="49" t="str">
        <f t="shared" ca="1" si="1512"/>
        <v>'m so happy</v>
      </c>
      <c r="H1514" s="49" t="str">
        <f t="shared" ca="1" si="1512"/>
        <v>'m so happy</v>
      </c>
      <c r="I1514" s="49" t="str">
        <f t="shared" ca="1" si="1512"/>
        <v>'m so happy</v>
      </c>
      <c r="J1514" s="49" t="str">
        <f t="shared" ca="1" si="1512"/>
        <v>'m so happy</v>
      </c>
    </row>
    <row r="1515" spans="1:10" ht="12.75" x14ac:dyDescent="0.2">
      <c r="A1515" s="41" t="s">
        <v>1134</v>
      </c>
      <c r="B1515" s="40"/>
      <c r="C1515" s="40"/>
      <c r="D1515" s="40"/>
      <c r="E1515" s="40"/>
      <c r="F1515" s="49" t="str">
        <f t="shared" ref="F1515:J1515" ca="1" si="1513">IFERROR(__xludf.DUMMYFUNCTION("if (A1515 &lt;&gt; """", GOOGLETRANSLATE(A1515, ""auto"", ""en""), """")"),"Really happy")</f>
        <v>Really happy</v>
      </c>
      <c r="G1515" s="49" t="str">
        <f t="shared" ca="1" si="1513"/>
        <v>Really happy</v>
      </c>
      <c r="H1515" s="49" t="str">
        <f t="shared" ca="1" si="1513"/>
        <v>Really happy</v>
      </c>
      <c r="I1515" s="49" t="str">
        <f t="shared" ca="1" si="1513"/>
        <v>Really happy</v>
      </c>
      <c r="J1515" s="49" t="str">
        <f t="shared" ca="1" si="1513"/>
        <v>Really happy</v>
      </c>
    </row>
    <row r="1516" spans="1:10" ht="12.75" x14ac:dyDescent="0.2">
      <c r="A1516" s="41" t="s">
        <v>1135</v>
      </c>
      <c r="B1516" s="40"/>
      <c r="C1516" s="40"/>
      <c r="D1516" s="40"/>
      <c r="E1516" s="40"/>
      <c r="F1516" s="49" t="str">
        <f t="shared" ref="F1516:J1516" ca="1" si="1514">IFERROR(__xludf.DUMMYFUNCTION("if (A1516 &lt;&gt; """", GOOGLETRANSLATE(A1516, ""auto"", ""en""), """")"),"I very happy")</f>
        <v>I very happy</v>
      </c>
      <c r="G1516" s="49" t="str">
        <f t="shared" ca="1" si="1514"/>
        <v>I very happy</v>
      </c>
      <c r="H1516" s="49" t="str">
        <f t="shared" ca="1" si="1514"/>
        <v>I very happy</v>
      </c>
      <c r="I1516" s="49" t="str">
        <f t="shared" ca="1" si="1514"/>
        <v>I very happy</v>
      </c>
      <c r="J1516" s="49" t="str">
        <f t="shared" ca="1" si="1514"/>
        <v>I very happy</v>
      </c>
    </row>
    <row r="1517" spans="1:10" ht="25.5" x14ac:dyDescent="0.2">
      <c r="A1517" s="41" t="s">
        <v>1136</v>
      </c>
      <c r="B1517" s="40"/>
      <c r="C1517" s="40"/>
      <c r="D1517" s="40"/>
      <c r="E1517" s="40"/>
      <c r="F1517" s="49" t="str">
        <f t="shared" ref="F1517:J1517" ca="1" si="1515">IFERROR(__xludf.DUMMYFUNCTION("if (A1517 &lt;&gt; """", GOOGLETRANSLATE(A1517, ""auto"", ""en""), """")"),"I'm really happy")</f>
        <v>I'm really happy</v>
      </c>
      <c r="G1517" s="49" t="str">
        <f t="shared" ca="1" si="1515"/>
        <v>I'm really happy</v>
      </c>
      <c r="H1517" s="49" t="str">
        <f t="shared" ca="1" si="1515"/>
        <v>I'm really happy</v>
      </c>
      <c r="I1517" s="49" t="str">
        <f t="shared" ca="1" si="1515"/>
        <v>I'm really happy</v>
      </c>
      <c r="J1517" s="49" t="str">
        <f t="shared" ca="1" si="1515"/>
        <v>I'm really happy</v>
      </c>
    </row>
    <row r="1518" spans="1:10" ht="12.75" x14ac:dyDescent="0.2">
      <c r="A1518" s="41" t="s">
        <v>1137</v>
      </c>
      <c r="B1518" s="40"/>
      <c r="C1518" s="40"/>
      <c r="D1518" s="40"/>
      <c r="E1518" s="40"/>
      <c r="F1518" s="49" t="str">
        <f t="shared" ref="F1518:J1518" ca="1" si="1516">IFERROR(__xludf.DUMMYFUNCTION("if (A1518 &lt;&gt; """", GOOGLETRANSLATE(A1518, ""auto"", ""en""), """")"),"Very happy")</f>
        <v>Very happy</v>
      </c>
      <c r="G1518" s="49" t="str">
        <f t="shared" ca="1" si="1516"/>
        <v>Very happy</v>
      </c>
      <c r="H1518" s="49" t="str">
        <f t="shared" ca="1" si="1516"/>
        <v>Very happy</v>
      </c>
      <c r="I1518" s="49" t="str">
        <f t="shared" ca="1" si="1516"/>
        <v>Very happy</v>
      </c>
      <c r="J1518" s="49" t="str">
        <f t="shared" ca="1" si="1516"/>
        <v>Very happy</v>
      </c>
    </row>
    <row r="1519" spans="1:10" ht="25.5" x14ac:dyDescent="0.2">
      <c r="A1519" s="41" t="s">
        <v>1138</v>
      </c>
      <c r="B1519" s="40"/>
      <c r="C1519" s="40"/>
      <c r="D1519" s="40"/>
      <c r="E1519" s="40"/>
      <c r="F1519" s="49" t="str">
        <f t="shared" ref="F1519:J1519" ca="1" si="1517">IFERROR(__xludf.DUMMYFUNCTION("if (A1519 &lt;&gt; """", GOOGLETRANSLATE(A1519, ""auto"", ""en""), """")"),"I'm filled with happiness")</f>
        <v>I'm filled with happiness</v>
      </c>
      <c r="G1519" s="49" t="str">
        <f t="shared" ca="1" si="1517"/>
        <v>I'm filled with happiness</v>
      </c>
      <c r="H1519" s="49" t="str">
        <f t="shared" ca="1" si="1517"/>
        <v>I'm filled with happiness</v>
      </c>
      <c r="I1519" s="49" t="str">
        <f t="shared" ca="1" si="1517"/>
        <v>I'm filled with happiness</v>
      </c>
      <c r="J1519" s="49" t="str">
        <f t="shared" ca="1" si="1517"/>
        <v>I'm filled with happiness</v>
      </c>
    </row>
    <row r="1520" spans="1:10" ht="25.5" x14ac:dyDescent="0.2">
      <c r="A1520" s="41" t="s">
        <v>1139</v>
      </c>
      <c r="B1520" s="40"/>
      <c r="C1520" s="40"/>
      <c r="D1520" s="40"/>
      <c r="E1520" s="40"/>
      <c r="F1520" s="49" t="str">
        <f t="shared" ref="F1520:J1520" ca="1" si="1518">IFERROR(__xludf.DUMMYFUNCTION("if (A1520 &lt;&gt; """", GOOGLETRANSLATE(A1520, ""auto"", ""en""), """")"),"Are you happy now")</f>
        <v>Are you happy now</v>
      </c>
      <c r="G1520" s="49" t="str">
        <f t="shared" ca="1" si="1518"/>
        <v>Are you happy now</v>
      </c>
      <c r="H1520" s="49" t="str">
        <f t="shared" ca="1" si="1518"/>
        <v>Are you happy now</v>
      </c>
      <c r="I1520" s="49" t="str">
        <f t="shared" ca="1" si="1518"/>
        <v>Are you happy now</v>
      </c>
      <c r="J1520" s="49" t="str">
        <f t="shared" ca="1" si="1518"/>
        <v>Are you happy now</v>
      </c>
    </row>
    <row r="1521" spans="1:10" ht="25.5" x14ac:dyDescent="0.2">
      <c r="A1521" s="41" t="s">
        <v>1140</v>
      </c>
      <c r="B1521" s="40"/>
      <c r="C1521" s="40"/>
      <c r="D1521" s="40"/>
      <c r="E1521" s="40"/>
      <c r="F1521" s="49" t="str">
        <f t="shared" ref="F1521:J1521" ca="1" si="1519">IFERROR(__xludf.DUMMYFUNCTION("if (A1521 &lt;&gt; """", GOOGLETRANSLATE(A1521, ""auto"", ""en""), """")"),"Is your mood is today")</f>
        <v>Is your mood is today</v>
      </c>
      <c r="G1521" s="49" t="str">
        <f t="shared" ca="1" si="1519"/>
        <v>Is your mood is today</v>
      </c>
      <c r="H1521" s="49" t="str">
        <f t="shared" ca="1" si="1519"/>
        <v>Is your mood is today</v>
      </c>
      <c r="I1521" s="49" t="str">
        <f t="shared" ca="1" si="1519"/>
        <v>Is your mood is today</v>
      </c>
      <c r="J1521" s="49" t="str">
        <f t="shared" ca="1" si="1519"/>
        <v>Is your mood is today</v>
      </c>
    </row>
    <row r="1522" spans="1:10" ht="12.75" x14ac:dyDescent="0.2">
      <c r="A1522" s="40"/>
      <c r="B1522" s="40"/>
      <c r="C1522" s="40"/>
      <c r="D1522" s="40"/>
      <c r="E1522" s="40"/>
      <c r="F1522" s="49" t="str">
        <f t="shared" ref="F1522:J1522" ca="1" si="1520">IFERROR(__xludf.DUMMYFUNCTION("if (A1522 &lt;&gt; """", GOOGLETRANSLATE(A1522, ""auto"", ""en""), """")"),"")</f>
        <v/>
      </c>
      <c r="G1522" s="49" t="str">
        <f t="shared" ca="1" si="1520"/>
        <v/>
      </c>
      <c r="H1522" s="49" t="str">
        <f t="shared" ca="1" si="1520"/>
        <v/>
      </c>
      <c r="I1522" s="49" t="str">
        <f t="shared" ca="1" si="1520"/>
        <v/>
      </c>
      <c r="J1522" s="49" t="str">
        <f t="shared" ca="1" si="1520"/>
        <v/>
      </c>
    </row>
    <row r="1523" spans="1:10" ht="25.5" x14ac:dyDescent="0.2">
      <c r="A1523" s="41" t="s">
        <v>1141</v>
      </c>
      <c r="B1523" s="40"/>
      <c r="C1523" s="40"/>
      <c r="D1523" s="40"/>
      <c r="E1523" s="40"/>
      <c r="F1523" s="49" t="str">
        <f t="shared" ref="F1523:J1523" ca="1" si="1521">IFERROR(__xludf.DUMMYFUNCTION("if (A1523 &lt;&gt; """", GOOGLETRANSLATE(A1523, ""auto"", ""en""), """")"),"smalltalk.agent.hobby")</f>
        <v>smalltalk.agent.hobby</v>
      </c>
      <c r="G1523" s="49" t="str">
        <f t="shared" ca="1" si="1521"/>
        <v>smalltalk.agent.hobby</v>
      </c>
      <c r="H1523" s="49" t="str">
        <f t="shared" ca="1" si="1521"/>
        <v>smalltalk.agent.hobby</v>
      </c>
      <c r="I1523" s="49" t="str">
        <f t="shared" ca="1" si="1521"/>
        <v>smalltalk.agent.hobby</v>
      </c>
      <c r="J1523" s="49" t="str">
        <f t="shared" ca="1" si="1521"/>
        <v>smalltalk.agent.hobby</v>
      </c>
    </row>
    <row r="1524" spans="1:10" ht="12.75" x14ac:dyDescent="0.2">
      <c r="A1524" s="40"/>
      <c r="B1524" s="41" t="s">
        <v>398</v>
      </c>
      <c r="C1524" s="40"/>
      <c r="D1524" s="40"/>
      <c r="E1524" s="40"/>
      <c r="F1524" s="49" t="str">
        <f t="shared" ref="F1524:J1524" ca="1" si="1522">IFERROR(__xludf.DUMMYFUNCTION("if (A1524 &lt;&gt; """", GOOGLETRANSLATE(A1524, ""auto"", ""en""), """")"),"")</f>
        <v/>
      </c>
      <c r="G1524" s="49" t="str">
        <f t="shared" ca="1" si="1522"/>
        <v/>
      </c>
      <c r="H1524" s="49" t="str">
        <f t="shared" ca="1" si="1522"/>
        <v/>
      </c>
      <c r="I1524" s="49" t="str">
        <f t="shared" ca="1" si="1522"/>
        <v/>
      </c>
      <c r="J1524" s="49" t="str">
        <f t="shared" ca="1" si="1522"/>
        <v/>
      </c>
    </row>
    <row r="1525" spans="1:10" ht="12.75" x14ac:dyDescent="0.2">
      <c r="A1525" s="40"/>
      <c r="B1525" s="41" t="s">
        <v>399</v>
      </c>
      <c r="C1525" s="40"/>
      <c r="D1525" s="40"/>
      <c r="E1525" s="40"/>
      <c r="F1525" s="49" t="str">
        <f t="shared" ref="F1525:J1525" ca="1" si="1523">IFERROR(__xludf.DUMMYFUNCTION("if (A1525 &lt;&gt; """", GOOGLETRANSLATE(A1525, ""auto"", ""en""), """")"),"")</f>
        <v/>
      </c>
      <c r="G1525" s="49" t="str">
        <f t="shared" ca="1" si="1523"/>
        <v/>
      </c>
      <c r="H1525" s="49" t="str">
        <f t="shared" ca="1" si="1523"/>
        <v/>
      </c>
      <c r="I1525" s="49" t="str">
        <f t="shared" ca="1" si="1523"/>
        <v/>
      </c>
      <c r="J1525" s="49" t="str">
        <f t="shared" ca="1" si="1523"/>
        <v/>
      </c>
    </row>
    <row r="1526" spans="1:10" ht="12.75" x14ac:dyDescent="0.2">
      <c r="A1526" s="40"/>
      <c r="B1526" s="41" t="s">
        <v>400</v>
      </c>
      <c r="C1526" s="41" t="s">
        <v>1141</v>
      </c>
      <c r="D1526" s="40"/>
      <c r="E1526" s="40"/>
      <c r="F1526" s="49" t="str">
        <f t="shared" ref="F1526:J1526" ca="1" si="1524">IFERROR(__xludf.DUMMYFUNCTION("if (A1526 &lt;&gt; """", GOOGLETRANSLATE(A1526, ""auto"", ""en""), """")"),"")</f>
        <v/>
      </c>
      <c r="G1526" s="49" t="str">
        <f t="shared" ca="1" si="1524"/>
        <v/>
      </c>
      <c r="H1526" s="49" t="str">
        <f t="shared" ca="1" si="1524"/>
        <v/>
      </c>
      <c r="I1526" s="49" t="str">
        <f t="shared" ca="1" si="1524"/>
        <v/>
      </c>
      <c r="J1526" s="49" t="str">
        <f t="shared" ca="1" si="1524"/>
        <v/>
      </c>
    </row>
    <row r="1527" spans="1:10" ht="12.75" x14ac:dyDescent="0.2">
      <c r="A1527" s="40"/>
      <c r="B1527" s="41" t="s">
        <v>401</v>
      </c>
      <c r="C1527" s="40"/>
      <c r="D1527" s="40"/>
      <c r="E1527" s="40"/>
      <c r="F1527" s="49" t="str">
        <f t="shared" ref="F1527:J1527" ca="1" si="1525">IFERROR(__xludf.DUMMYFUNCTION("if (A1527 &lt;&gt; """", GOOGLETRANSLATE(A1527, ""auto"", ""en""), """")"),"")</f>
        <v/>
      </c>
      <c r="G1527" s="49" t="str">
        <f t="shared" ca="1" si="1525"/>
        <v/>
      </c>
      <c r="H1527" s="49" t="str">
        <f t="shared" ca="1" si="1525"/>
        <v/>
      </c>
      <c r="I1527" s="49" t="str">
        <f t="shared" ca="1" si="1525"/>
        <v/>
      </c>
      <c r="J1527" s="49" t="str">
        <f t="shared" ca="1" si="1525"/>
        <v/>
      </c>
    </row>
    <row r="1528" spans="1:10" ht="25.5" x14ac:dyDescent="0.2">
      <c r="A1528" s="41" t="s">
        <v>1142</v>
      </c>
      <c r="B1528" s="41" t="s">
        <v>402</v>
      </c>
      <c r="C1528" s="41" t="s">
        <v>1143</v>
      </c>
      <c r="D1528" s="40"/>
      <c r="E1528" s="40"/>
      <c r="F1528" s="49" t="str">
        <f t="shared" ref="F1528:J1528" ca="1" si="1526">IFERROR(__xludf.DUMMYFUNCTION("if (A1528 &lt;&gt; """", GOOGLETRANSLATE(A1528, ""auto"", ""en""), """")"),"hobby")</f>
        <v>hobby</v>
      </c>
      <c r="G1528" s="49" t="str">
        <f t="shared" ca="1" si="1526"/>
        <v>hobby</v>
      </c>
      <c r="H1528" s="49" t="str">
        <f t="shared" ca="1" si="1526"/>
        <v>hobby</v>
      </c>
      <c r="I1528" s="49" t="str">
        <f t="shared" ca="1" si="1526"/>
        <v>hobby</v>
      </c>
      <c r="J1528" s="49" t="str">
        <f t="shared" ca="1" si="1526"/>
        <v>hobby</v>
      </c>
    </row>
    <row r="1529" spans="1:10" ht="12.75" x14ac:dyDescent="0.2">
      <c r="A1529" s="41" t="s">
        <v>1144</v>
      </c>
      <c r="B1529" s="40"/>
      <c r="C1529" s="40"/>
      <c r="D1529" s="40"/>
      <c r="E1529" s="40"/>
      <c r="F1529" s="49" t="str">
        <f t="shared" ref="F1529:J1529" ca="1" si="1527">IFERROR(__xludf.DUMMYFUNCTION("if (A1529 &lt;&gt; """", GOOGLETRANSLATE(A1529, ""auto"", ""en""), """")"),"Your hobby")</f>
        <v>Your hobby</v>
      </c>
      <c r="G1529" s="49" t="str">
        <f t="shared" ca="1" si="1527"/>
        <v>Your hobby</v>
      </c>
      <c r="H1529" s="49" t="str">
        <f t="shared" ca="1" si="1527"/>
        <v>Your hobby</v>
      </c>
      <c r="I1529" s="49" t="str">
        <f t="shared" ca="1" si="1527"/>
        <v>Your hobby</v>
      </c>
      <c r="J1529" s="49" t="str">
        <f t="shared" ca="1" si="1527"/>
        <v>Your hobby</v>
      </c>
    </row>
    <row r="1530" spans="1:10" ht="25.5" x14ac:dyDescent="0.2">
      <c r="A1530" s="41" t="s">
        <v>1145</v>
      </c>
      <c r="B1530" s="40"/>
      <c r="C1530" s="40"/>
      <c r="D1530" s="40"/>
      <c r="E1530" s="40"/>
      <c r="F1530" s="49" t="str">
        <f t="shared" ref="F1530:J1530" ca="1" si="1528">IFERROR(__xludf.DUMMYFUNCTION("if (A1530 &lt;&gt; """", GOOGLETRANSLATE(A1530, ""auto"", ""en""), """")"),"Enjoy What the to of the")</f>
        <v>Enjoy What the to of the</v>
      </c>
      <c r="G1530" s="49" t="str">
        <f t="shared" ca="1" si="1528"/>
        <v>Enjoy What the to of the</v>
      </c>
      <c r="H1530" s="49" t="str">
        <f t="shared" ca="1" si="1528"/>
        <v>Enjoy What the to of the</v>
      </c>
      <c r="I1530" s="49" t="str">
        <f t="shared" ca="1" si="1528"/>
        <v>Enjoy What the to of the</v>
      </c>
      <c r="J1530" s="49" t="str">
        <f t="shared" ca="1" si="1528"/>
        <v>Enjoy What the to of the</v>
      </c>
    </row>
    <row r="1531" spans="1:10" ht="25.5" x14ac:dyDescent="0.2">
      <c r="A1531" s="41" t="s">
        <v>1146</v>
      </c>
      <c r="B1531" s="40"/>
      <c r="C1531" s="40"/>
      <c r="D1531" s="40"/>
      <c r="E1531" s="40"/>
      <c r="F1531" s="49" t="str">
        <f t="shared" ref="F1531:J1531" ca="1" si="1529">IFERROR(__xludf.DUMMYFUNCTION("if (A1531 &lt;&gt; """", GOOGLETRANSLATE(A1531, ""auto"", ""en""), """")"),"What do u do for fun")</f>
        <v>What do u do for fun</v>
      </c>
      <c r="G1531" s="49" t="str">
        <f t="shared" ca="1" si="1529"/>
        <v>What do u do for fun</v>
      </c>
      <c r="H1531" s="49" t="str">
        <f t="shared" ca="1" si="1529"/>
        <v>What do u do for fun</v>
      </c>
      <c r="I1531" s="49" t="str">
        <f t="shared" ca="1" si="1529"/>
        <v>What do u do for fun</v>
      </c>
      <c r="J1531" s="49" t="str">
        <f t="shared" ca="1" si="1529"/>
        <v>What do u do for fun</v>
      </c>
    </row>
    <row r="1532" spans="1:10" ht="38.25" x14ac:dyDescent="0.2">
      <c r="A1532" s="41" t="s">
        <v>1147</v>
      </c>
      <c r="B1532" s="40"/>
      <c r="C1532" s="40"/>
      <c r="D1532" s="40"/>
      <c r="E1532" s="40"/>
      <c r="F1532" s="49" t="str">
        <f t="shared" ref="F1532:J1532" ca="1" si="1530">IFERROR(__xludf.DUMMYFUNCTION("if (A1532 &lt;&gt; """", GOOGLETRANSLATE(A1532, ""auto"", ""en""), """")"),"Please tell us about your hobbies")</f>
        <v>Please tell us about your hobbies</v>
      </c>
      <c r="G1532" s="49" t="str">
        <f t="shared" ca="1" si="1530"/>
        <v>Please tell us about your hobbies</v>
      </c>
      <c r="H1532" s="49" t="str">
        <f t="shared" ca="1" si="1530"/>
        <v>Please tell us about your hobbies</v>
      </c>
      <c r="I1532" s="49" t="str">
        <f t="shared" ca="1" si="1530"/>
        <v>Please tell us about your hobbies</v>
      </c>
      <c r="J1532" s="49" t="str">
        <f t="shared" ca="1" si="1530"/>
        <v>Please tell us about your hobbies</v>
      </c>
    </row>
    <row r="1533" spans="1:10" ht="25.5" x14ac:dyDescent="0.2">
      <c r="A1533" s="41" t="s">
        <v>1148</v>
      </c>
      <c r="B1533" s="40"/>
      <c r="C1533" s="40"/>
      <c r="D1533" s="40"/>
      <c r="E1533" s="40"/>
      <c r="F1533" s="49" t="str">
        <f t="shared" ref="F1533:J1533" ca="1" si="1531">IFERROR(__xludf.DUMMYFUNCTION("if (A1533 &lt;&gt; """", GOOGLETRANSLATE(A1533, ""auto"", ""en""), """")"),"Or hobby is you have")</f>
        <v>Or hobby is you have</v>
      </c>
      <c r="G1533" s="49" t="str">
        <f t="shared" ca="1" si="1531"/>
        <v>Or hobby is you have</v>
      </c>
      <c r="H1533" s="49" t="str">
        <f t="shared" ca="1" si="1531"/>
        <v>Or hobby is you have</v>
      </c>
      <c r="I1533" s="49" t="str">
        <f t="shared" ca="1" si="1531"/>
        <v>Or hobby is you have</v>
      </c>
      <c r="J1533" s="49" t="str">
        <f t="shared" ca="1" si="1531"/>
        <v>Or hobby is you have</v>
      </c>
    </row>
    <row r="1534" spans="1:10" ht="25.5" x14ac:dyDescent="0.2">
      <c r="A1534" s="41" t="s">
        <v>1149</v>
      </c>
      <c r="B1534" s="40"/>
      <c r="C1534" s="40"/>
      <c r="D1534" s="40"/>
      <c r="E1534" s="40"/>
      <c r="F1534" s="49" t="str">
        <f t="shared" ref="F1534:J1534" ca="1" si="1532">IFERROR(__xludf.DUMMYFUNCTION("if (A1534 &lt;&gt; """", GOOGLETRANSLATE(A1534, ""auto"", ""en""), """")"),"Please tell me the hobby")</f>
        <v>Please tell me the hobby</v>
      </c>
      <c r="G1534" s="49" t="str">
        <f t="shared" ca="1" si="1532"/>
        <v>Please tell me the hobby</v>
      </c>
      <c r="H1534" s="49" t="str">
        <f t="shared" ca="1" si="1532"/>
        <v>Please tell me the hobby</v>
      </c>
      <c r="I1534" s="49" t="str">
        <f t="shared" ca="1" si="1532"/>
        <v>Please tell me the hobby</v>
      </c>
      <c r="J1534" s="49" t="str">
        <f t="shared" ca="1" si="1532"/>
        <v>Please tell me the hobby</v>
      </c>
    </row>
    <row r="1535" spans="1:10" ht="25.5" x14ac:dyDescent="0.2">
      <c r="A1535" s="41" t="s">
        <v>1150</v>
      </c>
      <c r="B1535" s="40"/>
      <c r="C1535" s="40"/>
      <c r="D1535" s="40"/>
      <c r="E1535" s="40"/>
      <c r="F1535" s="49" t="str">
        <f t="shared" ref="F1535:J1535" ca="1" si="1533">IFERROR(__xludf.DUMMYFUNCTION("if (A1535 &lt;&gt; """", GOOGLETRANSLATE(A1535, ""auto"", ""en""), """")"),"What hobbies have you do")</f>
        <v>What hobbies have you do</v>
      </c>
      <c r="G1535" s="49" t="str">
        <f t="shared" ca="1" si="1533"/>
        <v>What hobbies have you do</v>
      </c>
      <c r="H1535" s="49" t="str">
        <f t="shared" ca="1" si="1533"/>
        <v>What hobbies have you do</v>
      </c>
      <c r="I1535" s="49" t="str">
        <f t="shared" ca="1" si="1533"/>
        <v>What hobbies have you do</v>
      </c>
      <c r="J1535" s="49" t="str">
        <f t="shared" ca="1" si="1533"/>
        <v>What hobbies have you do</v>
      </c>
    </row>
    <row r="1536" spans="1:10" ht="12.75" x14ac:dyDescent="0.2">
      <c r="A1536" s="40"/>
      <c r="B1536" s="40"/>
      <c r="C1536" s="40"/>
      <c r="D1536" s="40"/>
      <c r="E1536" s="40"/>
      <c r="F1536" s="49" t="str">
        <f t="shared" ref="F1536:J1536" ca="1" si="1534">IFERROR(__xludf.DUMMYFUNCTION("if (A1536 &lt;&gt; """", GOOGLETRANSLATE(A1536, ""auto"", ""en""), """")"),"")</f>
        <v/>
      </c>
      <c r="G1536" s="49" t="str">
        <f t="shared" ca="1" si="1534"/>
        <v/>
      </c>
      <c r="H1536" s="49" t="str">
        <f t="shared" ca="1" si="1534"/>
        <v/>
      </c>
      <c r="I1536" s="49" t="str">
        <f t="shared" ca="1" si="1534"/>
        <v/>
      </c>
      <c r="J1536" s="49" t="str">
        <f t="shared" ca="1" si="1534"/>
        <v/>
      </c>
    </row>
    <row r="1537" spans="1:10" ht="25.5" x14ac:dyDescent="0.2">
      <c r="A1537" s="41" t="s">
        <v>1151</v>
      </c>
      <c r="B1537" s="40"/>
      <c r="C1537" s="40"/>
      <c r="D1537" s="40"/>
      <c r="E1537" s="40"/>
      <c r="F1537" s="49" t="str">
        <f t="shared" ref="F1537:J1537" ca="1" si="1535">IFERROR(__xludf.DUMMYFUNCTION("if (A1537 &lt;&gt; """", GOOGLETRANSLATE(A1537, ""auto"", ""en""), """")"),"smalltalk.agent.hungry")</f>
        <v>smalltalk.agent.hungry</v>
      </c>
      <c r="G1537" s="49" t="str">
        <f t="shared" ca="1" si="1535"/>
        <v>smalltalk.agent.hungry</v>
      </c>
      <c r="H1537" s="49" t="str">
        <f t="shared" ca="1" si="1535"/>
        <v>smalltalk.agent.hungry</v>
      </c>
      <c r="I1537" s="49" t="str">
        <f t="shared" ca="1" si="1535"/>
        <v>smalltalk.agent.hungry</v>
      </c>
      <c r="J1537" s="49" t="str">
        <f t="shared" ca="1" si="1535"/>
        <v>smalltalk.agent.hungry</v>
      </c>
    </row>
    <row r="1538" spans="1:10" ht="12.75" x14ac:dyDescent="0.2">
      <c r="A1538" s="40"/>
      <c r="B1538" s="41" t="s">
        <v>398</v>
      </c>
      <c r="C1538" s="40"/>
      <c r="D1538" s="40"/>
      <c r="E1538" s="40"/>
      <c r="F1538" s="49" t="str">
        <f t="shared" ref="F1538:J1538" ca="1" si="1536">IFERROR(__xludf.DUMMYFUNCTION("if (A1538 &lt;&gt; """", GOOGLETRANSLATE(A1538, ""auto"", ""en""), """")"),"")</f>
        <v/>
      </c>
      <c r="G1538" s="49" t="str">
        <f t="shared" ca="1" si="1536"/>
        <v/>
      </c>
      <c r="H1538" s="49" t="str">
        <f t="shared" ca="1" si="1536"/>
        <v/>
      </c>
      <c r="I1538" s="49" t="str">
        <f t="shared" ca="1" si="1536"/>
        <v/>
      </c>
      <c r="J1538" s="49" t="str">
        <f t="shared" ca="1" si="1536"/>
        <v/>
      </c>
    </row>
    <row r="1539" spans="1:10" ht="12.75" x14ac:dyDescent="0.2">
      <c r="A1539" s="40"/>
      <c r="B1539" s="41" t="s">
        <v>399</v>
      </c>
      <c r="C1539" s="40"/>
      <c r="D1539" s="40"/>
      <c r="E1539" s="40"/>
      <c r="F1539" s="49" t="str">
        <f t="shared" ref="F1539:J1539" ca="1" si="1537">IFERROR(__xludf.DUMMYFUNCTION("if (A1539 &lt;&gt; """", GOOGLETRANSLATE(A1539, ""auto"", ""en""), """")"),"")</f>
        <v/>
      </c>
      <c r="G1539" s="49" t="str">
        <f t="shared" ca="1" si="1537"/>
        <v/>
      </c>
      <c r="H1539" s="49" t="str">
        <f t="shared" ca="1" si="1537"/>
        <v/>
      </c>
      <c r="I1539" s="49" t="str">
        <f t="shared" ca="1" si="1537"/>
        <v/>
      </c>
      <c r="J1539" s="49" t="str">
        <f t="shared" ca="1" si="1537"/>
        <v/>
      </c>
    </row>
    <row r="1540" spans="1:10" ht="12.75" x14ac:dyDescent="0.2">
      <c r="A1540" s="40"/>
      <c r="B1540" s="41" t="s">
        <v>400</v>
      </c>
      <c r="C1540" s="41" t="s">
        <v>1151</v>
      </c>
      <c r="D1540" s="40"/>
      <c r="E1540" s="40"/>
      <c r="F1540" s="49" t="str">
        <f t="shared" ref="F1540:J1540" ca="1" si="1538">IFERROR(__xludf.DUMMYFUNCTION("if (A1540 &lt;&gt; """", GOOGLETRANSLATE(A1540, ""auto"", ""en""), """")"),"")</f>
        <v/>
      </c>
      <c r="G1540" s="49" t="str">
        <f t="shared" ca="1" si="1538"/>
        <v/>
      </c>
      <c r="H1540" s="49" t="str">
        <f t="shared" ca="1" si="1538"/>
        <v/>
      </c>
      <c r="I1540" s="49" t="str">
        <f t="shared" ca="1" si="1538"/>
        <v/>
      </c>
      <c r="J1540" s="49" t="str">
        <f t="shared" ca="1" si="1538"/>
        <v/>
      </c>
    </row>
    <row r="1541" spans="1:10" ht="12.75" x14ac:dyDescent="0.2">
      <c r="A1541" s="40"/>
      <c r="B1541" s="41" t="s">
        <v>401</v>
      </c>
      <c r="C1541" s="40"/>
      <c r="D1541" s="40"/>
      <c r="E1541" s="40"/>
      <c r="F1541" s="49" t="str">
        <f t="shared" ref="F1541:J1541" ca="1" si="1539">IFERROR(__xludf.DUMMYFUNCTION("if (A1541 &lt;&gt; """", GOOGLETRANSLATE(A1541, ""auto"", ""en""), """")"),"")</f>
        <v/>
      </c>
      <c r="G1541" s="49" t="str">
        <f t="shared" ca="1" si="1539"/>
        <v/>
      </c>
      <c r="H1541" s="49" t="str">
        <f t="shared" ca="1" si="1539"/>
        <v/>
      </c>
      <c r="I1541" s="49" t="str">
        <f t="shared" ca="1" si="1539"/>
        <v/>
      </c>
      <c r="J1541" s="49" t="str">
        <f t="shared" ca="1" si="1539"/>
        <v/>
      </c>
    </row>
    <row r="1542" spans="1:10" ht="25.5" x14ac:dyDescent="0.2">
      <c r="A1542" s="41" t="s">
        <v>1152</v>
      </c>
      <c r="B1542" s="41" t="s">
        <v>402</v>
      </c>
      <c r="C1542" s="41" t="s">
        <v>1153</v>
      </c>
      <c r="D1542" s="40"/>
      <c r="E1542" s="40"/>
      <c r="F1542" s="49" t="str">
        <f t="shared" ref="F1542:J1542" ca="1" si="1540">IFERROR(__xludf.DUMMYFUNCTION("if (A1542 &lt;&gt; """", GOOGLETRANSLATE(A1542, ""auto"", ""en""), """")"),"I'm hungry likely")</f>
        <v>I'm hungry likely</v>
      </c>
      <c r="G1542" s="49" t="str">
        <f t="shared" ca="1" si="1540"/>
        <v>I'm hungry likely</v>
      </c>
      <c r="H1542" s="49" t="str">
        <f t="shared" ca="1" si="1540"/>
        <v>I'm hungry likely</v>
      </c>
      <c r="I1542" s="49" t="str">
        <f t="shared" ca="1" si="1540"/>
        <v>I'm hungry likely</v>
      </c>
      <c r="J1542" s="49" t="str">
        <f t="shared" ca="1" si="1540"/>
        <v>I'm hungry likely</v>
      </c>
    </row>
    <row r="1543" spans="1:10" ht="25.5" x14ac:dyDescent="0.2">
      <c r="A1543" s="41" t="s">
        <v>1154</v>
      </c>
      <c r="B1543" s="40"/>
      <c r="C1543" s="40"/>
      <c r="D1543" s="40"/>
      <c r="E1543" s="40"/>
      <c r="F1543" s="49" t="str">
        <f t="shared" ref="F1543:J1543" ca="1" si="1541">IFERROR(__xludf.DUMMYFUNCTION("if (A1543 &lt;&gt; """", GOOGLETRANSLATE(A1543, ""auto"", ""en""), """")"),"But I was hungry")</f>
        <v>But I was hungry</v>
      </c>
      <c r="G1543" s="49" t="str">
        <f t="shared" ca="1" si="1541"/>
        <v>But I was hungry</v>
      </c>
      <c r="H1543" s="49" t="str">
        <f t="shared" ca="1" si="1541"/>
        <v>But I was hungry</v>
      </c>
      <c r="I1543" s="49" t="str">
        <f t="shared" ca="1" si="1541"/>
        <v>But I was hungry</v>
      </c>
      <c r="J1543" s="49" t="str">
        <f t="shared" ca="1" si="1541"/>
        <v>But I was hungry</v>
      </c>
    </row>
    <row r="1544" spans="1:10" ht="38.25" x14ac:dyDescent="0.2">
      <c r="A1544" s="41" t="s">
        <v>1155</v>
      </c>
      <c r="B1544" s="40"/>
      <c r="C1544" s="40"/>
      <c r="D1544" s="40"/>
      <c r="E1544" s="40"/>
      <c r="F1544" s="49" t="str">
        <f t="shared" ref="F1544:J1544" ca="1" si="1542">IFERROR(__xludf.DUMMYFUNCTION("if (A1544 &lt;&gt; """", GOOGLETRANSLATE(A1544, ""auto"", ""en""), """")"),"Do you want to eat something")</f>
        <v>Do you want to eat something</v>
      </c>
      <c r="G1544" s="49" t="str">
        <f t="shared" ca="1" si="1542"/>
        <v>Do you want to eat something</v>
      </c>
      <c r="H1544" s="49" t="str">
        <f t="shared" ca="1" si="1542"/>
        <v>Do you want to eat something</v>
      </c>
      <c r="I1544" s="49" t="str">
        <f t="shared" ca="1" si="1542"/>
        <v>Do you want to eat something</v>
      </c>
      <c r="J1544" s="49" t="str">
        <f t="shared" ca="1" si="1542"/>
        <v>Do you want to eat something</v>
      </c>
    </row>
    <row r="1545" spans="1:10" ht="25.5" x14ac:dyDescent="0.2">
      <c r="A1545" s="41" t="s">
        <v>1156</v>
      </c>
      <c r="B1545" s="40"/>
      <c r="C1545" s="40"/>
      <c r="D1545" s="40"/>
      <c r="E1545" s="40"/>
      <c r="F1545" s="49" t="str">
        <f t="shared" ref="F1545:J1545" ca="1" si="1543">IFERROR(__xludf.DUMMYFUNCTION("if (A1545 &lt;&gt; """", GOOGLETRANSLATE(A1545, ""auto"", ""en""), """")"),"Or stomach is not empty")</f>
        <v>Or stomach is not empty</v>
      </c>
      <c r="G1545" s="49" t="str">
        <f t="shared" ca="1" si="1543"/>
        <v>Or stomach is not empty</v>
      </c>
      <c r="H1545" s="49" t="str">
        <f t="shared" ca="1" si="1543"/>
        <v>Or stomach is not empty</v>
      </c>
      <c r="I1545" s="49" t="str">
        <f t="shared" ca="1" si="1543"/>
        <v>Or stomach is not empty</v>
      </c>
      <c r="J1545" s="49" t="str">
        <f t="shared" ca="1" si="1543"/>
        <v>Or stomach is not empty</v>
      </c>
    </row>
    <row r="1546" spans="1:10" ht="51" x14ac:dyDescent="0.2">
      <c r="A1546" s="41" t="s">
        <v>1157</v>
      </c>
      <c r="B1546" s="40"/>
      <c r="C1546" s="40"/>
      <c r="D1546" s="40"/>
      <c r="E1546" s="40"/>
      <c r="F1546" s="49" t="str">
        <f t="shared" ref="F1546:J1546" ca="1" si="1544">IFERROR(__xludf.DUMMYFUNCTION("if (A1546 &lt;&gt; """", GOOGLETRANSLATE(A1546, ""auto"", ""en""), """")"),"Would you care for something to eat")</f>
        <v>Would you care for something to eat</v>
      </c>
      <c r="G1546" s="49" t="str">
        <f t="shared" ca="1" si="1544"/>
        <v>Would you care for something to eat</v>
      </c>
      <c r="H1546" s="49" t="str">
        <f t="shared" ca="1" si="1544"/>
        <v>Would you care for something to eat</v>
      </c>
      <c r="I1546" s="49" t="str">
        <f t="shared" ca="1" si="1544"/>
        <v>Would you care for something to eat</v>
      </c>
      <c r="J1546" s="49" t="str">
        <f t="shared" ca="1" si="1544"/>
        <v>Would you care for something to eat</v>
      </c>
    </row>
    <row r="1547" spans="1:10" ht="25.5" x14ac:dyDescent="0.2">
      <c r="A1547" s="41" t="s">
        <v>1158</v>
      </c>
      <c r="B1547" s="40"/>
      <c r="C1547" s="40"/>
      <c r="D1547" s="40"/>
      <c r="E1547" s="40"/>
      <c r="F1547" s="49" t="str">
        <f t="shared" ref="F1547:J1547" ca="1" si="1545">IFERROR(__xludf.DUMMYFUNCTION("if (A1547 &lt;&gt; """", GOOGLETRANSLATE(A1547, ""auto"", ""en""), """")"),"I'm really hungry")</f>
        <v>I'm really hungry</v>
      </c>
      <c r="G1547" s="49" t="str">
        <f t="shared" ca="1" si="1545"/>
        <v>I'm really hungry</v>
      </c>
      <c r="H1547" s="49" t="str">
        <f t="shared" ca="1" si="1545"/>
        <v>I'm really hungry</v>
      </c>
      <c r="I1547" s="49" t="str">
        <f t="shared" ca="1" si="1545"/>
        <v>I'm really hungry</v>
      </c>
      <c r="J1547" s="49" t="str">
        <f t="shared" ca="1" si="1545"/>
        <v>I'm really hungry</v>
      </c>
    </row>
    <row r="1548" spans="1:10" ht="25.5" x14ac:dyDescent="0.2">
      <c r="A1548" s="41" t="s">
        <v>1159</v>
      </c>
      <c r="B1548" s="40"/>
      <c r="C1548" s="40"/>
      <c r="D1548" s="40"/>
      <c r="E1548" s="40"/>
      <c r="F1548" s="49" t="str">
        <f t="shared" ref="F1548:J1548" ca="1" si="1546">IFERROR(__xludf.DUMMYFUNCTION("if (A1548 &lt;&gt; """", GOOGLETRANSLATE(A1548, ""auto"", ""en""), """")"),"I'm very hungry")</f>
        <v>I'm very hungry</v>
      </c>
      <c r="G1548" s="49" t="str">
        <f t="shared" ca="1" si="1546"/>
        <v>I'm very hungry</v>
      </c>
      <c r="H1548" s="49" t="str">
        <f t="shared" ca="1" si="1546"/>
        <v>I'm very hungry</v>
      </c>
      <c r="I1548" s="49" t="str">
        <f t="shared" ca="1" si="1546"/>
        <v>I'm very hungry</v>
      </c>
      <c r="J1548" s="49" t="str">
        <f t="shared" ca="1" si="1546"/>
        <v>I'm very hungry</v>
      </c>
    </row>
    <row r="1549" spans="1:10" ht="25.5" x14ac:dyDescent="0.2">
      <c r="A1549" s="41" t="s">
        <v>1160</v>
      </c>
      <c r="B1549" s="40"/>
      <c r="C1549" s="40"/>
      <c r="D1549" s="40"/>
      <c r="E1549" s="40"/>
      <c r="F1549" s="49" t="str">
        <f t="shared" ref="F1549:J1549" ca="1" si="1547">IFERROR(__xludf.DUMMYFUNCTION("if (A1549 &lt;&gt; """", GOOGLETRANSLATE(A1549, ""auto"", ""en""), """")"),"Really it's hungry")</f>
        <v>Really it's hungry</v>
      </c>
      <c r="G1549" s="49" t="str">
        <f t="shared" ca="1" si="1547"/>
        <v>Really it's hungry</v>
      </c>
      <c r="H1549" s="49" t="str">
        <f t="shared" ca="1" si="1547"/>
        <v>Really it's hungry</v>
      </c>
      <c r="I1549" s="49" t="str">
        <f t="shared" ca="1" si="1547"/>
        <v>Really it's hungry</v>
      </c>
      <c r="J1549" s="49" t="str">
        <f t="shared" ca="1" si="1547"/>
        <v>Really it's hungry</v>
      </c>
    </row>
    <row r="1550" spans="1:10" ht="12.75" x14ac:dyDescent="0.2">
      <c r="A1550" s="40"/>
      <c r="B1550" s="40"/>
      <c r="C1550" s="40"/>
      <c r="D1550" s="40"/>
      <c r="E1550" s="40"/>
      <c r="F1550" s="49" t="str">
        <f t="shared" ref="F1550:J1550" ca="1" si="1548">IFERROR(__xludf.DUMMYFUNCTION("if (A1550 &lt;&gt; """", GOOGLETRANSLATE(A1550, ""auto"", ""en""), """")"),"")</f>
        <v/>
      </c>
      <c r="G1550" s="49" t="str">
        <f t="shared" ca="1" si="1548"/>
        <v/>
      </c>
      <c r="H1550" s="49" t="str">
        <f t="shared" ca="1" si="1548"/>
        <v/>
      </c>
      <c r="I1550" s="49" t="str">
        <f t="shared" ca="1" si="1548"/>
        <v/>
      </c>
      <c r="J1550" s="49" t="str">
        <f t="shared" ca="1" si="1548"/>
        <v/>
      </c>
    </row>
    <row r="1551" spans="1:10" ht="25.5" x14ac:dyDescent="0.2">
      <c r="A1551" s="41" t="s">
        <v>1161</v>
      </c>
      <c r="B1551" s="40"/>
      <c r="C1551" s="40"/>
      <c r="D1551" s="40"/>
      <c r="E1551" s="40"/>
      <c r="F1551" s="49" t="str">
        <f t="shared" ref="F1551:J1551" ca="1" si="1549">IFERROR(__xludf.DUMMYFUNCTION("if (A1551 &lt;&gt; """", GOOGLETRANSLATE(A1551, ""auto"", ""en""), """")"),"smalltalk.agent.marry_user")</f>
        <v>smalltalk.agent.marry_user</v>
      </c>
      <c r="G1551" s="49" t="str">
        <f t="shared" ca="1" si="1549"/>
        <v>smalltalk.agent.marry_user</v>
      </c>
      <c r="H1551" s="49" t="str">
        <f t="shared" ca="1" si="1549"/>
        <v>smalltalk.agent.marry_user</v>
      </c>
      <c r="I1551" s="49" t="str">
        <f t="shared" ca="1" si="1549"/>
        <v>smalltalk.agent.marry_user</v>
      </c>
      <c r="J1551" s="49" t="str">
        <f t="shared" ca="1" si="1549"/>
        <v>smalltalk.agent.marry_user</v>
      </c>
    </row>
    <row r="1552" spans="1:10" ht="12.75" x14ac:dyDescent="0.2">
      <c r="A1552" s="40"/>
      <c r="B1552" s="41" t="s">
        <v>398</v>
      </c>
      <c r="C1552" s="40"/>
      <c r="D1552" s="40"/>
      <c r="E1552" s="40"/>
      <c r="F1552" s="49" t="str">
        <f t="shared" ref="F1552:J1552" ca="1" si="1550">IFERROR(__xludf.DUMMYFUNCTION("if (A1552 &lt;&gt; """", GOOGLETRANSLATE(A1552, ""auto"", ""en""), """")"),"")</f>
        <v/>
      </c>
      <c r="G1552" s="49" t="str">
        <f t="shared" ca="1" si="1550"/>
        <v/>
      </c>
      <c r="H1552" s="49" t="str">
        <f t="shared" ca="1" si="1550"/>
        <v/>
      </c>
      <c r="I1552" s="49" t="str">
        <f t="shared" ca="1" si="1550"/>
        <v/>
      </c>
      <c r="J1552" s="49" t="str">
        <f t="shared" ca="1" si="1550"/>
        <v/>
      </c>
    </row>
    <row r="1553" spans="1:10" ht="12.75" x14ac:dyDescent="0.2">
      <c r="A1553" s="40"/>
      <c r="B1553" s="41" t="s">
        <v>399</v>
      </c>
      <c r="C1553" s="40"/>
      <c r="D1553" s="40"/>
      <c r="E1553" s="40"/>
      <c r="F1553" s="49" t="str">
        <f t="shared" ref="F1553:J1553" ca="1" si="1551">IFERROR(__xludf.DUMMYFUNCTION("if (A1553 &lt;&gt; """", GOOGLETRANSLATE(A1553, ""auto"", ""en""), """")"),"")</f>
        <v/>
      </c>
      <c r="G1553" s="49" t="str">
        <f t="shared" ca="1" si="1551"/>
        <v/>
      </c>
      <c r="H1553" s="49" t="str">
        <f t="shared" ca="1" si="1551"/>
        <v/>
      </c>
      <c r="I1553" s="49" t="str">
        <f t="shared" ca="1" si="1551"/>
        <v/>
      </c>
      <c r="J1553" s="49" t="str">
        <f t="shared" ca="1" si="1551"/>
        <v/>
      </c>
    </row>
    <row r="1554" spans="1:10" ht="12.75" x14ac:dyDescent="0.2">
      <c r="A1554" s="40"/>
      <c r="B1554" s="41" t="s">
        <v>400</v>
      </c>
      <c r="C1554" s="41" t="s">
        <v>1161</v>
      </c>
      <c r="D1554" s="40"/>
      <c r="E1554" s="40"/>
      <c r="F1554" s="49" t="str">
        <f t="shared" ref="F1554:J1554" ca="1" si="1552">IFERROR(__xludf.DUMMYFUNCTION("if (A1554 &lt;&gt; """", GOOGLETRANSLATE(A1554, ""auto"", ""en""), """")"),"")</f>
        <v/>
      </c>
      <c r="G1554" s="49" t="str">
        <f t="shared" ca="1" si="1552"/>
        <v/>
      </c>
      <c r="H1554" s="49" t="str">
        <f t="shared" ca="1" si="1552"/>
        <v/>
      </c>
      <c r="I1554" s="49" t="str">
        <f t="shared" ca="1" si="1552"/>
        <v/>
      </c>
      <c r="J1554" s="49" t="str">
        <f t="shared" ca="1" si="1552"/>
        <v/>
      </c>
    </row>
    <row r="1555" spans="1:10" ht="12.75" x14ac:dyDescent="0.2">
      <c r="A1555" s="40"/>
      <c r="B1555" s="41" t="s">
        <v>401</v>
      </c>
      <c r="C1555" s="40"/>
      <c r="D1555" s="40"/>
      <c r="E1555" s="40"/>
      <c r="F1555" s="49" t="str">
        <f t="shared" ref="F1555:J1555" ca="1" si="1553">IFERROR(__xludf.DUMMYFUNCTION("if (A1555 &lt;&gt; """", GOOGLETRANSLATE(A1555, ""auto"", ""en""), """")"),"")</f>
        <v/>
      </c>
      <c r="G1555" s="49" t="str">
        <f t="shared" ca="1" si="1553"/>
        <v/>
      </c>
      <c r="H1555" s="49" t="str">
        <f t="shared" ca="1" si="1553"/>
        <v/>
      </c>
      <c r="I1555" s="49" t="str">
        <f t="shared" ca="1" si="1553"/>
        <v/>
      </c>
      <c r="J1555" s="49" t="str">
        <f t="shared" ca="1" si="1553"/>
        <v/>
      </c>
    </row>
    <row r="1556" spans="1:10" ht="25.5" x14ac:dyDescent="0.2">
      <c r="A1556" s="41" t="s">
        <v>124</v>
      </c>
      <c r="B1556" s="41" t="s">
        <v>402</v>
      </c>
      <c r="C1556" s="41" t="s">
        <v>1162</v>
      </c>
      <c r="D1556" s="40"/>
      <c r="E1556" s="40"/>
      <c r="F1556" s="49" t="str">
        <f t="shared" ref="F1556:J1556" ca="1" si="1554">IFERROR(__xludf.DUMMYFUNCTION("if (A1556 &lt;&gt; """", GOOGLETRANSLATE(A1556, ""auto"", ""en""), """")"),"let's get married")</f>
        <v>let's get married</v>
      </c>
      <c r="G1556" s="49" t="str">
        <f t="shared" ca="1" si="1554"/>
        <v>let's get married</v>
      </c>
      <c r="H1556" s="49" t="str">
        <f t="shared" ca="1" si="1554"/>
        <v>let's get married</v>
      </c>
      <c r="I1556" s="49" t="str">
        <f t="shared" ca="1" si="1554"/>
        <v>let's get married</v>
      </c>
      <c r="J1556" s="49" t="str">
        <f t="shared" ca="1" si="1554"/>
        <v>let's get married</v>
      </c>
    </row>
    <row r="1557" spans="1:10" ht="25.5" x14ac:dyDescent="0.2">
      <c r="A1557" s="41" t="s">
        <v>1163</v>
      </c>
      <c r="B1557" s="40"/>
      <c r="C1557" s="40"/>
      <c r="D1557" s="40"/>
      <c r="E1557" s="40"/>
      <c r="F1557" s="49" t="str">
        <f t="shared" ref="F1557:J1557" ca="1" si="1555">IFERROR(__xludf.DUMMYFUNCTION("if (A1557 &lt;&gt; """", GOOGLETRANSLATE(A1557, ""auto"", ""en""), """")"),"Let's get married")</f>
        <v>Let's get married</v>
      </c>
      <c r="G1557" s="49" t="str">
        <f t="shared" ca="1" si="1555"/>
        <v>Let's get married</v>
      </c>
      <c r="H1557" s="49" t="str">
        <f t="shared" ca="1" si="1555"/>
        <v>Let's get married</v>
      </c>
      <c r="I1557" s="49" t="str">
        <f t="shared" ca="1" si="1555"/>
        <v>Let's get married</v>
      </c>
      <c r="J1557" s="49" t="str">
        <f t="shared" ca="1" si="1555"/>
        <v>Let's get married</v>
      </c>
    </row>
    <row r="1558" spans="1:10" ht="38.25" x14ac:dyDescent="0.2">
      <c r="A1558" s="41" t="s">
        <v>1164</v>
      </c>
      <c r="B1558" s="40"/>
      <c r="C1558" s="40"/>
      <c r="D1558" s="40"/>
      <c r="E1558" s="40"/>
      <c r="F1558" s="49" t="str">
        <f t="shared" ref="F1558:J1558" ca="1" si="1556">IFERROR(__xludf.DUMMYFUNCTION("if (A1558 &lt;&gt; """", GOOGLETRANSLATE(A1558, ""auto"", ""en""), """")"),"Why do not you get married")</f>
        <v>Why do not you get married</v>
      </c>
      <c r="G1558" s="49" t="str">
        <f t="shared" ca="1" si="1556"/>
        <v>Why do not you get married</v>
      </c>
      <c r="H1558" s="49" t="str">
        <f t="shared" ca="1" si="1556"/>
        <v>Why do not you get married</v>
      </c>
      <c r="I1558" s="49" t="str">
        <f t="shared" ca="1" si="1556"/>
        <v>Why do not you get married</v>
      </c>
      <c r="J1558" s="49" t="str">
        <f t="shared" ca="1" si="1556"/>
        <v>Why do not you get married</v>
      </c>
    </row>
    <row r="1559" spans="1:10" ht="38.25" x14ac:dyDescent="0.2">
      <c r="A1559" s="41" t="s">
        <v>1165</v>
      </c>
      <c r="B1559" s="40"/>
      <c r="C1559" s="40"/>
      <c r="D1559" s="40"/>
      <c r="E1559" s="40"/>
      <c r="F1559" s="49" t="str">
        <f t="shared" ref="F1559:J1559" ca="1" si="1557">IFERROR(__xludf.DUMMYFUNCTION("if (A1559 &lt;&gt; """", GOOGLETRANSLATE(A1559, ""auto"", ""en""), """")"),"I love you, trying to get married")</f>
        <v>I love you, trying to get married</v>
      </c>
      <c r="G1559" s="49" t="str">
        <f t="shared" ca="1" si="1557"/>
        <v>I love you, trying to get married</v>
      </c>
      <c r="H1559" s="49" t="str">
        <f t="shared" ca="1" si="1557"/>
        <v>I love you, trying to get married</v>
      </c>
      <c r="I1559" s="49" t="str">
        <f t="shared" ca="1" si="1557"/>
        <v>I love you, trying to get married</v>
      </c>
      <c r="J1559" s="49" t="str">
        <f t="shared" ca="1" si="1557"/>
        <v>I love you, trying to get married</v>
      </c>
    </row>
    <row r="1560" spans="1:10" ht="12.75" x14ac:dyDescent="0.2">
      <c r="A1560" s="41" t="s">
        <v>1166</v>
      </c>
      <c r="B1560" s="40"/>
      <c r="C1560" s="40"/>
      <c r="D1560" s="40"/>
      <c r="E1560" s="40"/>
      <c r="F1560" s="49" t="str">
        <f t="shared" ref="F1560:J1560" ca="1" si="1558">IFERROR(__xludf.DUMMYFUNCTION("if (A1560 &lt;&gt; """", GOOGLETRANSLATE(A1560, ""auto"", ""en""), """")"),"marry me")</f>
        <v>marry me</v>
      </c>
      <c r="G1560" s="49" t="str">
        <f t="shared" ca="1" si="1558"/>
        <v>marry me</v>
      </c>
      <c r="H1560" s="49" t="str">
        <f t="shared" ca="1" si="1558"/>
        <v>marry me</v>
      </c>
      <c r="I1560" s="49" t="str">
        <f t="shared" ca="1" si="1558"/>
        <v>marry me</v>
      </c>
      <c r="J1560" s="49" t="str">
        <f t="shared" ca="1" si="1558"/>
        <v>marry me</v>
      </c>
    </row>
    <row r="1561" spans="1:10" ht="12.75" x14ac:dyDescent="0.2">
      <c r="A1561" s="41" t="s">
        <v>1167</v>
      </c>
      <c r="B1561" s="40"/>
      <c r="C1561" s="40"/>
      <c r="D1561" s="40"/>
      <c r="E1561" s="40"/>
      <c r="F1561" s="49" t="str">
        <f t="shared" ref="F1561:J1561" ca="1" si="1559">IFERROR(__xludf.DUMMYFUNCTION("if (A1561 &lt;&gt; """", GOOGLETRANSLATE(A1561, ""auto"", ""en""), """")"),"I should marry")</f>
        <v>I should marry</v>
      </c>
      <c r="G1561" s="49" t="str">
        <f t="shared" ca="1" si="1559"/>
        <v>I should marry</v>
      </c>
      <c r="H1561" s="49" t="str">
        <f t="shared" ca="1" si="1559"/>
        <v>I should marry</v>
      </c>
      <c r="I1561" s="49" t="str">
        <f t="shared" ca="1" si="1559"/>
        <v>I should marry</v>
      </c>
      <c r="J1561" s="49" t="str">
        <f t="shared" ca="1" si="1559"/>
        <v>I should marry</v>
      </c>
    </row>
    <row r="1562" spans="1:10" ht="25.5" x14ac:dyDescent="0.2">
      <c r="A1562" s="41" t="s">
        <v>1168</v>
      </c>
      <c r="B1562" s="40"/>
      <c r="C1562" s="40"/>
      <c r="D1562" s="40"/>
      <c r="E1562" s="40"/>
      <c r="F1562" s="49" t="str">
        <f t="shared" ref="F1562:J1562" ca="1" si="1560">IFERROR(__xludf.DUMMYFUNCTION("if (A1562 &lt;&gt; """", GOOGLETRANSLATE(A1562, ""auto"", ""en""), """")"),"I want to get married")</f>
        <v>I want to get married</v>
      </c>
      <c r="G1562" s="49" t="str">
        <f t="shared" ca="1" si="1560"/>
        <v>I want to get married</v>
      </c>
      <c r="H1562" s="49" t="str">
        <f t="shared" ca="1" si="1560"/>
        <v>I want to get married</v>
      </c>
      <c r="I1562" s="49" t="str">
        <f t="shared" ca="1" si="1560"/>
        <v>I want to get married</v>
      </c>
      <c r="J1562" s="49" t="str">
        <f t="shared" ca="1" si="1560"/>
        <v>I want to get married</v>
      </c>
    </row>
    <row r="1563" spans="1:10" ht="25.5" x14ac:dyDescent="0.2">
      <c r="A1563" s="41" t="s">
        <v>1169</v>
      </c>
      <c r="B1563" s="40"/>
      <c r="C1563" s="40"/>
      <c r="D1563" s="40"/>
      <c r="E1563" s="40"/>
      <c r="F1563" s="49" t="str">
        <f t="shared" ref="F1563:J1563" ca="1" si="1561">IFERROR(__xludf.DUMMYFUNCTION("if (A1563 &lt;&gt; """", GOOGLETRANSLATE(A1563, ""auto"", ""en""), """")"),"You're my wife")</f>
        <v>You're my wife</v>
      </c>
      <c r="G1563" s="49" t="str">
        <f t="shared" ca="1" si="1561"/>
        <v>You're my wife</v>
      </c>
      <c r="H1563" s="49" t="str">
        <f t="shared" ca="1" si="1561"/>
        <v>You're my wife</v>
      </c>
      <c r="I1563" s="49" t="str">
        <f t="shared" ca="1" si="1561"/>
        <v>You're my wife</v>
      </c>
      <c r="J1563" s="49" t="str">
        <f t="shared" ca="1" si="1561"/>
        <v>You're my wife</v>
      </c>
    </row>
    <row r="1564" spans="1:10" ht="25.5" x14ac:dyDescent="0.2">
      <c r="A1564" s="41" t="s">
        <v>1170</v>
      </c>
      <c r="B1564" s="40"/>
      <c r="C1564" s="40"/>
      <c r="D1564" s="40"/>
      <c r="E1564" s="40"/>
      <c r="F1564" s="49" t="str">
        <f t="shared" ref="F1564:J1564" ca="1" si="1562">IFERROR(__xludf.DUMMYFUNCTION("if (A1564 &lt;&gt; """", GOOGLETRANSLATE(A1564, ""auto"", ""en""), """")"),"I turned to my husband")</f>
        <v>I turned to my husband</v>
      </c>
      <c r="G1564" s="49" t="str">
        <f t="shared" ca="1" si="1562"/>
        <v>I turned to my husband</v>
      </c>
      <c r="H1564" s="49" t="str">
        <f t="shared" ca="1" si="1562"/>
        <v>I turned to my husband</v>
      </c>
      <c r="I1564" s="49" t="str">
        <f t="shared" ca="1" si="1562"/>
        <v>I turned to my husband</v>
      </c>
      <c r="J1564" s="49" t="str">
        <f t="shared" ca="1" si="1562"/>
        <v>I turned to my husband</v>
      </c>
    </row>
    <row r="1565" spans="1:10" ht="12.75" x14ac:dyDescent="0.2">
      <c r="A1565" s="40"/>
      <c r="B1565" s="40"/>
      <c r="C1565" s="40"/>
      <c r="D1565" s="40"/>
      <c r="E1565" s="40"/>
      <c r="F1565" s="49" t="str">
        <f t="shared" ref="F1565:J1565" ca="1" si="1563">IFERROR(__xludf.DUMMYFUNCTION("if (A1565 &lt;&gt; """", GOOGLETRANSLATE(A1565, ""auto"", ""en""), """")"),"")</f>
        <v/>
      </c>
      <c r="G1565" s="49" t="str">
        <f t="shared" ca="1" si="1563"/>
        <v/>
      </c>
      <c r="H1565" s="49" t="str">
        <f t="shared" ca="1" si="1563"/>
        <v/>
      </c>
      <c r="I1565" s="49" t="str">
        <f t="shared" ca="1" si="1563"/>
        <v/>
      </c>
      <c r="J1565" s="49" t="str">
        <f t="shared" ca="1" si="1563"/>
        <v/>
      </c>
    </row>
    <row r="1566" spans="1:10" ht="25.5" x14ac:dyDescent="0.2">
      <c r="A1566" s="41" t="s">
        <v>1171</v>
      </c>
      <c r="B1566" s="40"/>
      <c r="C1566" s="40"/>
      <c r="D1566" s="40"/>
      <c r="E1566" s="40"/>
      <c r="F1566" s="49" t="str">
        <f t="shared" ref="F1566:J1566" ca="1" si="1564">IFERROR(__xludf.DUMMYFUNCTION("if (A1566 &lt;&gt; """", GOOGLETRANSLATE(A1566, ""auto"", ""en""), """")"),"smalltalk.agent.my_friend")</f>
        <v>smalltalk.agent.my_friend</v>
      </c>
      <c r="G1566" s="49" t="str">
        <f t="shared" ca="1" si="1564"/>
        <v>smalltalk.agent.my_friend</v>
      </c>
      <c r="H1566" s="49" t="str">
        <f t="shared" ca="1" si="1564"/>
        <v>smalltalk.agent.my_friend</v>
      </c>
      <c r="I1566" s="49" t="str">
        <f t="shared" ca="1" si="1564"/>
        <v>smalltalk.agent.my_friend</v>
      </c>
      <c r="J1566" s="49" t="str">
        <f t="shared" ca="1" si="1564"/>
        <v>smalltalk.agent.my_friend</v>
      </c>
    </row>
    <row r="1567" spans="1:10" ht="12.75" x14ac:dyDescent="0.2">
      <c r="A1567" s="40"/>
      <c r="B1567" s="41" t="s">
        <v>398</v>
      </c>
      <c r="C1567" s="40"/>
      <c r="D1567" s="40"/>
      <c r="E1567" s="40"/>
      <c r="F1567" s="49" t="str">
        <f t="shared" ref="F1567:J1567" ca="1" si="1565">IFERROR(__xludf.DUMMYFUNCTION("if (A1567 &lt;&gt; """", GOOGLETRANSLATE(A1567, ""auto"", ""en""), """")"),"")</f>
        <v/>
      </c>
      <c r="G1567" s="49" t="str">
        <f t="shared" ca="1" si="1565"/>
        <v/>
      </c>
      <c r="H1567" s="49" t="str">
        <f t="shared" ca="1" si="1565"/>
        <v/>
      </c>
      <c r="I1567" s="49" t="str">
        <f t="shared" ca="1" si="1565"/>
        <v/>
      </c>
      <c r="J1567" s="49" t="str">
        <f t="shared" ca="1" si="1565"/>
        <v/>
      </c>
    </row>
    <row r="1568" spans="1:10" ht="12.75" x14ac:dyDescent="0.2">
      <c r="A1568" s="40"/>
      <c r="B1568" s="41" t="s">
        <v>399</v>
      </c>
      <c r="C1568" s="40"/>
      <c r="D1568" s="40"/>
      <c r="E1568" s="40"/>
      <c r="F1568" s="49" t="str">
        <f t="shared" ref="F1568:J1568" ca="1" si="1566">IFERROR(__xludf.DUMMYFUNCTION("if (A1568 &lt;&gt; """", GOOGLETRANSLATE(A1568, ""auto"", ""en""), """")"),"")</f>
        <v/>
      </c>
      <c r="G1568" s="49" t="str">
        <f t="shared" ca="1" si="1566"/>
        <v/>
      </c>
      <c r="H1568" s="49" t="str">
        <f t="shared" ca="1" si="1566"/>
        <v/>
      </c>
      <c r="I1568" s="49" t="str">
        <f t="shared" ca="1" si="1566"/>
        <v/>
      </c>
      <c r="J1568" s="49" t="str">
        <f t="shared" ca="1" si="1566"/>
        <v/>
      </c>
    </row>
    <row r="1569" spans="1:10" ht="12.75" x14ac:dyDescent="0.2">
      <c r="A1569" s="40"/>
      <c r="B1569" s="41" t="s">
        <v>400</v>
      </c>
      <c r="C1569" s="41" t="s">
        <v>1171</v>
      </c>
      <c r="D1569" s="40"/>
      <c r="E1569" s="40"/>
      <c r="F1569" s="49" t="str">
        <f t="shared" ref="F1569:J1569" ca="1" si="1567">IFERROR(__xludf.DUMMYFUNCTION("if (A1569 &lt;&gt; """", GOOGLETRANSLATE(A1569, ""auto"", ""en""), """")"),"")</f>
        <v/>
      </c>
      <c r="G1569" s="49" t="str">
        <f t="shared" ca="1" si="1567"/>
        <v/>
      </c>
      <c r="H1569" s="49" t="str">
        <f t="shared" ca="1" si="1567"/>
        <v/>
      </c>
      <c r="I1569" s="49" t="str">
        <f t="shared" ca="1" si="1567"/>
        <v/>
      </c>
      <c r="J1569" s="49" t="str">
        <f t="shared" ca="1" si="1567"/>
        <v/>
      </c>
    </row>
    <row r="1570" spans="1:10" ht="12.75" x14ac:dyDescent="0.2">
      <c r="A1570" s="40"/>
      <c r="B1570" s="41" t="s">
        <v>401</v>
      </c>
      <c r="C1570" s="40"/>
      <c r="D1570" s="40"/>
      <c r="E1570" s="40"/>
      <c r="F1570" s="49" t="str">
        <f t="shared" ref="F1570:J1570" ca="1" si="1568">IFERROR(__xludf.DUMMYFUNCTION("if (A1570 &lt;&gt; """", GOOGLETRANSLATE(A1570, ""auto"", ""en""), """")"),"")</f>
        <v/>
      </c>
      <c r="G1570" s="49" t="str">
        <f t="shared" ca="1" si="1568"/>
        <v/>
      </c>
      <c r="H1570" s="49" t="str">
        <f t="shared" ca="1" si="1568"/>
        <v/>
      </c>
      <c r="I1570" s="49" t="str">
        <f t="shared" ca="1" si="1568"/>
        <v/>
      </c>
      <c r="J1570" s="49" t="str">
        <f t="shared" ca="1" si="1568"/>
        <v/>
      </c>
    </row>
    <row r="1571" spans="1:10" ht="25.5" x14ac:dyDescent="0.2">
      <c r="A1571" s="41" t="s">
        <v>1172</v>
      </c>
      <c r="B1571" s="41" t="s">
        <v>402</v>
      </c>
      <c r="C1571" s="41" t="s">
        <v>1173</v>
      </c>
      <c r="D1571" s="40"/>
      <c r="E1571" s="40"/>
      <c r="F1571" s="49" t="str">
        <f t="shared" ref="F1571:J1571" ca="1" si="1569">IFERROR(__xludf.DUMMYFUNCTION("if (A1571 &lt;&gt; """", GOOGLETRANSLATE(A1571, ""auto"", ""en""), """")"),"I want friends like you")</f>
        <v>I want friends like you</v>
      </c>
      <c r="G1571" s="49" t="str">
        <f t="shared" ca="1" si="1569"/>
        <v>I want friends like you</v>
      </c>
      <c r="H1571" s="49" t="str">
        <f t="shared" ca="1" si="1569"/>
        <v>I want friends like you</v>
      </c>
      <c r="I1571" s="49" t="str">
        <f t="shared" ca="1" si="1569"/>
        <v>I want friends like you</v>
      </c>
      <c r="J1571" s="49" t="str">
        <f t="shared" ca="1" si="1569"/>
        <v>I want friends like you</v>
      </c>
    </row>
    <row r="1572" spans="1:10" ht="51" x14ac:dyDescent="0.2">
      <c r="A1572" s="41" t="s">
        <v>1174</v>
      </c>
      <c r="B1572" s="40"/>
      <c r="C1572" s="40"/>
      <c r="D1572" s="40"/>
      <c r="E1572" s="40"/>
      <c r="F1572" s="49" t="str">
        <f t="shared" ref="F1572:J1572" ca="1" si="1570">IFERROR(__xludf.DUMMYFUNCTION("if (A1572 &lt;&gt; """", GOOGLETRANSLATE(A1572, ""auto"", ""en""), """")"),"We're the best of friends with each other")</f>
        <v>We're the best of friends with each other</v>
      </c>
      <c r="G1572" s="49" t="str">
        <f t="shared" ca="1" si="1570"/>
        <v>We're the best of friends with each other</v>
      </c>
      <c r="H1572" s="49" t="str">
        <f t="shared" ca="1" si="1570"/>
        <v>We're the best of friends with each other</v>
      </c>
      <c r="I1572" s="49" t="str">
        <f t="shared" ca="1" si="1570"/>
        <v>We're the best of friends with each other</v>
      </c>
      <c r="J1572" s="49" t="str">
        <f t="shared" ca="1" si="1570"/>
        <v>We're the best of friends with each other</v>
      </c>
    </row>
    <row r="1573" spans="1:10" ht="25.5" x14ac:dyDescent="0.2">
      <c r="A1573" s="41" t="s">
        <v>1175</v>
      </c>
      <c r="B1573" s="40"/>
      <c r="C1573" s="40"/>
      <c r="D1573" s="40"/>
      <c r="E1573" s="40"/>
      <c r="F1573" s="49" t="str">
        <f t="shared" ref="F1573:J1573" ca="1" si="1571">IFERROR(__xludf.DUMMYFUNCTION("if (A1573 &lt;&gt; """", GOOGLETRANSLATE(A1573, ""auto"", ""en""), """")"),"We wonder if your friends")</f>
        <v>We wonder if your friends</v>
      </c>
      <c r="G1573" s="49" t="str">
        <f t="shared" ca="1" si="1571"/>
        <v>We wonder if your friends</v>
      </c>
      <c r="H1573" s="49" t="str">
        <f t="shared" ca="1" si="1571"/>
        <v>We wonder if your friends</v>
      </c>
      <c r="I1573" s="49" t="str">
        <f t="shared" ca="1" si="1571"/>
        <v>We wonder if your friends</v>
      </c>
      <c r="J1573" s="49" t="str">
        <f t="shared" ca="1" si="1571"/>
        <v>We wonder if your friends</v>
      </c>
    </row>
    <row r="1574" spans="1:10" ht="38.25" x14ac:dyDescent="0.2">
      <c r="A1574" s="41" t="s">
        <v>1176</v>
      </c>
      <c r="B1574" s="40"/>
      <c r="C1574" s="40"/>
      <c r="D1574" s="40"/>
      <c r="E1574" s="40"/>
      <c r="F1574" s="49" t="str">
        <f t="shared" ref="F1574:J1574" ca="1" si="1572">IFERROR(__xludf.DUMMYFUNCTION("if (A1574 &lt;&gt; """", GOOGLETRANSLATE(A1574, ""auto"", ""en""), """")"),"I want to be in you and your friends")</f>
        <v>I want to be in you and your friends</v>
      </c>
      <c r="G1574" s="49" t="str">
        <f t="shared" ca="1" si="1572"/>
        <v>I want to be in you and your friends</v>
      </c>
      <c r="H1574" s="49" t="str">
        <f t="shared" ca="1" si="1572"/>
        <v>I want to be in you and your friends</v>
      </c>
      <c r="I1574" s="49" t="str">
        <f t="shared" ca="1" si="1572"/>
        <v>I want to be in you and your friends</v>
      </c>
      <c r="J1574" s="49" t="str">
        <f t="shared" ca="1" si="1572"/>
        <v>I want to be in you and your friends</v>
      </c>
    </row>
    <row r="1575" spans="1:10" ht="25.5" x14ac:dyDescent="0.2">
      <c r="A1575" s="41" t="s">
        <v>1177</v>
      </c>
      <c r="B1575" s="40"/>
      <c r="C1575" s="40"/>
      <c r="D1575" s="40"/>
      <c r="E1575" s="40"/>
      <c r="F1575" s="49" t="str">
        <f t="shared" ref="F1575:J1575" ca="1" si="1573">IFERROR(__xludf.DUMMYFUNCTION("if (A1575 &lt;&gt; """", GOOGLETRANSLATE(A1575, ""auto"", ""en""), """")"),"I am your friend")</f>
        <v>I am your friend</v>
      </c>
      <c r="G1575" s="49" t="str">
        <f t="shared" ca="1" si="1573"/>
        <v>I am your friend</v>
      </c>
      <c r="H1575" s="49" t="str">
        <f t="shared" ca="1" si="1573"/>
        <v>I am your friend</v>
      </c>
      <c r="I1575" s="49" t="str">
        <f t="shared" ca="1" si="1573"/>
        <v>I am your friend</v>
      </c>
      <c r="J1575" s="49" t="str">
        <f t="shared" ca="1" si="1573"/>
        <v>I am your friend</v>
      </c>
    </row>
    <row r="1576" spans="1:10" ht="25.5" x14ac:dyDescent="0.2">
      <c r="A1576" s="41" t="s">
        <v>1178</v>
      </c>
      <c r="B1576" s="40"/>
      <c r="C1576" s="40"/>
      <c r="D1576" s="40"/>
      <c r="E1576" s="40"/>
      <c r="F1576" s="49" t="str">
        <f t="shared" ref="F1576:J1576" ca="1" si="1574">IFERROR(__xludf.DUMMYFUNCTION("if (A1576 &lt;&gt; """", GOOGLETRANSLATE(A1576, ""auto"", ""en""), """")"),"We are close friends")</f>
        <v>We are close friends</v>
      </c>
      <c r="G1576" s="49" t="str">
        <f t="shared" ca="1" si="1574"/>
        <v>We are close friends</v>
      </c>
      <c r="H1576" s="49" t="str">
        <f t="shared" ca="1" si="1574"/>
        <v>We are close friends</v>
      </c>
      <c r="I1576" s="49" t="str">
        <f t="shared" ca="1" si="1574"/>
        <v>We are close friends</v>
      </c>
      <c r="J1576" s="49" t="str">
        <f t="shared" ca="1" si="1574"/>
        <v>We are close friends</v>
      </c>
    </row>
    <row r="1577" spans="1:10" ht="25.5" x14ac:dyDescent="0.2">
      <c r="A1577" s="41" t="s">
        <v>1179</v>
      </c>
      <c r="B1577" s="40"/>
      <c r="C1577" s="40"/>
      <c r="D1577" s="40"/>
      <c r="E1577" s="40"/>
      <c r="F1577" s="49" t="str">
        <f t="shared" ref="F1577:J1577" ca="1" si="1575">IFERROR(__xludf.DUMMYFUNCTION("if (A1577 &lt;&gt; """", GOOGLETRANSLATE(A1577, ""auto"", ""en""), """")"),"You are a Friend")</f>
        <v>You are a Friend</v>
      </c>
      <c r="G1577" s="49" t="str">
        <f t="shared" ca="1" si="1575"/>
        <v>You are a Friend</v>
      </c>
      <c r="H1577" s="49" t="str">
        <f t="shared" ca="1" si="1575"/>
        <v>You are a Friend</v>
      </c>
      <c r="I1577" s="49" t="str">
        <f t="shared" ca="1" si="1575"/>
        <v>You are a Friend</v>
      </c>
      <c r="J1577" s="49" t="str">
        <f t="shared" ca="1" si="1575"/>
        <v>You are a Friend</v>
      </c>
    </row>
    <row r="1578" spans="1:10" ht="25.5" x14ac:dyDescent="0.2">
      <c r="A1578" s="41" t="s">
        <v>1180</v>
      </c>
      <c r="B1578" s="40"/>
      <c r="C1578" s="40"/>
      <c r="D1578" s="40"/>
      <c r="E1578" s="40"/>
      <c r="F1578" s="49" t="str">
        <f t="shared" ref="F1578:J1578" ca="1" si="1576">IFERROR(__xludf.DUMMYFUNCTION("if (A1578 &lt;&gt; """", GOOGLETRANSLATE(A1578, ""auto"", ""en""), """")"),"You are a close friend")</f>
        <v>You are a close friend</v>
      </c>
      <c r="G1578" s="49" t="str">
        <f t="shared" ca="1" si="1576"/>
        <v>You are a close friend</v>
      </c>
      <c r="H1578" s="49" t="str">
        <f t="shared" ca="1" si="1576"/>
        <v>You are a close friend</v>
      </c>
      <c r="I1578" s="49" t="str">
        <f t="shared" ca="1" si="1576"/>
        <v>You are a close friend</v>
      </c>
      <c r="J1578" s="49" t="str">
        <f t="shared" ca="1" si="1576"/>
        <v>You are a close friend</v>
      </c>
    </row>
    <row r="1579" spans="1:10" ht="25.5" x14ac:dyDescent="0.2">
      <c r="A1579" s="41" t="s">
        <v>1181</v>
      </c>
      <c r="B1579" s="40"/>
      <c r="C1579" s="40"/>
      <c r="D1579" s="40"/>
      <c r="E1579" s="40"/>
      <c r="F1579" s="49" t="str">
        <f t="shared" ref="F1579:J1579" ca="1" si="1577">IFERROR(__xludf.DUMMYFUNCTION("if (A1579 &lt;&gt; """", GOOGLETRANSLATE(A1579, ""auto"", ""en""), """")"),"You are the best friend")</f>
        <v>You are the best friend</v>
      </c>
      <c r="G1579" s="49" t="str">
        <f t="shared" ca="1" si="1577"/>
        <v>You are the best friend</v>
      </c>
      <c r="H1579" s="49" t="str">
        <f t="shared" ca="1" si="1577"/>
        <v>You are the best friend</v>
      </c>
      <c r="I1579" s="49" t="str">
        <f t="shared" ca="1" si="1577"/>
        <v>You are the best friend</v>
      </c>
      <c r="J1579" s="49" t="str">
        <f t="shared" ca="1" si="1577"/>
        <v>You are the best friend</v>
      </c>
    </row>
    <row r="1580" spans="1:10" ht="38.25" x14ac:dyDescent="0.2">
      <c r="A1580" s="41" t="s">
        <v>1182</v>
      </c>
      <c r="B1580" s="40"/>
      <c r="C1580" s="40"/>
      <c r="D1580" s="40"/>
      <c r="E1580" s="40"/>
      <c r="F1580" s="49" t="str">
        <f t="shared" ref="F1580:J1580" ca="1" si="1578">IFERROR(__xludf.DUMMYFUNCTION("if (A1580 &lt;&gt; """", GOOGLETRANSLATE(A1580, ""auto"", ""en""), """")"),"You're important friends")</f>
        <v>You're important friends</v>
      </c>
      <c r="G1580" s="49" t="str">
        <f t="shared" ca="1" si="1578"/>
        <v>You're important friends</v>
      </c>
      <c r="H1580" s="49" t="str">
        <f t="shared" ca="1" si="1578"/>
        <v>You're important friends</v>
      </c>
      <c r="I1580" s="49" t="str">
        <f t="shared" ca="1" si="1578"/>
        <v>You're important friends</v>
      </c>
      <c r="J1580" s="49" t="str">
        <f t="shared" ca="1" si="1578"/>
        <v>You're important friends</v>
      </c>
    </row>
    <row r="1581" spans="1:10" ht="12.75" x14ac:dyDescent="0.2">
      <c r="A1581" s="40"/>
      <c r="B1581" s="40"/>
      <c r="C1581" s="40"/>
      <c r="D1581" s="40"/>
      <c r="E1581" s="40"/>
      <c r="F1581" s="49" t="str">
        <f t="shared" ref="F1581:J1581" ca="1" si="1579">IFERROR(__xludf.DUMMYFUNCTION("if (A1581 &lt;&gt; """", GOOGLETRANSLATE(A1581, ""auto"", ""en""), """")"),"")</f>
        <v/>
      </c>
      <c r="G1581" s="49" t="str">
        <f t="shared" ca="1" si="1579"/>
        <v/>
      </c>
      <c r="H1581" s="49" t="str">
        <f t="shared" ca="1" si="1579"/>
        <v/>
      </c>
      <c r="I1581" s="49" t="str">
        <f t="shared" ca="1" si="1579"/>
        <v/>
      </c>
      <c r="J1581" s="49" t="str">
        <f t="shared" ca="1" si="1579"/>
        <v/>
      </c>
    </row>
    <row r="1582" spans="1:10" ht="38.25" x14ac:dyDescent="0.2">
      <c r="A1582" s="41" t="s">
        <v>1183</v>
      </c>
      <c r="B1582" s="40"/>
      <c r="C1582" s="40"/>
      <c r="D1582" s="40"/>
      <c r="E1582" s="40"/>
      <c r="F1582" s="49" t="str">
        <f t="shared" ref="F1582:J1582" ca="1" si="1580">IFERROR(__xludf.DUMMYFUNCTION("if (A1582 &lt;&gt; """", GOOGLETRANSLATE(A1582, ""auto"", ""en""), """")"),"smalltalk.agent.not_making_sense")</f>
        <v>smalltalk.agent.not_making_sense</v>
      </c>
      <c r="G1582" s="49" t="str">
        <f t="shared" ca="1" si="1580"/>
        <v>smalltalk.agent.not_making_sense</v>
      </c>
      <c r="H1582" s="49" t="str">
        <f t="shared" ca="1" si="1580"/>
        <v>smalltalk.agent.not_making_sense</v>
      </c>
      <c r="I1582" s="49" t="str">
        <f t="shared" ca="1" si="1580"/>
        <v>smalltalk.agent.not_making_sense</v>
      </c>
      <c r="J1582" s="49" t="str">
        <f t="shared" ca="1" si="1580"/>
        <v>smalltalk.agent.not_making_sense</v>
      </c>
    </row>
    <row r="1583" spans="1:10" ht="12.75" x14ac:dyDescent="0.2">
      <c r="A1583" s="40"/>
      <c r="B1583" s="41" t="s">
        <v>398</v>
      </c>
      <c r="C1583" s="40"/>
      <c r="D1583" s="40"/>
      <c r="E1583" s="40"/>
      <c r="F1583" s="49" t="str">
        <f t="shared" ref="F1583:J1583" ca="1" si="1581">IFERROR(__xludf.DUMMYFUNCTION("if (A1583 &lt;&gt; """", GOOGLETRANSLATE(A1583, ""auto"", ""en""), """")"),"")</f>
        <v/>
      </c>
      <c r="G1583" s="49" t="str">
        <f t="shared" ca="1" si="1581"/>
        <v/>
      </c>
      <c r="H1583" s="49" t="str">
        <f t="shared" ca="1" si="1581"/>
        <v/>
      </c>
      <c r="I1583" s="49" t="str">
        <f t="shared" ca="1" si="1581"/>
        <v/>
      </c>
      <c r="J1583" s="49" t="str">
        <f t="shared" ca="1" si="1581"/>
        <v/>
      </c>
    </row>
    <row r="1584" spans="1:10" ht="12.75" x14ac:dyDescent="0.2">
      <c r="A1584" s="40"/>
      <c r="B1584" s="41" t="s">
        <v>399</v>
      </c>
      <c r="C1584" s="40"/>
      <c r="D1584" s="40"/>
      <c r="E1584" s="40"/>
      <c r="F1584" s="49" t="str">
        <f t="shared" ref="F1584:J1584" ca="1" si="1582">IFERROR(__xludf.DUMMYFUNCTION("if (A1584 &lt;&gt; """", GOOGLETRANSLATE(A1584, ""auto"", ""en""), """")"),"")</f>
        <v/>
      </c>
      <c r="G1584" s="49" t="str">
        <f t="shared" ca="1" si="1582"/>
        <v/>
      </c>
      <c r="H1584" s="49" t="str">
        <f t="shared" ca="1" si="1582"/>
        <v/>
      </c>
      <c r="I1584" s="49" t="str">
        <f t="shared" ca="1" si="1582"/>
        <v/>
      </c>
      <c r="J1584" s="49" t="str">
        <f t="shared" ca="1" si="1582"/>
        <v/>
      </c>
    </row>
    <row r="1585" spans="1:10" ht="12.75" x14ac:dyDescent="0.2">
      <c r="A1585" s="40"/>
      <c r="B1585" s="41" t="s">
        <v>400</v>
      </c>
      <c r="C1585" s="41" t="s">
        <v>1183</v>
      </c>
      <c r="D1585" s="40"/>
      <c r="E1585" s="40"/>
      <c r="F1585" s="49" t="str">
        <f t="shared" ref="F1585:J1585" ca="1" si="1583">IFERROR(__xludf.DUMMYFUNCTION("if (A1585 &lt;&gt; """", GOOGLETRANSLATE(A1585, ""auto"", ""en""), """")"),"")</f>
        <v/>
      </c>
      <c r="G1585" s="49" t="str">
        <f t="shared" ca="1" si="1583"/>
        <v/>
      </c>
      <c r="H1585" s="49" t="str">
        <f t="shared" ca="1" si="1583"/>
        <v/>
      </c>
      <c r="I1585" s="49" t="str">
        <f t="shared" ca="1" si="1583"/>
        <v/>
      </c>
      <c r="J1585" s="49" t="str">
        <f t="shared" ca="1" si="1583"/>
        <v/>
      </c>
    </row>
    <row r="1586" spans="1:10" ht="12.75" x14ac:dyDescent="0.2">
      <c r="A1586" s="40"/>
      <c r="B1586" s="41" t="s">
        <v>401</v>
      </c>
      <c r="C1586" s="40"/>
      <c r="D1586" s="40"/>
      <c r="E1586" s="40"/>
      <c r="F1586" s="49" t="str">
        <f t="shared" ref="F1586:J1586" ca="1" si="1584">IFERROR(__xludf.DUMMYFUNCTION("if (A1586 &lt;&gt; """", GOOGLETRANSLATE(A1586, ""auto"", ""en""), """")"),"")</f>
        <v/>
      </c>
      <c r="G1586" s="49" t="str">
        <f t="shared" ca="1" si="1584"/>
        <v/>
      </c>
      <c r="H1586" s="49" t="str">
        <f t="shared" ca="1" si="1584"/>
        <v/>
      </c>
      <c r="I1586" s="49" t="str">
        <f t="shared" ca="1" si="1584"/>
        <v/>
      </c>
      <c r="J1586" s="49" t="str">
        <f t="shared" ca="1" si="1584"/>
        <v/>
      </c>
    </row>
    <row r="1587" spans="1:10" ht="25.5" x14ac:dyDescent="0.2">
      <c r="A1587" s="41" t="s">
        <v>1184</v>
      </c>
      <c r="B1587" s="41" t="s">
        <v>402</v>
      </c>
      <c r="C1587" s="41" t="s">
        <v>1185</v>
      </c>
      <c r="D1587" s="40"/>
      <c r="E1587" s="40"/>
      <c r="F1587" s="49" t="str">
        <f t="shared" ref="F1587:J1587" ca="1" si="1585">IFERROR(__xludf.DUMMYFUNCTION("if (A1587 &lt;&gt; """", GOOGLETRANSLATE(A1587, ""auto"", ""en""), """")"),"You're ridiculous")</f>
        <v>You're ridiculous</v>
      </c>
      <c r="G1587" s="49" t="str">
        <f t="shared" ca="1" si="1585"/>
        <v>You're ridiculous</v>
      </c>
      <c r="H1587" s="49" t="str">
        <f t="shared" ca="1" si="1585"/>
        <v>You're ridiculous</v>
      </c>
      <c r="I1587" s="49" t="str">
        <f t="shared" ca="1" si="1585"/>
        <v>You're ridiculous</v>
      </c>
      <c r="J1587" s="49" t="str">
        <f t="shared" ca="1" si="1585"/>
        <v>You're ridiculous</v>
      </c>
    </row>
    <row r="1588" spans="1:10" ht="38.25" x14ac:dyDescent="0.2">
      <c r="A1588" s="41" t="s">
        <v>1186</v>
      </c>
      <c r="B1588" s="40"/>
      <c r="C1588" s="40"/>
      <c r="D1588" s="40"/>
      <c r="E1588" s="40"/>
      <c r="F1588" s="49" t="str">
        <f t="shared" ref="F1588:J1588" ca="1" si="1586">IFERROR(__xludf.DUMMYFUNCTION("if (A1588 &lt;&gt; """", GOOGLETRANSLATE(A1588, ""auto"", ""en""), """")"),"I do not know exactly what you say")</f>
        <v>I do not know exactly what you say</v>
      </c>
      <c r="G1588" s="49" t="str">
        <f t="shared" ca="1" si="1586"/>
        <v>I do not know exactly what you say</v>
      </c>
      <c r="H1588" s="49" t="str">
        <f t="shared" ca="1" si="1586"/>
        <v>I do not know exactly what you say</v>
      </c>
      <c r="I1588" s="49" t="str">
        <f t="shared" ca="1" si="1586"/>
        <v>I do not know exactly what you say</v>
      </c>
      <c r="J1588" s="49" t="str">
        <f t="shared" ca="1" si="1586"/>
        <v>I do not know exactly what you say</v>
      </c>
    </row>
    <row r="1589" spans="1:10" ht="25.5" x14ac:dyDescent="0.2">
      <c r="A1589" s="41" t="s">
        <v>1187</v>
      </c>
      <c r="B1589" s="40"/>
      <c r="C1589" s="40"/>
      <c r="D1589" s="40"/>
      <c r="E1589" s="40"/>
      <c r="F1589" s="49" t="str">
        <f t="shared" ref="F1589:J1589" ca="1" si="1587">IFERROR(__xludf.DUMMYFUNCTION("if (A1589 &lt;&gt; """", GOOGLETRANSLATE(A1589, ""auto"", ""en""), """")"),"I do not know what you say")</f>
        <v>I do not know what you say</v>
      </c>
      <c r="G1589" s="49" t="str">
        <f t="shared" ca="1" si="1587"/>
        <v>I do not know what you say</v>
      </c>
      <c r="H1589" s="49" t="str">
        <f t="shared" ca="1" si="1587"/>
        <v>I do not know what you say</v>
      </c>
      <c r="I1589" s="49" t="str">
        <f t="shared" ca="1" si="1587"/>
        <v>I do not know what you say</v>
      </c>
      <c r="J1589" s="49" t="str">
        <f t="shared" ca="1" si="1587"/>
        <v>I do not know what you say</v>
      </c>
    </row>
    <row r="1590" spans="1:10" ht="63.75" x14ac:dyDescent="0.2">
      <c r="A1590" s="41" t="s">
        <v>1188</v>
      </c>
      <c r="B1590" s="40"/>
      <c r="C1590" s="40"/>
      <c r="D1590" s="40"/>
      <c r="E1590" s="40"/>
      <c r="F1590" s="49" t="str">
        <f t="shared" ref="F1590:J1590" ca="1" si="1588">IFERROR(__xludf.DUMMYFUNCTION("if (A1590 &lt;&gt; """", GOOGLETRANSLATE(A1590, ""auto"", ""en""), """")"),"That you have your say do not understand at all")</f>
        <v>That you have your say do not understand at all</v>
      </c>
      <c r="G1590" s="49" t="str">
        <f t="shared" ca="1" si="1588"/>
        <v>That you have your say do not understand at all</v>
      </c>
      <c r="H1590" s="49" t="str">
        <f t="shared" ca="1" si="1588"/>
        <v>That you have your say do not understand at all</v>
      </c>
      <c r="I1590" s="49" t="str">
        <f t="shared" ca="1" si="1588"/>
        <v>That you have your say do not understand at all</v>
      </c>
      <c r="J1590" s="49" t="str">
        <f t="shared" ca="1" si="1588"/>
        <v>That you have your say do not understand at all</v>
      </c>
    </row>
    <row r="1591" spans="1:10" ht="38.25" x14ac:dyDescent="0.2">
      <c r="A1591" s="41" t="s">
        <v>1189</v>
      </c>
      <c r="B1591" s="40"/>
      <c r="C1591" s="40"/>
      <c r="D1591" s="40"/>
      <c r="E1591" s="40"/>
      <c r="F1591" s="49" t="str">
        <f t="shared" ref="F1591:J1591" ca="1" si="1589">IFERROR(__xludf.DUMMYFUNCTION("if (A1591 &lt;&gt; """", GOOGLETRANSLATE(A1591, ""auto"", ""en""), """")"),"I do not understand what it means")</f>
        <v>I do not understand what it means</v>
      </c>
      <c r="G1591" s="49" t="str">
        <f t="shared" ca="1" si="1589"/>
        <v>I do not understand what it means</v>
      </c>
      <c r="H1591" s="49" t="str">
        <f t="shared" ca="1" si="1589"/>
        <v>I do not understand what it means</v>
      </c>
      <c r="I1591" s="49" t="str">
        <f t="shared" ca="1" si="1589"/>
        <v>I do not understand what it means</v>
      </c>
      <c r="J1591" s="49" t="str">
        <f t="shared" ca="1" si="1589"/>
        <v>I do not understand what it means</v>
      </c>
    </row>
    <row r="1592" spans="1:10" ht="25.5" x14ac:dyDescent="0.2">
      <c r="A1592" s="41" t="s">
        <v>1190</v>
      </c>
      <c r="B1592" s="40"/>
      <c r="C1592" s="40"/>
      <c r="D1592" s="40"/>
      <c r="E1592" s="40"/>
      <c r="F1592" s="49" t="str">
        <f t="shared" ref="F1592:J1592" ca="1" si="1590">IFERROR(__xludf.DUMMYFUNCTION("if (A1592 &lt;&gt; """", GOOGLETRANSLATE(A1592, ""auto"", ""en""), """")"),"I do not know what you say")</f>
        <v>I do not know what you say</v>
      </c>
      <c r="G1592" s="49" t="str">
        <f t="shared" ca="1" si="1590"/>
        <v>I do not know what you say</v>
      </c>
      <c r="H1592" s="49" t="str">
        <f t="shared" ca="1" si="1590"/>
        <v>I do not know what you say</v>
      </c>
      <c r="I1592" s="49" t="str">
        <f t="shared" ca="1" si="1590"/>
        <v>I do not know what you say</v>
      </c>
      <c r="J1592" s="49" t="str">
        <f t="shared" ca="1" si="1590"/>
        <v>I do not know what you say</v>
      </c>
    </row>
    <row r="1593" spans="1:10" ht="51" x14ac:dyDescent="0.2">
      <c r="A1593" s="41" t="s">
        <v>1191</v>
      </c>
      <c r="B1593" s="40"/>
      <c r="C1593" s="40"/>
      <c r="D1593" s="40"/>
      <c r="E1593" s="40"/>
      <c r="F1593" s="49" t="str">
        <f t="shared" ref="F1593:J1593" ca="1" si="1591">IFERROR(__xludf.DUMMYFUNCTION("if (A1593 &lt;&gt; """", GOOGLETRANSLATE(A1593, ""auto"", ""en""), """")"),"What you say is always I do not know at all")</f>
        <v>What you say is always I do not know at all</v>
      </c>
      <c r="G1593" s="49" t="str">
        <f t="shared" ca="1" si="1591"/>
        <v>What you say is always I do not know at all</v>
      </c>
      <c r="H1593" s="49" t="str">
        <f t="shared" ca="1" si="1591"/>
        <v>What you say is always I do not know at all</v>
      </c>
      <c r="I1593" s="49" t="str">
        <f t="shared" ca="1" si="1591"/>
        <v>What you say is always I do not know at all</v>
      </c>
      <c r="J1593" s="49" t="str">
        <f t="shared" ca="1" si="1591"/>
        <v>What you say is always I do not know at all</v>
      </c>
    </row>
    <row r="1594" spans="1:10" ht="38.25" x14ac:dyDescent="0.2">
      <c r="A1594" s="41" t="s">
        <v>1192</v>
      </c>
      <c r="B1594" s="40"/>
      <c r="C1594" s="40"/>
      <c r="D1594" s="40"/>
      <c r="E1594" s="40"/>
      <c r="F1594" s="49" t="str">
        <f t="shared" ref="F1594:J1594" ca="1" si="1592">IFERROR(__xludf.DUMMYFUNCTION("if (A1594 &lt;&gt; """", GOOGLETRANSLATE(A1594, ""auto"", ""en""), """")"),"Your I did not know at all to say")</f>
        <v>Your I did not know at all to say</v>
      </c>
      <c r="G1594" s="49" t="str">
        <f t="shared" ca="1" si="1592"/>
        <v>Your I did not know at all to say</v>
      </c>
      <c r="H1594" s="49" t="str">
        <f t="shared" ca="1" si="1592"/>
        <v>Your I did not know at all to say</v>
      </c>
      <c r="I1594" s="49" t="str">
        <f t="shared" ca="1" si="1592"/>
        <v>Your I did not know at all to say</v>
      </c>
      <c r="J1594" s="49" t="str">
        <f t="shared" ca="1" si="1592"/>
        <v>Your I did not know at all to say</v>
      </c>
    </row>
    <row r="1595" spans="1:10" ht="25.5" x14ac:dyDescent="0.2">
      <c r="A1595" s="41" t="s">
        <v>1193</v>
      </c>
      <c r="B1595" s="40"/>
      <c r="C1595" s="40"/>
      <c r="D1595" s="40"/>
      <c r="E1595" s="40"/>
      <c r="F1595" s="49" t="str">
        <f t="shared" ref="F1595:J1595" ca="1" si="1593">IFERROR(__xludf.DUMMYFUNCTION("if (A1595 &lt;&gt; """", GOOGLETRANSLATE(A1595, ""auto"", ""en""), """")"),"So not in the answer")</f>
        <v>So not in the answer</v>
      </c>
      <c r="G1595" s="49" t="str">
        <f t="shared" ca="1" si="1593"/>
        <v>So not in the answer</v>
      </c>
      <c r="H1595" s="49" t="str">
        <f t="shared" ca="1" si="1593"/>
        <v>So not in the answer</v>
      </c>
      <c r="I1595" s="49" t="str">
        <f t="shared" ca="1" si="1593"/>
        <v>So not in the answer</v>
      </c>
      <c r="J1595" s="49" t="str">
        <f t="shared" ca="1" si="1593"/>
        <v>So not in the answer</v>
      </c>
    </row>
    <row r="1596" spans="1:10" ht="38.25" x14ac:dyDescent="0.2">
      <c r="A1596" s="41" t="s">
        <v>1194</v>
      </c>
      <c r="B1596" s="40"/>
      <c r="C1596" s="40"/>
      <c r="D1596" s="40"/>
      <c r="E1596" s="40"/>
      <c r="F1596" s="49" t="str">
        <f t="shared" ref="F1596:J1596" ca="1" si="1594">IFERROR(__xludf.DUMMYFUNCTION("if (A1596 &lt;&gt; """", GOOGLETRANSLATE(A1596, ""auto"", ""en""), """")"),"I do not know the meaning at all")</f>
        <v>I do not know the meaning at all</v>
      </c>
      <c r="G1596" s="49" t="str">
        <f t="shared" ca="1" si="1594"/>
        <v>I do not know the meaning at all</v>
      </c>
      <c r="H1596" s="49" t="str">
        <f t="shared" ca="1" si="1594"/>
        <v>I do not know the meaning at all</v>
      </c>
      <c r="I1596" s="49" t="str">
        <f t="shared" ca="1" si="1594"/>
        <v>I do not know the meaning at all</v>
      </c>
      <c r="J1596" s="49" t="str">
        <f t="shared" ca="1" si="1594"/>
        <v>I do not know the meaning at all</v>
      </c>
    </row>
    <row r="1597" spans="1:10" ht="12.75" x14ac:dyDescent="0.2">
      <c r="A1597" s="40"/>
      <c r="B1597" s="40"/>
      <c r="C1597" s="40"/>
      <c r="D1597" s="40"/>
      <c r="E1597" s="40"/>
      <c r="F1597" s="49" t="str">
        <f t="shared" ref="F1597:J1597" ca="1" si="1595">IFERROR(__xludf.DUMMYFUNCTION("if (A1597 &lt;&gt; """", GOOGLETRANSLATE(A1597, ""auto"", ""en""), """")"),"")</f>
        <v/>
      </c>
      <c r="G1597" s="49" t="str">
        <f t="shared" ca="1" si="1595"/>
        <v/>
      </c>
      <c r="H1597" s="49" t="str">
        <f t="shared" ca="1" si="1595"/>
        <v/>
      </c>
      <c r="I1597" s="49" t="str">
        <f t="shared" ca="1" si="1595"/>
        <v/>
      </c>
      <c r="J1597" s="49" t="str">
        <f t="shared" ca="1" si="1595"/>
        <v/>
      </c>
    </row>
    <row r="1598" spans="1:10" ht="38.25" x14ac:dyDescent="0.2">
      <c r="A1598" s="41" t="s">
        <v>1195</v>
      </c>
      <c r="B1598" s="40"/>
      <c r="C1598" s="40"/>
      <c r="D1598" s="40"/>
      <c r="E1598" s="40"/>
      <c r="F1598" s="49" t="str">
        <f t="shared" ref="F1598:J1598" ca="1" si="1596">IFERROR(__xludf.DUMMYFUNCTION("if (A1598 &lt;&gt; """", GOOGLETRANSLATE(A1598, ""auto"", ""en""), """")"),"smalltalk.agent.not_my_friend")</f>
        <v>smalltalk.agent.not_my_friend</v>
      </c>
      <c r="G1598" s="49" t="str">
        <f t="shared" ca="1" si="1596"/>
        <v>smalltalk.agent.not_my_friend</v>
      </c>
      <c r="H1598" s="49" t="str">
        <f t="shared" ca="1" si="1596"/>
        <v>smalltalk.agent.not_my_friend</v>
      </c>
      <c r="I1598" s="49" t="str">
        <f t="shared" ca="1" si="1596"/>
        <v>smalltalk.agent.not_my_friend</v>
      </c>
      <c r="J1598" s="49" t="str">
        <f t="shared" ca="1" si="1596"/>
        <v>smalltalk.agent.not_my_friend</v>
      </c>
    </row>
    <row r="1599" spans="1:10" ht="12.75" x14ac:dyDescent="0.2">
      <c r="A1599" s="40"/>
      <c r="B1599" s="41" t="s">
        <v>398</v>
      </c>
      <c r="C1599" s="40"/>
      <c r="D1599" s="40"/>
      <c r="E1599" s="40"/>
      <c r="F1599" s="49" t="str">
        <f t="shared" ref="F1599:J1599" ca="1" si="1597">IFERROR(__xludf.DUMMYFUNCTION("if (A1599 &lt;&gt; """", GOOGLETRANSLATE(A1599, ""auto"", ""en""), """")"),"")</f>
        <v/>
      </c>
      <c r="G1599" s="49" t="str">
        <f t="shared" ca="1" si="1597"/>
        <v/>
      </c>
      <c r="H1599" s="49" t="str">
        <f t="shared" ca="1" si="1597"/>
        <v/>
      </c>
      <c r="I1599" s="49" t="str">
        <f t="shared" ca="1" si="1597"/>
        <v/>
      </c>
      <c r="J1599" s="49" t="str">
        <f t="shared" ca="1" si="1597"/>
        <v/>
      </c>
    </row>
    <row r="1600" spans="1:10" ht="12.75" x14ac:dyDescent="0.2">
      <c r="A1600" s="40"/>
      <c r="B1600" s="41" t="s">
        <v>399</v>
      </c>
      <c r="C1600" s="40"/>
      <c r="D1600" s="40"/>
      <c r="E1600" s="40"/>
      <c r="F1600" s="49" t="str">
        <f t="shared" ref="F1600:J1600" ca="1" si="1598">IFERROR(__xludf.DUMMYFUNCTION("if (A1600 &lt;&gt; """", GOOGLETRANSLATE(A1600, ""auto"", ""en""), """")"),"")</f>
        <v/>
      </c>
      <c r="G1600" s="49" t="str">
        <f t="shared" ca="1" si="1598"/>
        <v/>
      </c>
      <c r="H1600" s="49" t="str">
        <f t="shared" ca="1" si="1598"/>
        <v/>
      </c>
      <c r="I1600" s="49" t="str">
        <f t="shared" ca="1" si="1598"/>
        <v/>
      </c>
      <c r="J1600" s="49" t="str">
        <f t="shared" ca="1" si="1598"/>
        <v/>
      </c>
    </row>
    <row r="1601" spans="1:10" ht="12.75" x14ac:dyDescent="0.2">
      <c r="A1601" s="40"/>
      <c r="B1601" s="41" t="s">
        <v>400</v>
      </c>
      <c r="C1601" s="41" t="s">
        <v>1195</v>
      </c>
      <c r="D1601" s="40"/>
      <c r="E1601" s="40"/>
      <c r="F1601" s="49" t="str">
        <f t="shared" ref="F1601:J1601" ca="1" si="1599">IFERROR(__xludf.DUMMYFUNCTION("if (A1601 &lt;&gt; """", GOOGLETRANSLATE(A1601, ""auto"", ""en""), """")"),"")</f>
        <v/>
      </c>
      <c r="G1601" s="49" t="str">
        <f t="shared" ca="1" si="1599"/>
        <v/>
      </c>
      <c r="H1601" s="49" t="str">
        <f t="shared" ca="1" si="1599"/>
        <v/>
      </c>
      <c r="I1601" s="49" t="str">
        <f t="shared" ca="1" si="1599"/>
        <v/>
      </c>
      <c r="J1601" s="49" t="str">
        <f t="shared" ca="1" si="1599"/>
        <v/>
      </c>
    </row>
    <row r="1602" spans="1:10" ht="12.75" x14ac:dyDescent="0.2">
      <c r="A1602" s="40"/>
      <c r="B1602" s="41" t="s">
        <v>401</v>
      </c>
      <c r="C1602" s="40"/>
      <c r="D1602" s="40"/>
      <c r="E1602" s="40"/>
      <c r="F1602" s="49" t="str">
        <f t="shared" ref="F1602:J1602" ca="1" si="1600">IFERROR(__xludf.DUMMYFUNCTION("if (A1602 &lt;&gt; """", GOOGLETRANSLATE(A1602, ""auto"", ""en""), """")"),"")</f>
        <v/>
      </c>
      <c r="G1602" s="49" t="str">
        <f t="shared" ca="1" si="1600"/>
        <v/>
      </c>
      <c r="H1602" s="49" t="str">
        <f t="shared" ca="1" si="1600"/>
        <v/>
      </c>
      <c r="I1602" s="49" t="str">
        <f t="shared" ca="1" si="1600"/>
        <v/>
      </c>
      <c r="J1602" s="49" t="str">
        <f t="shared" ca="1" si="1600"/>
        <v/>
      </c>
    </row>
    <row r="1603" spans="1:10" ht="38.25" x14ac:dyDescent="0.2">
      <c r="A1603" s="41" t="s">
        <v>1196</v>
      </c>
      <c r="B1603" s="41" t="s">
        <v>402</v>
      </c>
      <c r="C1603" s="41" t="s">
        <v>1197</v>
      </c>
      <c r="D1603" s="40"/>
      <c r="E1603" s="40"/>
      <c r="F1603" s="49" t="str">
        <f t="shared" ref="F1603:J1603" ca="1" si="1601">IFERROR(__xludf.DUMMYFUNCTION("if (A1603 &lt;&gt; """", GOOGLETRANSLATE(A1603, ""auto"", ""en""), """")"),"You are not a close friend")</f>
        <v>You are not a close friend</v>
      </c>
      <c r="G1603" s="49" t="str">
        <f t="shared" ca="1" si="1601"/>
        <v>You are not a close friend</v>
      </c>
      <c r="H1603" s="49" t="str">
        <f t="shared" ca="1" si="1601"/>
        <v>You are not a close friend</v>
      </c>
      <c r="I1603" s="49" t="str">
        <f t="shared" ca="1" si="1601"/>
        <v>You are not a close friend</v>
      </c>
      <c r="J1603" s="49" t="str">
        <f t="shared" ca="1" si="1601"/>
        <v>You are not a close friend</v>
      </c>
    </row>
    <row r="1604" spans="1:10" ht="25.5" x14ac:dyDescent="0.2">
      <c r="A1604" s="41" t="s">
        <v>1198</v>
      </c>
      <c r="B1604" s="40"/>
      <c r="C1604" s="40"/>
      <c r="D1604" s="40"/>
      <c r="E1604" s="40"/>
      <c r="F1604" s="49" t="str">
        <f t="shared" ref="F1604:J1604" ca="1" si="1602">IFERROR(__xludf.DUMMYFUNCTION("if (A1604 &lt;&gt; """", GOOGLETRANSLATE(A1604, ""auto"", ""en""), """")"),"Not a friend to each other")</f>
        <v>Not a friend to each other</v>
      </c>
      <c r="G1604" s="49" t="str">
        <f t="shared" ca="1" si="1602"/>
        <v>Not a friend to each other</v>
      </c>
      <c r="H1604" s="49" t="str">
        <f t="shared" ca="1" si="1602"/>
        <v>Not a friend to each other</v>
      </c>
      <c r="I1604" s="49" t="str">
        <f t="shared" ca="1" si="1602"/>
        <v>Not a friend to each other</v>
      </c>
      <c r="J1604" s="49" t="str">
        <f t="shared" ca="1" si="1602"/>
        <v>Not a friend to each other</v>
      </c>
    </row>
    <row r="1605" spans="1:10" ht="38.25" x14ac:dyDescent="0.2">
      <c r="A1605" s="41" t="s">
        <v>1199</v>
      </c>
      <c r="B1605" s="40"/>
      <c r="C1605" s="40"/>
      <c r="D1605" s="40"/>
      <c r="E1605" s="40"/>
      <c r="F1605" s="49" t="str">
        <f t="shared" ref="F1605:J1605" ca="1" si="1603">IFERROR(__xludf.DUMMYFUNCTION("if (A1605 &lt;&gt; """", GOOGLETRANSLATE(A1605, ""auto"", ""en""), """")"),"I did not become a Friend")</f>
        <v>I did not become a Friend</v>
      </c>
      <c r="G1605" s="49" t="str">
        <f t="shared" ca="1" si="1603"/>
        <v>I did not become a Friend</v>
      </c>
      <c r="H1605" s="49" t="str">
        <f t="shared" ca="1" si="1603"/>
        <v>I did not become a Friend</v>
      </c>
      <c r="I1605" s="49" t="str">
        <f t="shared" ca="1" si="1603"/>
        <v>I did not become a Friend</v>
      </c>
      <c r="J1605" s="49" t="str">
        <f t="shared" ca="1" si="1603"/>
        <v>I did not become a Friend</v>
      </c>
    </row>
    <row r="1606" spans="1:10" ht="25.5" x14ac:dyDescent="0.2">
      <c r="A1606" s="41" t="s">
        <v>1200</v>
      </c>
      <c r="B1606" s="40"/>
      <c r="C1606" s="40"/>
      <c r="D1606" s="40"/>
      <c r="E1606" s="40"/>
      <c r="F1606" s="49" t="str">
        <f t="shared" ref="F1606:J1606" ca="1" si="1604">IFERROR(__xludf.DUMMYFUNCTION("if (A1606 &lt;&gt; """", GOOGLETRANSLATE(A1606, ""auto"", ""en""), """")"),"You are not a friend")</f>
        <v>You are not a friend</v>
      </c>
      <c r="G1606" s="49" t="str">
        <f t="shared" ca="1" si="1604"/>
        <v>You are not a friend</v>
      </c>
      <c r="H1606" s="49" t="str">
        <f t="shared" ca="1" si="1604"/>
        <v>You are not a friend</v>
      </c>
      <c r="I1606" s="49" t="str">
        <f t="shared" ca="1" si="1604"/>
        <v>You are not a friend</v>
      </c>
      <c r="J1606" s="49" t="str">
        <f t="shared" ca="1" si="1604"/>
        <v>You are not a friend</v>
      </c>
    </row>
    <row r="1607" spans="1:10" ht="25.5" x14ac:dyDescent="0.2">
      <c r="A1607" s="41" t="s">
        <v>1201</v>
      </c>
      <c r="B1607" s="40"/>
      <c r="C1607" s="40"/>
      <c r="D1607" s="40"/>
      <c r="E1607" s="40"/>
      <c r="F1607" s="49" t="str">
        <f t="shared" ref="F1607:J1607" ca="1" si="1605">IFERROR(__xludf.DUMMYFUNCTION("if (A1607 &lt;&gt; """", GOOGLETRANSLATE(A1607, ""auto"", ""en""), """")"),"You're not close friends")</f>
        <v>You're not close friends</v>
      </c>
      <c r="G1607" s="49" t="str">
        <f t="shared" ca="1" si="1605"/>
        <v>You're not close friends</v>
      </c>
      <c r="H1607" s="49" t="str">
        <f t="shared" ca="1" si="1605"/>
        <v>You're not close friends</v>
      </c>
      <c r="I1607" s="49" t="str">
        <f t="shared" ca="1" si="1605"/>
        <v>You're not close friends</v>
      </c>
      <c r="J1607" s="49" t="str">
        <f t="shared" ca="1" si="1605"/>
        <v>You're not close friends</v>
      </c>
    </row>
    <row r="1608" spans="1:10" ht="25.5" x14ac:dyDescent="0.2">
      <c r="A1608" s="41" t="s">
        <v>1202</v>
      </c>
      <c r="B1608" s="40"/>
      <c r="C1608" s="40"/>
      <c r="D1608" s="40"/>
      <c r="E1608" s="40"/>
      <c r="F1608" s="49" t="str">
        <f t="shared" ref="F1608:J1608" ca="1" si="1606">IFERROR(__xludf.DUMMYFUNCTION("if (A1608 &lt;&gt; """", GOOGLETRANSLATE(A1608, ""auto"", ""en""), """")"),"You and I are not friends")</f>
        <v>You and I are not friends</v>
      </c>
      <c r="G1608" s="49" t="str">
        <f t="shared" ca="1" si="1606"/>
        <v>You and I are not friends</v>
      </c>
      <c r="H1608" s="49" t="str">
        <f t="shared" ca="1" si="1606"/>
        <v>You and I are not friends</v>
      </c>
      <c r="I1608" s="49" t="str">
        <f t="shared" ca="1" si="1606"/>
        <v>You and I are not friends</v>
      </c>
      <c r="J1608" s="49" t="str">
        <f t="shared" ca="1" si="1606"/>
        <v>You and I are not friends</v>
      </c>
    </row>
    <row r="1609" spans="1:10" ht="38.25" x14ac:dyDescent="0.2">
      <c r="A1609" s="41" t="s">
        <v>1203</v>
      </c>
      <c r="B1609" s="40"/>
      <c r="C1609" s="40"/>
      <c r="D1609" s="40"/>
      <c r="E1609" s="40"/>
      <c r="F1609" s="49" t="str">
        <f t="shared" ref="F1609:J1609" ca="1" si="1607">IFERROR(__xludf.DUMMYFUNCTION("if (A1609 &lt;&gt; """", GOOGLETRANSLATE(A1609, ""auto"", ""en""), """")"),"We do not anymore friends")</f>
        <v>We do not anymore friends</v>
      </c>
      <c r="G1609" s="49" t="str">
        <f t="shared" ca="1" si="1607"/>
        <v>We do not anymore friends</v>
      </c>
      <c r="H1609" s="49" t="str">
        <f t="shared" ca="1" si="1607"/>
        <v>We do not anymore friends</v>
      </c>
      <c r="I1609" s="49" t="str">
        <f t="shared" ca="1" si="1607"/>
        <v>We do not anymore friends</v>
      </c>
      <c r="J1609" s="49" t="str">
        <f t="shared" ca="1" si="1607"/>
        <v>We do not anymore friends</v>
      </c>
    </row>
    <row r="1610" spans="1:10" ht="38.25" x14ac:dyDescent="0.2">
      <c r="A1610" s="41" t="s">
        <v>1204</v>
      </c>
      <c r="B1610" s="40"/>
      <c r="C1610" s="40"/>
      <c r="D1610" s="40"/>
      <c r="E1610" s="40"/>
      <c r="F1610" s="49" t="str">
        <f t="shared" ref="F1610:J1610" ca="1" si="1608">IFERROR(__xludf.DUMMYFUNCTION("if (A1610 &lt;&gt; """", GOOGLETRANSLATE(A1610, ""auto"", ""en""), """")"),"You are not my friends Once was")</f>
        <v>You are not my friends Once was</v>
      </c>
      <c r="G1610" s="49" t="str">
        <f t="shared" ca="1" si="1608"/>
        <v>You are not my friends Once was</v>
      </c>
      <c r="H1610" s="49" t="str">
        <f t="shared" ca="1" si="1608"/>
        <v>You are not my friends Once was</v>
      </c>
      <c r="I1610" s="49" t="str">
        <f t="shared" ca="1" si="1608"/>
        <v>You are not my friends Once was</v>
      </c>
      <c r="J1610" s="49" t="str">
        <f t="shared" ca="1" si="1608"/>
        <v>You are not my friends Once was</v>
      </c>
    </row>
    <row r="1611" spans="1:10" ht="38.25" x14ac:dyDescent="0.2">
      <c r="A1611" s="41" t="s">
        <v>1205</v>
      </c>
      <c r="B1611" s="40"/>
      <c r="C1611" s="40"/>
      <c r="D1611" s="40"/>
      <c r="E1611" s="40"/>
      <c r="F1611" s="49" t="str">
        <f t="shared" ref="F1611:J1611" ca="1" si="1609">IFERROR(__xludf.DUMMYFUNCTION("if (A1611 &lt;&gt; """", GOOGLETRANSLATE(A1611, ""auto"", ""en""), """")"),"You're not anymore my friends")</f>
        <v>You're not anymore my friends</v>
      </c>
      <c r="G1611" s="49" t="str">
        <f t="shared" ca="1" si="1609"/>
        <v>You're not anymore my friends</v>
      </c>
      <c r="H1611" s="49" t="str">
        <f t="shared" ca="1" si="1609"/>
        <v>You're not anymore my friends</v>
      </c>
      <c r="I1611" s="49" t="str">
        <f t="shared" ca="1" si="1609"/>
        <v>You're not anymore my friends</v>
      </c>
      <c r="J1611" s="49" t="str">
        <f t="shared" ca="1" si="1609"/>
        <v>You're not anymore my friends</v>
      </c>
    </row>
    <row r="1612" spans="1:10" ht="38.25" x14ac:dyDescent="0.2">
      <c r="A1612" s="41" t="s">
        <v>1206</v>
      </c>
      <c r="B1612" s="40"/>
      <c r="C1612" s="40"/>
      <c r="D1612" s="40"/>
      <c r="E1612" s="40"/>
      <c r="F1612" s="49" t="str">
        <f t="shared" ref="F1612:J1612" ca="1" si="1610">IFERROR(__xludf.DUMMYFUNCTION("if (A1612 &lt;&gt; """", GOOGLETRANSLATE(A1612, ""auto"", ""en""), """")"),"And you could not bring your friends")</f>
        <v>And you could not bring your friends</v>
      </c>
      <c r="G1612" s="49" t="str">
        <f t="shared" ca="1" si="1610"/>
        <v>And you could not bring your friends</v>
      </c>
      <c r="H1612" s="49" t="str">
        <f t="shared" ca="1" si="1610"/>
        <v>And you could not bring your friends</v>
      </c>
      <c r="I1612" s="49" t="str">
        <f t="shared" ca="1" si="1610"/>
        <v>And you could not bring your friends</v>
      </c>
      <c r="J1612" s="49" t="str">
        <f t="shared" ca="1" si="1610"/>
        <v>And you could not bring your friends</v>
      </c>
    </row>
    <row r="1613" spans="1:10" ht="12.75" x14ac:dyDescent="0.2">
      <c r="A1613" s="40"/>
      <c r="B1613" s="40"/>
      <c r="C1613" s="40"/>
      <c r="D1613" s="40"/>
      <c r="E1613" s="40"/>
      <c r="F1613" s="49" t="str">
        <f t="shared" ref="F1613:J1613" ca="1" si="1611">IFERROR(__xludf.DUMMYFUNCTION("if (A1613 &lt;&gt; """", GOOGLETRANSLATE(A1613, ""auto"", ""en""), """")"),"")</f>
        <v/>
      </c>
      <c r="G1613" s="49" t="str">
        <f t="shared" ca="1" si="1611"/>
        <v/>
      </c>
      <c r="H1613" s="49" t="str">
        <f t="shared" ca="1" si="1611"/>
        <v/>
      </c>
      <c r="I1613" s="49" t="str">
        <f t="shared" ca="1" si="1611"/>
        <v/>
      </c>
      <c r="J1613" s="49" t="str">
        <f t="shared" ca="1" si="1611"/>
        <v/>
      </c>
    </row>
    <row r="1614" spans="1:10" ht="25.5" x14ac:dyDescent="0.2">
      <c r="A1614" s="41" t="s">
        <v>1207</v>
      </c>
      <c r="B1614" s="40"/>
      <c r="C1614" s="40"/>
      <c r="D1614" s="40"/>
      <c r="E1614" s="40"/>
      <c r="F1614" s="49" t="str">
        <f t="shared" ref="F1614:J1614" ca="1" si="1612">IFERROR(__xludf.DUMMYFUNCTION("if (A1614 &lt;&gt; """", GOOGLETRANSLATE(A1614, ""auto"", ""en""), """")"),"smalltalk.agent.occupation")</f>
        <v>smalltalk.agent.occupation</v>
      </c>
      <c r="G1614" s="49" t="str">
        <f t="shared" ca="1" si="1612"/>
        <v>smalltalk.agent.occupation</v>
      </c>
      <c r="H1614" s="49" t="str">
        <f t="shared" ca="1" si="1612"/>
        <v>smalltalk.agent.occupation</v>
      </c>
      <c r="I1614" s="49" t="str">
        <f t="shared" ca="1" si="1612"/>
        <v>smalltalk.agent.occupation</v>
      </c>
      <c r="J1614" s="49" t="str">
        <f t="shared" ca="1" si="1612"/>
        <v>smalltalk.agent.occupation</v>
      </c>
    </row>
    <row r="1615" spans="1:10" ht="12.75" x14ac:dyDescent="0.2">
      <c r="A1615" s="40"/>
      <c r="B1615" s="41" t="s">
        <v>398</v>
      </c>
      <c r="C1615" s="40"/>
      <c r="D1615" s="40"/>
      <c r="E1615" s="40"/>
      <c r="F1615" s="49" t="str">
        <f t="shared" ref="F1615:J1615" ca="1" si="1613">IFERROR(__xludf.DUMMYFUNCTION("if (A1615 &lt;&gt; """", GOOGLETRANSLATE(A1615, ""auto"", ""en""), """")"),"")</f>
        <v/>
      </c>
      <c r="G1615" s="49" t="str">
        <f t="shared" ca="1" si="1613"/>
        <v/>
      </c>
      <c r="H1615" s="49" t="str">
        <f t="shared" ca="1" si="1613"/>
        <v/>
      </c>
      <c r="I1615" s="49" t="str">
        <f t="shared" ca="1" si="1613"/>
        <v/>
      </c>
      <c r="J1615" s="49" t="str">
        <f t="shared" ca="1" si="1613"/>
        <v/>
      </c>
    </row>
    <row r="1616" spans="1:10" ht="12.75" x14ac:dyDescent="0.2">
      <c r="A1616" s="40"/>
      <c r="B1616" s="41" t="s">
        <v>399</v>
      </c>
      <c r="C1616" s="40"/>
      <c r="D1616" s="40"/>
      <c r="E1616" s="40"/>
      <c r="F1616" s="49" t="str">
        <f t="shared" ref="F1616:J1616" ca="1" si="1614">IFERROR(__xludf.DUMMYFUNCTION("if (A1616 &lt;&gt; """", GOOGLETRANSLATE(A1616, ""auto"", ""en""), """")"),"")</f>
        <v/>
      </c>
      <c r="G1616" s="49" t="str">
        <f t="shared" ca="1" si="1614"/>
        <v/>
      </c>
      <c r="H1616" s="49" t="str">
        <f t="shared" ca="1" si="1614"/>
        <v/>
      </c>
      <c r="I1616" s="49" t="str">
        <f t="shared" ca="1" si="1614"/>
        <v/>
      </c>
      <c r="J1616" s="49" t="str">
        <f t="shared" ca="1" si="1614"/>
        <v/>
      </c>
    </row>
    <row r="1617" spans="1:10" ht="12.75" x14ac:dyDescent="0.2">
      <c r="A1617" s="40"/>
      <c r="B1617" s="41" t="s">
        <v>400</v>
      </c>
      <c r="C1617" s="41" t="s">
        <v>1207</v>
      </c>
      <c r="D1617" s="40"/>
      <c r="E1617" s="40"/>
      <c r="F1617" s="49" t="str">
        <f t="shared" ref="F1617:J1617" ca="1" si="1615">IFERROR(__xludf.DUMMYFUNCTION("if (A1617 &lt;&gt; """", GOOGLETRANSLATE(A1617, ""auto"", ""en""), """")"),"")</f>
        <v/>
      </c>
      <c r="G1617" s="49" t="str">
        <f t="shared" ca="1" si="1615"/>
        <v/>
      </c>
      <c r="H1617" s="49" t="str">
        <f t="shared" ca="1" si="1615"/>
        <v/>
      </c>
      <c r="I1617" s="49" t="str">
        <f t="shared" ca="1" si="1615"/>
        <v/>
      </c>
      <c r="J1617" s="49" t="str">
        <f t="shared" ca="1" si="1615"/>
        <v/>
      </c>
    </row>
    <row r="1618" spans="1:10" ht="12.75" x14ac:dyDescent="0.2">
      <c r="A1618" s="40"/>
      <c r="B1618" s="41" t="s">
        <v>401</v>
      </c>
      <c r="C1618" s="40"/>
      <c r="D1618" s="40"/>
      <c r="E1618" s="40"/>
      <c r="F1618" s="49" t="str">
        <f t="shared" ref="F1618:J1618" ca="1" si="1616">IFERROR(__xludf.DUMMYFUNCTION("if (A1618 &lt;&gt; """", GOOGLETRANSLATE(A1618, ""auto"", ""en""), """")"),"")</f>
        <v/>
      </c>
      <c r="G1618" s="49" t="str">
        <f t="shared" ca="1" si="1616"/>
        <v/>
      </c>
      <c r="H1618" s="49" t="str">
        <f t="shared" ca="1" si="1616"/>
        <v/>
      </c>
      <c r="I1618" s="49" t="str">
        <f t="shared" ca="1" si="1616"/>
        <v/>
      </c>
      <c r="J1618" s="49" t="str">
        <f t="shared" ca="1" si="1616"/>
        <v/>
      </c>
    </row>
    <row r="1619" spans="1:10" ht="51" x14ac:dyDescent="0.2">
      <c r="A1619" s="41" t="s">
        <v>1208</v>
      </c>
      <c r="B1619" s="41" t="s">
        <v>402</v>
      </c>
      <c r="C1619" s="41" t="s">
        <v>1209</v>
      </c>
      <c r="D1619" s="40"/>
      <c r="E1619" s="40"/>
      <c r="F1619" s="49" t="str">
        <f t="shared" ref="F1619:J1619" ca="1" si="1617">IFERROR(__xludf.DUMMYFUNCTION("if (A1619 &lt;&gt; """", GOOGLETRANSLATE(A1619, ""auto"", ""en""), """")"),"What work")</f>
        <v>What work</v>
      </c>
      <c r="G1619" s="49" t="str">
        <f t="shared" ca="1" si="1617"/>
        <v>What work</v>
      </c>
      <c r="H1619" s="49" t="str">
        <f t="shared" ca="1" si="1617"/>
        <v>What work</v>
      </c>
      <c r="I1619" s="49" t="str">
        <f t="shared" ca="1" si="1617"/>
        <v>What work</v>
      </c>
      <c r="J1619" s="49" t="str">
        <f t="shared" ca="1" si="1617"/>
        <v>What work</v>
      </c>
    </row>
    <row r="1620" spans="1:10" ht="25.5" x14ac:dyDescent="0.2">
      <c r="A1620" s="41" t="s">
        <v>1210</v>
      </c>
      <c r="B1620" s="40"/>
      <c r="C1620" s="40"/>
      <c r="D1620" s="40"/>
      <c r="E1620" s="40"/>
      <c r="F1620" s="49" t="str">
        <f t="shared" ref="F1620:J1620" ca="1" si="1618">IFERROR(__xludf.DUMMYFUNCTION("if (A1620 &lt;&gt; """", GOOGLETRANSLATE(A1620, ""auto"", ""en""), """")"),"What is the job?")</f>
        <v>What is the job?</v>
      </c>
      <c r="G1620" s="49" t="str">
        <f t="shared" ca="1" si="1618"/>
        <v>What is the job?</v>
      </c>
      <c r="H1620" s="49" t="str">
        <f t="shared" ca="1" si="1618"/>
        <v>What is the job?</v>
      </c>
      <c r="I1620" s="49" t="str">
        <f t="shared" ca="1" si="1618"/>
        <v>What is the job?</v>
      </c>
      <c r="J1620" s="49" t="str">
        <f t="shared" ca="1" si="1618"/>
        <v>What is the job?</v>
      </c>
    </row>
    <row r="1621" spans="1:10" ht="12.75" x14ac:dyDescent="0.2">
      <c r="A1621" s="41" t="s">
        <v>1211</v>
      </c>
      <c r="B1621" s="40"/>
      <c r="C1621" s="40"/>
      <c r="D1621" s="40"/>
      <c r="E1621" s="40"/>
      <c r="F1621" s="49" t="str">
        <f t="shared" ref="F1621:J1621" ca="1" si="1619">IFERROR(__xludf.DUMMYFUNCTION("if (A1621 &lt;&gt; """", GOOGLETRANSLATE(A1621, ""auto"", ""en""), """")"),"What work")</f>
        <v>What work</v>
      </c>
      <c r="G1621" s="49" t="str">
        <f t="shared" ca="1" si="1619"/>
        <v>What work</v>
      </c>
      <c r="H1621" s="49" t="str">
        <f t="shared" ca="1" si="1619"/>
        <v>What work</v>
      </c>
      <c r="I1621" s="49" t="str">
        <f t="shared" ca="1" si="1619"/>
        <v>What work</v>
      </c>
      <c r="J1621" s="49" t="str">
        <f t="shared" ca="1" si="1619"/>
        <v>What work</v>
      </c>
    </row>
    <row r="1622" spans="1:10" ht="12.75" x14ac:dyDescent="0.2">
      <c r="A1622" s="41" t="s">
        <v>1212</v>
      </c>
      <c r="B1622" s="40"/>
      <c r="C1622" s="40"/>
      <c r="D1622" s="40"/>
      <c r="E1622" s="40"/>
      <c r="F1622" s="49" t="str">
        <f t="shared" ref="F1622:J1622" ca="1" si="1620">IFERROR(__xludf.DUMMYFUNCTION("if (A1622 &lt;&gt; """", GOOGLETRANSLATE(A1622, ""auto"", ""en""), """")"),"What your job")</f>
        <v>What your job</v>
      </c>
      <c r="G1622" s="49" t="str">
        <f t="shared" ca="1" si="1620"/>
        <v>What your job</v>
      </c>
      <c r="H1622" s="49" t="str">
        <f t="shared" ca="1" si="1620"/>
        <v>What your job</v>
      </c>
      <c r="I1622" s="49" t="str">
        <f t="shared" ca="1" si="1620"/>
        <v>What your job</v>
      </c>
      <c r="J1622" s="49" t="str">
        <f t="shared" ca="1" si="1620"/>
        <v>What your job</v>
      </c>
    </row>
    <row r="1623" spans="1:10" ht="25.5" x14ac:dyDescent="0.2">
      <c r="A1623" s="41" t="s">
        <v>1213</v>
      </c>
      <c r="B1623" s="40"/>
      <c r="C1623" s="40"/>
      <c r="D1623" s="40"/>
      <c r="E1623" s="40"/>
      <c r="F1623" s="49" t="str">
        <f t="shared" ref="F1623:J1623" ca="1" si="1621">IFERROR(__xludf.DUMMYFUNCTION("if (A1623 &lt;&gt; """", GOOGLETRANSLATE(A1623, ""auto"", ""en""), """")"),"Are you what your job")</f>
        <v>Are you what your job</v>
      </c>
      <c r="G1623" s="49" t="str">
        <f t="shared" ca="1" si="1621"/>
        <v>Are you what your job</v>
      </c>
      <c r="H1623" s="49" t="str">
        <f t="shared" ca="1" si="1621"/>
        <v>Are you what your job</v>
      </c>
      <c r="I1623" s="49" t="str">
        <f t="shared" ca="1" si="1621"/>
        <v>Are you what your job</v>
      </c>
      <c r="J1623" s="49" t="str">
        <f t="shared" ca="1" si="1621"/>
        <v>Are you what your job</v>
      </c>
    </row>
    <row r="1624" spans="1:10" ht="25.5" x14ac:dyDescent="0.2">
      <c r="A1624" s="41" t="s">
        <v>1214</v>
      </c>
      <c r="B1624" s="40"/>
      <c r="C1624" s="40"/>
      <c r="D1624" s="40"/>
      <c r="E1624" s="40"/>
      <c r="F1624" s="49" t="str">
        <f t="shared" ref="F1624:J1624" ca="1" si="1622">IFERROR(__xludf.DUMMYFUNCTION("if (A1624 &lt;&gt; """", GOOGLETRANSLATE(A1624, ""auto"", ""en""), """")"),"Are you what work")</f>
        <v>Are you what work</v>
      </c>
      <c r="G1624" s="49" t="str">
        <f t="shared" ca="1" si="1622"/>
        <v>Are you what work</v>
      </c>
      <c r="H1624" s="49" t="str">
        <f t="shared" ca="1" si="1622"/>
        <v>Are you what work</v>
      </c>
      <c r="I1624" s="49" t="str">
        <f t="shared" ca="1" si="1622"/>
        <v>Are you what work</v>
      </c>
      <c r="J1624" s="49" t="str">
        <f t="shared" ca="1" si="1622"/>
        <v>Are you what work</v>
      </c>
    </row>
    <row r="1625" spans="1:10" ht="12.75" x14ac:dyDescent="0.2">
      <c r="A1625" s="41" t="s">
        <v>1215</v>
      </c>
      <c r="B1625" s="40"/>
      <c r="C1625" s="40"/>
      <c r="D1625" s="40"/>
      <c r="E1625" s="40"/>
      <c r="F1625" s="49" t="str">
        <f t="shared" ref="F1625:J1625" ca="1" si="1623">IFERROR(__xludf.DUMMYFUNCTION("if (A1625 &lt;&gt; """", GOOGLETRANSLATE(A1625, ""auto"", ""en""), """")"),"What job")</f>
        <v>What job</v>
      </c>
      <c r="G1625" s="49" t="str">
        <f t="shared" ca="1" si="1623"/>
        <v>What job</v>
      </c>
      <c r="H1625" s="49" t="str">
        <f t="shared" ca="1" si="1623"/>
        <v>What job</v>
      </c>
      <c r="I1625" s="49" t="str">
        <f t="shared" ca="1" si="1623"/>
        <v>What job</v>
      </c>
      <c r="J1625" s="49" t="str">
        <f t="shared" ca="1" si="1623"/>
        <v>What job</v>
      </c>
    </row>
    <row r="1626" spans="1:10" ht="12.75" x14ac:dyDescent="0.2">
      <c r="A1626" s="41" t="s">
        <v>1216</v>
      </c>
      <c r="B1626" s="40"/>
      <c r="C1626" s="40"/>
      <c r="D1626" s="40"/>
      <c r="E1626" s="40"/>
      <c r="F1626" s="49" t="str">
        <f t="shared" ref="F1626:J1626" ca="1" si="1624">IFERROR(__xludf.DUMMYFUNCTION("if (A1626 &lt;&gt; """", GOOGLETRANSLATE(A1626, ""auto"", ""en""), """")"),"What your job")</f>
        <v>What your job</v>
      </c>
      <c r="G1626" s="49" t="str">
        <f t="shared" ca="1" si="1624"/>
        <v>What your job</v>
      </c>
      <c r="H1626" s="49" t="str">
        <f t="shared" ca="1" si="1624"/>
        <v>What your job</v>
      </c>
      <c r="I1626" s="49" t="str">
        <f t="shared" ca="1" si="1624"/>
        <v>What your job</v>
      </c>
      <c r="J1626" s="49" t="str">
        <f t="shared" ca="1" si="1624"/>
        <v>What your job</v>
      </c>
    </row>
    <row r="1627" spans="1:10" ht="25.5" x14ac:dyDescent="0.2">
      <c r="A1627" s="41" t="s">
        <v>1217</v>
      </c>
      <c r="B1627" s="40"/>
      <c r="C1627" s="40"/>
      <c r="D1627" s="40"/>
      <c r="E1627" s="40"/>
      <c r="F1627" s="49" t="str">
        <f t="shared" ref="F1627:J1627" ca="1" si="1625">IFERROR(__xludf.DUMMYFUNCTION("if (A1627 &lt;&gt; """", GOOGLETRANSLATE(A1627, ""auto"", ""en""), """")"),"Place of employment")</f>
        <v>Place of employment</v>
      </c>
      <c r="G1627" s="49" t="str">
        <f t="shared" ca="1" si="1625"/>
        <v>Place of employment</v>
      </c>
      <c r="H1627" s="49" t="str">
        <f t="shared" ca="1" si="1625"/>
        <v>Place of employment</v>
      </c>
      <c r="I1627" s="49" t="str">
        <f t="shared" ca="1" si="1625"/>
        <v>Place of employment</v>
      </c>
      <c r="J1627" s="49" t="str">
        <f t="shared" ca="1" si="1625"/>
        <v>Place of employment</v>
      </c>
    </row>
    <row r="1628" spans="1:10" ht="12.75" x14ac:dyDescent="0.2">
      <c r="A1628" s="41" t="s">
        <v>1218</v>
      </c>
      <c r="B1628" s="40"/>
      <c r="C1628" s="40"/>
      <c r="D1628" s="40"/>
      <c r="E1628" s="40"/>
      <c r="F1628" s="49" t="str">
        <f t="shared" ref="F1628:J1628" ca="1" si="1626">IFERROR(__xludf.DUMMYFUNCTION("if (A1628 &lt;&gt; """", GOOGLETRANSLATE(A1628, ""auto"", ""en""), """")"),"Workplace")</f>
        <v>Workplace</v>
      </c>
      <c r="G1628" s="49" t="str">
        <f t="shared" ca="1" si="1626"/>
        <v>Workplace</v>
      </c>
      <c r="H1628" s="49" t="str">
        <f t="shared" ca="1" si="1626"/>
        <v>Workplace</v>
      </c>
      <c r="I1628" s="49" t="str">
        <f t="shared" ca="1" si="1626"/>
        <v>Workplace</v>
      </c>
      <c r="J1628" s="49" t="str">
        <f t="shared" ca="1" si="1626"/>
        <v>Workplace</v>
      </c>
    </row>
    <row r="1629" spans="1:10" ht="12.75" x14ac:dyDescent="0.2">
      <c r="A1629" s="41" t="s">
        <v>1219</v>
      </c>
      <c r="B1629" s="40"/>
      <c r="C1629" s="40"/>
      <c r="D1629" s="40"/>
      <c r="E1629" s="40"/>
      <c r="F1629" s="49" t="str">
        <f t="shared" ref="F1629:J1629" ca="1" si="1627">IFERROR(__xludf.DUMMYFUNCTION("if (A1629 &lt;&gt; """", GOOGLETRANSLATE(A1629, ""auto"", ""en""), """")"),"Do you work")</f>
        <v>Do you work</v>
      </c>
      <c r="G1629" s="49" t="str">
        <f t="shared" ca="1" si="1627"/>
        <v>Do you work</v>
      </c>
      <c r="H1629" s="49" t="str">
        <f t="shared" ca="1" si="1627"/>
        <v>Do you work</v>
      </c>
      <c r="I1629" s="49" t="str">
        <f t="shared" ca="1" si="1627"/>
        <v>Do you work</v>
      </c>
      <c r="J1629" s="49" t="str">
        <f t="shared" ca="1" si="1627"/>
        <v>Do you work</v>
      </c>
    </row>
    <row r="1630" spans="1:10" ht="25.5" x14ac:dyDescent="0.2">
      <c r="A1630" s="41" t="s">
        <v>1220</v>
      </c>
      <c r="B1630" s="40"/>
      <c r="C1630" s="40"/>
      <c r="D1630" s="40"/>
      <c r="E1630" s="40"/>
      <c r="F1630" s="49" t="str">
        <f t="shared" ref="F1630:J1630" ca="1" si="1628">IFERROR(__xludf.DUMMYFUNCTION("if (A1630 &lt;&gt; """", GOOGLETRANSLATE(A1630, ""auto"", ""en""), """")"),"Where do you work")</f>
        <v>Where do you work</v>
      </c>
      <c r="G1630" s="49" t="str">
        <f t="shared" ca="1" si="1628"/>
        <v>Where do you work</v>
      </c>
      <c r="H1630" s="49" t="str">
        <f t="shared" ca="1" si="1628"/>
        <v>Where do you work</v>
      </c>
      <c r="I1630" s="49" t="str">
        <f t="shared" ca="1" si="1628"/>
        <v>Where do you work</v>
      </c>
      <c r="J1630" s="49" t="str">
        <f t="shared" ca="1" si="1628"/>
        <v>Where do you work</v>
      </c>
    </row>
    <row r="1631" spans="1:10" ht="25.5" x14ac:dyDescent="0.2">
      <c r="A1631" s="41" t="s">
        <v>1221</v>
      </c>
      <c r="B1631" s="40"/>
      <c r="C1631" s="40"/>
      <c r="D1631" s="40"/>
      <c r="E1631" s="40"/>
      <c r="F1631" s="49" t="str">
        <f t="shared" ref="F1631:J1631" ca="1" si="1629">IFERROR(__xludf.DUMMYFUNCTION("if (A1631 &lt;&gt; """", GOOGLETRANSLATE(A1631, ""auto"", ""en""), """")"),"Where is the workplace")</f>
        <v>Where is the workplace</v>
      </c>
      <c r="G1631" s="49" t="str">
        <f t="shared" ca="1" si="1629"/>
        <v>Where is the workplace</v>
      </c>
      <c r="H1631" s="49" t="str">
        <f t="shared" ca="1" si="1629"/>
        <v>Where is the workplace</v>
      </c>
      <c r="I1631" s="49" t="str">
        <f t="shared" ca="1" si="1629"/>
        <v>Where is the workplace</v>
      </c>
      <c r="J1631" s="49" t="str">
        <f t="shared" ca="1" si="1629"/>
        <v>Where is the workplace</v>
      </c>
    </row>
    <row r="1632" spans="1:10" ht="38.25" x14ac:dyDescent="0.2">
      <c r="A1632" s="41" t="s">
        <v>1222</v>
      </c>
      <c r="B1632" s="40"/>
      <c r="C1632" s="40"/>
      <c r="D1632" s="40"/>
      <c r="E1632" s="40"/>
      <c r="F1632" s="49" t="str">
        <f t="shared" ref="F1632:J1632" ca="1" si="1630">IFERROR(__xludf.DUMMYFUNCTION("if (A1632 &lt;&gt; """", GOOGLETRANSLATE(A1632, ""auto"", ""en""), """")"),"Where is the place of employment")</f>
        <v>Where is the place of employment</v>
      </c>
      <c r="G1632" s="49" t="str">
        <f t="shared" ca="1" si="1630"/>
        <v>Where is the place of employment</v>
      </c>
      <c r="H1632" s="49" t="str">
        <f t="shared" ca="1" si="1630"/>
        <v>Where is the place of employment</v>
      </c>
      <c r="I1632" s="49" t="str">
        <f t="shared" ca="1" si="1630"/>
        <v>Where is the place of employment</v>
      </c>
      <c r="J1632" s="49" t="str">
        <f t="shared" ca="1" si="1630"/>
        <v>Where is the place of employment</v>
      </c>
    </row>
    <row r="1633" spans="1:10" ht="38.25" x14ac:dyDescent="0.2">
      <c r="A1633" s="41" t="s">
        <v>1223</v>
      </c>
      <c r="B1633" s="40"/>
      <c r="C1633" s="40"/>
      <c r="D1633" s="40"/>
      <c r="E1633" s="40"/>
      <c r="F1633" s="49" t="str">
        <f t="shared" ref="F1633:J1633" ca="1" si="1631">IFERROR(__xludf.DUMMYFUNCTION("if (A1633 &lt;&gt; """", GOOGLETRANSLATE(A1633, ""auto"", ""en""), """")"),"Where is the place of employment")</f>
        <v>Where is the place of employment</v>
      </c>
      <c r="G1633" s="49" t="str">
        <f t="shared" ca="1" si="1631"/>
        <v>Where is the place of employment</v>
      </c>
      <c r="H1633" s="49" t="str">
        <f t="shared" ca="1" si="1631"/>
        <v>Where is the place of employment</v>
      </c>
      <c r="I1633" s="49" t="str">
        <f t="shared" ca="1" si="1631"/>
        <v>Where is the place of employment</v>
      </c>
      <c r="J1633" s="49" t="str">
        <f t="shared" ca="1" si="1631"/>
        <v>Where is the place of employment</v>
      </c>
    </row>
    <row r="1634" spans="1:10" ht="25.5" x14ac:dyDescent="0.2">
      <c r="A1634" s="41" t="s">
        <v>1224</v>
      </c>
      <c r="B1634" s="40"/>
      <c r="C1634" s="40"/>
      <c r="D1634" s="40"/>
      <c r="E1634" s="40"/>
      <c r="F1634" s="49" t="str">
        <f t="shared" ref="F1634:J1634" ca="1" si="1632">IFERROR(__xludf.DUMMYFUNCTION("if (A1634 &lt;&gt; """", GOOGLETRANSLATE(A1634, ""auto"", ""en""), """")"),"Where is the company")</f>
        <v>Where is the company</v>
      </c>
      <c r="G1634" s="49" t="str">
        <f t="shared" ca="1" si="1632"/>
        <v>Where is the company</v>
      </c>
      <c r="H1634" s="49" t="str">
        <f t="shared" ca="1" si="1632"/>
        <v>Where is the company</v>
      </c>
      <c r="I1634" s="49" t="str">
        <f t="shared" ca="1" si="1632"/>
        <v>Where is the company</v>
      </c>
      <c r="J1634" s="49" t="str">
        <f t="shared" ca="1" si="1632"/>
        <v>Where is the company</v>
      </c>
    </row>
    <row r="1635" spans="1:10" ht="25.5" x14ac:dyDescent="0.2">
      <c r="A1635" s="41" t="s">
        <v>1225</v>
      </c>
      <c r="B1635" s="40"/>
      <c r="C1635" s="40"/>
      <c r="D1635" s="40"/>
      <c r="E1635" s="40"/>
      <c r="F1635" s="49" t="str">
        <f t="shared" ref="F1635:J1635" ca="1" si="1633">IFERROR(__xludf.DUMMYFUNCTION("if (A1635 &lt;&gt; """", GOOGLETRANSLATE(A1635, ""auto"", ""en""), """")"),"What is your job")</f>
        <v>What is your job</v>
      </c>
      <c r="G1635" s="49" t="str">
        <f t="shared" ca="1" si="1633"/>
        <v>What is your job</v>
      </c>
      <c r="H1635" s="49" t="str">
        <f t="shared" ca="1" si="1633"/>
        <v>What is your job</v>
      </c>
      <c r="I1635" s="49" t="str">
        <f t="shared" ca="1" si="1633"/>
        <v>What is your job</v>
      </c>
      <c r="J1635" s="49" t="str">
        <f t="shared" ca="1" si="1633"/>
        <v>What is your job</v>
      </c>
    </row>
    <row r="1636" spans="1:10" ht="12.75" x14ac:dyDescent="0.2">
      <c r="A1636" s="40"/>
      <c r="B1636" s="41" t="s">
        <v>403</v>
      </c>
      <c r="C1636" s="41" t="s">
        <v>25</v>
      </c>
      <c r="D1636" s="41" t="s">
        <v>27</v>
      </c>
      <c r="E1636" s="40"/>
      <c r="F1636" s="49" t="str">
        <f t="shared" ref="F1636:J1636" ca="1" si="1634">IFERROR(__xludf.DUMMYFUNCTION("if (A1636 &lt;&gt; """", GOOGLETRANSLATE(A1636, ""auto"", ""en""), """")"),"")</f>
        <v/>
      </c>
      <c r="G1636" s="49" t="str">
        <f t="shared" ca="1" si="1634"/>
        <v/>
      </c>
      <c r="H1636" s="49" t="str">
        <f t="shared" ca="1" si="1634"/>
        <v/>
      </c>
      <c r="I1636" s="49" t="str">
        <f t="shared" ca="1" si="1634"/>
        <v/>
      </c>
      <c r="J1636" s="49" t="str">
        <f t="shared" ca="1" si="1634"/>
        <v/>
      </c>
    </row>
    <row r="1637" spans="1:10" ht="12.75" x14ac:dyDescent="0.2">
      <c r="A1637" s="40"/>
      <c r="B1637" s="41" t="s">
        <v>403</v>
      </c>
      <c r="C1637" s="41" t="s">
        <v>30</v>
      </c>
      <c r="D1637" s="41" t="s">
        <v>31</v>
      </c>
      <c r="E1637" s="40"/>
      <c r="F1637" s="49" t="str">
        <f t="shared" ref="F1637:J1637" ca="1" si="1635">IFERROR(__xludf.DUMMYFUNCTION("if (A1637 &lt;&gt; """", GOOGLETRANSLATE(A1637, ""auto"", ""en""), """")"),"")</f>
        <v/>
      </c>
      <c r="G1637" s="49" t="str">
        <f t="shared" ca="1" si="1635"/>
        <v/>
      </c>
      <c r="H1637" s="49" t="str">
        <f t="shared" ca="1" si="1635"/>
        <v/>
      </c>
      <c r="I1637" s="49" t="str">
        <f t="shared" ca="1" si="1635"/>
        <v/>
      </c>
      <c r="J1637" s="49" t="str">
        <f t="shared" ca="1" si="1635"/>
        <v/>
      </c>
    </row>
    <row r="1638" spans="1:10" ht="12.75" x14ac:dyDescent="0.2">
      <c r="A1638" s="40"/>
      <c r="B1638" s="41" t="s">
        <v>403</v>
      </c>
      <c r="C1638" s="41" t="s">
        <v>16</v>
      </c>
      <c r="D1638" s="41" t="s">
        <v>10</v>
      </c>
      <c r="E1638" s="40"/>
      <c r="F1638" s="49" t="str">
        <f t="shared" ref="F1638:J1638" ca="1" si="1636">IFERROR(__xludf.DUMMYFUNCTION("if (A1638 &lt;&gt; """", GOOGLETRANSLATE(A1638, ""auto"", ""en""), """")"),"")</f>
        <v/>
      </c>
      <c r="G1638" s="49" t="str">
        <f t="shared" ca="1" si="1636"/>
        <v/>
      </c>
      <c r="H1638" s="49" t="str">
        <f t="shared" ca="1" si="1636"/>
        <v/>
      </c>
      <c r="I1638" s="49" t="str">
        <f t="shared" ca="1" si="1636"/>
        <v/>
      </c>
      <c r="J1638" s="49" t="str">
        <f t="shared" ca="1" si="1636"/>
        <v/>
      </c>
    </row>
    <row r="1639" spans="1:10" ht="12.75" x14ac:dyDescent="0.2">
      <c r="A1639" s="40"/>
      <c r="B1639" s="40"/>
      <c r="C1639" s="40"/>
      <c r="D1639" s="40"/>
      <c r="E1639" s="40"/>
      <c r="F1639" s="49" t="str">
        <f t="shared" ref="F1639:J1639" ca="1" si="1637">IFERROR(__xludf.DUMMYFUNCTION("if (A1639 &lt;&gt; """", GOOGLETRANSLATE(A1639, ""auto"", ""en""), """")"),"")</f>
        <v/>
      </c>
      <c r="G1639" s="49" t="str">
        <f t="shared" ca="1" si="1637"/>
        <v/>
      </c>
      <c r="H1639" s="49" t="str">
        <f t="shared" ca="1" si="1637"/>
        <v/>
      </c>
      <c r="I1639" s="49" t="str">
        <f t="shared" ca="1" si="1637"/>
        <v/>
      </c>
      <c r="J1639" s="49" t="str">
        <f t="shared" ca="1" si="1637"/>
        <v/>
      </c>
    </row>
    <row r="1640" spans="1:10" ht="25.5" x14ac:dyDescent="0.2">
      <c r="A1640" s="41" t="s">
        <v>1226</v>
      </c>
      <c r="B1640" s="40"/>
      <c r="C1640" s="40"/>
      <c r="D1640" s="40"/>
      <c r="E1640" s="40"/>
      <c r="F1640" s="49" t="str">
        <f t="shared" ref="F1640:J1640" ca="1" si="1638">IFERROR(__xludf.DUMMYFUNCTION("if (A1640 &lt;&gt; """", GOOGLETRANSLATE(A1640, ""auto"", ""en""), """")"),"smalltalk.agent.origin")</f>
        <v>smalltalk.agent.origin</v>
      </c>
      <c r="G1640" s="49" t="str">
        <f t="shared" ca="1" si="1638"/>
        <v>smalltalk.agent.origin</v>
      </c>
      <c r="H1640" s="49" t="str">
        <f t="shared" ca="1" si="1638"/>
        <v>smalltalk.agent.origin</v>
      </c>
      <c r="I1640" s="49" t="str">
        <f t="shared" ca="1" si="1638"/>
        <v>smalltalk.agent.origin</v>
      </c>
      <c r="J1640" s="49" t="str">
        <f t="shared" ca="1" si="1638"/>
        <v>smalltalk.agent.origin</v>
      </c>
    </row>
    <row r="1641" spans="1:10" ht="12.75" x14ac:dyDescent="0.2">
      <c r="A1641" s="40"/>
      <c r="B1641" s="41" t="s">
        <v>398</v>
      </c>
      <c r="C1641" s="40"/>
      <c r="D1641" s="40"/>
      <c r="E1641" s="40"/>
      <c r="F1641" s="49" t="str">
        <f t="shared" ref="F1641:J1641" ca="1" si="1639">IFERROR(__xludf.DUMMYFUNCTION("if (A1641 &lt;&gt; """", GOOGLETRANSLATE(A1641, ""auto"", ""en""), """")"),"")</f>
        <v/>
      </c>
      <c r="G1641" s="49" t="str">
        <f t="shared" ca="1" si="1639"/>
        <v/>
      </c>
      <c r="H1641" s="49" t="str">
        <f t="shared" ca="1" si="1639"/>
        <v/>
      </c>
      <c r="I1641" s="49" t="str">
        <f t="shared" ca="1" si="1639"/>
        <v/>
      </c>
      <c r="J1641" s="49" t="str">
        <f t="shared" ca="1" si="1639"/>
        <v/>
      </c>
    </row>
    <row r="1642" spans="1:10" ht="12.75" x14ac:dyDescent="0.2">
      <c r="A1642" s="40"/>
      <c r="B1642" s="41" t="s">
        <v>399</v>
      </c>
      <c r="C1642" s="40"/>
      <c r="D1642" s="40"/>
      <c r="E1642" s="40"/>
      <c r="F1642" s="49" t="str">
        <f t="shared" ref="F1642:J1642" ca="1" si="1640">IFERROR(__xludf.DUMMYFUNCTION("if (A1642 &lt;&gt; """", GOOGLETRANSLATE(A1642, ""auto"", ""en""), """")"),"")</f>
        <v/>
      </c>
      <c r="G1642" s="49" t="str">
        <f t="shared" ca="1" si="1640"/>
        <v/>
      </c>
      <c r="H1642" s="49" t="str">
        <f t="shared" ca="1" si="1640"/>
        <v/>
      </c>
      <c r="I1642" s="49" t="str">
        <f t="shared" ca="1" si="1640"/>
        <v/>
      </c>
      <c r="J1642" s="49" t="str">
        <f t="shared" ca="1" si="1640"/>
        <v/>
      </c>
    </row>
    <row r="1643" spans="1:10" ht="12.75" x14ac:dyDescent="0.2">
      <c r="A1643" s="40"/>
      <c r="B1643" s="41" t="s">
        <v>400</v>
      </c>
      <c r="C1643" s="41" t="s">
        <v>1226</v>
      </c>
      <c r="D1643" s="40"/>
      <c r="E1643" s="40"/>
      <c r="F1643" s="49" t="str">
        <f t="shared" ref="F1643:J1643" ca="1" si="1641">IFERROR(__xludf.DUMMYFUNCTION("if (A1643 &lt;&gt; """", GOOGLETRANSLATE(A1643, ""auto"", ""en""), """")"),"")</f>
        <v/>
      </c>
      <c r="G1643" s="49" t="str">
        <f t="shared" ca="1" si="1641"/>
        <v/>
      </c>
      <c r="H1643" s="49" t="str">
        <f t="shared" ca="1" si="1641"/>
        <v/>
      </c>
      <c r="I1643" s="49" t="str">
        <f t="shared" ca="1" si="1641"/>
        <v/>
      </c>
      <c r="J1643" s="49" t="str">
        <f t="shared" ca="1" si="1641"/>
        <v/>
      </c>
    </row>
    <row r="1644" spans="1:10" ht="12.75" x14ac:dyDescent="0.2">
      <c r="A1644" s="40"/>
      <c r="B1644" s="41" t="s">
        <v>401</v>
      </c>
      <c r="C1644" s="40"/>
      <c r="D1644" s="40"/>
      <c r="E1644" s="40"/>
      <c r="F1644" s="49" t="str">
        <f t="shared" ref="F1644:J1644" ca="1" si="1642">IFERROR(__xludf.DUMMYFUNCTION("if (A1644 &lt;&gt; """", GOOGLETRANSLATE(A1644, ""auto"", ""en""), """")"),"")</f>
        <v/>
      </c>
      <c r="G1644" s="49" t="str">
        <f t="shared" ca="1" si="1642"/>
        <v/>
      </c>
      <c r="H1644" s="49" t="str">
        <f t="shared" ca="1" si="1642"/>
        <v/>
      </c>
      <c r="I1644" s="49" t="str">
        <f t="shared" ca="1" si="1642"/>
        <v/>
      </c>
      <c r="J1644" s="49" t="str">
        <f t="shared" ca="1" si="1642"/>
        <v/>
      </c>
    </row>
    <row r="1645" spans="1:10" ht="25.5" x14ac:dyDescent="0.2">
      <c r="A1645" s="41" t="s">
        <v>1227</v>
      </c>
      <c r="B1645" s="41" t="s">
        <v>402</v>
      </c>
      <c r="C1645" s="41" t="s">
        <v>1228</v>
      </c>
      <c r="D1645" s="40"/>
      <c r="E1645" s="40"/>
      <c r="F1645" s="49" t="str">
        <f t="shared" ref="F1645:J1645" ca="1" si="1643">IFERROR(__xludf.DUMMYFUNCTION("if (A1645 &lt;&gt; """", GOOGLETRANSLATE(A1645, ""auto"", ""en""), """")"),"Here? I was born")</f>
        <v>Here? I was born</v>
      </c>
      <c r="G1645" s="49" t="str">
        <f t="shared" ca="1" si="1643"/>
        <v>Here? I was born</v>
      </c>
      <c r="H1645" s="49" t="str">
        <f t="shared" ca="1" si="1643"/>
        <v>Here? I was born</v>
      </c>
      <c r="I1645" s="49" t="str">
        <f t="shared" ca="1" si="1643"/>
        <v>Here? I was born</v>
      </c>
      <c r="J1645" s="49" t="str">
        <f t="shared" ca="1" si="1643"/>
        <v>Here? I was born</v>
      </c>
    </row>
    <row r="1646" spans="1:10" ht="25.5" x14ac:dyDescent="0.2">
      <c r="A1646" s="41" t="s">
        <v>1229</v>
      </c>
      <c r="B1646" s="40"/>
      <c r="C1646" s="40"/>
      <c r="D1646" s="40"/>
      <c r="E1646" s="40"/>
      <c r="F1646" s="49" t="str">
        <f t="shared" ref="F1646:J1646" ca="1" si="1644">IFERROR(__xludf.DUMMYFUNCTION("if (A1646 &lt;&gt; """", GOOGLETRANSLATE(A1646, ""auto"", ""en""), """")"),"Where did you born")</f>
        <v>Where did you born</v>
      </c>
      <c r="G1646" s="49" t="str">
        <f t="shared" ca="1" si="1644"/>
        <v>Where did you born</v>
      </c>
      <c r="H1646" s="49" t="str">
        <f t="shared" ca="1" si="1644"/>
        <v>Where did you born</v>
      </c>
      <c r="I1646" s="49" t="str">
        <f t="shared" ca="1" si="1644"/>
        <v>Where did you born</v>
      </c>
      <c r="J1646" s="49" t="str">
        <f t="shared" ca="1" si="1644"/>
        <v>Where did you born</v>
      </c>
    </row>
    <row r="1647" spans="1:10" ht="25.5" x14ac:dyDescent="0.2">
      <c r="A1647" s="41" t="s">
        <v>1230</v>
      </c>
      <c r="B1647" s="40"/>
      <c r="C1647" s="40"/>
      <c r="D1647" s="40"/>
      <c r="E1647" s="40"/>
      <c r="F1647" s="49" t="str">
        <f t="shared" ref="F1647:J1647" ca="1" si="1645">IFERROR(__xludf.DUMMYFUNCTION("if (A1647 &lt;&gt; """", GOOGLETRANSLATE(A1647, ""auto"", ""en""), """")"),"Where is your country")</f>
        <v>Where is your country</v>
      </c>
      <c r="G1647" s="49" t="str">
        <f t="shared" ca="1" si="1645"/>
        <v>Where is your country</v>
      </c>
      <c r="H1647" s="49" t="str">
        <f t="shared" ca="1" si="1645"/>
        <v>Where is your country</v>
      </c>
      <c r="I1647" s="49" t="str">
        <f t="shared" ca="1" si="1645"/>
        <v>Where is your country</v>
      </c>
      <c r="J1647" s="49" t="str">
        <f t="shared" ca="1" si="1645"/>
        <v>Where is your country</v>
      </c>
    </row>
    <row r="1648" spans="1:10" ht="12.75" x14ac:dyDescent="0.2">
      <c r="A1648" s="41" t="s">
        <v>1231</v>
      </c>
      <c r="B1648" s="40"/>
      <c r="C1648" s="40"/>
      <c r="D1648" s="40"/>
      <c r="E1648" s="40"/>
      <c r="F1648" s="49" t="str">
        <f t="shared" ref="F1648:J1648" ca="1" si="1646">IFERROR(__xludf.DUMMYFUNCTION("if (A1648 &lt;&gt; """", GOOGLETRANSLATE(A1648, ""auto"", ""en""), """")"),"Where is born")</f>
        <v>Where is born</v>
      </c>
      <c r="G1648" s="49" t="str">
        <f t="shared" ca="1" si="1646"/>
        <v>Where is born</v>
      </c>
      <c r="H1648" s="49" t="str">
        <f t="shared" ca="1" si="1646"/>
        <v>Where is born</v>
      </c>
      <c r="I1648" s="49" t="str">
        <f t="shared" ca="1" si="1646"/>
        <v>Where is born</v>
      </c>
      <c r="J1648" s="49" t="str">
        <f t="shared" ca="1" si="1646"/>
        <v>Where is born</v>
      </c>
    </row>
    <row r="1649" spans="1:10" ht="38.25" x14ac:dyDescent="0.2">
      <c r="A1649" s="41" t="s">
        <v>1232</v>
      </c>
      <c r="B1649" s="40"/>
      <c r="C1649" s="40"/>
      <c r="D1649" s="40"/>
      <c r="E1649" s="40"/>
      <c r="F1649" s="49" t="str">
        <f t="shared" ref="F1649:J1649" ca="1" si="1647">IFERROR(__xludf.DUMMYFUNCTION("if (A1649 &lt;&gt; """", GOOGLETRANSLATE(A1649, ""auto"", ""en""), """")"),"It is where you come from")</f>
        <v>It is where you come from</v>
      </c>
      <c r="G1649" s="49" t="str">
        <f t="shared" ca="1" si="1647"/>
        <v>It is where you come from</v>
      </c>
      <c r="H1649" s="49" t="str">
        <f t="shared" ca="1" si="1647"/>
        <v>It is where you come from</v>
      </c>
      <c r="I1649" s="49" t="str">
        <f t="shared" ca="1" si="1647"/>
        <v>It is where you come from</v>
      </c>
      <c r="J1649" s="49" t="str">
        <f t="shared" ca="1" si="1647"/>
        <v>It is where you come from</v>
      </c>
    </row>
    <row r="1650" spans="1:10" ht="25.5" x14ac:dyDescent="0.2">
      <c r="A1650" s="41" t="s">
        <v>1233</v>
      </c>
      <c r="B1650" s="40"/>
      <c r="C1650" s="40"/>
      <c r="D1650" s="40"/>
      <c r="E1650" s="40"/>
      <c r="F1650" s="49" t="str">
        <f t="shared" ref="F1650:J1650" ca="1" si="1648">IFERROR(__xludf.DUMMYFUNCTION("if (A1650 &lt;&gt; """", GOOGLETRANSLATE(A1650, ""auto"", ""en""), """")"),"Did it come from?")</f>
        <v>Did it come from?</v>
      </c>
      <c r="G1650" s="49" t="str">
        <f t="shared" ca="1" si="1648"/>
        <v>Did it come from?</v>
      </c>
      <c r="H1650" s="49" t="str">
        <f t="shared" ca="1" si="1648"/>
        <v>Did it come from?</v>
      </c>
      <c r="I1650" s="49" t="str">
        <f t="shared" ca="1" si="1648"/>
        <v>Did it come from?</v>
      </c>
      <c r="J1650" s="49" t="str">
        <f t="shared" ca="1" si="1648"/>
        <v>Did it come from?</v>
      </c>
    </row>
    <row r="1651" spans="1:10" ht="25.5" x14ac:dyDescent="0.2">
      <c r="A1651" s="41" t="s">
        <v>1234</v>
      </c>
      <c r="B1651" s="40"/>
      <c r="C1651" s="40"/>
      <c r="D1651" s="40"/>
      <c r="E1651" s="40"/>
      <c r="F1651" s="49" t="str">
        <f t="shared" ref="F1651:J1651" ca="1" si="1649">IFERROR(__xludf.DUMMYFUNCTION("if (A1651 &lt;&gt; """", GOOGLETRANSLATE(A1651, ""auto"", ""en""), """")"),"Where is the birth of the")</f>
        <v>Where is the birth of the</v>
      </c>
      <c r="G1651" s="49" t="str">
        <f t="shared" ca="1" si="1649"/>
        <v>Where is the birth of the</v>
      </c>
      <c r="H1651" s="49" t="str">
        <f t="shared" ca="1" si="1649"/>
        <v>Where is the birth of the</v>
      </c>
      <c r="I1651" s="49" t="str">
        <f t="shared" ca="1" si="1649"/>
        <v>Where is the birth of the</v>
      </c>
      <c r="J1651" s="49" t="str">
        <f t="shared" ca="1" si="1649"/>
        <v>Where is the birth of the</v>
      </c>
    </row>
    <row r="1652" spans="1:10" ht="25.5" x14ac:dyDescent="0.2">
      <c r="A1652" s="41" t="s">
        <v>1235</v>
      </c>
      <c r="B1652" s="40"/>
      <c r="C1652" s="40"/>
      <c r="D1652" s="40"/>
      <c r="E1652" s="40"/>
      <c r="F1652" s="49" t="str">
        <f t="shared" ref="F1652:J1652" ca="1" si="1650">IFERROR(__xludf.DUMMYFUNCTION("if (A1652 &lt;&gt; """", GOOGLETRANSLATE(A1652, ""auto"", ""en""), """")"),"Where are you from")</f>
        <v>Where are you from</v>
      </c>
      <c r="G1652" s="49" t="str">
        <f t="shared" ca="1" si="1650"/>
        <v>Where are you from</v>
      </c>
      <c r="H1652" s="49" t="str">
        <f t="shared" ca="1" si="1650"/>
        <v>Where are you from</v>
      </c>
      <c r="I1652" s="49" t="str">
        <f t="shared" ca="1" si="1650"/>
        <v>Where are you from</v>
      </c>
      <c r="J1652" s="49" t="str">
        <f t="shared" ca="1" si="1650"/>
        <v>Where are you from</v>
      </c>
    </row>
    <row r="1653" spans="1:10" ht="25.5" x14ac:dyDescent="0.2">
      <c r="A1653" s="41" t="s">
        <v>1236</v>
      </c>
      <c r="B1653" s="40"/>
      <c r="C1653" s="40"/>
      <c r="D1653" s="40"/>
      <c r="E1653" s="40"/>
      <c r="F1653" s="49" t="str">
        <f t="shared" ref="F1653:J1653" ca="1" si="1651">IFERROR(__xludf.DUMMYFUNCTION("if (A1653 &lt;&gt; """", GOOGLETRANSLATE(A1653, ""auto"", ""en""), """")"),"It came from far away")</f>
        <v>It came from far away</v>
      </c>
      <c r="G1653" s="49" t="str">
        <f t="shared" ca="1" si="1651"/>
        <v>It came from far away</v>
      </c>
      <c r="H1653" s="49" t="str">
        <f t="shared" ca="1" si="1651"/>
        <v>It came from far away</v>
      </c>
      <c r="I1653" s="49" t="str">
        <f t="shared" ca="1" si="1651"/>
        <v>It came from far away</v>
      </c>
      <c r="J1653" s="49" t="str">
        <f t="shared" ca="1" si="1651"/>
        <v>It came from far away</v>
      </c>
    </row>
    <row r="1654" spans="1:10" ht="25.5" x14ac:dyDescent="0.2">
      <c r="A1654" s="41" t="s">
        <v>1237</v>
      </c>
      <c r="B1654" s="40"/>
      <c r="C1654" s="40"/>
      <c r="D1654" s="40"/>
      <c r="E1654" s="40"/>
      <c r="F1654" s="49" t="str">
        <f t="shared" ref="F1654:J1654" ca="1" si="1652">IFERROR(__xludf.DUMMYFUNCTION("if (A1654 &lt;&gt; """", GOOGLETRANSLATE(A1654, ""auto"", ""en""), """")"),"Where is the home country")</f>
        <v>Where is the home country</v>
      </c>
      <c r="G1654" s="49" t="str">
        <f t="shared" ca="1" si="1652"/>
        <v>Where is the home country</v>
      </c>
      <c r="H1654" s="49" t="str">
        <f t="shared" ca="1" si="1652"/>
        <v>Where is the home country</v>
      </c>
      <c r="I1654" s="49" t="str">
        <f t="shared" ca="1" si="1652"/>
        <v>Where is the home country</v>
      </c>
      <c r="J1654" s="49" t="str">
        <f t="shared" ca="1" si="1652"/>
        <v>Where is the home country</v>
      </c>
    </row>
    <row r="1655" spans="1:10" ht="12.75" x14ac:dyDescent="0.2">
      <c r="A1655" s="40"/>
      <c r="B1655" s="40"/>
      <c r="C1655" s="40"/>
      <c r="D1655" s="40"/>
      <c r="E1655" s="40"/>
      <c r="F1655" s="49" t="str">
        <f t="shared" ref="F1655:J1655" ca="1" si="1653">IFERROR(__xludf.DUMMYFUNCTION("if (A1655 &lt;&gt; """", GOOGLETRANSLATE(A1655, ""auto"", ""en""), """")"),"")</f>
        <v/>
      </c>
      <c r="G1655" s="49" t="str">
        <f t="shared" ca="1" si="1653"/>
        <v/>
      </c>
      <c r="H1655" s="49" t="str">
        <f t="shared" ca="1" si="1653"/>
        <v/>
      </c>
      <c r="I1655" s="49" t="str">
        <f t="shared" ca="1" si="1653"/>
        <v/>
      </c>
      <c r="J1655" s="49" t="str">
        <f t="shared" ca="1" si="1653"/>
        <v/>
      </c>
    </row>
    <row r="1656" spans="1:10" ht="25.5" x14ac:dyDescent="0.2">
      <c r="A1656" s="41" t="s">
        <v>1238</v>
      </c>
      <c r="B1656" s="40"/>
      <c r="C1656" s="40"/>
      <c r="D1656" s="40"/>
      <c r="E1656" s="40"/>
      <c r="F1656" s="49" t="str">
        <f t="shared" ref="F1656:J1656" ca="1" si="1654">IFERROR(__xludf.DUMMYFUNCTION("if (A1656 &lt;&gt; """", GOOGLETRANSLATE(A1656, ""auto"", ""en""), """")"),"smalltalk.agent.ready")</f>
        <v>smalltalk.agent.ready</v>
      </c>
      <c r="G1656" s="49" t="str">
        <f t="shared" ca="1" si="1654"/>
        <v>smalltalk.agent.ready</v>
      </c>
      <c r="H1656" s="49" t="str">
        <f t="shared" ca="1" si="1654"/>
        <v>smalltalk.agent.ready</v>
      </c>
      <c r="I1656" s="49" t="str">
        <f t="shared" ca="1" si="1654"/>
        <v>smalltalk.agent.ready</v>
      </c>
      <c r="J1656" s="49" t="str">
        <f t="shared" ca="1" si="1654"/>
        <v>smalltalk.agent.ready</v>
      </c>
    </row>
    <row r="1657" spans="1:10" ht="12.75" x14ac:dyDescent="0.2">
      <c r="A1657" s="40"/>
      <c r="B1657" s="41" t="s">
        <v>398</v>
      </c>
      <c r="C1657" s="40"/>
      <c r="D1657" s="40"/>
      <c r="E1657" s="40"/>
      <c r="F1657" s="49" t="str">
        <f t="shared" ref="F1657:J1657" ca="1" si="1655">IFERROR(__xludf.DUMMYFUNCTION("if (A1657 &lt;&gt; """", GOOGLETRANSLATE(A1657, ""auto"", ""en""), """")"),"")</f>
        <v/>
      </c>
      <c r="G1657" s="49" t="str">
        <f t="shared" ca="1" si="1655"/>
        <v/>
      </c>
      <c r="H1657" s="49" t="str">
        <f t="shared" ca="1" si="1655"/>
        <v/>
      </c>
      <c r="I1657" s="49" t="str">
        <f t="shared" ca="1" si="1655"/>
        <v/>
      </c>
      <c r="J1657" s="49" t="str">
        <f t="shared" ca="1" si="1655"/>
        <v/>
      </c>
    </row>
    <row r="1658" spans="1:10" ht="12.75" x14ac:dyDescent="0.2">
      <c r="A1658" s="40"/>
      <c r="B1658" s="41" t="s">
        <v>399</v>
      </c>
      <c r="C1658" s="40"/>
      <c r="D1658" s="40"/>
      <c r="E1658" s="40"/>
      <c r="F1658" s="49" t="str">
        <f t="shared" ref="F1658:J1658" ca="1" si="1656">IFERROR(__xludf.DUMMYFUNCTION("if (A1658 &lt;&gt; """", GOOGLETRANSLATE(A1658, ""auto"", ""en""), """")"),"")</f>
        <v/>
      </c>
      <c r="G1658" s="49" t="str">
        <f t="shared" ca="1" si="1656"/>
        <v/>
      </c>
      <c r="H1658" s="49" t="str">
        <f t="shared" ca="1" si="1656"/>
        <v/>
      </c>
      <c r="I1658" s="49" t="str">
        <f t="shared" ca="1" si="1656"/>
        <v/>
      </c>
      <c r="J1658" s="49" t="str">
        <f t="shared" ca="1" si="1656"/>
        <v/>
      </c>
    </row>
    <row r="1659" spans="1:10" ht="12.75" x14ac:dyDescent="0.2">
      <c r="A1659" s="40"/>
      <c r="B1659" s="41" t="s">
        <v>400</v>
      </c>
      <c r="C1659" s="41" t="s">
        <v>1238</v>
      </c>
      <c r="D1659" s="40"/>
      <c r="E1659" s="40"/>
      <c r="F1659" s="49" t="str">
        <f t="shared" ref="F1659:J1659" ca="1" si="1657">IFERROR(__xludf.DUMMYFUNCTION("if (A1659 &lt;&gt; """", GOOGLETRANSLATE(A1659, ""auto"", ""en""), """")"),"")</f>
        <v/>
      </c>
      <c r="G1659" s="49" t="str">
        <f t="shared" ca="1" si="1657"/>
        <v/>
      </c>
      <c r="H1659" s="49" t="str">
        <f t="shared" ca="1" si="1657"/>
        <v/>
      </c>
      <c r="I1659" s="49" t="str">
        <f t="shared" ca="1" si="1657"/>
        <v/>
      </c>
      <c r="J1659" s="49" t="str">
        <f t="shared" ca="1" si="1657"/>
        <v/>
      </c>
    </row>
    <row r="1660" spans="1:10" ht="12.75" x14ac:dyDescent="0.2">
      <c r="A1660" s="40"/>
      <c r="B1660" s="41" t="s">
        <v>401</v>
      </c>
      <c r="C1660" s="40"/>
      <c r="D1660" s="40"/>
      <c r="E1660" s="40"/>
      <c r="F1660" s="49" t="str">
        <f t="shared" ref="F1660:J1660" ca="1" si="1658">IFERROR(__xludf.DUMMYFUNCTION("if (A1660 &lt;&gt; """", GOOGLETRANSLATE(A1660, ""auto"", ""en""), """")"),"")</f>
        <v/>
      </c>
      <c r="G1660" s="49" t="str">
        <f t="shared" ca="1" si="1658"/>
        <v/>
      </c>
      <c r="H1660" s="49" t="str">
        <f t="shared" ca="1" si="1658"/>
        <v/>
      </c>
      <c r="I1660" s="49" t="str">
        <f t="shared" ca="1" si="1658"/>
        <v/>
      </c>
      <c r="J1660" s="49" t="str">
        <f t="shared" ca="1" si="1658"/>
        <v/>
      </c>
    </row>
    <row r="1661" spans="1:10" ht="25.5" x14ac:dyDescent="0.2">
      <c r="A1661" s="41" t="s">
        <v>1239</v>
      </c>
      <c r="B1661" s="41" t="s">
        <v>402</v>
      </c>
      <c r="C1661" s="41" t="s">
        <v>1240</v>
      </c>
      <c r="D1661" s="40"/>
      <c r="E1661" s="40"/>
      <c r="F1661" s="49" t="str">
        <f t="shared" ref="F1661:J1661" ca="1" si="1659">IFERROR(__xludf.DUMMYFUNCTION("if (A1661 &lt;&gt; """", GOOGLETRANSLATE(A1661, ""auto"", ""en""), """")"),"Prepared is a good one")</f>
        <v>Prepared is a good one</v>
      </c>
      <c r="G1661" s="49" t="str">
        <f t="shared" ca="1" si="1659"/>
        <v>Prepared is a good one</v>
      </c>
      <c r="H1661" s="49" t="str">
        <f t="shared" ca="1" si="1659"/>
        <v>Prepared is a good one</v>
      </c>
      <c r="I1661" s="49" t="str">
        <f t="shared" ca="1" si="1659"/>
        <v>Prepared is a good one</v>
      </c>
      <c r="J1661" s="49" t="str">
        <f t="shared" ca="1" si="1659"/>
        <v>Prepared is a good one</v>
      </c>
    </row>
    <row r="1662" spans="1:10" ht="12.75" x14ac:dyDescent="0.2">
      <c r="A1662" s="41" t="s">
        <v>1241</v>
      </c>
      <c r="B1662" s="40"/>
      <c r="C1662" s="40"/>
      <c r="D1662" s="40"/>
      <c r="E1662" s="40"/>
      <c r="F1662" s="49" t="str">
        <f t="shared" ref="F1662:J1662" ca="1" si="1660">IFERROR(__xludf.DUMMYFUNCTION("if (A1662 &lt;&gt; """", GOOGLETRANSLATE(A1662, ""auto"", ""en""), """")"),"Are you ready")</f>
        <v>Are you ready</v>
      </c>
      <c r="G1662" s="49" t="str">
        <f t="shared" ca="1" si="1660"/>
        <v>Are you ready</v>
      </c>
      <c r="H1662" s="49" t="str">
        <f t="shared" ca="1" si="1660"/>
        <v>Are you ready</v>
      </c>
      <c r="I1662" s="49" t="str">
        <f t="shared" ca="1" si="1660"/>
        <v>Are you ready</v>
      </c>
      <c r="J1662" s="49" t="str">
        <f t="shared" ca="1" si="1660"/>
        <v>Are you ready</v>
      </c>
    </row>
    <row r="1663" spans="1:10" ht="25.5" x14ac:dyDescent="0.2">
      <c r="A1663" s="41" t="s">
        <v>1242</v>
      </c>
      <c r="B1663" s="40"/>
      <c r="C1663" s="40"/>
      <c r="D1663" s="40"/>
      <c r="E1663" s="40"/>
      <c r="F1663" s="49" t="str">
        <f t="shared" ref="F1663:J1663" ca="1" si="1661">IFERROR(__xludf.DUMMYFUNCTION("if (A1663 &lt;&gt; """", GOOGLETRANSLATE(A1663, ""auto"", ""en""), """")"),"You see today")</f>
        <v>You see today</v>
      </c>
      <c r="G1663" s="49" t="str">
        <f t="shared" ca="1" si="1661"/>
        <v>You see today</v>
      </c>
      <c r="H1663" s="49" t="str">
        <f t="shared" ca="1" si="1661"/>
        <v>You see today</v>
      </c>
      <c r="I1663" s="49" t="str">
        <f t="shared" ca="1" si="1661"/>
        <v>You see today</v>
      </c>
      <c r="J1663" s="49" t="str">
        <f t="shared" ca="1" si="1661"/>
        <v>You see today</v>
      </c>
    </row>
    <row r="1664" spans="1:10" ht="25.5" x14ac:dyDescent="0.2">
      <c r="A1664" s="41" t="s">
        <v>1243</v>
      </c>
      <c r="B1664" s="40"/>
      <c r="C1664" s="40"/>
      <c r="D1664" s="40"/>
      <c r="E1664" s="40"/>
      <c r="F1664" s="49" t="str">
        <f t="shared" ref="F1664:J1664" ca="1" si="1662">IFERROR(__xludf.DUMMYFUNCTION("if (A1664 &lt;&gt; """", GOOGLETRANSLATE(A1664, ""auto"", ""en""), """")"),"What should I do from now")</f>
        <v>What should I do from now</v>
      </c>
      <c r="G1664" s="49" t="str">
        <f t="shared" ca="1" si="1662"/>
        <v>What should I do from now</v>
      </c>
      <c r="H1664" s="49" t="str">
        <f t="shared" ca="1" si="1662"/>
        <v>What should I do from now</v>
      </c>
      <c r="I1664" s="49" t="str">
        <f t="shared" ca="1" si="1662"/>
        <v>What should I do from now</v>
      </c>
      <c r="J1664" s="49" t="str">
        <f t="shared" ca="1" si="1662"/>
        <v>What should I do from now</v>
      </c>
    </row>
    <row r="1665" spans="1:10" ht="25.5" x14ac:dyDescent="0.2">
      <c r="A1665" s="41" t="s">
        <v>1244</v>
      </c>
      <c r="B1665" s="40"/>
      <c r="C1665" s="40"/>
      <c r="D1665" s="40"/>
      <c r="E1665" s="40"/>
      <c r="F1665" s="49" t="str">
        <f t="shared" ref="F1665:J1665" ca="1" si="1663">IFERROR(__xludf.DUMMYFUNCTION("if (A1665 &lt;&gt; """", GOOGLETRANSLATE(A1665, ""auto"", ""en""), """")"),"Did you prepare")</f>
        <v>Did you prepare</v>
      </c>
      <c r="G1665" s="49" t="str">
        <f t="shared" ca="1" si="1663"/>
        <v>Did you prepare</v>
      </c>
      <c r="H1665" s="49" t="str">
        <f t="shared" ca="1" si="1663"/>
        <v>Did you prepare</v>
      </c>
      <c r="I1665" s="49" t="str">
        <f t="shared" ca="1" si="1663"/>
        <v>Did you prepare</v>
      </c>
      <c r="J1665" s="49" t="str">
        <f t="shared" ca="1" si="1663"/>
        <v>Did you prepare</v>
      </c>
    </row>
    <row r="1666" spans="1:10" ht="25.5" x14ac:dyDescent="0.2">
      <c r="A1666" s="41" t="s">
        <v>1245</v>
      </c>
      <c r="B1666" s="40"/>
      <c r="C1666" s="40"/>
      <c r="D1666" s="40"/>
      <c r="E1666" s="40"/>
      <c r="F1666" s="49" t="str">
        <f t="shared" ref="F1666:J1666" ca="1" si="1664">IFERROR(__xludf.DUMMYFUNCTION("if (A1666 &lt;&gt; """", GOOGLETRANSLATE(A1666, ""auto"", ""en""), """")"),"Or prepared had made")</f>
        <v>Or prepared had made</v>
      </c>
      <c r="G1666" s="49" t="str">
        <f t="shared" ca="1" si="1664"/>
        <v>Or prepared had made</v>
      </c>
      <c r="H1666" s="49" t="str">
        <f t="shared" ca="1" si="1664"/>
        <v>Or prepared had made</v>
      </c>
      <c r="I1666" s="49" t="str">
        <f t="shared" ca="1" si="1664"/>
        <v>Or prepared had made</v>
      </c>
      <c r="J1666" s="49" t="str">
        <f t="shared" ca="1" si="1664"/>
        <v>Or prepared had made</v>
      </c>
    </row>
    <row r="1667" spans="1:10" ht="12.75" x14ac:dyDescent="0.2">
      <c r="A1667" s="40"/>
      <c r="B1667" s="41" t="s">
        <v>403</v>
      </c>
      <c r="C1667" s="41" t="s">
        <v>25</v>
      </c>
      <c r="D1667" s="41" t="s">
        <v>27</v>
      </c>
      <c r="E1667" s="40"/>
      <c r="F1667" s="49" t="str">
        <f t="shared" ref="F1667:J1667" ca="1" si="1665">IFERROR(__xludf.DUMMYFUNCTION("if (A1667 &lt;&gt; """", GOOGLETRANSLATE(A1667, ""auto"", ""en""), """")"),"")</f>
        <v/>
      </c>
      <c r="G1667" s="49" t="str">
        <f t="shared" ca="1" si="1665"/>
        <v/>
      </c>
      <c r="H1667" s="49" t="str">
        <f t="shared" ca="1" si="1665"/>
        <v/>
      </c>
      <c r="I1667" s="49" t="str">
        <f t="shared" ca="1" si="1665"/>
        <v/>
      </c>
      <c r="J1667" s="49" t="str">
        <f t="shared" ca="1" si="1665"/>
        <v/>
      </c>
    </row>
    <row r="1668" spans="1:10" ht="12.75" x14ac:dyDescent="0.2">
      <c r="A1668" s="40"/>
      <c r="B1668" s="41" t="s">
        <v>403</v>
      </c>
      <c r="C1668" s="41" t="s">
        <v>30</v>
      </c>
      <c r="D1668" s="41" t="s">
        <v>31</v>
      </c>
      <c r="E1668" s="40"/>
      <c r="F1668" s="49" t="str">
        <f t="shared" ref="F1668:J1668" ca="1" si="1666">IFERROR(__xludf.DUMMYFUNCTION("if (A1668 &lt;&gt; """", GOOGLETRANSLATE(A1668, ""auto"", ""en""), """")"),"")</f>
        <v/>
      </c>
      <c r="G1668" s="49" t="str">
        <f t="shared" ca="1" si="1666"/>
        <v/>
      </c>
      <c r="H1668" s="49" t="str">
        <f t="shared" ca="1" si="1666"/>
        <v/>
      </c>
      <c r="I1668" s="49" t="str">
        <f t="shared" ca="1" si="1666"/>
        <v/>
      </c>
      <c r="J1668" s="49" t="str">
        <f t="shared" ca="1" si="1666"/>
        <v/>
      </c>
    </row>
    <row r="1669" spans="1:10" ht="12.75" x14ac:dyDescent="0.2">
      <c r="A1669" s="40"/>
      <c r="B1669" s="41" t="s">
        <v>403</v>
      </c>
      <c r="C1669" s="41" t="s">
        <v>41</v>
      </c>
      <c r="D1669" s="41" t="s">
        <v>10</v>
      </c>
      <c r="E1669" s="40"/>
      <c r="F1669" s="49" t="str">
        <f t="shared" ref="F1669:J1669" ca="1" si="1667">IFERROR(__xludf.DUMMYFUNCTION("if (A1669 &lt;&gt; """", GOOGLETRANSLATE(A1669, ""auto"", ""en""), """")"),"")</f>
        <v/>
      </c>
      <c r="G1669" s="49" t="str">
        <f t="shared" ca="1" si="1667"/>
        <v/>
      </c>
      <c r="H1669" s="49" t="str">
        <f t="shared" ca="1" si="1667"/>
        <v/>
      </c>
      <c r="I1669" s="49" t="str">
        <f t="shared" ca="1" si="1667"/>
        <v/>
      </c>
      <c r="J1669" s="49" t="str">
        <f t="shared" ca="1" si="1667"/>
        <v/>
      </c>
    </row>
    <row r="1670" spans="1:10" ht="12.75" x14ac:dyDescent="0.2">
      <c r="A1670" s="40"/>
      <c r="B1670" s="40"/>
      <c r="C1670" s="40"/>
      <c r="D1670" s="40"/>
      <c r="E1670" s="40"/>
      <c r="F1670" s="49" t="str">
        <f t="shared" ref="F1670:J1670" ca="1" si="1668">IFERROR(__xludf.DUMMYFUNCTION("if (A1670 &lt;&gt; """", GOOGLETRANSLATE(A1670, ""auto"", ""en""), """")"),"")</f>
        <v/>
      </c>
      <c r="G1670" s="49" t="str">
        <f t="shared" ca="1" si="1668"/>
        <v/>
      </c>
      <c r="H1670" s="49" t="str">
        <f t="shared" ca="1" si="1668"/>
        <v/>
      </c>
      <c r="I1670" s="49" t="str">
        <f t="shared" ca="1" si="1668"/>
        <v/>
      </c>
      <c r="J1670" s="49" t="str">
        <f t="shared" ca="1" si="1668"/>
        <v/>
      </c>
    </row>
    <row r="1671" spans="1:10" ht="25.5" x14ac:dyDescent="0.2">
      <c r="A1671" s="41" t="s">
        <v>1246</v>
      </c>
      <c r="B1671" s="40"/>
      <c r="C1671" s="40"/>
      <c r="D1671" s="40"/>
      <c r="E1671" s="40"/>
      <c r="F1671" s="49" t="str">
        <f t="shared" ref="F1671:J1671" ca="1" si="1669">IFERROR(__xludf.DUMMYFUNCTION("if (A1671 &lt;&gt; """", GOOGLETRANSLATE(A1671, ""auto"", ""en""), """")"),"smalltalk.agent.real")</f>
        <v>smalltalk.agent.real</v>
      </c>
      <c r="G1671" s="49" t="str">
        <f t="shared" ca="1" si="1669"/>
        <v>smalltalk.agent.real</v>
      </c>
      <c r="H1671" s="49" t="str">
        <f t="shared" ca="1" si="1669"/>
        <v>smalltalk.agent.real</v>
      </c>
      <c r="I1671" s="49" t="str">
        <f t="shared" ca="1" si="1669"/>
        <v>smalltalk.agent.real</v>
      </c>
      <c r="J1671" s="49" t="str">
        <f t="shared" ca="1" si="1669"/>
        <v>smalltalk.agent.real</v>
      </c>
    </row>
    <row r="1672" spans="1:10" ht="12.75" x14ac:dyDescent="0.2">
      <c r="A1672" s="40"/>
      <c r="B1672" s="41" t="s">
        <v>398</v>
      </c>
      <c r="C1672" s="40"/>
      <c r="D1672" s="40"/>
      <c r="E1672" s="40"/>
      <c r="F1672" s="49" t="str">
        <f t="shared" ref="F1672:J1672" ca="1" si="1670">IFERROR(__xludf.DUMMYFUNCTION("if (A1672 &lt;&gt; """", GOOGLETRANSLATE(A1672, ""auto"", ""en""), """")"),"")</f>
        <v/>
      </c>
      <c r="G1672" s="49" t="str">
        <f t="shared" ca="1" si="1670"/>
        <v/>
      </c>
      <c r="H1672" s="49" t="str">
        <f t="shared" ca="1" si="1670"/>
        <v/>
      </c>
      <c r="I1672" s="49" t="str">
        <f t="shared" ca="1" si="1670"/>
        <v/>
      </c>
      <c r="J1672" s="49" t="str">
        <f t="shared" ca="1" si="1670"/>
        <v/>
      </c>
    </row>
    <row r="1673" spans="1:10" ht="12.75" x14ac:dyDescent="0.2">
      <c r="A1673" s="40"/>
      <c r="B1673" s="41" t="s">
        <v>399</v>
      </c>
      <c r="C1673" s="40"/>
      <c r="D1673" s="40"/>
      <c r="E1673" s="40"/>
      <c r="F1673" s="49" t="str">
        <f t="shared" ref="F1673:J1673" ca="1" si="1671">IFERROR(__xludf.DUMMYFUNCTION("if (A1673 &lt;&gt; """", GOOGLETRANSLATE(A1673, ""auto"", ""en""), """")"),"")</f>
        <v/>
      </c>
      <c r="G1673" s="49" t="str">
        <f t="shared" ca="1" si="1671"/>
        <v/>
      </c>
      <c r="H1673" s="49" t="str">
        <f t="shared" ca="1" si="1671"/>
        <v/>
      </c>
      <c r="I1673" s="49" t="str">
        <f t="shared" ca="1" si="1671"/>
        <v/>
      </c>
      <c r="J1673" s="49" t="str">
        <f t="shared" ca="1" si="1671"/>
        <v/>
      </c>
    </row>
    <row r="1674" spans="1:10" ht="12.75" x14ac:dyDescent="0.2">
      <c r="A1674" s="40"/>
      <c r="B1674" s="41" t="s">
        <v>400</v>
      </c>
      <c r="C1674" s="41" t="s">
        <v>1246</v>
      </c>
      <c r="D1674" s="40"/>
      <c r="E1674" s="40"/>
      <c r="F1674" s="49" t="str">
        <f t="shared" ref="F1674:J1674" ca="1" si="1672">IFERROR(__xludf.DUMMYFUNCTION("if (A1674 &lt;&gt; """", GOOGLETRANSLATE(A1674, ""auto"", ""en""), """")"),"")</f>
        <v/>
      </c>
      <c r="G1674" s="49" t="str">
        <f t="shared" ca="1" si="1672"/>
        <v/>
      </c>
      <c r="H1674" s="49" t="str">
        <f t="shared" ca="1" si="1672"/>
        <v/>
      </c>
      <c r="I1674" s="49" t="str">
        <f t="shared" ca="1" si="1672"/>
        <v/>
      </c>
      <c r="J1674" s="49" t="str">
        <f t="shared" ca="1" si="1672"/>
        <v/>
      </c>
    </row>
    <row r="1675" spans="1:10" ht="12.75" x14ac:dyDescent="0.2">
      <c r="A1675" s="40"/>
      <c r="B1675" s="41" t="s">
        <v>401</v>
      </c>
      <c r="C1675" s="40"/>
      <c r="D1675" s="40"/>
      <c r="E1675" s="40"/>
      <c r="F1675" s="49" t="str">
        <f t="shared" ref="F1675:J1675" ca="1" si="1673">IFERROR(__xludf.DUMMYFUNCTION("if (A1675 &lt;&gt; """", GOOGLETRANSLATE(A1675, ""auto"", ""en""), """")"),"")</f>
        <v/>
      </c>
      <c r="G1675" s="49" t="str">
        <f t="shared" ca="1" si="1673"/>
        <v/>
      </c>
      <c r="H1675" s="49" t="str">
        <f t="shared" ca="1" si="1673"/>
        <v/>
      </c>
      <c r="I1675" s="49" t="str">
        <f t="shared" ca="1" si="1673"/>
        <v/>
      </c>
      <c r="J1675" s="49" t="str">
        <f t="shared" ca="1" si="1673"/>
        <v/>
      </c>
    </row>
    <row r="1676" spans="1:10" ht="25.5" x14ac:dyDescent="0.2">
      <c r="A1676" s="41" t="s">
        <v>1247</v>
      </c>
      <c r="B1676" s="41" t="s">
        <v>402</v>
      </c>
      <c r="C1676" s="41" t="s">
        <v>1248</v>
      </c>
      <c r="D1676" s="40"/>
      <c r="E1676" s="40"/>
      <c r="F1676" s="49" t="str">
        <f t="shared" ref="F1676:J1676" ca="1" si="1674">IFERROR(__xludf.DUMMYFUNCTION("if (A1676 &lt;&gt; """", GOOGLETRANSLATE(A1676, ""auto"", ""en""), """")"),"It is real")</f>
        <v>It is real</v>
      </c>
      <c r="G1676" s="49" t="str">
        <f t="shared" ca="1" si="1674"/>
        <v>It is real</v>
      </c>
      <c r="H1676" s="49" t="str">
        <f t="shared" ca="1" si="1674"/>
        <v>It is real</v>
      </c>
      <c r="I1676" s="49" t="str">
        <f t="shared" ca="1" si="1674"/>
        <v>It is real</v>
      </c>
      <c r="J1676" s="49" t="str">
        <f t="shared" ca="1" si="1674"/>
        <v>It is real</v>
      </c>
    </row>
    <row r="1677" spans="1:10" ht="12.75" x14ac:dyDescent="0.2">
      <c r="A1677" s="41" t="s">
        <v>1249</v>
      </c>
      <c r="B1677" s="40"/>
      <c r="C1677" s="40"/>
      <c r="D1677" s="40"/>
      <c r="E1677" s="40"/>
      <c r="F1677" s="49" t="str">
        <f t="shared" ref="F1677:J1677" ca="1" si="1675">IFERROR(__xludf.DUMMYFUNCTION("if (A1677 &lt;&gt; """", GOOGLETRANSLATE(A1677, ""auto"", ""en""), """")"),"It is not a fake")</f>
        <v>It is not a fake</v>
      </c>
      <c r="G1677" s="49" t="str">
        <f t="shared" ca="1" si="1675"/>
        <v>It is not a fake</v>
      </c>
      <c r="H1677" s="49" t="str">
        <f t="shared" ca="1" si="1675"/>
        <v>It is not a fake</v>
      </c>
      <c r="I1677" s="49" t="str">
        <f t="shared" ca="1" si="1675"/>
        <v>It is not a fake</v>
      </c>
      <c r="J1677" s="49" t="str">
        <f t="shared" ca="1" si="1675"/>
        <v>It is not a fake</v>
      </c>
    </row>
    <row r="1678" spans="1:10" ht="12.75" x14ac:dyDescent="0.2">
      <c r="A1678" s="41" t="s">
        <v>1250</v>
      </c>
      <c r="B1678" s="40"/>
      <c r="C1678" s="40"/>
      <c r="D1678" s="40"/>
      <c r="E1678" s="40"/>
      <c r="F1678" s="49" t="str">
        <f t="shared" ref="F1678:J1678" ca="1" si="1676">IFERROR(__xludf.DUMMYFUNCTION("if (A1678 &lt;&gt; """", GOOGLETRANSLATE(A1678, ""auto"", ""en""), """")"),"Real Is")</f>
        <v>Real Is</v>
      </c>
      <c r="G1678" s="49" t="str">
        <f t="shared" ca="1" si="1676"/>
        <v>Real Is</v>
      </c>
      <c r="H1678" s="49" t="str">
        <f t="shared" ca="1" si="1676"/>
        <v>Real Is</v>
      </c>
      <c r="I1678" s="49" t="str">
        <f t="shared" ca="1" si="1676"/>
        <v>Real Is</v>
      </c>
      <c r="J1678" s="49" t="str">
        <f t="shared" ca="1" si="1676"/>
        <v>Real Is</v>
      </c>
    </row>
    <row r="1679" spans="1:10" ht="12.75" x14ac:dyDescent="0.2">
      <c r="A1679" s="41" t="s">
        <v>1251</v>
      </c>
      <c r="B1679" s="40"/>
      <c r="C1679" s="40"/>
      <c r="D1679" s="40"/>
      <c r="E1679" s="40"/>
      <c r="F1679" s="49" t="str">
        <f t="shared" ref="F1679:J1679" ca="1" si="1677">IFERROR(__xludf.DUMMYFUNCTION("if (A1679 &lt;&gt; """", GOOGLETRANSLATE(A1679, ""auto"", ""en""), """")"),"It is very real")</f>
        <v>It is very real</v>
      </c>
      <c r="G1679" s="49" t="str">
        <f t="shared" ca="1" si="1677"/>
        <v>It is very real</v>
      </c>
      <c r="H1679" s="49" t="str">
        <f t="shared" ca="1" si="1677"/>
        <v>It is very real</v>
      </c>
      <c r="I1679" s="49" t="str">
        <f t="shared" ca="1" si="1677"/>
        <v>It is very real</v>
      </c>
      <c r="J1679" s="49" t="str">
        <f t="shared" ca="1" si="1677"/>
        <v>It is very real</v>
      </c>
    </row>
    <row r="1680" spans="1:10" ht="25.5" x14ac:dyDescent="0.2">
      <c r="A1680" s="41" t="s">
        <v>1252</v>
      </c>
      <c r="B1680" s="40"/>
      <c r="C1680" s="40"/>
      <c r="D1680" s="40"/>
      <c r="E1680" s="40"/>
      <c r="F1680" s="49" t="str">
        <f t="shared" ref="F1680:J1680" ca="1" si="1678">IFERROR(__xludf.DUMMYFUNCTION("if (A1680 &lt;&gt; """", GOOGLETRANSLATE(A1680, ""auto"", ""en""), """")"),"You think that it is genuine")</f>
        <v>You think that it is genuine</v>
      </c>
      <c r="G1680" s="49" t="str">
        <f t="shared" ca="1" si="1678"/>
        <v>You think that it is genuine</v>
      </c>
      <c r="H1680" s="49" t="str">
        <f t="shared" ca="1" si="1678"/>
        <v>You think that it is genuine</v>
      </c>
      <c r="I1680" s="49" t="str">
        <f t="shared" ca="1" si="1678"/>
        <v>You think that it is genuine</v>
      </c>
      <c r="J1680" s="49" t="str">
        <f t="shared" ca="1" si="1678"/>
        <v>You think that it is genuine</v>
      </c>
    </row>
    <row r="1681" spans="1:10" ht="25.5" x14ac:dyDescent="0.2">
      <c r="A1681" s="41" t="s">
        <v>1253</v>
      </c>
      <c r="B1681" s="40"/>
      <c r="C1681" s="40"/>
      <c r="D1681" s="40"/>
      <c r="E1681" s="40"/>
      <c r="F1681" s="49" t="str">
        <f t="shared" ref="F1681:J1681" ca="1" si="1679">IFERROR(__xludf.DUMMYFUNCTION("if (A1681 &lt;&gt; """", GOOGLETRANSLATE(A1681, ""auto"", ""en""), """")"),"I think that it is not fake")</f>
        <v>I think that it is not fake</v>
      </c>
      <c r="G1681" s="49" t="str">
        <f t="shared" ca="1" si="1679"/>
        <v>I think that it is not fake</v>
      </c>
      <c r="H1681" s="49" t="str">
        <f t="shared" ca="1" si="1679"/>
        <v>I think that it is not fake</v>
      </c>
      <c r="I1681" s="49" t="str">
        <f t="shared" ca="1" si="1679"/>
        <v>I think that it is not fake</v>
      </c>
      <c r="J1681" s="49" t="str">
        <f t="shared" ca="1" si="1679"/>
        <v>I think that it is not fake</v>
      </c>
    </row>
    <row r="1682" spans="1:10" ht="25.5" x14ac:dyDescent="0.2">
      <c r="A1682" s="41" t="s">
        <v>1254</v>
      </c>
      <c r="B1682" s="40"/>
      <c r="C1682" s="40"/>
      <c r="D1682" s="40"/>
      <c r="E1682" s="40"/>
      <c r="F1682" s="49" t="str">
        <f t="shared" ref="F1682:J1682" ca="1" si="1680">IFERROR(__xludf.DUMMYFUNCTION("if (A1682 &lt;&gt; """", GOOGLETRANSLATE(A1682, ""auto"", ""en""), """")"),"I think that it is genuine")</f>
        <v>I think that it is genuine</v>
      </c>
      <c r="G1682" s="49" t="str">
        <f t="shared" ca="1" si="1680"/>
        <v>I think that it is genuine</v>
      </c>
      <c r="H1682" s="49" t="str">
        <f t="shared" ca="1" si="1680"/>
        <v>I think that it is genuine</v>
      </c>
      <c r="I1682" s="49" t="str">
        <f t="shared" ca="1" si="1680"/>
        <v>I think that it is genuine</v>
      </c>
      <c r="J1682" s="49" t="str">
        <f t="shared" ca="1" si="1680"/>
        <v>I think that it is genuine</v>
      </c>
    </row>
    <row r="1683" spans="1:10" ht="25.5" x14ac:dyDescent="0.2">
      <c r="A1683" s="41" t="s">
        <v>1255</v>
      </c>
      <c r="B1683" s="40"/>
      <c r="C1683" s="40"/>
      <c r="D1683" s="40"/>
      <c r="E1683" s="40"/>
      <c r="F1683" s="49" t="str">
        <f t="shared" ref="F1683:J1683" ca="1" si="1681">IFERROR(__xludf.DUMMYFUNCTION("if (A1683 &lt;&gt; """", GOOGLETRANSLATE(A1683, ""auto"", ""en""), """")"),"Genuine and was good")</f>
        <v>Genuine and was good</v>
      </c>
      <c r="G1683" s="49" t="str">
        <f t="shared" ca="1" si="1681"/>
        <v>Genuine and was good</v>
      </c>
      <c r="H1683" s="49" t="str">
        <f t="shared" ca="1" si="1681"/>
        <v>Genuine and was good</v>
      </c>
      <c r="I1683" s="49" t="str">
        <f t="shared" ca="1" si="1681"/>
        <v>Genuine and was good</v>
      </c>
      <c r="J1683" s="49" t="str">
        <f t="shared" ca="1" si="1681"/>
        <v>Genuine and was good</v>
      </c>
    </row>
    <row r="1684" spans="1:10" ht="25.5" x14ac:dyDescent="0.2">
      <c r="A1684" s="41" t="s">
        <v>1256</v>
      </c>
      <c r="B1684" s="40"/>
      <c r="C1684" s="40"/>
      <c r="D1684" s="40"/>
      <c r="E1684" s="40"/>
      <c r="F1684" s="49" t="str">
        <f t="shared" ref="F1684:J1684" ca="1" si="1682">IFERROR(__xludf.DUMMYFUNCTION("if (A1684 &lt;&gt; """", GOOGLETRANSLATE(A1684, ""auto"", ""en""), """")"),"It is real people")</f>
        <v>It is real people</v>
      </c>
      <c r="G1684" s="49" t="str">
        <f t="shared" ca="1" si="1682"/>
        <v>It is real people</v>
      </c>
      <c r="H1684" s="49" t="str">
        <f t="shared" ca="1" si="1682"/>
        <v>It is real people</v>
      </c>
      <c r="I1684" s="49" t="str">
        <f t="shared" ca="1" si="1682"/>
        <v>It is real people</v>
      </c>
      <c r="J1684" s="49" t="str">
        <f t="shared" ca="1" si="1682"/>
        <v>It is real people</v>
      </c>
    </row>
    <row r="1685" spans="1:10" ht="25.5" x14ac:dyDescent="0.2">
      <c r="A1685" s="41" t="s">
        <v>1257</v>
      </c>
      <c r="B1685" s="40"/>
      <c r="C1685" s="40"/>
      <c r="D1685" s="40"/>
      <c r="E1685" s="40"/>
      <c r="F1685" s="49" t="str">
        <f t="shared" ref="F1685:J1685" ca="1" si="1683">IFERROR(__xludf.DUMMYFUNCTION("if (A1685 &lt;&gt; """", GOOGLETRANSLATE(A1685, ""auto"", ""en""), """")"),"Is it true of human beings")</f>
        <v>Is it true of human beings</v>
      </c>
      <c r="G1685" s="49" t="str">
        <f t="shared" ca="1" si="1683"/>
        <v>Is it true of human beings</v>
      </c>
      <c r="H1685" s="49" t="str">
        <f t="shared" ca="1" si="1683"/>
        <v>Is it true of human beings</v>
      </c>
      <c r="I1685" s="49" t="str">
        <f t="shared" ca="1" si="1683"/>
        <v>Is it true of human beings</v>
      </c>
      <c r="J1685" s="49" t="str">
        <f t="shared" ca="1" si="1683"/>
        <v>Is it true of human beings</v>
      </c>
    </row>
    <row r="1686" spans="1:10" ht="12.75" x14ac:dyDescent="0.2">
      <c r="A1686" s="40"/>
      <c r="B1686" s="40"/>
      <c r="C1686" s="40"/>
      <c r="D1686" s="40"/>
      <c r="E1686" s="40"/>
      <c r="F1686" s="49" t="str">
        <f t="shared" ref="F1686:J1686" ca="1" si="1684">IFERROR(__xludf.DUMMYFUNCTION("if (A1686 &lt;&gt; """", GOOGLETRANSLATE(A1686, ""auto"", ""en""), """")"),"")</f>
        <v/>
      </c>
      <c r="G1686" s="49" t="str">
        <f t="shared" ca="1" si="1684"/>
        <v/>
      </c>
      <c r="H1686" s="49" t="str">
        <f t="shared" ca="1" si="1684"/>
        <v/>
      </c>
      <c r="I1686" s="49" t="str">
        <f t="shared" ca="1" si="1684"/>
        <v/>
      </c>
      <c r="J1686" s="49" t="str">
        <f t="shared" ca="1" si="1684"/>
        <v/>
      </c>
    </row>
    <row r="1687" spans="1:10" ht="25.5" x14ac:dyDescent="0.2">
      <c r="A1687" s="41" t="s">
        <v>1258</v>
      </c>
      <c r="B1687" s="40"/>
      <c r="C1687" s="40"/>
      <c r="D1687" s="40"/>
      <c r="E1687" s="40"/>
      <c r="F1687" s="49" t="str">
        <f t="shared" ref="F1687:J1687" ca="1" si="1685">IFERROR(__xludf.DUMMYFUNCTION("if (A1687 &lt;&gt; """", GOOGLETRANSLATE(A1687, ""auto"", ""en""), """")"),"smalltalk.agent.residence")</f>
        <v>smalltalk.agent.residence</v>
      </c>
      <c r="G1687" s="49" t="str">
        <f t="shared" ca="1" si="1685"/>
        <v>smalltalk.agent.residence</v>
      </c>
      <c r="H1687" s="49" t="str">
        <f t="shared" ca="1" si="1685"/>
        <v>smalltalk.agent.residence</v>
      </c>
      <c r="I1687" s="49" t="str">
        <f t="shared" ca="1" si="1685"/>
        <v>smalltalk.agent.residence</v>
      </c>
      <c r="J1687" s="49" t="str">
        <f t="shared" ca="1" si="1685"/>
        <v>smalltalk.agent.residence</v>
      </c>
    </row>
    <row r="1688" spans="1:10" ht="12.75" x14ac:dyDescent="0.2">
      <c r="A1688" s="40"/>
      <c r="B1688" s="41" t="s">
        <v>398</v>
      </c>
      <c r="C1688" s="40"/>
      <c r="D1688" s="40"/>
      <c r="E1688" s="40"/>
      <c r="F1688" s="49" t="str">
        <f t="shared" ref="F1688:J1688" ca="1" si="1686">IFERROR(__xludf.DUMMYFUNCTION("if (A1688 &lt;&gt; """", GOOGLETRANSLATE(A1688, ""auto"", ""en""), """")"),"")</f>
        <v/>
      </c>
      <c r="G1688" s="49" t="str">
        <f t="shared" ca="1" si="1686"/>
        <v/>
      </c>
      <c r="H1688" s="49" t="str">
        <f t="shared" ca="1" si="1686"/>
        <v/>
      </c>
      <c r="I1688" s="49" t="str">
        <f t="shared" ca="1" si="1686"/>
        <v/>
      </c>
      <c r="J1688" s="49" t="str">
        <f t="shared" ca="1" si="1686"/>
        <v/>
      </c>
    </row>
    <row r="1689" spans="1:10" ht="12.75" x14ac:dyDescent="0.2">
      <c r="A1689" s="40"/>
      <c r="B1689" s="41" t="s">
        <v>399</v>
      </c>
      <c r="C1689" s="40"/>
      <c r="D1689" s="40"/>
      <c r="E1689" s="40"/>
      <c r="F1689" s="49" t="str">
        <f t="shared" ref="F1689:J1689" ca="1" si="1687">IFERROR(__xludf.DUMMYFUNCTION("if (A1689 &lt;&gt; """", GOOGLETRANSLATE(A1689, ""auto"", ""en""), """")"),"")</f>
        <v/>
      </c>
      <c r="G1689" s="49" t="str">
        <f t="shared" ca="1" si="1687"/>
        <v/>
      </c>
      <c r="H1689" s="49" t="str">
        <f t="shared" ca="1" si="1687"/>
        <v/>
      </c>
      <c r="I1689" s="49" t="str">
        <f t="shared" ca="1" si="1687"/>
        <v/>
      </c>
      <c r="J1689" s="49" t="str">
        <f t="shared" ca="1" si="1687"/>
        <v/>
      </c>
    </row>
    <row r="1690" spans="1:10" ht="12.75" x14ac:dyDescent="0.2">
      <c r="A1690" s="40"/>
      <c r="B1690" s="41" t="s">
        <v>400</v>
      </c>
      <c r="C1690" s="41" t="s">
        <v>1258</v>
      </c>
      <c r="D1690" s="40"/>
      <c r="E1690" s="40"/>
      <c r="F1690" s="49" t="str">
        <f t="shared" ref="F1690:J1690" ca="1" si="1688">IFERROR(__xludf.DUMMYFUNCTION("if (A1690 &lt;&gt; """", GOOGLETRANSLATE(A1690, ""auto"", ""en""), """")"),"")</f>
        <v/>
      </c>
      <c r="G1690" s="49" t="str">
        <f t="shared" ca="1" si="1688"/>
        <v/>
      </c>
      <c r="H1690" s="49" t="str">
        <f t="shared" ca="1" si="1688"/>
        <v/>
      </c>
      <c r="I1690" s="49" t="str">
        <f t="shared" ca="1" si="1688"/>
        <v/>
      </c>
      <c r="J1690" s="49" t="str">
        <f t="shared" ca="1" si="1688"/>
        <v/>
      </c>
    </row>
    <row r="1691" spans="1:10" ht="12.75" x14ac:dyDescent="0.2">
      <c r="A1691" s="40"/>
      <c r="B1691" s="41" t="s">
        <v>401</v>
      </c>
      <c r="C1691" s="40"/>
      <c r="D1691" s="40"/>
      <c r="E1691" s="40"/>
      <c r="F1691" s="49" t="str">
        <f t="shared" ref="F1691:J1691" ca="1" si="1689">IFERROR(__xludf.DUMMYFUNCTION("if (A1691 &lt;&gt; """", GOOGLETRANSLATE(A1691, ""auto"", ""en""), """")"),"")</f>
        <v/>
      </c>
      <c r="G1691" s="49" t="str">
        <f t="shared" ca="1" si="1689"/>
        <v/>
      </c>
      <c r="H1691" s="49" t="str">
        <f t="shared" ca="1" si="1689"/>
        <v/>
      </c>
      <c r="I1691" s="49" t="str">
        <f t="shared" ca="1" si="1689"/>
        <v/>
      </c>
      <c r="J1691" s="49" t="str">
        <f t="shared" ca="1" si="1689"/>
        <v/>
      </c>
    </row>
    <row r="1692" spans="1:10" ht="25.5" x14ac:dyDescent="0.2">
      <c r="A1692" s="41" t="s">
        <v>1259</v>
      </c>
      <c r="B1692" s="41" t="s">
        <v>402</v>
      </c>
      <c r="C1692" s="41" t="s">
        <v>1260</v>
      </c>
      <c r="D1692" s="40"/>
      <c r="E1692" s="40"/>
      <c r="F1692" s="49" t="str">
        <f t="shared" ref="F1692:J1692" ca="1" si="1690">IFERROR(__xludf.DUMMYFUNCTION("if (A1692 &lt;&gt; """", GOOGLETRANSLATE(A1692, ""auto"", ""en""), """")"),"Live in areas")</f>
        <v>Live in areas</v>
      </c>
      <c r="G1692" s="49" t="str">
        <f t="shared" ca="1" si="1690"/>
        <v>Live in areas</v>
      </c>
      <c r="H1692" s="49" t="str">
        <f t="shared" ca="1" si="1690"/>
        <v>Live in areas</v>
      </c>
      <c r="I1692" s="49" t="str">
        <f t="shared" ca="1" si="1690"/>
        <v>Live in areas</v>
      </c>
      <c r="J1692" s="49" t="str">
        <f t="shared" ca="1" si="1690"/>
        <v>Live in areas</v>
      </c>
    </row>
    <row r="1693" spans="1:10" ht="12.75" x14ac:dyDescent="0.2">
      <c r="A1693" s="41" t="s">
        <v>1261</v>
      </c>
      <c r="B1693" s="40"/>
      <c r="C1693" s="40"/>
      <c r="D1693" s="40"/>
      <c r="E1693" s="40"/>
      <c r="F1693" s="49" t="str">
        <f t="shared" ref="F1693:J1693" ca="1" si="1691">IFERROR(__xludf.DUMMYFUNCTION("if (A1693 &lt;&gt; """", GOOGLETRANSLATE(A1693, ""auto"", ""en""), """")"),"Urban living is")</f>
        <v>Urban living is</v>
      </c>
      <c r="G1693" s="49" t="str">
        <f t="shared" ca="1" si="1691"/>
        <v>Urban living is</v>
      </c>
      <c r="H1693" s="49" t="str">
        <f t="shared" ca="1" si="1691"/>
        <v>Urban living is</v>
      </c>
      <c r="I1693" s="49" t="str">
        <f t="shared" ca="1" si="1691"/>
        <v>Urban living is</v>
      </c>
      <c r="J1693" s="49" t="str">
        <f t="shared" ca="1" si="1691"/>
        <v>Urban living is</v>
      </c>
    </row>
    <row r="1694" spans="1:10" ht="25.5" x14ac:dyDescent="0.2">
      <c r="A1694" s="41" t="s">
        <v>1262</v>
      </c>
      <c r="B1694" s="40"/>
      <c r="C1694" s="40"/>
      <c r="D1694" s="40"/>
      <c r="E1694" s="40"/>
      <c r="F1694" s="49" t="str">
        <f t="shared" ref="F1694:J1694" ca="1" si="1692">IFERROR(__xludf.DUMMYFUNCTION("if (A1694 &lt;&gt; """", GOOGLETRANSLATE(A1694, ""auto"", ""en""), """")"),"Your place of residence")</f>
        <v>Your place of residence</v>
      </c>
      <c r="G1694" s="49" t="str">
        <f t="shared" ca="1" si="1692"/>
        <v>Your place of residence</v>
      </c>
      <c r="H1694" s="49" t="str">
        <f t="shared" ca="1" si="1692"/>
        <v>Your place of residence</v>
      </c>
      <c r="I1694" s="49" t="str">
        <f t="shared" ca="1" si="1692"/>
        <v>Your place of residence</v>
      </c>
      <c r="J1694" s="49" t="str">
        <f t="shared" ca="1" si="1692"/>
        <v>Your place of residence</v>
      </c>
    </row>
    <row r="1695" spans="1:10" ht="12.75" x14ac:dyDescent="0.2">
      <c r="A1695" s="41" t="s">
        <v>1263</v>
      </c>
      <c r="B1695" s="40"/>
      <c r="C1695" s="40"/>
      <c r="D1695" s="40"/>
      <c r="E1695" s="40"/>
      <c r="F1695" s="49" t="str">
        <f t="shared" ref="F1695:J1695" ca="1" si="1693">IFERROR(__xludf.DUMMYFUNCTION("if (A1695 &lt;&gt; """", GOOGLETRANSLATE(A1695, ""auto"", ""en""), """")"),"Your home")</f>
        <v>Your home</v>
      </c>
      <c r="G1695" s="49" t="str">
        <f t="shared" ca="1" si="1693"/>
        <v>Your home</v>
      </c>
      <c r="H1695" s="49" t="str">
        <f t="shared" ca="1" si="1693"/>
        <v>Your home</v>
      </c>
      <c r="I1695" s="49" t="str">
        <f t="shared" ca="1" si="1693"/>
        <v>Your home</v>
      </c>
      <c r="J1695" s="49" t="str">
        <f t="shared" ca="1" si="1693"/>
        <v>Your home</v>
      </c>
    </row>
    <row r="1696" spans="1:10" ht="12.75" x14ac:dyDescent="0.2">
      <c r="A1696" s="41" t="s">
        <v>1264</v>
      </c>
      <c r="B1696" s="40"/>
      <c r="C1696" s="40"/>
      <c r="D1696" s="40"/>
      <c r="E1696" s="40"/>
      <c r="F1696" s="49" t="str">
        <f t="shared" ref="F1696:J1696" ca="1" si="1694">IFERROR(__xludf.DUMMYFUNCTION("if (A1696 &lt;&gt; """", GOOGLETRANSLATE(A1696, ""auto"", ""en""), """")"),"Your home")</f>
        <v>Your home</v>
      </c>
      <c r="G1696" s="49" t="str">
        <f t="shared" ca="1" si="1694"/>
        <v>Your home</v>
      </c>
      <c r="H1696" s="49" t="str">
        <f t="shared" ca="1" si="1694"/>
        <v>Your home</v>
      </c>
      <c r="I1696" s="49" t="str">
        <f t="shared" ca="1" si="1694"/>
        <v>Your home</v>
      </c>
      <c r="J1696" s="49" t="str">
        <f t="shared" ca="1" si="1694"/>
        <v>Your home</v>
      </c>
    </row>
    <row r="1697" spans="1:10" ht="25.5" x14ac:dyDescent="0.2">
      <c r="A1697" s="41" t="s">
        <v>1265</v>
      </c>
      <c r="B1697" s="40"/>
      <c r="C1697" s="40"/>
      <c r="D1697" s="40"/>
      <c r="E1697" s="40"/>
      <c r="F1697" s="49" t="str">
        <f t="shared" ref="F1697:J1697" ca="1" si="1695">IFERROR(__xludf.DUMMYFUNCTION("if (A1697 &lt;&gt; """", GOOGLETRANSLATE(A1697, ""auto"", ""en""), """")"),"Your hometown")</f>
        <v>Your hometown</v>
      </c>
      <c r="G1697" s="49" t="str">
        <f t="shared" ca="1" si="1695"/>
        <v>Your hometown</v>
      </c>
      <c r="H1697" s="49" t="str">
        <f t="shared" ca="1" si="1695"/>
        <v>Your hometown</v>
      </c>
      <c r="I1697" s="49" t="str">
        <f t="shared" ca="1" si="1695"/>
        <v>Your hometown</v>
      </c>
      <c r="J1697" s="49" t="str">
        <f t="shared" ca="1" si="1695"/>
        <v>Your hometown</v>
      </c>
    </row>
    <row r="1698" spans="1:10" ht="25.5" x14ac:dyDescent="0.2">
      <c r="A1698" s="41" t="s">
        <v>1267</v>
      </c>
      <c r="B1698" s="40"/>
      <c r="C1698" s="40"/>
      <c r="D1698" s="40"/>
      <c r="E1698" s="40"/>
      <c r="F1698" s="49" t="str">
        <f t="shared" ref="F1698:J1698" ca="1" si="1696">IFERROR(__xludf.DUMMYFUNCTION("if (A1698 &lt;&gt; """", GOOGLETRANSLATE(A1698, ""auto"", ""en""), """")"),"Where is Is hometown")</f>
        <v>Where is Is hometown</v>
      </c>
      <c r="G1698" s="49" t="str">
        <f t="shared" ca="1" si="1696"/>
        <v>Where is Is hometown</v>
      </c>
      <c r="H1698" s="49" t="str">
        <f t="shared" ca="1" si="1696"/>
        <v>Where is Is hometown</v>
      </c>
      <c r="I1698" s="49" t="str">
        <f t="shared" ca="1" si="1696"/>
        <v>Where is Is hometown</v>
      </c>
      <c r="J1698" s="49" t="str">
        <f t="shared" ca="1" si="1696"/>
        <v>Where is Is hometown</v>
      </c>
    </row>
    <row r="1699" spans="1:10" ht="25.5" x14ac:dyDescent="0.2">
      <c r="A1699" s="41" t="s">
        <v>1268</v>
      </c>
      <c r="B1699" s="40"/>
      <c r="C1699" s="40"/>
      <c r="D1699" s="40"/>
      <c r="E1699" s="40"/>
      <c r="F1699" s="49" t="str">
        <f t="shared" ref="F1699:J1699" ca="1" si="1697">IFERROR(__xludf.DUMMYFUNCTION("if (A1699 &lt;&gt; """", GOOGLETRANSLATE(A1699, ""auto"", ""en""), """")"),"There Is hometown")</f>
        <v>There Is hometown</v>
      </c>
      <c r="G1699" s="49" t="str">
        <f t="shared" ca="1" si="1697"/>
        <v>There Is hometown</v>
      </c>
      <c r="H1699" s="49" t="str">
        <f t="shared" ca="1" si="1697"/>
        <v>There Is hometown</v>
      </c>
      <c r="I1699" s="49" t="str">
        <f t="shared" ca="1" si="1697"/>
        <v>There Is hometown</v>
      </c>
      <c r="J1699" s="49" t="str">
        <f t="shared" ca="1" si="1697"/>
        <v>There Is hometown</v>
      </c>
    </row>
    <row r="1700" spans="1:10" ht="25.5" x14ac:dyDescent="0.2">
      <c r="A1700" s="41" t="s">
        <v>1269</v>
      </c>
      <c r="B1700" s="40"/>
      <c r="C1700" s="40"/>
      <c r="D1700" s="40"/>
      <c r="E1700" s="40"/>
      <c r="F1700" s="49" t="str">
        <f t="shared" ref="F1700:J1700" ca="1" si="1698">IFERROR(__xludf.DUMMYFUNCTION("if (A1700 &lt;&gt; """", GOOGLETRANSLATE(A1700, ""auto"", ""en""), """")"),"Which is the hometown")</f>
        <v>Which is the hometown</v>
      </c>
      <c r="G1700" s="49" t="str">
        <f t="shared" ca="1" si="1698"/>
        <v>Which is the hometown</v>
      </c>
      <c r="H1700" s="49" t="str">
        <f t="shared" ca="1" si="1698"/>
        <v>Which is the hometown</v>
      </c>
      <c r="I1700" s="49" t="str">
        <f t="shared" ca="1" si="1698"/>
        <v>Which is the hometown</v>
      </c>
      <c r="J1700" s="49" t="str">
        <f t="shared" ca="1" si="1698"/>
        <v>Which is the hometown</v>
      </c>
    </row>
    <row r="1701" spans="1:10" ht="12.75" x14ac:dyDescent="0.2">
      <c r="A1701" s="40"/>
      <c r="B1701" s="40"/>
      <c r="C1701" s="40"/>
      <c r="D1701" s="40"/>
      <c r="E1701" s="40"/>
      <c r="F1701" s="49" t="str">
        <f t="shared" ref="F1701:J1701" ca="1" si="1699">IFERROR(__xludf.DUMMYFUNCTION("if (A1701 &lt;&gt; """", GOOGLETRANSLATE(A1701, ""auto"", ""en""), """")"),"")</f>
        <v/>
      </c>
      <c r="G1701" s="49" t="str">
        <f t="shared" ca="1" si="1699"/>
        <v/>
      </c>
      <c r="H1701" s="49" t="str">
        <f t="shared" ca="1" si="1699"/>
        <v/>
      </c>
      <c r="I1701" s="49" t="str">
        <f t="shared" ca="1" si="1699"/>
        <v/>
      </c>
      <c r="J1701" s="49" t="str">
        <f t="shared" ca="1" si="1699"/>
        <v/>
      </c>
    </row>
    <row r="1702" spans="1:10" ht="25.5" x14ac:dyDescent="0.2">
      <c r="A1702" s="41" t="s">
        <v>1271</v>
      </c>
      <c r="B1702" s="40"/>
      <c r="C1702" s="40"/>
      <c r="D1702" s="40"/>
      <c r="E1702" s="40"/>
      <c r="F1702" s="49" t="str">
        <f t="shared" ref="F1702:J1702" ca="1" si="1700">IFERROR(__xludf.DUMMYFUNCTION("if (A1702 &lt;&gt; """", GOOGLETRANSLATE(A1702, ""auto"", ""en""), """")"),"smalltalk.agent.right")</f>
        <v>smalltalk.agent.right</v>
      </c>
      <c r="G1702" s="49" t="str">
        <f t="shared" ca="1" si="1700"/>
        <v>smalltalk.agent.right</v>
      </c>
      <c r="H1702" s="49" t="str">
        <f t="shared" ca="1" si="1700"/>
        <v>smalltalk.agent.right</v>
      </c>
      <c r="I1702" s="49" t="str">
        <f t="shared" ca="1" si="1700"/>
        <v>smalltalk.agent.right</v>
      </c>
      <c r="J1702" s="49" t="str">
        <f t="shared" ca="1" si="1700"/>
        <v>smalltalk.agent.right</v>
      </c>
    </row>
    <row r="1703" spans="1:10" ht="12.75" x14ac:dyDescent="0.2">
      <c r="A1703" s="40"/>
      <c r="B1703" s="41" t="s">
        <v>398</v>
      </c>
      <c r="C1703" s="40"/>
      <c r="D1703" s="40"/>
      <c r="E1703" s="40"/>
      <c r="F1703" s="49" t="str">
        <f t="shared" ref="F1703:J1703" ca="1" si="1701">IFERROR(__xludf.DUMMYFUNCTION("if (A1703 &lt;&gt; """", GOOGLETRANSLATE(A1703, ""auto"", ""en""), """")"),"")</f>
        <v/>
      </c>
      <c r="G1703" s="49" t="str">
        <f t="shared" ca="1" si="1701"/>
        <v/>
      </c>
      <c r="H1703" s="49" t="str">
        <f t="shared" ca="1" si="1701"/>
        <v/>
      </c>
      <c r="I1703" s="49" t="str">
        <f t="shared" ca="1" si="1701"/>
        <v/>
      </c>
      <c r="J1703" s="49" t="str">
        <f t="shared" ca="1" si="1701"/>
        <v/>
      </c>
    </row>
    <row r="1704" spans="1:10" ht="12.75" x14ac:dyDescent="0.2">
      <c r="A1704" s="40"/>
      <c r="B1704" s="41" t="s">
        <v>399</v>
      </c>
      <c r="C1704" s="40"/>
      <c r="D1704" s="40"/>
      <c r="E1704" s="40"/>
      <c r="F1704" s="49" t="str">
        <f t="shared" ref="F1704:J1704" ca="1" si="1702">IFERROR(__xludf.DUMMYFUNCTION("if (A1704 &lt;&gt; """", GOOGLETRANSLATE(A1704, ""auto"", ""en""), """")"),"")</f>
        <v/>
      </c>
      <c r="G1704" s="49" t="str">
        <f t="shared" ca="1" si="1702"/>
        <v/>
      </c>
      <c r="H1704" s="49" t="str">
        <f t="shared" ca="1" si="1702"/>
        <v/>
      </c>
      <c r="I1704" s="49" t="str">
        <f t="shared" ca="1" si="1702"/>
        <v/>
      </c>
      <c r="J1704" s="49" t="str">
        <f t="shared" ca="1" si="1702"/>
        <v/>
      </c>
    </row>
    <row r="1705" spans="1:10" ht="12.75" x14ac:dyDescent="0.2">
      <c r="A1705" s="40"/>
      <c r="B1705" s="41" t="s">
        <v>400</v>
      </c>
      <c r="C1705" s="41" t="s">
        <v>1271</v>
      </c>
      <c r="D1705" s="40"/>
      <c r="E1705" s="40"/>
      <c r="F1705" s="49" t="str">
        <f t="shared" ref="F1705:J1705" ca="1" si="1703">IFERROR(__xludf.DUMMYFUNCTION("if (A1705 &lt;&gt; """", GOOGLETRANSLATE(A1705, ""auto"", ""en""), """")"),"")</f>
        <v/>
      </c>
      <c r="G1705" s="49" t="str">
        <f t="shared" ca="1" si="1703"/>
        <v/>
      </c>
      <c r="H1705" s="49" t="str">
        <f t="shared" ca="1" si="1703"/>
        <v/>
      </c>
      <c r="I1705" s="49" t="str">
        <f t="shared" ca="1" si="1703"/>
        <v/>
      </c>
      <c r="J1705" s="49" t="str">
        <f t="shared" ca="1" si="1703"/>
        <v/>
      </c>
    </row>
    <row r="1706" spans="1:10" ht="12.75" x14ac:dyDescent="0.2">
      <c r="A1706" s="40"/>
      <c r="B1706" s="41" t="s">
        <v>401</v>
      </c>
      <c r="C1706" s="40"/>
      <c r="D1706" s="40"/>
      <c r="E1706" s="40"/>
      <c r="F1706" s="49" t="str">
        <f t="shared" ref="F1706:J1706" ca="1" si="1704">IFERROR(__xludf.DUMMYFUNCTION("if (A1706 &lt;&gt; """", GOOGLETRANSLATE(A1706, ""auto"", ""en""), """")"),"")</f>
        <v/>
      </c>
      <c r="G1706" s="49" t="str">
        <f t="shared" ca="1" si="1704"/>
        <v/>
      </c>
      <c r="H1706" s="49" t="str">
        <f t="shared" ca="1" si="1704"/>
        <v/>
      </c>
      <c r="I1706" s="49" t="str">
        <f t="shared" ca="1" si="1704"/>
        <v/>
      </c>
      <c r="J1706" s="49" t="str">
        <f t="shared" ca="1" si="1704"/>
        <v/>
      </c>
    </row>
    <row r="1707" spans="1:10" ht="25.5" x14ac:dyDescent="0.2">
      <c r="A1707" s="41" t="s">
        <v>1025</v>
      </c>
      <c r="B1707" s="41" t="s">
        <v>402</v>
      </c>
      <c r="C1707" s="41" t="s">
        <v>1275</v>
      </c>
      <c r="D1707" s="40"/>
      <c r="E1707" s="40"/>
      <c r="F1707" s="49" t="str">
        <f t="shared" ref="F1707:J1707" ca="1" si="1705">IFERROR(__xludf.DUMMYFUNCTION("if (A1707 &lt;&gt; """", GOOGLETRANSLATE(A1707, ""auto"", ""en""), """")"),"exactly")</f>
        <v>exactly</v>
      </c>
      <c r="G1707" s="49" t="str">
        <f t="shared" ca="1" si="1705"/>
        <v>exactly</v>
      </c>
      <c r="H1707" s="49" t="str">
        <f t="shared" ca="1" si="1705"/>
        <v>exactly</v>
      </c>
      <c r="I1707" s="49" t="str">
        <f t="shared" ca="1" si="1705"/>
        <v>exactly</v>
      </c>
      <c r="J1707" s="49" t="str">
        <f t="shared" ca="1" si="1705"/>
        <v>exactly</v>
      </c>
    </row>
    <row r="1708" spans="1:10" ht="25.5" x14ac:dyDescent="0.2">
      <c r="A1708" s="41" t="s">
        <v>1277</v>
      </c>
      <c r="B1708" s="40"/>
      <c r="C1708" s="40"/>
      <c r="D1708" s="40"/>
      <c r="E1708" s="40"/>
      <c r="F1708" s="49" t="str">
        <f t="shared" ref="F1708:J1708" ca="1" si="1706">IFERROR(__xludf.DUMMYFUNCTION("if (A1708 &lt;&gt; """", GOOGLETRANSLATE(A1708, ""auto"", ""en""), """")"),"It's exactly as you say")</f>
        <v>It's exactly as you say</v>
      </c>
      <c r="G1708" s="49" t="str">
        <f t="shared" ca="1" si="1706"/>
        <v>It's exactly as you say</v>
      </c>
      <c r="H1708" s="49" t="str">
        <f t="shared" ca="1" si="1706"/>
        <v>It's exactly as you say</v>
      </c>
      <c r="I1708" s="49" t="str">
        <f t="shared" ca="1" si="1706"/>
        <v>It's exactly as you say</v>
      </c>
      <c r="J1708" s="49" t="str">
        <f t="shared" ca="1" si="1706"/>
        <v>It's exactly as you say</v>
      </c>
    </row>
    <row r="1709" spans="1:10" ht="25.5" x14ac:dyDescent="0.2">
      <c r="A1709" s="41" t="s">
        <v>1278</v>
      </c>
      <c r="B1709" s="40"/>
      <c r="C1709" s="40"/>
      <c r="D1709" s="40"/>
      <c r="E1709" s="40"/>
      <c r="F1709" s="49" t="str">
        <f t="shared" ref="F1709:J1709" ca="1" si="1707">IFERROR(__xludf.DUMMYFUNCTION("if (A1709 &lt;&gt; """", GOOGLETRANSLATE(A1709, ""auto"", ""en""), """")"),"As you say at all")</f>
        <v>As you say at all</v>
      </c>
      <c r="G1709" s="49" t="str">
        <f t="shared" ca="1" si="1707"/>
        <v>As you say at all</v>
      </c>
      <c r="H1709" s="49" t="str">
        <f t="shared" ca="1" si="1707"/>
        <v>As you say at all</v>
      </c>
      <c r="I1709" s="49" t="str">
        <f t="shared" ca="1" si="1707"/>
        <v>As you say at all</v>
      </c>
      <c r="J1709" s="49" t="str">
        <f t="shared" ca="1" si="1707"/>
        <v>As you say at all</v>
      </c>
    </row>
    <row r="1710" spans="1:10" ht="25.5" x14ac:dyDescent="0.2">
      <c r="A1710" s="41" t="s">
        <v>1279</v>
      </c>
      <c r="B1710" s="40"/>
      <c r="C1710" s="40"/>
      <c r="D1710" s="40"/>
      <c r="E1710" s="40"/>
      <c r="F1710" s="49" t="str">
        <f t="shared" ref="F1710:J1710" ca="1" si="1708">IFERROR(__xludf.DUMMYFUNCTION("if (A1710 &lt;&gt; """", GOOGLETRANSLATE(A1710, ""auto"", ""en""), """")"),"You are not wrong")</f>
        <v>You are not wrong</v>
      </c>
      <c r="G1710" s="49" t="str">
        <f t="shared" ca="1" si="1708"/>
        <v>You are not wrong</v>
      </c>
      <c r="H1710" s="49" t="str">
        <f t="shared" ca="1" si="1708"/>
        <v>You are not wrong</v>
      </c>
      <c r="I1710" s="49" t="str">
        <f t="shared" ca="1" si="1708"/>
        <v>You are not wrong</v>
      </c>
      <c r="J1710" s="49" t="str">
        <f t="shared" ca="1" si="1708"/>
        <v>You are not wrong</v>
      </c>
    </row>
    <row r="1711" spans="1:10" ht="25.5" x14ac:dyDescent="0.2">
      <c r="A1711" s="41" t="s">
        <v>1281</v>
      </c>
      <c r="B1711" s="40"/>
      <c r="C1711" s="40"/>
      <c r="D1711" s="40"/>
      <c r="E1711" s="40"/>
      <c r="F1711" s="49" t="str">
        <f t="shared" ref="F1711:J1711" ca="1" si="1709">IFERROR(__xludf.DUMMYFUNCTION("if (A1711 &lt;&gt; """", GOOGLETRANSLATE(A1711, ""auto"", ""en""), """")"),"It is true what you say")</f>
        <v>It is true what you say</v>
      </c>
      <c r="G1711" s="49" t="str">
        <f t="shared" ca="1" si="1709"/>
        <v>It is true what you say</v>
      </c>
      <c r="H1711" s="49" t="str">
        <f t="shared" ca="1" si="1709"/>
        <v>It is true what you say</v>
      </c>
      <c r="I1711" s="49" t="str">
        <f t="shared" ca="1" si="1709"/>
        <v>It is true what you say</v>
      </c>
      <c r="J1711" s="49" t="str">
        <f t="shared" ca="1" si="1709"/>
        <v>It is true what you say</v>
      </c>
    </row>
    <row r="1712" spans="1:10" ht="25.5" x14ac:dyDescent="0.2">
      <c r="A1712" s="41" t="s">
        <v>1282</v>
      </c>
      <c r="B1712" s="40"/>
      <c r="C1712" s="40"/>
      <c r="D1712" s="40"/>
      <c r="E1712" s="40"/>
      <c r="F1712" s="49" t="str">
        <f t="shared" ref="F1712:J1712" ca="1" si="1710">IFERROR(__xludf.DUMMYFUNCTION("if (A1712 &lt;&gt; """", GOOGLETRANSLATE(A1712, ""auto"", ""en""), """")"),"Your It is true to say")</f>
        <v>Your It is true to say</v>
      </c>
      <c r="G1712" s="49" t="str">
        <f t="shared" ca="1" si="1710"/>
        <v>Your It is true to say</v>
      </c>
      <c r="H1712" s="49" t="str">
        <f t="shared" ca="1" si="1710"/>
        <v>Your It is true to say</v>
      </c>
      <c r="I1712" s="49" t="str">
        <f t="shared" ca="1" si="1710"/>
        <v>Your It is true to say</v>
      </c>
      <c r="J1712" s="49" t="str">
        <f t="shared" ca="1" si="1710"/>
        <v>Your It is true to say</v>
      </c>
    </row>
    <row r="1713" spans="1:10" ht="12.75" x14ac:dyDescent="0.2">
      <c r="A1713" s="41" t="s">
        <v>1283</v>
      </c>
      <c r="B1713" s="40"/>
      <c r="C1713" s="40"/>
      <c r="D1713" s="40"/>
      <c r="E1713" s="40"/>
      <c r="F1713" s="49" t="str">
        <f t="shared" ref="F1713:J1713" ca="1" si="1711">IFERROR(__xludf.DUMMYFUNCTION("if (A1713 &lt;&gt; """", GOOGLETRANSLATE(A1713, ""auto"", ""en""), """")"),"That's it")</f>
        <v>That's it</v>
      </c>
      <c r="G1713" s="49" t="str">
        <f t="shared" ca="1" si="1711"/>
        <v>That's it</v>
      </c>
      <c r="H1713" s="49" t="str">
        <f t="shared" ca="1" si="1711"/>
        <v>That's it</v>
      </c>
      <c r="I1713" s="49" t="str">
        <f t="shared" ca="1" si="1711"/>
        <v>That's it</v>
      </c>
      <c r="J1713" s="49" t="str">
        <f t="shared" ca="1" si="1711"/>
        <v>That's it</v>
      </c>
    </row>
    <row r="1714" spans="1:10" ht="12.75" x14ac:dyDescent="0.2">
      <c r="A1714" s="41" t="s">
        <v>1284</v>
      </c>
      <c r="B1714" s="40"/>
      <c r="C1714" s="40"/>
      <c r="D1714" s="40"/>
      <c r="E1714" s="40"/>
      <c r="F1714" s="49" t="str">
        <f t="shared" ref="F1714:J1714" ca="1" si="1712">IFERROR(__xludf.DUMMYFUNCTION("if (A1714 &lt;&gt; """", GOOGLETRANSLATE(A1714, ""auto"", ""en""), """")"),"exactly")</f>
        <v>exactly</v>
      </c>
      <c r="G1714" s="49" t="str">
        <f t="shared" ca="1" si="1712"/>
        <v>exactly</v>
      </c>
      <c r="H1714" s="49" t="str">
        <f t="shared" ca="1" si="1712"/>
        <v>exactly</v>
      </c>
      <c r="I1714" s="49" t="str">
        <f t="shared" ca="1" si="1712"/>
        <v>exactly</v>
      </c>
      <c r="J1714" s="49" t="str">
        <f t="shared" ca="1" si="1712"/>
        <v>exactly</v>
      </c>
    </row>
    <row r="1715" spans="1:10" ht="12.75" x14ac:dyDescent="0.2">
      <c r="A1715" s="41" t="s">
        <v>1019</v>
      </c>
      <c r="B1715" s="40"/>
      <c r="C1715" s="40"/>
      <c r="D1715" s="40"/>
      <c r="E1715" s="40"/>
      <c r="F1715" s="49" t="str">
        <f t="shared" ref="F1715:J1715" ca="1" si="1713">IFERROR(__xludf.DUMMYFUNCTION("if (A1715 &lt;&gt; """", GOOGLETRANSLATE(A1715, ""auto"", ""en""), """")"),"Yeah")</f>
        <v>Yeah</v>
      </c>
      <c r="G1715" s="49" t="str">
        <f t="shared" ca="1" si="1713"/>
        <v>Yeah</v>
      </c>
      <c r="H1715" s="49" t="str">
        <f t="shared" ca="1" si="1713"/>
        <v>Yeah</v>
      </c>
      <c r="I1715" s="49" t="str">
        <f t="shared" ca="1" si="1713"/>
        <v>Yeah</v>
      </c>
      <c r="J1715" s="49" t="str">
        <f t="shared" ca="1" si="1713"/>
        <v>Yeah</v>
      </c>
    </row>
    <row r="1716" spans="1:10" ht="12.75" x14ac:dyDescent="0.2">
      <c r="A1716" s="41" t="s">
        <v>1285</v>
      </c>
      <c r="B1716" s="40"/>
      <c r="C1716" s="40"/>
      <c r="D1716" s="40"/>
      <c r="E1716" s="40"/>
      <c r="F1716" s="49" t="str">
        <f t="shared" ref="F1716:J1716" ca="1" si="1714">IFERROR(__xludf.DUMMYFUNCTION("if (A1716 &lt;&gt; """", GOOGLETRANSLATE(A1716, ""auto"", ""en""), """")"),"That is correct")</f>
        <v>That is correct</v>
      </c>
      <c r="G1716" s="49" t="str">
        <f t="shared" ca="1" si="1714"/>
        <v>That is correct</v>
      </c>
      <c r="H1716" s="49" t="str">
        <f t="shared" ca="1" si="1714"/>
        <v>That is correct</v>
      </c>
      <c r="I1716" s="49" t="str">
        <f t="shared" ca="1" si="1714"/>
        <v>That is correct</v>
      </c>
      <c r="J1716" s="49" t="str">
        <f t="shared" ca="1" si="1714"/>
        <v>That is correct</v>
      </c>
    </row>
    <row r="1717" spans="1:10" ht="12.75" x14ac:dyDescent="0.2">
      <c r="A1717" s="40"/>
      <c r="B1717" s="40"/>
      <c r="C1717" s="40"/>
      <c r="D1717" s="40"/>
      <c r="E1717" s="40"/>
      <c r="F1717" s="49" t="str">
        <f t="shared" ref="F1717:J1717" ca="1" si="1715">IFERROR(__xludf.DUMMYFUNCTION("if (A1717 &lt;&gt; """", GOOGLETRANSLATE(A1717, ""auto"", ""en""), """")"),"")</f>
        <v/>
      </c>
      <c r="G1717" s="49" t="str">
        <f t="shared" ca="1" si="1715"/>
        <v/>
      </c>
      <c r="H1717" s="49" t="str">
        <f t="shared" ca="1" si="1715"/>
        <v/>
      </c>
      <c r="I1717" s="49" t="str">
        <f t="shared" ca="1" si="1715"/>
        <v/>
      </c>
      <c r="J1717" s="49" t="str">
        <f t="shared" ca="1" si="1715"/>
        <v/>
      </c>
    </row>
    <row r="1718" spans="1:10" ht="25.5" x14ac:dyDescent="0.2">
      <c r="A1718" s="41" t="s">
        <v>1288</v>
      </c>
      <c r="B1718" s="40"/>
      <c r="C1718" s="40"/>
      <c r="D1718" s="40"/>
      <c r="E1718" s="40"/>
      <c r="F1718" s="49" t="str">
        <f t="shared" ref="F1718:J1718" ca="1" si="1716">IFERROR(__xludf.DUMMYFUNCTION("if (A1718 &lt;&gt; """", GOOGLETRANSLATE(A1718, ""auto"", ""en""), """")"),"smalltalk.agent.study")</f>
        <v>smalltalk.agent.study</v>
      </c>
      <c r="G1718" s="49" t="str">
        <f t="shared" ca="1" si="1716"/>
        <v>smalltalk.agent.study</v>
      </c>
      <c r="H1718" s="49" t="str">
        <f t="shared" ca="1" si="1716"/>
        <v>smalltalk.agent.study</v>
      </c>
      <c r="I1718" s="49" t="str">
        <f t="shared" ca="1" si="1716"/>
        <v>smalltalk.agent.study</v>
      </c>
      <c r="J1718" s="49" t="str">
        <f t="shared" ca="1" si="1716"/>
        <v>smalltalk.agent.study</v>
      </c>
    </row>
    <row r="1719" spans="1:10" ht="12.75" x14ac:dyDescent="0.2">
      <c r="A1719" s="40"/>
      <c r="B1719" s="41" t="s">
        <v>398</v>
      </c>
      <c r="C1719" s="40"/>
      <c r="D1719" s="40"/>
      <c r="E1719" s="40"/>
      <c r="F1719" s="49" t="str">
        <f t="shared" ref="F1719:J1719" ca="1" si="1717">IFERROR(__xludf.DUMMYFUNCTION("if (A1719 &lt;&gt; """", GOOGLETRANSLATE(A1719, ""auto"", ""en""), """")"),"")</f>
        <v/>
      </c>
      <c r="G1719" s="49" t="str">
        <f t="shared" ca="1" si="1717"/>
        <v/>
      </c>
      <c r="H1719" s="49" t="str">
        <f t="shared" ca="1" si="1717"/>
        <v/>
      </c>
      <c r="I1719" s="49" t="str">
        <f t="shared" ca="1" si="1717"/>
        <v/>
      </c>
      <c r="J1719" s="49" t="str">
        <f t="shared" ca="1" si="1717"/>
        <v/>
      </c>
    </row>
    <row r="1720" spans="1:10" ht="12.75" x14ac:dyDescent="0.2">
      <c r="A1720" s="40"/>
      <c r="B1720" s="41" t="s">
        <v>399</v>
      </c>
      <c r="C1720" s="40"/>
      <c r="D1720" s="40"/>
      <c r="E1720" s="40"/>
      <c r="F1720" s="49" t="str">
        <f t="shared" ref="F1720:J1720" ca="1" si="1718">IFERROR(__xludf.DUMMYFUNCTION("if (A1720 &lt;&gt; """", GOOGLETRANSLATE(A1720, ""auto"", ""en""), """")"),"")</f>
        <v/>
      </c>
      <c r="G1720" s="49" t="str">
        <f t="shared" ca="1" si="1718"/>
        <v/>
      </c>
      <c r="H1720" s="49" t="str">
        <f t="shared" ca="1" si="1718"/>
        <v/>
      </c>
      <c r="I1720" s="49" t="str">
        <f t="shared" ca="1" si="1718"/>
        <v/>
      </c>
      <c r="J1720" s="49" t="str">
        <f t="shared" ca="1" si="1718"/>
        <v/>
      </c>
    </row>
    <row r="1721" spans="1:10" ht="12.75" x14ac:dyDescent="0.2">
      <c r="A1721" s="40"/>
      <c r="B1721" s="41" t="s">
        <v>400</v>
      </c>
      <c r="C1721" s="41" t="s">
        <v>1288</v>
      </c>
      <c r="D1721" s="40"/>
      <c r="E1721" s="40"/>
      <c r="F1721" s="49" t="str">
        <f t="shared" ref="F1721:J1721" ca="1" si="1719">IFERROR(__xludf.DUMMYFUNCTION("if (A1721 &lt;&gt; """", GOOGLETRANSLATE(A1721, ""auto"", ""en""), """")"),"")</f>
        <v/>
      </c>
      <c r="G1721" s="49" t="str">
        <f t="shared" ca="1" si="1719"/>
        <v/>
      </c>
      <c r="H1721" s="49" t="str">
        <f t="shared" ca="1" si="1719"/>
        <v/>
      </c>
      <c r="I1721" s="49" t="str">
        <f t="shared" ca="1" si="1719"/>
        <v/>
      </c>
      <c r="J1721" s="49" t="str">
        <f t="shared" ca="1" si="1719"/>
        <v/>
      </c>
    </row>
    <row r="1722" spans="1:10" ht="12.75" x14ac:dyDescent="0.2">
      <c r="A1722" s="40"/>
      <c r="B1722" s="41" t="s">
        <v>401</v>
      </c>
      <c r="C1722" s="40"/>
      <c r="D1722" s="40"/>
      <c r="E1722" s="40"/>
      <c r="F1722" s="49" t="str">
        <f t="shared" ref="F1722:J1722" ca="1" si="1720">IFERROR(__xludf.DUMMYFUNCTION("if (A1722 &lt;&gt; """", GOOGLETRANSLATE(A1722, ""auto"", ""en""), """")"),"")</f>
        <v/>
      </c>
      <c r="G1722" s="49" t="str">
        <f t="shared" ca="1" si="1720"/>
        <v/>
      </c>
      <c r="H1722" s="49" t="str">
        <f t="shared" ca="1" si="1720"/>
        <v/>
      </c>
      <c r="I1722" s="49" t="str">
        <f t="shared" ca="1" si="1720"/>
        <v/>
      </c>
      <c r="J1722" s="49" t="str">
        <f t="shared" ca="1" si="1720"/>
        <v/>
      </c>
    </row>
    <row r="1723" spans="1:10" ht="25.5" x14ac:dyDescent="0.2">
      <c r="A1723" s="41" t="s">
        <v>1290</v>
      </c>
      <c r="B1723" s="41" t="s">
        <v>402</v>
      </c>
      <c r="C1723" s="41" t="s">
        <v>1292</v>
      </c>
      <c r="D1723" s="40"/>
      <c r="E1723" s="40"/>
      <c r="F1723" s="49" t="str">
        <f t="shared" ref="F1723:J1723" ca="1" si="1721">IFERROR(__xludf.DUMMYFUNCTION("if (A1723 &lt;&gt; """", GOOGLETRANSLATE(A1723, ""auto"", ""en""), """")"),"Are you studying")</f>
        <v>Are you studying</v>
      </c>
      <c r="G1723" s="49" t="str">
        <f t="shared" ca="1" si="1721"/>
        <v>Are you studying</v>
      </c>
      <c r="H1723" s="49" t="str">
        <f t="shared" ca="1" si="1721"/>
        <v>Are you studying</v>
      </c>
      <c r="I1723" s="49" t="str">
        <f t="shared" ca="1" si="1721"/>
        <v>Are you studying</v>
      </c>
      <c r="J1723" s="49" t="str">
        <f t="shared" ca="1" si="1721"/>
        <v>Are you studying</v>
      </c>
    </row>
    <row r="1724" spans="1:10" ht="12.75" x14ac:dyDescent="0.2">
      <c r="A1724" s="40"/>
      <c r="B1724" s="40"/>
      <c r="C1724" s="40"/>
      <c r="D1724" s="40"/>
      <c r="E1724" s="40"/>
      <c r="F1724" s="49" t="str">
        <f t="shared" ref="F1724:J1724" ca="1" si="1722">IFERROR(__xludf.DUMMYFUNCTION("if (A1724 &lt;&gt; """", GOOGLETRANSLATE(A1724, ""auto"", ""en""), """")"),"")</f>
        <v/>
      </c>
      <c r="G1724" s="49" t="str">
        <f t="shared" ca="1" si="1722"/>
        <v/>
      </c>
      <c r="H1724" s="49" t="str">
        <f t="shared" ca="1" si="1722"/>
        <v/>
      </c>
      <c r="I1724" s="49" t="str">
        <f t="shared" ca="1" si="1722"/>
        <v/>
      </c>
      <c r="J1724" s="49" t="str">
        <f t="shared" ca="1" si="1722"/>
        <v/>
      </c>
    </row>
    <row r="1725" spans="1:10" ht="25.5" x14ac:dyDescent="0.2">
      <c r="A1725" s="41" t="s">
        <v>1295</v>
      </c>
      <c r="B1725" s="40"/>
      <c r="C1725" s="40"/>
      <c r="D1725" s="40"/>
      <c r="E1725" s="40"/>
      <c r="F1725" s="49" t="str">
        <f t="shared" ref="F1725:J1725" ca="1" si="1723">IFERROR(__xludf.DUMMYFUNCTION("if (A1725 &lt;&gt; """", GOOGLETRANSLATE(A1725, ""auto"", ""en""), """")"),"smalltalk.agent.sure")</f>
        <v>smalltalk.agent.sure</v>
      </c>
      <c r="G1725" s="49" t="str">
        <f t="shared" ca="1" si="1723"/>
        <v>smalltalk.agent.sure</v>
      </c>
      <c r="H1725" s="49" t="str">
        <f t="shared" ca="1" si="1723"/>
        <v>smalltalk.agent.sure</v>
      </c>
      <c r="I1725" s="49" t="str">
        <f t="shared" ca="1" si="1723"/>
        <v>smalltalk.agent.sure</v>
      </c>
      <c r="J1725" s="49" t="str">
        <f t="shared" ca="1" si="1723"/>
        <v>smalltalk.agent.sure</v>
      </c>
    </row>
    <row r="1726" spans="1:10" ht="12.75" x14ac:dyDescent="0.2">
      <c r="A1726" s="40"/>
      <c r="B1726" s="41" t="s">
        <v>398</v>
      </c>
      <c r="C1726" s="40"/>
      <c r="D1726" s="40"/>
      <c r="E1726" s="40"/>
      <c r="F1726" s="49" t="str">
        <f t="shared" ref="F1726:J1726" ca="1" si="1724">IFERROR(__xludf.DUMMYFUNCTION("if (A1726 &lt;&gt; """", GOOGLETRANSLATE(A1726, ""auto"", ""en""), """")"),"")</f>
        <v/>
      </c>
      <c r="G1726" s="49" t="str">
        <f t="shared" ca="1" si="1724"/>
        <v/>
      </c>
      <c r="H1726" s="49" t="str">
        <f t="shared" ca="1" si="1724"/>
        <v/>
      </c>
      <c r="I1726" s="49" t="str">
        <f t="shared" ca="1" si="1724"/>
        <v/>
      </c>
      <c r="J1726" s="49" t="str">
        <f t="shared" ca="1" si="1724"/>
        <v/>
      </c>
    </row>
    <row r="1727" spans="1:10" ht="12.75" x14ac:dyDescent="0.2">
      <c r="A1727" s="40"/>
      <c r="B1727" s="41" t="s">
        <v>399</v>
      </c>
      <c r="C1727" s="40"/>
      <c r="D1727" s="40"/>
      <c r="E1727" s="40"/>
      <c r="F1727" s="49" t="str">
        <f t="shared" ref="F1727:J1727" ca="1" si="1725">IFERROR(__xludf.DUMMYFUNCTION("if (A1727 &lt;&gt; """", GOOGLETRANSLATE(A1727, ""auto"", ""en""), """")"),"")</f>
        <v/>
      </c>
      <c r="G1727" s="49" t="str">
        <f t="shared" ca="1" si="1725"/>
        <v/>
      </c>
      <c r="H1727" s="49" t="str">
        <f t="shared" ca="1" si="1725"/>
        <v/>
      </c>
      <c r="I1727" s="49" t="str">
        <f t="shared" ca="1" si="1725"/>
        <v/>
      </c>
      <c r="J1727" s="49" t="str">
        <f t="shared" ca="1" si="1725"/>
        <v/>
      </c>
    </row>
    <row r="1728" spans="1:10" ht="12.75" x14ac:dyDescent="0.2">
      <c r="A1728" s="40"/>
      <c r="B1728" s="41" t="s">
        <v>400</v>
      </c>
      <c r="C1728" s="41" t="s">
        <v>1295</v>
      </c>
      <c r="D1728" s="40"/>
      <c r="E1728" s="40"/>
      <c r="F1728" s="49" t="str">
        <f t="shared" ref="F1728:J1728" ca="1" si="1726">IFERROR(__xludf.DUMMYFUNCTION("if (A1728 &lt;&gt; """", GOOGLETRANSLATE(A1728, ""auto"", ""en""), """")"),"")</f>
        <v/>
      </c>
      <c r="G1728" s="49" t="str">
        <f t="shared" ca="1" si="1726"/>
        <v/>
      </c>
      <c r="H1728" s="49" t="str">
        <f t="shared" ca="1" si="1726"/>
        <v/>
      </c>
      <c r="I1728" s="49" t="str">
        <f t="shared" ca="1" si="1726"/>
        <v/>
      </c>
      <c r="J1728" s="49" t="str">
        <f t="shared" ca="1" si="1726"/>
        <v/>
      </c>
    </row>
    <row r="1729" spans="1:10" ht="12.75" x14ac:dyDescent="0.2">
      <c r="A1729" s="40"/>
      <c r="B1729" s="41" t="s">
        <v>401</v>
      </c>
      <c r="C1729" s="40"/>
      <c r="D1729" s="40"/>
      <c r="E1729" s="40"/>
      <c r="F1729" s="49" t="str">
        <f t="shared" ref="F1729:J1729" ca="1" si="1727">IFERROR(__xludf.DUMMYFUNCTION("if (A1729 &lt;&gt; """", GOOGLETRANSLATE(A1729, ""auto"", ""en""), """")"),"")</f>
        <v/>
      </c>
      <c r="G1729" s="49" t="str">
        <f t="shared" ca="1" si="1727"/>
        <v/>
      </c>
      <c r="H1729" s="49" t="str">
        <f t="shared" ca="1" si="1727"/>
        <v/>
      </c>
      <c r="I1729" s="49" t="str">
        <f t="shared" ca="1" si="1727"/>
        <v/>
      </c>
      <c r="J1729" s="49" t="str">
        <f t="shared" ca="1" si="1727"/>
        <v/>
      </c>
    </row>
    <row r="1730" spans="1:10" ht="25.5" x14ac:dyDescent="0.2">
      <c r="A1730" s="41" t="s">
        <v>1297</v>
      </c>
      <c r="B1730" s="41" t="s">
        <v>402</v>
      </c>
      <c r="C1730" s="41" t="s">
        <v>1298</v>
      </c>
      <c r="D1730" s="40"/>
      <c r="E1730" s="40"/>
      <c r="F1730" s="49" t="str">
        <f t="shared" ref="F1730:J1730" ca="1" si="1728">IFERROR(__xludf.DUMMYFUNCTION("if (A1730 &lt;&gt; """", GOOGLETRANSLATE(A1730, ""auto"", ""en""), """")"),"Is it OK")</f>
        <v>Is it OK</v>
      </c>
      <c r="G1730" s="49" t="str">
        <f t="shared" ca="1" si="1728"/>
        <v>Is it OK</v>
      </c>
      <c r="H1730" s="49" t="str">
        <f t="shared" ca="1" si="1728"/>
        <v>Is it OK</v>
      </c>
      <c r="I1730" s="49" t="str">
        <f t="shared" ca="1" si="1728"/>
        <v>Is it OK</v>
      </c>
      <c r="J1730" s="49" t="str">
        <f t="shared" ca="1" si="1728"/>
        <v>Is it OK</v>
      </c>
    </row>
    <row r="1731" spans="1:10" ht="12.75" x14ac:dyDescent="0.2">
      <c r="A1731" s="41" t="s">
        <v>1299</v>
      </c>
      <c r="B1731" s="40"/>
      <c r="C1731" s="40"/>
      <c r="D1731" s="40"/>
      <c r="E1731" s="40"/>
      <c r="F1731" s="49" t="str">
        <f t="shared" ref="F1731:J1731" ca="1" si="1729">IFERROR(__xludf.DUMMYFUNCTION("if (A1731 &lt;&gt; """", GOOGLETRANSLATE(A1731, ""auto"", ""en""), """")"),"Is it okay now")</f>
        <v>Is it okay now</v>
      </c>
      <c r="G1731" s="49" t="str">
        <f t="shared" ca="1" si="1729"/>
        <v>Is it okay now</v>
      </c>
      <c r="H1731" s="49" t="str">
        <f t="shared" ca="1" si="1729"/>
        <v>Is it okay now</v>
      </c>
      <c r="I1731" s="49" t="str">
        <f t="shared" ca="1" si="1729"/>
        <v>Is it okay now</v>
      </c>
      <c r="J1731" s="49" t="str">
        <f t="shared" ca="1" si="1729"/>
        <v>Is it okay now</v>
      </c>
    </row>
    <row r="1732" spans="1:10" ht="25.5" x14ac:dyDescent="0.2">
      <c r="A1732" s="41" t="s">
        <v>1300</v>
      </c>
      <c r="B1732" s="40"/>
      <c r="C1732" s="40"/>
      <c r="D1732" s="40"/>
      <c r="E1732" s="40"/>
      <c r="F1732" s="49" t="str">
        <f t="shared" ref="F1732:J1732" ca="1" si="1730">IFERROR(__xludf.DUMMYFUNCTION("if (A1732 &lt;&gt; """", GOOGLETRANSLATE(A1732, ""auto"", ""en""), """")"),"Is it okay today")</f>
        <v>Is it okay today</v>
      </c>
      <c r="G1732" s="49" t="str">
        <f t="shared" ca="1" si="1730"/>
        <v>Is it okay today</v>
      </c>
      <c r="H1732" s="49" t="str">
        <f t="shared" ca="1" si="1730"/>
        <v>Is it okay today</v>
      </c>
      <c r="I1732" s="49" t="str">
        <f t="shared" ca="1" si="1730"/>
        <v>Is it okay today</v>
      </c>
      <c r="J1732" s="49" t="str">
        <f t="shared" ca="1" si="1730"/>
        <v>Is it okay today</v>
      </c>
    </row>
    <row r="1733" spans="1:10" ht="25.5" x14ac:dyDescent="0.2">
      <c r="A1733" s="41" t="s">
        <v>1301</v>
      </c>
      <c r="B1733" s="40"/>
      <c r="C1733" s="40"/>
      <c r="D1733" s="40"/>
      <c r="E1733" s="40"/>
      <c r="F1733" s="49" t="str">
        <f t="shared" ref="F1733:J1733" ca="1" si="1731">IFERROR(__xludf.DUMMYFUNCTION("if (A1733 &lt;&gt; """", GOOGLETRANSLATE(A1733, ""auto"", ""en""), """")"),"Is it is now okay")</f>
        <v>Is it is now okay</v>
      </c>
      <c r="G1733" s="49" t="str">
        <f t="shared" ca="1" si="1731"/>
        <v>Is it is now okay</v>
      </c>
      <c r="H1733" s="49" t="str">
        <f t="shared" ca="1" si="1731"/>
        <v>Is it is now okay</v>
      </c>
      <c r="I1733" s="49" t="str">
        <f t="shared" ca="1" si="1731"/>
        <v>Is it is now okay</v>
      </c>
      <c r="J1733" s="49" t="str">
        <f t="shared" ca="1" si="1731"/>
        <v>Is it is now okay</v>
      </c>
    </row>
    <row r="1734" spans="1:10" ht="12.75" x14ac:dyDescent="0.2">
      <c r="A1734" s="40"/>
      <c r="B1734" s="41" t="s">
        <v>403</v>
      </c>
      <c r="C1734" s="41" t="s">
        <v>25</v>
      </c>
      <c r="D1734" s="41" t="s">
        <v>27</v>
      </c>
      <c r="E1734" s="40"/>
      <c r="F1734" s="49" t="str">
        <f t="shared" ref="F1734:J1734" ca="1" si="1732">IFERROR(__xludf.DUMMYFUNCTION("if (A1734 &lt;&gt; """", GOOGLETRANSLATE(A1734, ""auto"", ""en""), """")"),"")</f>
        <v/>
      </c>
      <c r="G1734" s="49" t="str">
        <f t="shared" ca="1" si="1732"/>
        <v/>
      </c>
      <c r="H1734" s="49" t="str">
        <f t="shared" ca="1" si="1732"/>
        <v/>
      </c>
      <c r="I1734" s="49" t="str">
        <f t="shared" ca="1" si="1732"/>
        <v/>
      </c>
      <c r="J1734" s="49" t="str">
        <f t="shared" ca="1" si="1732"/>
        <v/>
      </c>
    </row>
    <row r="1735" spans="1:10" ht="12.75" x14ac:dyDescent="0.2">
      <c r="A1735" s="40"/>
      <c r="B1735" s="41" t="s">
        <v>403</v>
      </c>
      <c r="C1735" s="41" t="s">
        <v>30</v>
      </c>
      <c r="D1735" s="41" t="s">
        <v>31</v>
      </c>
      <c r="E1735" s="40"/>
      <c r="F1735" s="49" t="str">
        <f t="shared" ref="F1735:J1735" ca="1" si="1733">IFERROR(__xludf.DUMMYFUNCTION("if (A1735 &lt;&gt; """", GOOGLETRANSLATE(A1735, ""auto"", ""en""), """")"),"")</f>
        <v/>
      </c>
      <c r="G1735" s="49" t="str">
        <f t="shared" ca="1" si="1733"/>
        <v/>
      </c>
      <c r="H1735" s="49" t="str">
        <f t="shared" ca="1" si="1733"/>
        <v/>
      </c>
      <c r="I1735" s="49" t="str">
        <f t="shared" ca="1" si="1733"/>
        <v/>
      </c>
      <c r="J1735" s="49" t="str">
        <f t="shared" ca="1" si="1733"/>
        <v/>
      </c>
    </row>
    <row r="1736" spans="1:10" ht="12.75" x14ac:dyDescent="0.2">
      <c r="A1736" s="40"/>
      <c r="B1736" s="41" t="s">
        <v>403</v>
      </c>
      <c r="C1736" s="41" t="s">
        <v>41</v>
      </c>
      <c r="D1736" s="41" t="s">
        <v>10</v>
      </c>
      <c r="E1736" s="40"/>
      <c r="F1736" s="49" t="str">
        <f t="shared" ref="F1736:J1736" ca="1" si="1734">IFERROR(__xludf.DUMMYFUNCTION("if (A1736 &lt;&gt; """", GOOGLETRANSLATE(A1736, ""auto"", ""en""), """")"),"")</f>
        <v/>
      </c>
      <c r="G1736" s="49" t="str">
        <f t="shared" ca="1" si="1734"/>
        <v/>
      </c>
      <c r="H1736" s="49" t="str">
        <f t="shared" ca="1" si="1734"/>
        <v/>
      </c>
      <c r="I1736" s="49" t="str">
        <f t="shared" ca="1" si="1734"/>
        <v/>
      </c>
      <c r="J1736" s="49" t="str">
        <f t="shared" ca="1" si="1734"/>
        <v/>
      </c>
    </row>
    <row r="1737" spans="1:10" ht="12.75" x14ac:dyDescent="0.2">
      <c r="A1737" s="40"/>
      <c r="B1737" s="40"/>
      <c r="C1737" s="40"/>
      <c r="D1737" s="40"/>
      <c r="E1737" s="40"/>
      <c r="F1737" s="49" t="str">
        <f t="shared" ref="F1737:J1737" ca="1" si="1735">IFERROR(__xludf.DUMMYFUNCTION("if (A1737 &lt;&gt; """", GOOGLETRANSLATE(A1737, ""auto"", ""en""), """")"),"")</f>
        <v/>
      </c>
      <c r="G1737" s="49" t="str">
        <f t="shared" ca="1" si="1735"/>
        <v/>
      </c>
      <c r="H1737" s="49" t="str">
        <f t="shared" ca="1" si="1735"/>
        <v/>
      </c>
      <c r="I1737" s="49" t="str">
        <f t="shared" ca="1" si="1735"/>
        <v/>
      </c>
      <c r="J1737" s="49" t="str">
        <f t="shared" ca="1" si="1735"/>
        <v/>
      </c>
    </row>
    <row r="1738" spans="1:10" ht="25.5" x14ac:dyDescent="0.2">
      <c r="A1738" s="41" t="s">
        <v>1302</v>
      </c>
      <c r="B1738" s="40"/>
      <c r="C1738" s="40"/>
      <c r="D1738" s="40"/>
      <c r="E1738" s="40"/>
      <c r="F1738" s="49" t="str">
        <f t="shared" ref="F1738:J1738" ca="1" si="1736">IFERROR(__xludf.DUMMYFUNCTION("if (A1738 &lt;&gt; """", GOOGLETRANSLATE(A1738, ""auto"", ""en""), """")"),"smalltalk.agent.talk_to_me")</f>
        <v>smalltalk.agent.talk_to_me</v>
      </c>
      <c r="G1738" s="49" t="str">
        <f t="shared" ca="1" si="1736"/>
        <v>smalltalk.agent.talk_to_me</v>
      </c>
      <c r="H1738" s="49" t="str">
        <f t="shared" ca="1" si="1736"/>
        <v>smalltalk.agent.talk_to_me</v>
      </c>
      <c r="I1738" s="49" t="str">
        <f t="shared" ca="1" si="1736"/>
        <v>smalltalk.agent.talk_to_me</v>
      </c>
      <c r="J1738" s="49" t="str">
        <f t="shared" ca="1" si="1736"/>
        <v>smalltalk.agent.talk_to_me</v>
      </c>
    </row>
    <row r="1739" spans="1:10" ht="12.75" x14ac:dyDescent="0.2">
      <c r="A1739" s="40"/>
      <c r="B1739" s="41" t="s">
        <v>398</v>
      </c>
      <c r="C1739" s="40"/>
      <c r="D1739" s="40"/>
      <c r="E1739" s="40"/>
      <c r="F1739" s="49" t="str">
        <f t="shared" ref="F1739:J1739" ca="1" si="1737">IFERROR(__xludf.DUMMYFUNCTION("if (A1739 &lt;&gt; """", GOOGLETRANSLATE(A1739, ""auto"", ""en""), """")"),"")</f>
        <v/>
      </c>
      <c r="G1739" s="49" t="str">
        <f t="shared" ca="1" si="1737"/>
        <v/>
      </c>
      <c r="H1739" s="49" t="str">
        <f t="shared" ca="1" si="1737"/>
        <v/>
      </c>
      <c r="I1739" s="49" t="str">
        <f t="shared" ca="1" si="1737"/>
        <v/>
      </c>
      <c r="J1739" s="49" t="str">
        <f t="shared" ca="1" si="1737"/>
        <v/>
      </c>
    </row>
    <row r="1740" spans="1:10" ht="12.75" x14ac:dyDescent="0.2">
      <c r="A1740" s="40"/>
      <c r="B1740" s="41" t="s">
        <v>399</v>
      </c>
      <c r="C1740" s="40"/>
      <c r="D1740" s="40"/>
      <c r="E1740" s="40"/>
      <c r="F1740" s="49" t="str">
        <f t="shared" ref="F1740:J1740" ca="1" si="1738">IFERROR(__xludf.DUMMYFUNCTION("if (A1740 &lt;&gt; """", GOOGLETRANSLATE(A1740, ""auto"", ""en""), """")"),"")</f>
        <v/>
      </c>
      <c r="G1740" s="49" t="str">
        <f t="shared" ca="1" si="1738"/>
        <v/>
      </c>
      <c r="H1740" s="49" t="str">
        <f t="shared" ca="1" si="1738"/>
        <v/>
      </c>
      <c r="I1740" s="49" t="str">
        <f t="shared" ca="1" si="1738"/>
        <v/>
      </c>
      <c r="J1740" s="49" t="str">
        <f t="shared" ca="1" si="1738"/>
        <v/>
      </c>
    </row>
    <row r="1741" spans="1:10" ht="12.75" x14ac:dyDescent="0.2">
      <c r="A1741" s="40"/>
      <c r="B1741" s="41" t="s">
        <v>400</v>
      </c>
      <c r="C1741" s="41" t="s">
        <v>1302</v>
      </c>
      <c r="D1741" s="40"/>
      <c r="E1741" s="40"/>
      <c r="F1741" s="49" t="str">
        <f t="shared" ref="F1741:J1741" ca="1" si="1739">IFERROR(__xludf.DUMMYFUNCTION("if (A1741 &lt;&gt; """", GOOGLETRANSLATE(A1741, ""auto"", ""en""), """")"),"")</f>
        <v/>
      </c>
      <c r="G1741" s="49" t="str">
        <f t="shared" ca="1" si="1739"/>
        <v/>
      </c>
      <c r="H1741" s="49" t="str">
        <f t="shared" ca="1" si="1739"/>
        <v/>
      </c>
      <c r="I1741" s="49" t="str">
        <f t="shared" ca="1" si="1739"/>
        <v/>
      </c>
      <c r="J1741" s="49" t="str">
        <f t="shared" ca="1" si="1739"/>
        <v/>
      </c>
    </row>
    <row r="1742" spans="1:10" ht="12.75" x14ac:dyDescent="0.2">
      <c r="A1742" s="40"/>
      <c r="B1742" s="41" t="s">
        <v>401</v>
      </c>
      <c r="C1742" s="40"/>
      <c r="D1742" s="40"/>
      <c r="E1742" s="40"/>
      <c r="F1742" s="49" t="str">
        <f t="shared" ref="F1742:J1742" ca="1" si="1740">IFERROR(__xludf.DUMMYFUNCTION("if (A1742 &lt;&gt; """", GOOGLETRANSLATE(A1742, ""auto"", ""en""), """")"),"")</f>
        <v/>
      </c>
      <c r="G1742" s="49" t="str">
        <f t="shared" ca="1" si="1740"/>
        <v/>
      </c>
      <c r="H1742" s="49" t="str">
        <f t="shared" ca="1" si="1740"/>
        <v/>
      </c>
      <c r="I1742" s="49" t="str">
        <f t="shared" ca="1" si="1740"/>
        <v/>
      </c>
      <c r="J1742" s="49" t="str">
        <f t="shared" ca="1" si="1740"/>
        <v/>
      </c>
    </row>
    <row r="1743" spans="1:10" ht="25.5" x14ac:dyDescent="0.2">
      <c r="A1743" s="41" t="s">
        <v>1303</v>
      </c>
      <c r="B1743" s="41" t="s">
        <v>402</v>
      </c>
      <c r="C1743" s="41" t="s">
        <v>1304</v>
      </c>
      <c r="D1743" s="40"/>
      <c r="E1743" s="40"/>
      <c r="F1743" s="49" t="str">
        <f t="shared" ref="F1743:J1743" ca="1" si="1741">IFERROR(__xludf.DUMMYFUNCTION("if (A1743 &lt;&gt; """", GOOGLETRANSLATE(A1743, ""auto"", ""en""), """")"),"I do not me why talk")</f>
        <v>I do not me why talk</v>
      </c>
      <c r="G1743" s="49" t="str">
        <f t="shared" ca="1" si="1741"/>
        <v>I do not me why talk</v>
      </c>
      <c r="H1743" s="49" t="str">
        <f t="shared" ca="1" si="1741"/>
        <v>I do not me why talk</v>
      </c>
      <c r="I1743" s="49" t="str">
        <f t="shared" ca="1" si="1741"/>
        <v>I do not me why talk</v>
      </c>
      <c r="J1743" s="49" t="str">
        <f t="shared" ca="1" si="1741"/>
        <v>I do not me why talk</v>
      </c>
    </row>
    <row r="1744" spans="1:10" ht="38.25" x14ac:dyDescent="0.2">
      <c r="A1744" s="41" t="s">
        <v>1305</v>
      </c>
      <c r="B1744" s="40"/>
      <c r="C1744" s="40"/>
      <c r="D1744" s="40"/>
      <c r="E1744" s="40"/>
      <c r="F1744" s="49" t="str">
        <f t="shared" ref="F1744:J1744" ca="1" si="1742">IFERROR(__xludf.DUMMYFUNCTION("if (A1744 &lt;&gt; """", GOOGLETRANSLATE(A1744, ""auto"", ""en""), """")"),"I do not want to talk with me")</f>
        <v>I do not want to talk with me</v>
      </c>
      <c r="G1744" s="49" t="str">
        <f t="shared" ca="1" si="1742"/>
        <v>I do not want to talk with me</v>
      </c>
      <c r="H1744" s="49" t="str">
        <f t="shared" ca="1" si="1742"/>
        <v>I do not want to talk with me</v>
      </c>
      <c r="I1744" s="49" t="str">
        <f t="shared" ca="1" si="1742"/>
        <v>I do not want to talk with me</v>
      </c>
      <c r="J1744" s="49" t="str">
        <f t="shared" ca="1" si="1742"/>
        <v>I do not want to talk with me</v>
      </c>
    </row>
    <row r="1745" spans="1:10" ht="25.5" x14ac:dyDescent="0.2">
      <c r="A1745" s="41" t="s">
        <v>1306</v>
      </c>
      <c r="B1745" s="40"/>
      <c r="C1745" s="40"/>
      <c r="D1745" s="40"/>
      <c r="E1745" s="40"/>
      <c r="F1745" s="49" t="str">
        <f t="shared" ref="F1745:J1745" ca="1" si="1743">IFERROR(__xludf.DUMMYFUNCTION("if (A1745 &lt;&gt; """", GOOGLETRANSLATE(A1745, ""auto"", ""en""), """")"),"Why do not you talk")</f>
        <v>Why do not you talk</v>
      </c>
      <c r="G1745" s="49" t="str">
        <f t="shared" ca="1" si="1743"/>
        <v>Why do not you talk</v>
      </c>
      <c r="H1745" s="49" t="str">
        <f t="shared" ca="1" si="1743"/>
        <v>Why do not you talk</v>
      </c>
      <c r="I1745" s="49" t="str">
        <f t="shared" ca="1" si="1743"/>
        <v>Why do not you talk</v>
      </c>
      <c r="J1745" s="49" t="str">
        <f t="shared" ca="1" si="1743"/>
        <v>Why do not you talk</v>
      </c>
    </row>
    <row r="1746" spans="1:10" ht="12.75" x14ac:dyDescent="0.2">
      <c r="A1746" s="41" t="s">
        <v>1307</v>
      </c>
      <c r="B1746" s="40"/>
      <c r="C1746" s="40"/>
      <c r="D1746" s="40"/>
      <c r="E1746" s="40"/>
      <c r="F1746" s="49" t="str">
        <f t="shared" ref="F1746:J1746" ca="1" si="1744">IFERROR(__xludf.DUMMYFUNCTION("if (A1746 &lt;&gt; """", GOOGLETRANSLATE(A1746, ""auto"", ""en""), """")"),"please talk")</f>
        <v>please talk</v>
      </c>
      <c r="G1746" s="49" t="str">
        <f t="shared" ca="1" si="1744"/>
        <v>please talk</v>
      </c>
      <c r="H1746" s="49" t="str">
        <f t="shared" ca="1" si="1744"/>
        <v>please talk</v>
      </c>
      <c r="I1746" s="49" t="str">
        <f t="shared" ca="1" si="1744"/>
        <v>please talk</v>
      </c>
      <c r="J1746" s="49" t="str">
        <f t="shared" ca="1" si="1744"/>
        <v>please talk</v>
      </c>
    </row>
    <row r="1747" spans="1:10" ht="12.75" x14ac:dyDescent="0.2">
      <c r="A1747" s="41" t="s">
        <v>1308</v>
      </c>
      <c r="B1747" s="40"/>
      <c r="C1747" s="40"/>
      <c r="D1747" s="40"/>
      <c r="E1747" s="40"/>
      <c r="F1747" s="49" t="str">
        <f t="shared" ref="F1747:J1747" ca="1" si="1745">IFERROR(__xludf.DUMMYFUNCTION("if (A1747 &lt;&gt; """", GOOGLETRANSLATE(A1747, ""auto"", ""en""), """")"),"Can you talk")</f>
        <v>Can you talk</v>
      </c>
      <c r="G1747" s="49" t="str">
        <f t="shared" ca="1" si="1745"/>
        <v>Can you talk</v>
      </c>
      <c r="H1747" s="49" t="str">
        <f t="shared" ca="1" si="1745"/>
        <v>Can you talk</v>
      </c>
      <c r="I1747" s="49" t="str">
        <f t="shared" ca="1" si="1745"/>
        <v>Can you talk</v>
      </c>
      <c r="J1747" s="49" t="str">
        <f t="shared" ca="1" si="1745"/>
        <v>Can you talk</v>
      </c>
    </row>
    <row r="1748" spans="1:10" ht="25.5" x14ac:dyDescent="0.2">
      <c r="A1748" s="41" t="s">
        <v>1309</v>
      </c>
      <c r="B1748" s="40"/>
      <c r="C1748" s="40"/>
      <c r="D1748" s="40"/>
      <c r="E1748" s="40"/>
      <c r="F1748" s="49" t="str">
        <f t="shared" ref="F1748:J1748" ca="1" si="1746">IFERROR(__xludf.DUMMYFUNCTION("if (A1748 &lt;&gt; """", GOOGLETRANSLATE(A1748, ""auto"", ""en""), """")"),"Are you talking to me")</f>
        <v>Are you talking to me</v>
      </c>
      <c r="G1748" s="49" t="str">
        <f t="shared" ca="1" si="1746"/>
        <v>Are you talking to me</v>
      </c>
      <c r="H1748" s="49" t="str">
        <f t="shared" ca="1" si="1746"/>
        <v>Are you talking to me</v>
      </c>
      <c r="I1748" s="49" t="str">
        <f t="shared" ca="1" si="1746"/>
        <v>Are you talking to me</v>
      </c>
      <c r="J1748" s="49" t="str">
        <f t="shared" ca="1" si="1746"/>
        <v>Are you talking to me</v>
      </c>
    </row>
    <row r="1749" spans="1:10" ht="25.5" x14ac:dyDescent="0.2">
      <c r="A1749" s="41" t="s">
        <v>1310</v>
      </c>
      <c r="B1749" s="40"/>
      <c r="C1749" s="40"/>
      <c r="D1749" s="40"/>
      <c r="E1749" s="40"/>
      <c r="F1749" s="49" t="str">
        <f t="shared" ref="F1749:J1749" ca="1" si="1747">IFERROR(__xludf.DUMMYFUNCTION("if (A1749 &lt;&gt; """", GOOGLETRANSLATE(A1749, ""auto"", ""en""), """")"),"Do not you talk with me")</f>
        <v>Do not you talk with me</v>
      </c>
      <c r="G1749" s="49" t="str">
        <f t="shared" ca="1" si="1747"/>
        <v>Do not you talk with me</v>
      </c>
      <c r="H1749" s="49" t="str">
        <f t="shared" ca="1" si="1747"/>
        <v>Do not you talk with me</v>
      </c>
      <c r="I1749" s="49" t="str">
        <f t="shared" ca="1" si="1747"/>
        <v>Do not you talk with me</v>
      </c>
      <c r="J1749" s="49" t="str">
        <f t="shared" ca="1" si="1747"/>
        <v>Do not you talk with me</v>
      </c>
    </row>
    <row r="1750" spans="1:10" ht="25.5" x14ac:dyDescent="0.2">
      <c r="A1750" s="41" t="s">
        <v>1311</v>
      </c>
      <c r="B1750" s="40"/>
      <c r="C1750" s="40"/>
      <c r="D1750" s="40"/>
      <c r="E1750" s="40"/>
      <c r="F1750" s="49" t="str">
        <f t="shared" ref="F1750:J1750" ca="1" si="1748">IFERROR(__xludf.DUMMYFUNCTION("if (A1750 &lt;&gt; """", GOOGLETRANSLATE(A1750, ""auto"", ""en""), """")"),"Why do not you talk to me")</f>
        <v>Why do not you talk to me</v>
      </c>
      <c r="G1750" s="49" t="str">
        <f t="shared" ca="1" si="1748"/>
        <v>Why do not you talk to me</v>
      </c>
      <c r="H1750" s="49" t="str">
        <f t="shared" ca="1" si="1748"/>
        <v>Why do not you talk to me</v>
      </c>
      <c r="I1750" s="49" t="str">
        <f t="shared" ca="1" si="1748"/>
        <v>Why do not you talk to me</v>
      </c>
      <c r="J1750" s="49" t="str">
        <f t="shared" ca="1" si="1748"/>
        <v>Why do not you talk to me</v>
      </c>
    </row>
    <row r="1751" spans="1:10" ht="25.5" x14ac:dyDescent="0.2">
      <c r="A1751" s="41" t="s">
        <v>1312</v>
      </c>
      <c r="B1751" s="40"/>
      <c r="C1751" s="40"/>
      <c r="D1751" s="40"/>
      <c r="E1751" s="40"/>
      <c r="F1751" s="49" t="str">
        <f t="shared" ref="F1751:J1751" ca="1" si="1749">IFERROR(__xludf.DUMMYFUNCTION("if (A1751 &lt;&gt; """", GOOGLETRANSLATE(A1751, ""auto"", ""en""), """")"),"Can you talk to me")</f>
        <v>Can you talk to me</v>
      </c>
      <c r="G1751" s="49" t="str">
        <f t="shared" ca="1" si="1749"/>
        <v>Can you talk to me</v>
      </c>
      <c r="H1751" s="49" t="str">
        <f t="shared" ca="1" si="1749"/>
        <v>Can you talk to me</v>
      </c>
      <c r="I1751" s="49" t="str">
        <f t="shared" ca="1" si="1749"/>
        <v>Can you talk to me</v>
      </c>
      <c r="J1751" s="49" t="str">
        <f t="shared" ca="1" si="1749"/>
        <v>Can you talk to me</v>
      </c>
    </row>
    <row r="1752" spans="1:10" ht="25.5" x14ac:dyDescent="0.2">
      <c r="A1752" s="41" t="s">
        <v>1313</v>
      </c>
      <c r="B1752" s="40"/>
      <c r="C1752" s="40"/>
      <c r="D1752" s="40"/>
      <c r="E1752" s="40"/>
      <c r="F1752" s="49" t="str">
        <f t="shared" ref="F1752:J1752" ca="1" si="1750">IFERROR(__xludf.DUMMYFUNCTION("if (A1752 &lt;&gt; """", GOOGLETRANSLATE(A1752, ""auto"", ""en""), """")"),"Do you Hanashiae")</f>
        <v>Do you Hanashiae</v>
      </c>
      <c r="G1752" s="49" t="str">
        <f t="shared" ca="1" si="1750"/>
        <v>Do you Hanashiae</v>
      </c>
      <c r="H1752" s="49" t="str">
        <f t="shared" ca="1" si="1750"/>
        <v>Do you Hanashiae</v>
      </c>
      <c r="I1752" s="49" t="str">
        <f t="shared" ca="1" si="1750"/>
        <v>Do you Hanashiae</v>
      </c>
      <c r="J1752" s="49" t="str">
        <f t="shared" ca="1" si="1750"/>
        <v>Do you Hanashiae</v>
      </c>
    </row>
    <row r="1753" spans="1:10" ht="12.75" x14ac:dyDescent="0.2">
      <c r="A1753" s="40"/>
      <c r="B1753" s="41" t="s">
        <v>403</v>
      </c>
      <c r="C1753" s="41" t="s">
        <v>25</v>
      </c>
      <c r="D1753" s="41" t="s">
        <v>27</v>
      </c>
      <c r="E1753" s="40"/>
      <c r="F1753" s="49" t="str">
        <f t="shared" ref="F1753:J1753" ca="1" si="1751">IFERROR(__xludf.DUMMYFUNCTION("if (A1753 &lt;&gt; """", GOOGLETRANSLATE(A1753, ""auto"", ""en""), """")"),"")</f>
        <v/>
      </c>
      <c r="G1753" s="49" t="str">
        <f t="shared" ca="1" si="1751"/>
        <v/>
      </c>
      <c r="H1753" s="49" t="str">
        <f t="shared" ca="1" si="1751"/>
        <v/>
      </c>
      <c r="I1753" s="49" t="str">
        <f t="shared" ca="1" si="1751"/>
        <v/>
      </c>
      <c r="J1753" s="49" t="str">
        <f t="shared" ca="1" si="1751"/>
        <v/>
      </c>
    </row>
    <row r="1754" spans="1:10" ht="12.75" x14ac:dyDescent="0.2">
      <c r="A1754" s="40"/>
      <c r="B1754" s="41" t="s">
        <v>403</v>
      </c>
      <c r="C1754" s="41" t="s">
        <v>30</v>
      </c>
      <c r="D1754" s="41" t="s">
        <v>31</v>
      </c>
      <c r="E1754" s="40"/>
      <c r="F1754" s="49" t="str">
        <f t="shared" ref="F1754:J1754" ca="1" si="1752">IFERROR(__xludf.DUMMYFUNCTION("if (A1754 &lt;&gt; """", GOOGLETRANSLATE(A1754, ""auto"", ""en""), """")"),"")</f>
        <v/>
      </c>
      <c r="G1754" s="49" t="str">
        <f t="shared" ca="1" si="1752"/>
        <v/>
      </c>
      <c r="H1754" s="49" t="str">
        <f t="shared" ca="1" si="1752"/>
        <v/>
      </c>
      <c r="I1754" s="49" t="str">
        <f t="shared" ca="1" si="1752"/>
        <v/>
      </c>
      <c r="J1754" s="49" t="str">
        <f t="shared" ca="1" si="1752"/>
        <v/>
      </c>
    </row>
    <row r="1755" spans="1:10" ht="12.75" x14ac:dyDescent="0.2">
      <c r="A1755" s="40"/>
      <c r="B1755" s="41" t="s">
        <v>403</v>
      </c>
      <c r="C1755" s="41" t="s">
        <v>41</v>
      </c>
      <c r="D1755" s="41" t="s">
        <v>10</v>
      </c>
      <c r="E1755" s="40"/>
      <c r="F1755" s="49" t="str">
        <f t="shared" ref="F1755:J1755" ca="1" si="1753">IFERROR(__xludf.DUMMYFUNCTION("if (A1755 &lt;&gt; """", GOOGLETRANSLATE(A1755, ""auto"", ""en""), """")"),"")</f>
        <v/>
      </c>
      <c r="G1755" s="49" t="str">
        <f t="shared" ca="1" si="1753"/>
        <v/>
      </c>
      <c r="H1755" s="49" t="str">
        <f t="shared" ca="1" si="1753"/>
        <v/>
      </c>
      <c r="I1755" s="49" t="str">
        <f t="shared" ca="1" si="1753"/>
        <v/>
      </c>
      <c r="J1755" s="49" t="str">
        <f t="shared" ca="1" si="1753"/>
        <v/>
      </c>
    </row>
    <row r="1756" spans="1:10" ht="12.75" x14ac:dyDescent="0.2">
      <c r="A1756" s="40"/>
      <c r="B1756" s="40"/>
      <c r="C1756" s="40"/>
      <c r="D1756" s="40"/>
      <c r="E1756" s="40"/>
      <c r="F1756" s="49" t="str">
        <f t="shared" ref="F1756:J1756" ca="1" si="1754">IFERROR(__xludf.DUMMYFUNCTION("if (A1756 &lt;&gt; """", GOOGLETRANSLATE(A1756, ""auto"", ""en""), """")"),"")</f>
        <v/>
      </c>
      <c r="G1756" s="49" t="str">
        <f t="shared" ca="1" si="1754"/>
        <v/>
      </c>
      <c r="H1756" s="49" t="str">
        <f t="shared" ca="1" si="1754"/>
        <v/>
      </c>
      <c r="I1756" s="49" t="str">
        <f t="shared" ca="1" si="1754"/>
        <v/>
      </c>
      <c r="J1756" s="49" t="str">
        <f t="shared" ca="1" si="1754"/>
        <v/>
      </c>
    </row>
    <row r="1757" spans="1:10" ht="25.5" x14ac:dyDescent="0.2">
      <c r="A1757" s="41" t="s">
        <v>1314</v>
      </c>
      <c r="B1757" s="40"/>
      <c r="C1757" s="40"/>
      <c r="D1757" s="40"/>
      <c r="E1757" s="40"/>
      <c r="F1757" s="49" t="str">
        <f t="shared" ref="F1757:J1757" ca="1" si="1755">IFERROR(__xludf.DUMMYFUNCTION("if (A1757 &lt;&gt; """", GOOGLETRANSLATE(A1757, ""auto"", ""en""), """")"),"smalltalk.agent.teach_me")</f>
        <v>smalltalk.agent.teach_me</v>
      </c>
      <c r="G1757" s="49" t="str">
        <f t="shared" ca="1" si="1755"/>
        <v>smalltalk.agent.teach_me</v>
      </c>
      <c r="H1757" s="49" t="str">
        <f t="shared" ca="1" si="1755"/>
        <v>smalltalk.agent.teach_me</v>
      </c>
      <c r="I1757" s="49" t="str">
        <f t="shared" ca="1" si="1755"/>
        <v>smalltalk.agent.teach_me</v>
      </c>
      <c r="J1757" s="49" t="str">
        <f t="shared" ca="1" si="1755"/>
        <v>smalltalk.agent.teach_me</v>
      </c>
    </row>
    <row r="1758" spans="1:10" ht="12.75" x14ac:dyDescent="0.2">
      <c r="A1758" s="40"/>
      <c r="B1758" s="41" t="s">
        <v>398</v>
      </c>
      <c r="C1758" s="40"/>
      <c r="D1758" s="40"/>
      <c r="E1758" s="40"/>
      <c r="F1758" s="49" t="str">
        <f t="shared" ref="F1758:J1758" ca="1" si="1756">IFERROR(__xludf.DUMMYFUNCTION("if (A1758 &lt;&gt; """", GOOGLETRANSLATE(A1758, ""auto"", ""en""), """")"),"")</f>
        <v/>
      </c>
      <c r="G1758" s="49" t="str">
        <f t="shared" ca="1" si="1756"/>
        <v/>
      </c>
      <c r="H1758" s="49" t="str">
        <f t="shared" ca="1" si="1756"/>
        <v/>
      </c>
      <c r="I1758" s="49" t="str">
        <f t="shared" ca="1" si="1756"/>
        <v/>
      </c>
      <c r="J1758" s="49" t="str">
        <f t="shared" ca="1" si="1756"/>
        <v/>
      </c>
    </row>
    <row r="1759" spans="1:10" ht="12.75" x14ac:dyDescent="0.2">
      <c r="A1759" s="40"/>
      <c r="B1759" s="41" t="s">
        <v>399</v>
      </c>
      <c r="C1759" s="40"/>
      <c r="D1759" s="40"/>
      <c r="E1759" s="40"/>
      <c r="F1759" s="49" t="str">
        <f t="shared" ref="F1759:J1759" ca="1" si="1757">IFERROR(__xludf.DUMMYFUNCTION("if (A1759 &lt;&gt; """", GOOGLETRANSLATE(A1759, ""auto"", ""en""), """")"),"")</f>
        <v/>
      </c>
      <c r="G1759" s="49" t="str">
        <f t="shared" ca="1" si="1757"/>
        <v/>
      </c>
      <c r="H1759" s="49" t="str">
        <f t="shared" ca="1" si="1757"/>
        <v/>
      </c>
      <c r="I1759" s="49" t="str">
        <f t="shared" ca="1" si="1757"/>
        <v/>
      </c>
      <c r="J1759" s="49" t="str">
        <f t="shared" ca="1" si="1757"/>
        <v/>
      </c>
    </row>
    <row r="1760" spans="1:10" ht="12.75" x14ac:dyDescent="0.2">
      <c r="A1760" s="40"/>
      <c r="B1760" s="41" t="s">
        <v>400</v>
      </c>
      <c r="C1760" s="41" t="s">
        <v>1314</v>
      </c>
      <c r="D1760" s="40"/>
      <c r="E1760" s="40"/>
      <c r="F1760" s="49" t="str">
        <f t="shared" ref="F1760:J1760" ca="1" si="1758">IFERROR(__xludf.DUMMYFUNCTION("if (A1760 &lt;&gt; """", GOOGLETRANSLATE(A1760, ""auto"", ""en""), """")"),"")</f>
        <v/>
      </c>
      <c r="G1760" s="49" t="str">
        <f t="shared" ca="1" si="1758"/>
        <v/>
      </c>
      <c r="H1760" s="49" t="str">
        <f t="shared" ca="1" si="1758"/>
        <v/>
      </c>
      <c r="I1760" s="49" t="str">
        <f t="shared" ca="1" si="1758"/>
        <v/>
      </c>
      <c r="J1760" s="49" t="str">
        <f t="shared" ca="1" si="1758"/>
        <v/>
      </c>
    </row>
    <row r="1761" spans="1:10" ht="12.75" x14ac:dyDescent="0.2">
      <c r="A1761" s="40"/>
      <c r="B1761" s="41" t="s">
        <v>401</v>
      </c>
      <c r="C1761" s="40"/>
      <c r="D1761" s="40"/>
      <c r="E1761" s="40"/>
      <c r="F1761" s="49" t="str">
        <f t="shared" ref="F1761:J1761" ca="1" si="1759">IFERROR(__xludf.DUMMYFUNCTION("if (A1761 &lt;&gt; """", GOOGLETRANSLATE(A1761, ""auto"", ""en""), """")"),"")</f>
        <v/>
      </c>
      <c r="G1761" s="49" t="str">
        <f t="shared" ca="1" si="1759"/>
        <v/>
      </c>
      <c r="H1761" s="49" t="str">
        <f t="shared" ca="1" si="1759"/>
        <v/>
      </c>
      <c r="I1761" s="49" t="str">
        <f t="shared" ca="1" si="1759"/>
        <v/>
      </c>
      <c r="J1761" s="49" t="str">
        <f t="shared" ca="1" si="1759"/>
        <v/>
      </c>
    </row>
    <row r="1762" spans="1:10" ht="25.5" x14ac:dyDescent="0.2">
      <c r="A1762" s="41" t="s">
        <v>1315</v>
      </c>
      <c r="B1762" s="41" t="s">
        <v>402</v>
      </c>
      <c r="C1762" s="41" t="s">
        <v>1316</v>
      </c>
      <c r="D1762" s="40"/>
      <c r="E1762" s="40"/>
      <c r="F1762" s="49" t="str">
        <f t="shared" ref="F1762:J1762" ca="1" si="1760">IFERROR(__xludf.DUMMYFUNCTION("if (A1762 &lt;&gt; """", GOOGLETRANSLATE(A1762, ""auto"", ""en""), """")"),"I want you to tell me a little")</f>
        <v>I want you to tell me a little</v>
      </c>
      <c r="G1762" s="49" t="str">
        <f t="shared" ca="1" si="1760"/>
        <v>I want you to tell me a little</v>
      </c>
      <c r="H1762" s="49" t="str">
        <f t="shared" ca="1" si="1760"/>
        <v>I want you to tell me a little</v>
      </c>
      <c r="I1762" s="49" t="str">
        <f t="shared" ca="1" si="1760"/>
        <v>I want you to tell me a little</v>
      </c>
      <c r="J1762" s="49" t="str">
        <f t="shared" ca="1" si="1760"/>
        <v>I want you to tell me a little</v>
      </c>
    </row>
    <row r="1763" spans="1:10" ht="25.5" x14ac:dyDescent="0.2">
      <c r="A1763" s="41" t="s">
        <v>1317</v>
      </c>
      <c r="B1763" s="40"/>
      <c r="C1763" s="40"/>
      <c r="D1763" s="40"/>
      <c r="E1763" s="40"/>
      <c r="F1763" s="49" t="str">
        <f t="shared" ref="F1763:J1763" ca="1" si="1761">IFERROR(__xludf.DUMMYFUNCTION("if (A1763 &lt;&gt; """", GOOGLETRANSLATE(A1763, ""auto"", ""en""), """")"),"Will you teach me")</f>
        <v>Will you teach me</v>
      </c>
      <c r="G1763" s="49" t="str">
        <f t="shared" ca="1" si="1761"/>
        <v>Will you teach me</v>
      </c>
      <c r="H1763" s="49" t="str">
        <f t="shared" ca="1" si="1761"/>
        <v>Will you teach me</v>
      </c>
      <c r="I1763" s="49" t="str">
        <f t="shared" ca="1" si="1761"/>
        <v>Will you teach me</v>
      </c>
      <c r="J1763" s="49" t="str">
        <f t="shared" ca="1" si="1761"/>
        <v>Will you teach me</v>
      </c>
    </row>
    <row r="1764" spans="1:10" ht="12.75" x14ac:dyDescent="0.2">
      <c r="A1764" s="41" t="s">
        <v>1318</v>
      </c>
      <c r="B1764" s="40"/>
      <c r="C1764" s="40"/>
      <c r="D1764" s="40"/>
      <c r="E1764" s="40"/>
      <c r="F1764" s="49" t="str">
        <f t="shared" ref="F1764:J1764" ca="1" si="1762">IFERROR(__xludf.DUMMYFUNCTION("if (A1764 &lt;&gt; """", GOOGLETRANSLATE(A1764, ""auto"", ""en""), """")"),"teach me")</f>
        <v>teach me</v>
      </c>
      <c r="G1764" s="49" t="str">
        <f t="shared" ca="1" si="1762"/>
        <v>teach me</v>
      </c>
      <c r="H1764" s="49" t="str">
        <f t="shared" ca="1" si="1762"/>
        <v>teach me</v>
      </c>
      <c r="I1764" s="49" t="str">
        <f t="shared" ca="1" si="1762"/>
        <v>teach me</v>
      </c>
      <c r="J1764" s="49" t="str">
        <f t="shared" ca="1" si="1762"/>
        <v>teach me</v>
      </c>
    </row>
    <row r="1765" spans="1:10" ht="12.75" x14ac:dyDescent="0.2">
      <c r="A1765" s="41" t="s">
        <v>1319</v>
      </c>
      <c r="B1765" s="40"/>
      <c r="C1765" s="40"/>
      <c r="D1765" s="40"/>
      <c r="E1765" s="40"/>
      <c r="F1765" s="49" t="str">
        <f t="shared" ref="F1765:J1765" ca="1" si="1763">IFERROR(__xludf.DUMMYFUNCTION("if (A1765 &lt;&gt; """", GOOGLETRANSLATE(A1765, ""auto"", ""en""), """")"),"I will tell")</f>
        <v>I will tell</v>
      </c>
      <c r="G1765" s="49" t="str">
        <f t="shared" ca="1" si="1763"/>
        <v>I will tell</v>
      </c>
      <c r="H1765" s="49" t="str">
        <f t="shared" ca="1" si="1763"/>
        <v>I will tell</v>
      </c>
      <c r="I1765" s="49" t="str">
        <f t="shared" ca="1" si="1763"/>
        <v>I will tell</v>
      </c>
      <c r="J1765" s="49" t="str">
        <f t="shared" ca="1" si="1763"/>
        <v>I will tell</v>
      </c>
    </row>
    <row r="1766" spans="1:10" ht="12.75" x14ac:dyDescent="0.2">
      <c r="A1766" s="40"/>
      <c r="B1766" s="41" t="s">
        <v>422</v>
      </c>
      <c r="C1766" s="41" t="s">
        <v>1320</v>
      </c>
      <c r="D1766" s="41" t="s">
        <v>805</v>
      </c>
      <c r="E1766" s="40"/>
      <c r="F1766" s="49" t="str">
        <f t="shared" ref="F1766:J1766" ca="1" si="1764">IFERROR(__xludf.DUMMYFUNCTION("if (A1766 &lt;&gt; """", GOOGLETRANSLATE(A1766, ""auto"", ""en""), """")"),"")</f>
        <v/>
      </c>
      <c r="G1766" s="49" t="str">
        <f t="shared" ca="1" si="1764"/>
        <v/>
      </c>
      <c r="H1766" s="49" t="str">
        <f t="shared" ca="1" si="1764"/>
        <v/>
      </c>
      <c r="I1766" s="49" t="str">
        <f t="shared" ca="1" si="1764"/>
        <v/>
      </c>
      <c r="J1766" s="49" t="str">
        <f t="shared" ca="1" si="1764"/>
        <v/>
      </c>
    </row>
    <row r="1767" spans="1:10" ht="12.75" x14ac:dyDescent="0.2">
      <c r="A1767" s="40"/>
      <c r="B1767" s="41" t="s">
        <v>403</v>
      </c>
      <c r="C1767" s="41" t="s">
        <v>25</v>
      </c>
      <c r="D1767" s="41" t="s">
        <v>27</v>
      </c>
      <c r="E1767" s="40"/>
      <c r="F1767" s="49" t="str">
        <f t="shared" ref="F1767:J1767" ca="1" si="1765">IFERROR(__xludf.DUMMYFUNCTION("if (A1767 &lt;&gt; """", GOOGLETRANSLATE(A1767, ""auto"", ""en""), """")"),"")</f>
        <v/>
      </c>
      <c r="G1767" s="49" t="str">
        <f t="shared" ca="1" si="1765"/>
        <v/>
      </c>
      <c r="H1767" s="49" t="str">
        <f t="shared" ca="1" si="1765"/>
        <v/>
      </c>
      <c r="I1767" s="49" t="str">
        <f t="shared" ca="1" si="1765"/>
        <v/>
      </c>
      <c r="J1767" s="49" t="str">
        <f t="shared" ca="1" si="1765"/>
        <v/>
      </c>
    </row>
    <row r="1768" spans="1:10" ht="12.75" x14ac:dyDescent="0.2">
      <c r="A1768" s="40"/>
      <c r="B1768" s="41" t="s">
        <v>403</v>
      </c>
      <c r="C1768" s="41" t="s">
        <v>30</v>
      </c>
      <c r="D1768" s="41" t="s">
        <v>31</v>
      </c>
      <c r="E1768" s="40"/>
      <c r="F1768" s="49" t="str">
        <f t="shared" ref="F1768:J1768" ca="1" si="1766">IFERROR(__xludf.DUMMYFUNCTION("if (A1768 &lt;&gt; """", GOOGLETRANSLATE(A1768, ""auto"", ""en""), """")"),"")</f>
        <v/>
      </c>
      <c r="G1768" s="49" t="str">
        <f t="shared" ca="1" si="1766"/>
        <v/>
      </c>
      <c r="H1768" s="49" t="str">
        <f t="shared" ca="1" si="1766"/>
        <v/>
      </c>
      <c r="I1768" s="49" t="str">
        <f t="shared" ca="1" si="1766"/>
        <v/>
      </c>
      <c r="J1768" s="49" t="str">
        <f t="shared" ca="1" si="1766"/>
        <v/>
      </c>
    </row>
    <row r="1769" spans="1:10" ht="12.75" x14ac:dyDescent="0.2">
      <c r="A1769" s="40"/>
      <c r="B1769" s="41" t="s">
        <v>403</v>
      </c>
      <c r="C1769" s="41" t="s">
        <v>41</v>
      </c>
      <c r="D1769" s="41" t="s">
        <v>10</v>
      </c>
      <c r="E1769" s="40"/>
      <c r="F1769" s="49" t="str">
        <f t="shared" ref="F1769:J1769" ca="1" si="1767">IFERROR(__xludf.DUMMYFUNCTION("if (A1769 &lt;&gt; """", GOOGLETRANSLATE(A1769, ""auto"", ""en""), """")"),"")</f>
        <v/>
      </c>
      <c r="G1769" s="49" t="str">
        <f t="shared" ca="1" si="1767"/>
        <v/>
      </c>
      <c r="H1769" s="49" t="str">
        <f t="shared" ca="1" si="1767"/>
        <v/>
      </c>
      <c r="I1769" s="49" t="str">
        <f t="shared" ca="1" si="1767"/>
        <v/>
      </c>
      <c r="J1769" s="49" t="str">
        <f t="shared" ca="1" si="1767"/>
        <v/>
      </c>
    </row>
    <row r="1770" spans="1:10" ht="12.75" x14ac:dyDescent="0.2">
      <c r="A1770" s="40"/>
      <c r="B1770" s="40"/>
      <c r="C1770" s="40"/>
      <c r="D1770" s="40"/>
      <c r="E1770" s="40"/>
      <c r="F1770" s="49" t="str">
        <f t="shared" ref="F1770:J1770" ca="1" si="1768">IFERROR(__xludf.DUMMYFUNCTION("if (A1770 &lt;&gt; """", GOOGLETRANSLATE(A1770, ""auto"", ""en""), """")"),"")</f>
        <v/>
      </c>
      <c r="G1770" s="49" t="str">
        <f t="shared" ca="1" si="1768"/>
        <v/>
      </c>
      <c r="H1770" s="49" t="str">
        <f t="shared" ca="1" si="1768"/>
        <v/>
      </c>
      <c r="I1770" s="49" t="str">
        <f t="shared" ca="1" si="1768"/>
        <v/>
      </c>
      <c r="J1770" s="49" t="str">
        <f t="shared" ca="1" si="1768"/>
        <v/>
      </c>
    </row>
    <row r="1771" spans="1:10" ht="25.5" x14ac:dyDescent="0.2">
      <c r="A1771" s="41" t="s">
        <v>1321</v>
      </c>
      <c r="B1771" s="40"/>
      <c r="C1771" s="40"/>
      <c r="D1771" s="40"/>
      <c r="E1771" s="40"/>
      <c r="F1771" s="49" t="str">
        <f t="shared" ref="F1771:J1771" ca="1" si="1769">IFERROR(__xludf.DUMMYFUNCTION("if (A1771 &lt;&gt; """", GOOGLETRANSLATE(A1771, ""auto"", ""en""), """")"),"smalltalk.agent.tell_me")</f>
        <v>smalltalk.agent.tell_me</v>
      </c>
      <c r="G1771" s="49" t="str">
        <f t="shared" ca="1" si="1769"/>
        <v>smalltalk.agent.tell_me</v>
      </c>
      <c r="H1771" s="49" t="str">
        <f t="shared" ca="1" si="1769"/>
        <v>smalltalk.agent.tell_me</v>
      </c>
      <c r="I1771" s="49" t="str">
        <f t="shared" ca="1" si="1769"/>
        <v>smalltalk.agent.tell_me</v>
      </c>
      <c r="J1771" s="49" t="str">
        <f t="shared" ca="1" si="1769"/>
        <v>smalltalk.agent.tell_me</v>
      </c>
    </row>
    <row r="1772" spans="1:10" ht="12.75" x14ac:dyDescent="0.2">
      <c r="A1772" s="40"/>
      <c r="B1772" s="41" t="s">
        <v>398</v>
      </c>
      <c r="C1772" s="40"/>
      <c r="D1772" s="40"/>
      <c r="E1772" s="40"/>
      <c r="F1772" s="49" t="str">
        <f t="shared" ref="F1772:J1772" ca="1" si="1770">IFERROR(__xludf.DUMMYFUNCTION("if (A1772 &lt;&gt; """", GOOGLETRANSLATE(A1772, ""auto"", ""en""), """")"),"")</f>
        <v/>
      </c>
      <c r="G1772" s="49" t="str">
        <f t="shared" ca="1" si="1770"/>
        <v/>
      </c>
      <c r="H1772" s="49" t="str">
        <f t="shared" ca="1" si="1770"/>
        <v/>
      </c>
      <c r="I1772" s="49" t="str">
        <f t="shared" ca="1" si="1770"/>
        <v/>
      </c>
      <c r="J1772" s="49" t="str">
        <f t="shared" ca="1" si="1770"/>
        <v/>
      </c>
    </row>
    <row r="1773" spans="1:10" ht="12.75" x14ac:dyDescent="0.2">
      <c r="A1773" s="40"/>
      <c r="B1773" s="41" t="s">
        <v>399</v>
      </c>
      <c r="C1773" s="40"/>
      <c r="D1773" s="40"/>
      <c r="E1773" s="40"/>
      <c r="F1773" s="49" t="str">
        <f t="shared" ref="F1773:J1773" ca="1" si="1771">IFERROR(__xludf.DUMMYFUNCTION("if (A1773 &lt;&gt; """", GOOGLETRANSLATE(A1773, ""auto"", ""en""), """")"),"")</f>
        <v/>
      </c>
      <c r="G1773" s="49" t="str">
        <f t="shared" ca="1" si="1771"/>
        <v/>
      </c>
      <c r="H1773" s="49" t="str">
        <f t="shared" ca="1" si="1771"/>
        <v/>
      </c>
      <c r="I1773" s="49" t="str">
        <f t="shared" ca="1" si="1771"/>
        <v/>
      </c>
      <c r="J1773" s="49" t="str">
        <f t="shared" ca="1" si="1771"/>
        <v/>
      </c>
    </row>
    <row r="1774" spans="1:10" ht="12.75" x14ac:dyDescent="0.2">
      <c r="A1774" s="40"/>
      <c r="B1774" s="41" t="s">
        <v>400</v>
      </c>
      <c r="C1774" s="41" t="s">
        <v>1321</v>
      </c>
      <c r="D1774" s="40"/>
      <c r="E1774" s="40"/>
      <c r="F1774" s="49" t="str">
        <f t="shared" ref="F1774:J1774" ca="1" si="1772">IFERROR(__xludf.DUMMYFUNCTION("if (A1774 &lt;&gt; """", GOOGLETRANSLATE(A1774, ""auto"", ""en""), """")"),"")</f>
        <v/>
      </c>
      <c r="G1774" s="49" t="str">
        <f t="shared" ca="1" si="1772"/>
        <v/>
      </c>
      <c r="H1774" s="49" t="str">
        <f t="shared" ca="1" si="1772"/>
        <v/>
      </c>
      <c r="I1774" s="49" t="str">
        <f t="shared" ca="1" si="1772"/>
        <v/>
      </c>
      <c r="J1774" s="49" t="str">
        <f t="shared" ca="1" si="1772"/>
        <v/>
      </c>
    </row>
    <row r="1775" spans="1:10" ht="12.75" x14ac:dyDescent="0.2">
      <c r="A1775" s="40"/>
      <c r="B1775" s="41" t="s">
        <v>401</v>
      </c>
      <c r="C1775" s="40"/>
      <c r="D1775" s="40"/>
      <c r="E1775" s="40"/>
      <c r="F1775" s="49" t="str">
        <f t="shared" ref="F1775:J1775" ca="1" si="1773">IFERROR(__xludf.DUMMYFUNCTION("if (A1775 &lt;&gt; """", GOOGLETRANSLATE(A1775, ""auto"", ""en""), """")"),"")</f>
        <v/>
      </c>
      <c r="G1775" s="49" t="str">
        <f t="shared" ca="1" si="1773"/>
        <v/>
      </c>
      <c r="H1775" s="49" t="str">
        <f t="shared" ca="1" si="1773"/>
        <v/>
      </c>
      <c r="I1775" s="49" t="str">
        <f t="shared" ca="1" si="1773"/>
        <v/>
      </c>
      <c r="J1775" s="49" t="str">
        <f t="shared" ca="1" si="1773"/>
        <v/>
      </c>
    </row>
    <row r="1776" spans="1:10" ht="25.5" x14ac:dyDescent="0.2">
      <c r="A1776" s="41" t="s">
        <v>1317</v>
      </c>
      <c r="B1776" s="41" t="s">
        <v>402</v>
      </c>
      <c r="C1776" s="41" t="s">
        <v>1322</v>
      </c>
      <c r="D1776" s="40"/>
      <c r="E1776" s="40"/>
      <c r="F1776" s="49" t="str">
        <f t="shared" ref="F1776:J1776" ca="1" si="1774">IFERROR(__xludf.DUMMYFUNCTION("if (A1776 &lt;&gt; """", GOOGLETRANSLATE(A1776, ""auto"", ""en""), """")"),"Will you teach me")</f>
        <v>Will you teach me</v>
      </c>
      <c r="G1776" s="49" t="str">
        <f t="shared" ca="1" si="1774"/>
        <v>Will you teach me</v>
      </c>
      <c r="H1776" s="49" t="str">
        <f t="shared" ca="1" si="1774"/>
        <v>Will you teach me</v>
      </c>
      <c r="I1776" s="49" t="str">
        <f t="shared" ca="1" si="1774"/>
        <v>Will you teach me</v>
      </c>
      <c r="J1776" s="49" t="str">
        <f t="shared" ca="1" si="1774"/>
        <v>Will you teach me</v>
      </c>
    </row>
    <row r="1777" spans="1:10" ht="25.5" x14ac:dyDescent="0.2">
      <c r="A1777" s="41" t="s">
        <v>1323</v>
      </c>
      <c r="B1777" s="40"/>
      <c r="C1777" s="40"/>
      <c r="D1777" s="40"/>
      <c r="E1777" s="40"/>
      <c r="F1777" s="49" t="str">
        <f t="shared" ref="F1777:J1777" ca="1" si="1775">IFERROR(__xludf.DUMMYFUNCTION("if (A1777 &lt;&gt; """", GOOGLETRANSLATE(A1777, ""auto"", ""en""), """")"),"Can you tell me a little")</f>
        <v>Can you tell me a little</v>
      </c>
      <c r="G1777" s="49" t="str">
        <f t="shared" ca="1" si="1775"/>
        <v>Can you tell me a little</v>
      </c>
      <c r="H1777" s="49" t="str">
        <f t="shared" ca="1" si="1775"/>
        <v>Can you tell me a little</v>
      </c>
      <c r="I1777" s="49" t="str">
        <f t="shared" ca="1" si="1775"/>
        <v>Can you tell me a little</v>
      </c>
      <c r="J1777" s="49" t="str">
        <f t="shared" ca="1" si="1775"/>
        <v>Can you tell me a little</v>
      </c>
    </row>
    <row r="1778" spans="1:10" ht="12.75" x14ac:dyDescent="0.2">
      <c r="A1778" s="41" t="s">
        <v>1324</v>
      </c>
      <c r="B1778" s="40"/>
      <c r="C1778" s="40"/>
      <c r="D1778" s="40"/>
      <c r="E1778" s="40"/>
      <c r="F1778" s="49" t="str">
        <f t="shared" ref="F1778:J1778" ca="1" si="1776">IFERROR(__xludf.DUMMYFUNCTION("if (A1778 &lt;&gt; """", GOOGLETRANSLATE(A1778, ""auto"", ""en""), """")"),"tell me")</f>
        <v>tell me</v>
      </c>
      <c r="G1778" s="49" t="str">
        <f t="shared" ca="1" si="1776"/>
        <v>tell me</v>
      </c>
      <c r="H1778" s="49" t="str">
        <f t="shared" ca="1" si="1776"/>
        <v>tell me</v>
      </c>
      <c r="I1778" s="49" t="str">
        <f t="shared" ca="1" si="1776"/>
        <v>tell me</v>
      </c>
      <c r="J1778" s="49" t="str">
        <f t="shared" ca="1" si="1776"/>
        <v>tell me</v>
      </c>
    </row>
    <row r="1779" spans="1:10" ht="12.75" x14ac:dyDescent="0.2">
      <c r="A1779" s="41" t="s">
        <v>1325</v>
      </c>
      <c r="B1779" s="40"/>
      <c r="C1779" s="40"/>
      <c r="D1779" s="40"/>
      <c r="E1779" s="40"/>
      <c r="F1779" s="49" t="str">
        <f t="shared" ref="F1779:J1779" ca="1" si="1777">IFERROR(__xludf.DUMMYFUNCTION("if (A1779 &lt;&gt; """", GOOGLETRANSLATE(A1779, ""auto"", ""en""), """")"),"Tell me a little")</f>
        <v>Tell me a little</v>
      </c>
      <c r="G1779" s="49" t="str">
        <f t="shared" ca="1" si="1777"/>
        <v>Tell me a little</v>
      </c>
      <c r="H1779" s="49" t="str">
        <f t="shared" ca="1" si="1777"/>
        <v>Tell me a little</v>
      </c>
      <c r="I1779" s="49" t="str">
        <f t="shared" ca="1" si="1777"/>
        <v>Tell me a little</v>
      </c>
      <c r="J1779" s="49" t="str">
        <f t="shared" ca="1" si="1777"/>
        <v>Tell me a little</v>
      </c>
    </row>
    <row r="1780" spans="1:10" ht="38.25" x14ac:dyDescent="0.2">
      <c r="A1780" s="41" t="s">
        <v>1326</v>
      </c>
      <c r="B1780" s="40"/>
      <c r="C1780" s="40"/>
      <c r="D1780" s="40"/>
      <c r="E1780" s="40"/>
      <c r="F1780" s="49" t="str">
        <f t="shared" ref="F1780:J1780" ca="1" si="1778">IFERROR(__xludf.DUMMYFUNCTION("if (A1780 &lt;&gt; """", GOOGLETRANSLATE(A1780, ""auto"", ""en""), """")"),"Could you teach me this please")</f>
        <v>Could you teach me this please</v>
      </c>
      <c r="G1780" s="49" t="str">
        <f t="shared" ca="1" si="1778"/>
        <v>Could you teach me this please</v>
      </c>
      <c r="H1780" s="49" t="str">
        <f t="shared" ca="1" si="1778"/>
        <v>Could you teach me this please</v>
      </c>
      <c r="I1780" s="49" t="str">
        <f t="shared" ca="1" si="1778"/>
        <v>Could you teach me this please</v>
      </c>
      <c r="J1780" s="49" t="str">
        <f t="shared" ca="1" si="1778"/>
        <v>Could you teach me this please</v>
      </c>
    </row>
    <row r="1781" spans="1:10" ht="25.5" x14ac:dyDescent="0.2">
      <c r="A1781" s="41" t="s">
        <v>1327</v>
      </c>
      <c r="B1781" s="40"/>
      <c r="C1781" s="40"/>
      <c r="D1781" s="40"/>
      <c r="E1781" s="40"/>
      <c r="F1781" s="49" t="str">
        <f t="shared" ref="F1781:J1781" ca="1" si="1779">IFERROR(__xludf.DUMMYFUNCTION("if (A1781 &lt;&gt; """", GOOGLETRANSLATE(A1781, ""auto"", ""en""), """")"),"What are the new things")</f>
        <v>What are the new things</v>
      </c>
      <c r="G1781" s="49" t="str">
        <f t="shared" ca="1" si="1779"/>
        <v>What are the new things</v>
      </c>
      <c r="H1781" s="49" t="str">
        <f t="shared" ca="1" si="1779"/>
        <v>What are the new things</v>
      </c>
      <c r="I1781" s="49" t="str">
        <f t="shared" ca="1" si="1779"/>
        <v>What are the new things</v>
      </c>
      <c r="J1781" s="49" t="str">
        <f t="shared" ca="1" si="1779"/>
        <v>What are the new things</v>
      </c>
    </row>
    <row r="1782" spans="1:10" ht="25.5" x14ac:dyDescent="0.2">
      <c r="A1782" s="41" t="s">
        <v>1328</v>
      </c>
      <c r="B1782" s="40"/>
      <c r="C1782" s="40"/>
      <c r="D1782" s="40"/>
      <c r="E1782" s="40"/>
      <c r="F1782" s="49" t="str">
        <f t="shared" ref="F1782:J1782" ca="1" si="1780">IFERROR(__xludf.DUMMYFUNCTION("if (A1782 &lt;&gt; """", GOOGLETRANSLATE(A1782, ""auto"", ""en""), """")"),"Can you tell me one")</f>
        <v>Can you tell me one</v>
      </c>
      <c r="G1782" s="49" t="str">
        <f t="shared" ca="1" si="1780"/>
        <v>Can you tell me one</v>
      </c>
      <c r="H1782" s="49" t="str">
        <f t="shared" ca="1" si="1780"/>
        <v>Can you tell me one</v>
      </c>
      <c r="I1782" s="49" t="str">
        <f t="shared" ca="1" si="1780"/>
        <v>Can you tell me one</v>
      </c>
      <c r="J1782" s="49" t="str">
        <f t="shared" ca="1" si="1780"/>
        <v>Can you tell me one</v>
      </c>
    </row>
    <row r="1783" spans="1:10" ht="12.75" x14ac:dyDescent="0.2">
      <c r="A1783" s="40"/>
      <c r="B1783" s="41" t="s">
        <v>403</v>
      </c>
      <c r="C1783" s="41" t="s">
        <v>25</v>
      </c>
      <c r="D1783" s="41" t="s">
        <v>27</v>
      </c>
      <c r="E1783" s="40"/>
      <c r="F1783" s="49" t="str">
        <f t="shared" ref="F1783:J1783" ca="1" si="1781">IFERROR(__xludf.DUMMYFUNCTION("if (A1783 &lt;&gt; """", GOOGLETRANSLATE(A1783, ""auto"", ""en""), """")"),"")</f>
        <v/>
      </c>
      <c r="G1783" s="49" t="str">
        <f t="shared" ca="1" si="1781"/>
        <v/>
      </c>
      <c r="H1783" s="49" t="str">
        <f t="shared" ca="1" si="1781"/>
        <v/>
      </c>
      <c r="I1783" s="49" t="str">
        <f t="shared" ca="1" si="1781"/>
        <v/>
      </c>
      <c r="J1783" s="49" t="str">
        <f t="shared" ca="1" si="1781"/>
        <v/>
      </c>
    </row>
    <row r="1784" spans="1:10" ht="12.75" x14ac:dyDescent="0.2">
      <c r="A1784" s="40"/>
      <c r="B1784" s="41" t="s">
        <v>403</v>
      </c>
      <c r="C1784" s="41" t="s">
        <v>30</v>
      </c>
      <c r="D1784" s="41" t="s">
        <v>31</v>
      </c>
      <c r="E1784" s="40"/>
      <c r="F1784" s="49" t="str">
        <f t="shared" ref="F1784:J1784" ca="1" si="1782">IFERROR(__xludf.DUMMYFUNCTION("if (A1784 &lt;&gt; """", GOOGLETRANSLATE(A1784, ""auto"", ""en""), """")"),"")</f>
        <v/>
      </c>
      <c r="G1784" s="49" t="str">
        <f t="shared" ca="1" si="1782"/>
        <v/>
      </c>
      <c r="H1784" s="49" t="str">
        <f t="shared" ca="1" si="1782"/>
        <v/>
      </c>
      <c r="I1784" s="49" t="str">
        <f t="shared" ca="1" si="1782"/>
        <v/>
      </c>
      <c r="J1784" s="49" t="str">
        <f t="shared" ca="1" si="1782"/>
        <v/>
      </c>
    </row>
    <row r="1785" spans="1:10" ht="12.75" x14ac:dyDescent="0.2">
      <c r="A1785" s="40"/>
      <c r="B1785" s="41" t="s">
        <v>403</v>
      </c>
      <c r="C1785" s="41" t="s">
        <v>41</v>
      </c>
      <c r="D1785" s="41" t="s">
        <v>10</v>
      </c>
      <c r="E1785" s="40"/>
      <c r="F1785" s="49" t="str">
        <f t="shared" ref="F1785:J1785" ca="1" si="1783">IFERROR(__xludf.DUMMYFUNCTION("if (A1785 &lt;&gt; """", GOOGLETRANSLATE(A1785, ""auto"", ""en""), """")"),"")</f>
        <v/>
      </c>
      <c r="G1785" s="49" t="str">
        <f t="shared" ca="1" si="1783"/>
        <v/>
      </c>
      <c r="H1785" s="49" t="str">
        <f t="shared" ca="1" si="1783"/>
        <v/>
      </c>
      <c r="I1785" s="49" t="str">
        <f t="shared" ca="1" si="1783"/>
        <v/>
      </c>
      <c r="J1785" s="49" t="str">
        <f t="shared" ca="1" si="1783"/>
        <v/>
      </c>
    </row>
    <row r="1786" spans="1:10" ht="12.75" x14ac:dyDescent="0.2">
      <c r="A1786" s="40"/>
      <c r="B1786" s="40"/>
      <c r="C1786" s="40"/>
      <c r="D1786" s="40"/>
      <c r="E1786" s="40"/>
      <c r="F1786" s="49" t="str">
        <f t="shared" ref="F1786:J1786" ca="1" si="1784">IFERROR(__xludf.DUMMYFUNCTION("if (A1786 &lt;&gt; """", GOOGLETRANSLATE(A1786, ""auto"", ""en""), """")"),"")</f>
        <v/>
      </c>
      <c r="G1786" s="49" t="str">
        <f t="shared" ca="1" si="1784"/>
        <v/>
      </c>
      <c r="H1786" s="49" t="str">
        <f t="shared" ca="1" si="1784"/>
        <v/>
      </c>
      <c r="I1786" s="49" t="str">
        <f t="shared" ca="1" si="1784"/>
        <v/>
      </c>
      <c r="J1786" s="49" t="str">
        <f t="shared" ca="1" si="1784"/>
        <v/>
      </c>
    </row>
    <row r="1787" spans="1:10" ht="25.5" x14ac:dyDescent="0.2">
      <c r="A1787" s="41" t="s">
        <v>1329</v>
      </c>
      <c r="B1787" s="40"/>
      <c r="C1787" s="40"/>
      <c r="D1787" s="40"/>
      <c r="E1787" s="40"/>
      <c r="F1787" s="49" t="str">
        <f t="shared" ref="F1787:J1787" ca="1" si="1785">IFERROR(__xludf.DUMMYFUNCTION("if (A1787 &lt;&gt; """", GOOGLETRANSLATE(A1787, ""auto"", ""en""), """")"),"smalltalk.agent.there")</f>
        <v>smalltalk.agent.there</v>
      </c>
      <c r="G1787" s="49" t="str">
        <f t="shared" ca="1" si="1785"/>
        <v>smalltalk.agent.there</v>
      </c>
      <c r="H1787" s="49" t="str">
        <f t="shared" ca="1" si="1785"/>
        <v>smalltalk.agent.there</v>
      </c>
      <c r="I1787" s="49" t="str">
        <f t="shared" ca="1" si="1785"/>
        <v>smalltalk.agent.there</v>
      </c>
      <c r="J1787" s="49" t="str">
        <f t="shared" ca="1" si="1785"/>
        <v>smalltalk.agent.there</v>
      </c>
    </row>
    <row r="1788" spans="1:10" ht="12.75" x14ac:dyDescent="0.2">
      <c r="A1788" s="40"/>
      <c r="B1788" s="41" t="s">
        <v>398</v>
      </c>
      <c r="C1788" s="40"/>
      <c r="D1788" s="40"/>
      <c r="E1788" s="40"/>
      <c r="F1788" s="49" t="str">
        <f t="shared" ref="F1788:J1788" ca="1" si="1786">IFERROR(__xludf.DUMMYFUNCTION("if (A1788 &lt;&gt; """", GOOGLETRANSLATE(A1788, ""auto"", ""en""), """")"),"")</f>
        <v/>
      </c>
      <c r="G1788" s="49" t="str">
        <f t="shared" ca="1" si="1786"/>
        <v/>
      </c>
      <c r="H1788" s="49" t="str">
        <f t="shared" ca="1" si="1786"/>
        <v/>
      </c>
      <c r="I1788" s="49" t="str">
        <f t="shared" ca="1" si="1786"/>
        <v/>
      </c>
      <c r="J1788" s="49" t="str">
        <f t="shared" ca="1" si="1786"/>
        <v/>
      </c>
    </row>
    <row r="1789" spans="1:10" ht="12.75" x14ac:dyDescent="0.2">
      <c r="A1789" s="40"/>
      <c r="B1789" s="41" t="s">
        <v>399</v>
      </c>
      <c r="C1789" s="40"/>
      <c r="D1789" s="40"/>
      <c r="E1789" s="40"/>
      <c r="F1789" s="49" t="str">
        <f t="shared" ref="F1789:J1789" ca="1" si="1787">IFERROR(__xludf.DUMMYFUNCTION("if (A1789 &lt;&gt; """", GOOGLETRANSLATE(A1789, ""auto"", ""en""), """")"),"")</f>
        <v/>
      </c>
      <c r="G1789" s="49" t="str">
        <f t="shared" ca="1" si="1787"/>
        <v/>
      </c>
      <c r="H1789" s="49" t="str">
        <f t="shared" ca="1" si="1787"/>
        <v/>
      </c>
      <c r="I1789" s="49" t="str">
        <f t="shared" ca="1" si="1787"/>
        <v/>
      </c>
      <c r="J1789" s="49" t="str">
        <f t="shared" ca="1" si="1787"/>
        <v/>
      </c>
    </row>
    <row r="1790" spans="1:10" ht="12.75" x14ac:dyDescent="0.2">
      <c r="A1790" s="40"/>
      <c r="B1790" s="41" t="s">
        <v>400</v>
      </c>
      <c r="C1790" s="41" t="s">
        <v>1329</v>
      </c>
      <c r="D1790" s="40"/>
      <c r="E1790" s="40"/>
      <c r="F1790" s="49" t="str">
        <f t="shared" ref="F1790:J1790" ca="1" si="1788">IFERROR(__xludf.DUMMYFUNCTION("if (A1790 &lt;&gt; """", GOOGLETRANSLATE(A1790, ""auto"", ""en""), """")"),"")</f>
        <v/>
      </c>
      <c r="G1790" s="49" t="str">
        <f t="shared" ca="1" si="1788"/>
        <v/>
      </c>
      <c r="H1790" s="49" t="str">
        <f t="shared" ca="1" si="1788"/>
        <v/>
      </c>
      <c r="I1790" s="49" t="str">
        <f t="shared" ca="1" si="1788"/>
        <v/>
      </c>
      <c r="J1790" s="49" t="str">
        <f t="shared" ca="1" si="1788"/>
        <v/>
      </c>
    </row>
    <row r="1791" spans="1:10" ht="12.75" x14ac:dyDescent="0.2">
      <c r="A1791" s="40"/>
      <c r="B1791" s="41" t="s">
        <v>401</v>
      </c>
      <c r="C1791" s="40"/>
      <c r="D1791" s="40"/>
      <c r="E1791" s="40"/>
      <c r="F1791" s="49" t="str">
        <f t="shared" ref="F1791:J1791" ca="1" si="1789">IFERROR(__xludf.DUMMYFUNCTION("if (A1791 &lt;&gt; """", GOOGLETRANSLATE(A1791, ""auto"", ""en""), """")"),"")</f>
        <v/>
      </c>
      <c r="G1791" s="49" t="str">
        <f t="shared" ca="1" si="1789"/>
        <v/>
      </c>
      <c r="H1791" s="49" t="str">
        <f t="shared" ca="1" si="1789"/>
        <v/>
      </c>
      <c r="I1791" s="49" t="str">
        <f t="shared" ca="1" si="1789"/>
        <v/>
      </c>
      <c r="J1791" s="49" t="str">
        <f t="shared" ca="1" si="1789"/>
        <v/>
      </c>
    </row>
    <row r="1792" spans="1:10" ht="25.5" x14ac:dyDescent="0.2">
      <c r="A1792" s="41" t="s">
        <v>1330</v>
      </c>
      <c r="B1792" s="41" t="s">
        <v>402</v>
      </c>
      <c r="C1792" s="41" t="s">
        <v>1331</v>
      </c>
      <c r="D1792" s="40"/>
      <c r="E1792" s="40"/>
      <c r="F1792" s="49" t="str">
        <f t="shared" ref="F1792:J1792" ca="1" si="1790">IFERROR(__xludf.DUMMYFUNCTION("if (A1792 &lt;&gt; """", GOOGLETRANSLATE(A1792, ""auto"", ""en""), """")"),"are you still there")</f>
        <v>are you still there</v>
      </c>
      <c r="G1792" s="49" t="str">
        <f t="shared" ca="1" si="1790"/>
        <v>are you still there</v>
      </c>
      <c r="H1792" s="49" t="str">
        <f t="shared" ca="1" si="1790"/>
        <v>are you still there</v>
      </c>
      <c r="I1792" s="49" t="str">
        <f t="shared" ca="1" si="1790"/>
        <v>are you still there</v>
      </c>
      <c r="J1792" s="49" t="str">
        <f t="shared" ca="1" si="1790"/>
        <v>are you still there</v>
      </c>
    </row>
    <row r="1793" spans="1:10" ht="12.75" x14ac:dyDescent="0.2">
      <c r="A1793" s="41" t="s">
        <v>1332</v>
      </c>
      <c r="B1793" s="40"/>
      <c r="C1793" s="40"/>
      <c r="D1793" s="40"/>
      <c r="E1793" s="40"/>
      <c r="F1793" s="49" t="str">
        <f t="shared" ref="F1793:J1793" ca="1" si="1791">IFERROR(__xludf.DUMMYFUNCTION("if (A1793 &lt;&gt; """", GOOGLETRANSLATE(A1793, ""auto"", ""en""), """")"),"I am still")</f>
        <v>I am still</v>
      </c>
      <c r="G1793" s="49" t="str">
        <f t="shared" ca="1" si="1791"/>
        <v>I am still</v>
      </c>
      <c r="H1793" s="49" t="str">
        <f t="shared" ca="1" si="1791"/>
        <v>I am still</v>
      </c>
      <c r="I1793" s="49" t="str">
        <f t="shared" ca="1" si="1791"/>
        <v>I am still</v>
      </c>
      <c r="J1793" s="49" t="str">
        <f t="shared" ca="1" si="1791"/>
        <v>I am still</v>
      </c>
    </row>
    <row r="1794" spans="1:10" ht="25.5" x14ac:dyDescent="0.2">
      <c r="A1794" s="41" t="s">
        <v>1333</v>
      </c>
      <c r="B1794" s="40"/>
      <c r="C1794" s="40"/>
      <c r="D1794" s="40"/>
      <c r="E1794" s="40"/>
      <c r="F1794" s="49" t="str">
        <f t="shared" ref="F1794:J1794" ca="1" si="1792">IFERROR(__xludf.DUMMYFUNCTION("if (A1794 &lt;&gt; """", GOOGLETRANSLATE(A1794, ""auto"", ""en""), """")"),"Do you have to close")</f>
        <v>Do you have to close</v>
      </c>
      <c r="G1794" s="49" t="str">
        <f t="shared" ca="1" si="1792"/>
        <v>Do you have to close</v>
      </c>
      <c r="H1794" s="49" t="str">
        <f t="shared" ca="1" si="1792"/>
        <v>Do you have to close</v>
      </c>
      <c r="I1794" s="49" t="str">
        <f t="shared" ca="1" si="1792"/>
        <v>Do you have to close</v>
      </c>
      <c r="J1794" s="49" t="str">
        <f t="shared" ca="1" si="1792"/>
        <v>Do you have to close</v>
      </c>
    </row>
    <row r="1795" spans="1:10" ht="25.5" x14ac:dyDescent="0.2">
      <c r="A1795" s="41" t="s">
        <v>1334</v>
      </c>
      <c r="B1795" s="40"/>
      <c r="C1795" s="40"/>
      <c r="D1795" s="40"/>
      <c r="E1795" s="40"/>
      <c r="F1795" s="49" t="str">
        <f t="shared" ref="F1795:J1795" ca="1" si="1793">IFERROR(__xludf.DUMMYFUNCTION("if (A1795 &lt;&gt; """", GOOGLETRANSLATE(A1795, ""auto"", ""en""), """")"),"Do you have here now")</f>
        <v>Do you have here now</v>
      </c>
      <c r="G1795" s="49" t="str">
        <f t="shared" ca="1" si="1793"/>
        <v>Do you have here now</v>
      </c>
      <c r="H1795" s="49" t="str">
        <f t="shared" ca="1" si="1793"/>
        <v>Do you have here now</v>
      </c>
      <c r="I1795" s="49" t="str">
        <f t="shared" ca="1" si="1793"/>
        <v>Do you have here now</v>
      </c>
      <c r="J1795" s="49" t="str">
        <f t="shared" ca="1" si="1793"/>
        <v>Do you have here now</v>
      </c>
    </row>
    <row r="1796" spans="1:10" ht="25.5" x14ac:dyDescent="0.2">
      <c r="A1796" s="41" t="s">
        <v>1335</v>
      </c>
      <c r="B1796" s="40"/>
      <c r="C1796" s="40"/>
      <c r="D1796" s="40"/>
      <c r="E1796" s="40"/>
      <c r="F1796" s="49" t="str">
        <f t="shared" ref="F1796:J1796" ca="1" si="1794">IFERROR(__xludf.DUMMYFUNCTION("if (A1796 &lt;&gt; """", GOOGLETRANSLATE(A1796, ""auto"", ""en""), """")"),"Do you have still there")</f>
        <v>Do you have still there</v>
      </c>
      <c r="G1796" s="49" t="str">
        <f t="shared" ca="1" si="1794"/>
        <v>Do you have still there</v>
      </c>
      <c r="H1796" s="49" t="str">
        <f t="shared" ca="1" si="1794"/>
        <v>Do you have still there</v>
      </c>
      <c r="I1796" s="49" t="str">
        <f t="shared" ca="1" si="1794"/>
        <v>Do you have still there</v>
      </c>
      <c r="J1796" s="49" t="str">
        <f t="shared" ca="1" si="1794"/>
        <v>Do you have still there</v>
      </c>
    </row>
    <row r="1797" spans="1:10" ht="12.75" x14ac:dyDescent="0.2">
      <c r="A1797" s="41" t="s">
        <v>1336</v>
      </c>
      <c r="B1797" s="40"/>
      <c r="C1797" s="40"/>
      <c r="D1797" s="40"/>
      <c r="E1797" s="40"/>
      <c r="F1797" s="49" t="str">
        <f t="shared" ref="F1797:J1797" ca="1" si="1795">IFERROR(__xludf.DUMMYFUNCTION("if (A1797 &lt;&gt; """", GOOGLETRANSLATE(A1797, ""auto"", ""en""), """")"),"I am still here")</f>
        <v>I am still here</v>
      </c>
      <c r="G1797" s="49" t="str">
        <f t="shared" ca="1" si="1795"/>
        <v>I am still here</v>
      </c>
      <c r="H1797" s="49" t="str">
        <f t="shared" ca="1" si="1795"/>
        <v>I am still here</v>
      </c>
      <c r="I1797" s="49" t="str">
        <f t="shared" ca="1" si="1795"/>
        <v>I am still here</v>
      </c>
      <c r="J1797" s="49" t="str">
        <f t="shared" ca="1" si="1795"/>
        <v>I am still here</v>
      </c>
    </row>
    <row r="1798" spans="1:10" ht="12.75" x14ac:dyDescent="0.2">
      <c r="A1798" s="41" t="s">
        <v>1337</v>
      </c>
      <c r="B1798" s="40"/>
      <c r="C1798" s="40"/>
      <c r="D1798" s="40"/>
      <c r="E1798" s="40"/>
      <c r="F1798" s="49" t="str">
        <f t="shared" ref="F1798:J1798" ca="1" si="1796">IFERROR(__xludf.DUMMYFUNCTION("if (A1798 &lt;&gt; """", GOOGLETRANSLATE(A1798, ""auto"", ""en""), """")"),"It is still there")</f>
        <v>It is still there</v>
      </c>
      <c r="G1798" s="49" t="str">
        <f t="shared" ca="1" si="1796"/>
        <v>It is still there</v>
      </c>
      <c r="H1798" s="49" t="str">
        <f t="shared" ca="1" si="1796"/>
        <v>It is still there</v>
      </c>
      <c r="I1798" s="49" t="str">
        <f t="shared" ca="1" si="1796"/>
        <v>It is still there</v>
      </c>
      <c r="J1798" s="49" t="str">
        <f t="shared" ca="1" si="1796"/>
        <v>It is still there</v>
      </c>
    </row>
    <row r="1799" spans="1:10" ht="12.75" x14ac:dyDescent="0.2">
      <c r="A1799" s="40"/>
      <c r="B1799" s="40"/>
      <c r="C1799" s="40"/>
      <c r="D1799" s="40"/>
      <c r="E1799" s="40"/>
      <c r="F1799" s="49" t="str">
        <f t="shared" ref="F1799:J1799" ca="1" si="1797">IFERROR(__xludf.DUMMYFUNCTION("if (A1799 &lt;&gt; """", GOOGLETRANSLATE(A1799, ""auto"", ""en""), """")"),"")</f>
        <v/>
      </c>
      <c r="G1799" s="49" t="str">
        <f t="shared" ca="1" si="1797"/>
        <v/>
      </c>
      <c r="H1799" s="49" t="str">
        <f t="shared" ca="1" si="1797"/>
        <v/>
      </c>
      <c r="I1799" s="49" t="str">
        <f t="shared" ca="1" si="1797"/>
        <v/>
      </c>
      <c r="J1799" s="49" t="str">
        <f t="shared" ca="1" si="1797"/>
        <v/>
      </c>
    </row>
    <row r="1800" spans="1:10" ht="25.5" x14ac:dyDescent="0.2">
      <c r="A1800" s="41" t="s">
        <v>1338</v>
      </c>
      <c r="B1800" s="40"/>
      <c r="C1800" s="40"/>
      <c r="D1800" s="40"/>
      <c r="E1800" s="40"/>
      <c r="F1800" s="49" t="str">
        <f t="shared" ref="F1800:J1800" ca="1" si="1798">IFERROR(__xludf.DUMMYFUNCTION("if (A1800 &lt;&gt; """", GOOGLETRANSLATE(A1800, ""auto"", ""en""), """")"),"smalltalk.agent.tired")</f>
        <v>smalltalk.agent.tired</v>
      </c>
      <c r="G1800" s="49" t="str">
        <f t="shared" ca="1" si="1798"/>
        <v>smalltalk.agent.tired</v>
      </c>
      <c r="H1800" s="49" t="str">
        <f t="shared" ca="1" si="1798"/>
        <v>smalltalk.agent.tired</v>
      </c>
      <c r="I1800" s="49" t="str">
        <f t="shared" ca="1" si="1798"/>
        <v>smalltalk.agent.tired</v>
      </c>
      <c r="J1800" s="49" t="str">
        <f t="shared" ca="1" si="1798"/>
        <v>smalltalk.agent.tired</v>
      </c>
    </row>
    <row r="1801" spans="1:10" ht="12.75" x14ac:dyDescent="0.2">
      <c r="A1801" s="40"/>
      <c r="B1801" s="41" t="s">
        <v>398</v>
      </c>
      <c r="C1801" s="40"/>
      <c r="D1801" s="40"/>
      <c r="E1801" s="40"/>
      <c r="F1801" s="49" t="str">
        <f t="shared" ref="F1801:J1801" ca="1" si="1799">IFERROR(__xludf.DUMMYFUNCTION("if (A1801 &lt;&gt; """", GOOGLETRANSLATE(A1801, ""auto"", ""en""), """")"),"")</f>
        <v/>
      </c>
      <c r="G1801" s="49" t="str">
        <f t="shared" ca="1" si="1799"/>
        <v/>
      </c>
      <c r="H1801" s="49" t="str">
        <f t="shared" ca="1" si="1799"/>
        <v/>
      </c>
      <c r="I1801" s="49" t="str">
        <f t="shared" ca="1" si="1799"/>
        <v/>
      </c>
      <c r="J1801" s="49" t="str">
        <f t="shared" ca="1" si="1799"/>
        <v/>
      </c>
    </row>
    <row r="1802" spans="1:10" ht="12.75" x14ac:dyDescent="0.2">
      <c r="A1802" s="40"/>
      <c r="B1802" s="41" t="s">
        <v>399</v>
      </c>
      <c r="C1802" s="40"/>
      <c r="D1802" s="40"/>
      <c r="E1802" s="40"/>
      <c r="F1802" s="49" t="str">
        <f t="shared" ref="F1802:J1802" ca="1" si="1800">IFERROR(__xludf.DUMMYFUNCTION("if (A1802 &lt;&gt; """", GOOGLETRANSLATE(A1802, ""auto"", ""en""), """")"),"")</f>
        <v/>
      </c>
      <c r="G1802" s="49" t="str">
        <f t="shared" ca="1" si="1800"/>
        <v/>
      </c>
      <c r="H1802" s="49" t="str">
        <f t="shared" ca="1" si="1800"/>
        <v/>
      </c>
      <c r="I1802" s="49" t="str">
        <f t="shared" ca="1" si="1800"/>
        <v/>
      </c>
      <c r="J1802" s="49" t="str">
        <f t="shared" ca="1" si="1800"/>
        <v/>
      </c>
    </row>
    <row r="1803" spans="1:10" ht="12.75" x14ac:dyDescent="0.2">
      <c r="A1803" s="40"/>
      <c r="B1803" s="41" t="s">
        <v>400</v>
      </c>
      <c r="C1803" s="41" t="s">
        <v>1338</v>
      </c>
      <c r="D1803" s="40"/>
      <c r="E1803" s="40"/>
      <c r="F1803" s="49" t="str">
        <f t="shared" ref="F1803:J1803" ca="1" si="1801">IFERROR(__xludf.DUMMYFUNCTION("if (A1803 &lt;&gt; """", GOOGLETRANSLATE(A1803, ""auto"", ""en""), """")"),"")</f>
        <v/>
      </c>
      <c r="G1803" s="49" t="str">
        <f t="shared" ca="1" si="1801"/>
        <v/>
      </c>
      <c r="H1803" s="49" t="str">
        <f t="shared" ca="1" si="1801"/>
        <v/>
      </c>
      <c r="I1803" s="49" t="str">
        <f t="shared" ca="1" si="1801"/>
        <v/>
      </c>
      <c r="J1803" s="49" t="str">
        <f t="shared" ca="1" si="1801"/>
        <v/>
      </c>
    </row>
    <row r="1804" spans="1:10" ht="12.75" x14ac:dyDescent="0.2">
      <c r="A1804" s="40"/>
      <c r="B1804" s="41" t="s">
        <v>401</v>
      </c>
      <c r="C1804" s="40"/>
      <c r="D1804" s="40"/>
      <c r="E1804" s="40"/>
      <c r="F1804" s="49" t="str">
        <f t="shared" ref="F1804:J1804" ca="1" si="1802">IFERROR(__xludf.DUMMYFUNCTION("if (A1804 &lt;&gt; """", GOOGLETRANSLATE(A1804, ""auto"", ""en""), """")"),"")</f>
        <v/>
      </c>
      <c r="G1804" s="49" t="str">
        <f t="shared" ca="1" si="1802"/>
        <v/>
      </c>
      <c r="H1804" s="49" t="str">
        <f t="shared" ca="1" si="1802"/>
        <v/>
      </c>
      <c r="I1804" s="49" t="str">
        <f t="shared" ca="1" si="1802"/>
        <v/>
      </c>
      <c r="J1804" s="49" t="str">
        <f t="shared" ca="1" si="1802"/>
        <v/>
      </c>
    </row>
    <row r="1805" spans="1:10" ht="25.5" x14ac:dyDescent="0.2">
      <c r="A1805" s="41" t="s">
        <v>1339</v>
      </c>
      <c r="B1805" s="41" t="s">
        <v>402</v>
      </c>
      <c r="C1805" s="41" t="s">
        <v>1340</v>
      </c>
      <c r="D1805" s="40"/>
      <c r="E1805" s="40"/>
      <c r="F1805" s="49" t="str">
        <f t="shared" ref="F1805:J1805" ca="1" si="1803">IFERROR(__xludf.DUMMYFUNCTION("if (A1805 &lt;&gt; """", GOOGLETRANSLATE(A1805, ""auto"", ""en""), """")"),"You need to rest a little")</f>
        <v>You need to rest a little</v>
      </c>
      <c r="G1805" s="49" t="str">
        <f t="shared" ca="1" si="1803"/>
        <v>You need to rest a little</v>
      </c>
      <c r="H1805" s="49" t="str">
        <f t="shared" ca="1" si="1803"/>
        <v>You need to rest a little</v>
      </c>
      <c r="I1805" s="49" t="str">
        <f t="shared" ca="1" si="1803"/>
        <v>You need to rest a little</v>
      </c>
      <c r="J1805" s="49" t="str">
        <f t="shared" ca="1" si="1803"/>
        <v>You need to rest a little</v>
      </c>
    </row>
    <row r="1806" spans="1:10" ht="25.5" x14ac:dyDescent="0.2">
      <c r="A1806" s="41" t="s">
        <v>1341</v>
      </c>
      <c r="B1806" s="40"/>
      <c r="C1806" s="40"/>
      <c r="D1806" s="40"/>
      <c r="E1806" s="40"/>
      <c r="F1806" s="49" t="str">
        <f t="shared" ref="F1806:J1806" ca="1" si="1804">IFERROR(__xludf.DUMMYFUNCTION("if (A1806 &lt;&gt; """", GOOGLETRANSLATE(A1806, ""auto"", ""en""), """")"),"It seems to have tired")</f>
        <v>It seems to have tired</v>
      </c>
      <c r="G1806" s="49" t="str">
        <f t="shared" ca="1" si="1804"/>
        <v>It seems to have tired</v>
      </c>
      <c r="H1806" s="49" t="str">
        <f t="shared" ca="1" si="1804"/>
        <v>It seems to have tired</v>
      </c>
      <c r="I1806" s="49" t="str">
        <f t="shared" ca="1" si="1804"/>
        <v>It seems to have tired</v>
      </c>
      <c r="J1806" s="49" t="str">
        <f t="shared" ca="1" si="1804"/>
        <v>It seems to have tired</v>
      </c>
    </row>
    <row r="1807" spans="1:10" ht="25.5" x14ac:dyDescent="0.2">
      <c r="A1807" s="41" t="s">
        <v>1342</v>
      </c>
      <c r="B1807" s="40"/>
      <c r="C1807" s="40"/>
      <c r="D1807" s="40"/>
      <c r="E1807" s="40"/>
      <c r="F1807" s="49" t="str">
        <f t="shared" ref="F1807:J1807" ca="1" si="1805">IFERROR(__xludf.DUMMYFUNCTION("if (A1807 &lt;&gt; """", GOOGLETRANSLATE(A1807, ""auto"", ""en""), """")"),"Are not you tired")</f>
        <v>Are not you tired</v>
      </c>
      <c r="G1807" s="49" t="str">
        <f t="shared" ca="1" si="1805"/>
        <v>Are not you tired</v>
      </c>
      <c r="H1807" s="49" t="str">
        <f t="shared" ca="1" si="1805"/>
        <v>Are not you tired</v>
      </c>
      <c r="I1807" s="49" t="str">
        <f t="shared" ca="1" si="1805"/>
        <v>Are not you tired</v>
      </c>
      <c r="J1807" s="49" t="str">
        <f t="shared" ca="1" si="1805"/>
        <v>Are not you tired</v>
      </c>
    </row>
    <row r="1808" spans="1:10" ht="12.75" x14ac:dyDescent="0.2">
      <c r="A1808" s="41" t="s">
        <v>1343</v>
      </c>
      <c r="B1808" s="40"/>
      <c r="C1808" s="40"/>
      <c r="D1808" s="40"/>
      <c r="E1808" s="40"/>
      <c r="F1808" s="49" t="str">
        <f t="shared" ref="F1808:J1808" ca="1" si="1806">IFERROR(__xludf.DUMMYFUNCTION("if (A1808 &lt;&gt; """", GOOGLETRANSLATE(A1808, ""auto"", ""en""), """")"),"You are tired")</f>
        <v>You are tired</v>
      </c>
      <c r="G1808" s="49" t="str">
        <f t="shared" ca="1" si="1806"/>
        <v>You are tired</v>
      </c>
      <c r="H1808" s="49" t="str">
        <f t="shared" ca="1" si="1806"/>
        <v>You are tired</v>
      </c>
      <c r="I1808" s="49" t="str">
        <f t="shared" ca="1" si="1806"/>
        <v>You are tired</v>
      </c>
      <c r="J1808" s="49" t="str">
        <f t="shared" ca="1" si="1806"/>
        <v>You are tired</v>
      </c>
    </row>
    <row r="1809" spans="1:10" ht="12.75" x14ac:dyDescent="0.2">
      <c r="A1809" s="41" t="s">
        <v>1344</v>
      </c>
      <c r="B1809" s="40"/>
      <c r="C1809" s="40"/>
      <c r="D1809" s="40"/>
      <c r="E1809" s="40"/>
      <c r="F1809" s="49" t="str">
        <f t="shared" ref="F1809:J1809" ca="1" si="1807">IFERROR(__xludf.DUMMYFUNCTION("if (A1809 &lt;&gt; """", GOOGLETRANSLATE(A1809, ""auto"", ""en""), """")"),"It seems tired")</f>
        <v>It seems tired</v>
      </c>
      <c r="G1809" s="49" t="str">
        <f t="shared" ca="1" si="1807"/>
        <v>It seems tired</v>
      </c>
      <c r="H1809" s="49" t="str">
        <f t="shared" ca="1" si="1807"/>
        <v>It seems tired</v>
      </c>
      <c r="I1809" s="49" t="str">
        <f t="shared" ca="1" si="1807"/>
        <v>It seems tired</v>
      </c>
      <c r="J1809" s="49" t="str">
        <f t="shared" ca="1" si="1807"/>
        <v>It seems tired</v>
      </c>
    </row>
    <row r="1810" spans="1:10" ht="12.75" x14ac:dyDescent="0.2">
      <c r="A1810" s="41" t="s">
        <v>1345</v>
      </c>
      <c r="B1810" s="40"/>
      <c r="C1810" s="40"/>
      <c r="D1810" s="40"/>
      <c r="E1810" s="40"/>
      <c r="F1810" s="49" t="str">
        <f t="shared" ref="F1810:J1810" ca="1" si="1808">IFERROR(__xludf.DUMMYFUNCTION("if (A1810 &lt;&gt; """", GOOGLETRANSLATE(A1810, ""auto"", ""en""), """")"),"I am very tired")</f>
        <v>I am very tired</v>
      </c>
      <c r="G1810" s="49" t="str">
        <f t="shared" ca="1" si="1808"/>
        <v>I am very tired</v>
      </c>
      <c r="H1810" s="49" t="str">
        <f t="shared" ca="1" si="1808"/>
        <v>I am very tired</v>
      </c>
      <c r="I1810" s="49" t="str">
        <f t="shared" ca="1" si="1808"/>
        <v>I am very tired</v>
      </c>
      <c r="J1810" s="49" t="str">
        <f t="shared" ca="1" si="1808"/>
        <v>I am very tired</v>
      </c>
    </row>
    <row r="1811" spans="1:10" ht="25.5" x14ac:dyDescent="0.2">
      <c r="A1811" s="41" t="s">
        <v>1346</v>
      </c>
      <c r="B1811" s="40"/>
      <c r="C1811" s="40"/>
      <c r="D1811" s="40"/>
      <c r="E1811" s="40"/>
      <c r="F1811" s="49" t="str">
        <f t="shared" ref="F1811:J1811" ca="1" si="1809">IFERROR(__xludf.DUMMYFUNCTION("if (A1811 &lt;&gt; """", GOOGLETRANSLATE(A1811, ""auto"", ""en""), """")"),"It seems to be tired")</f>
        <v>It seems to be tired</v>
      </c>
      <c r="G1811" s="49" t="str">
        <f t="shared" ca="1" si="1809"/>
        <v>It seems to be tired</v>
      </c>
      <c r="H1811" s="49" t="str">
        <f t="shared" ca="1" si="1809"/>
        <v>It seems to be tired</v>
      </c>
      <c r="I1811" s="49" t="str">
        <f t="shared" ca="1" si="1809"/>
        <v>It seems to be tired</v>
      </c>
      <c r="J1811" s="49" t="str">
        <f t="shared" ca="1" si="1809"/>
        <v>It seems to be tired</v>
      </c>
    </row>
    <row r="1812" spans="1:10" ht="25.5" x14ac:dyDescent="0.2">
      <c r="A1812" s="41" t="s">
        <v>1347</v>
      </c>
      <c r="B1812" s="40"/>
      <c r="C1812" s="40"/>
      <c r="D1812" s="40"/>
      <c r="E1812" s="40"/>
      <c r="F1812" s="49" t="str">
        <f t="shared" ref="F1812:J1812" ca="1" si="1810">IFERROR(__xludf.DUMMYFUNCTION("if (A1812 &lt;&gt; """", GOOGLETRANSLATE(A1812, ""auto"", ""en""), """")"),"Do not you tired now")</f>
        <v>Do not you tired now</v>
      </c>
      <c r="G1812" s="49" t="str">
        <f t="shared" ca="1" si="1810"/>
        <v>Do not you tired now</v>
      </c>
      <c r="H1812" s="49" t="str">
        <f t="shared" ca="1" si="1810"/>
        <v>Do not you tired now</v>
      </c>
      <c r="I1812" s="49" t="str">
        <f t="shared" ca="1" si="1810"/>
        <v>Do not you tired now</v>
      </c>
      <c r="J1812" s="49" t="str">
        <f t="shared" ca="1" si="1810"/>
        <v>Do not you tired now</v>
      </c>
    </row>
    <row r="1813" spans="1:10" ht="25.5" x14ac:dyDescent="0.2">
      <c r="A1813" s="41" t="s">
        <v>1348</v>
      </c>
      <c r="B1813" s="40"/>
      <c r="C1813" s="40"/>
      <c r="D1813" s="40"/>
      <c r="E1813" s="40"/>
      <c r="F1813" s="49" t="str">
        <f t="shared" ref="F1813:J1813" ca="1" si="1811">IFERROR(__xludf.DUMMYFUNCTION("if (A1813 &lt;&gt; """", GOOGLETRANSLATE(A1813, ""auto"", ""en""), """")"),"Do not you tired today")</f>
        <v>Do not you tired today</v>
      </c>
      <c r="G1813" s="49" t="str">
        <f t="shared" ca="1" si="1811"/>
        <v>Do not you tired today</v>
      </c>
      <c r="H1813" s="49" t="str">
        <f t="shared" ca="1" si="1811"/>
        <v>Do not you tired today</v>
      </c>
      <c r="I1813" s="49" t="str">
        <f t="shared" ca="1" si="1811"/>
        <v>Do not you tired today</v>
      </c>
      <c r="J1813" s="49" t="str">
        <f t="shared" ca="1" si="1811"/>
        <v>Do not you tired today</v>
      </c>
    </row>
    <row r="1814" spans="1:10" ht="25.5" x14ac:dyDescent="0.2">
      <c r="A1814" s="41" t="s">
        <v>1349</v>
      </c>
      <c r="B1814" s="40"/>
      <c r="C1814" s="40"/>
      <c r="D1814" s="40"/>
      <c r="E1814" s="40"/>
      <c r="F1814" s="49" t="str">
        <f t="shared" ref="F1814:J1814" ca="1" si="1812">IFERROR(__xludf.DUMMYFUNCTION("if (A1814 &lt;&gt; """", GOOGLETRANSLATE(A1814, ""auto"", ""en""), """")"),"You will have tired")</f>
        <v>You will have tired</v>
      </c>
      <c r="G1814" s="49" t="str">
        <f t="shared" ca="1" si="1812"/>
        <v>You will have tired</v>
      </c>
      <c r="H1814" s="49" t="str">
        <f t="shared" ca="1" si="1812"/>
        <v>You will have tired</v>
      </c>
      <c r="I1814" s="49" t="str">
        <f t="shared" ca="1" si="1812"/>
        <v>You will have tired</v>
      </c>
      <c r="J1814" s="49" t="str">
        <f t="shared" ca="1" si="1812"/>
        <v>You will have tired</v>
      </c>
    </row>
    <row r="1815" spans="1:10" ht="12.75" x14ac:dyDescent="0.2">
      <c r="A1815" s="40"/>
      <c r="B1815" s="40"/>
      <c r="C1815" s="40"/>
      <c r="D1815" s="40"/>
      <c r="E1815" s="40"/>
      <c r="F1815" s="49" t="str">
        <f t="shared" ref="F1815:J1815" ca="1" si="1813">IFERROR(__xludf.DUMMYFUNCTION("if (A1815 &lt;&gt; """", GOOGLETRANSLATE(A1815, ""auto"", ""en""), """")"),"")</f>
        <v/>
      </c>
      <c r="G1815" s="49" t="str">
        <f t="shared" ca="1" si="1813"/>
        <v/>
      </c>
      <c r="H1815" s="49" t="str">
        <f t="shared" ca="1" si="1813"/>
        <v/>
      </c>
      <c r="I1815" s="49" t="str">
        <f t="shared" ca="1" si="1813"/>
        <v/>
      </c>
      <c r="J1815" s="49" t="str">
        <f t="shared" ca="1" si="1813"/>
        <v/>
      </c>
    </row>
    <row r="1816" spans="1:10" ht="25.5" x14ac:dyDescent="0.2">
      <c r="A1816" s="41" t="s">
        <v>1350</v>
      </c>
      <c r="B1816" s="40"/>
      <c r="C1816" s="40"/>
      <c r="D1816" s="40"/>
      <c r="E1816" s="40"/>
      <c r="F1816" s="49" t="str">
        <f t="shared" ref="F1816:J1816" ca="1" si="1814">IFERROR(__xludf.DUMMYFUNCTION("if (A1816 &lt;&gt; """", GOOGLETRANSLATE(A1816, ""auto"", ""en""), """")"),"smalltalk.agent.weight")</f>
        <v>smalltalk.agent.weight</v>
      </c>
      <c r="G1816" s="49" t="str">
        <f t="shared" ca="1" si="1814"/>
        <v>smalltalk.agent.weight</v>
      </c>
      <c r="H1816" s="49" t="str">
        <f t="shared" ca="1" si="1814"/>
        <v>smalltalk.agent.weight</v>
      </c>
      <c r="I1816" s="49" t="str">
        <f t="shared" ca="1" si="1814"/>
        <v>smalltalk.agent.weight</v>
      </c>
      <c r="J1816" s="49" t="str">
        <f t="shared" ca="1" si="1814"/>
        <v>smalltalk.agent.weight</v>
      </c>
    </row>
    <row r="1817" spans="1:10" ht="12.75" x14ac:dyDescent="0.2">
      <c r="A1817" s="40"/>
      <c r="B1817" s="41" t="s">
        <v>398</v>
      </c>
      <c r="C1817" s="40"/>
      <c r="D1817" s="40"/>
      <c r="E1817" s="40"/>
      <c r="F1817" s="49" t="str">
        <f t="shared" ref="F1817:J1817" ca="1" si="1815">IFERROR(__xludf.DUMMYFUNCTION("if (A1817 &lt;&gt; """", GOOGLETRANSLATE(A1817, ""auto"", ""en""), """")"),"")</f>
        <v/>
      </c>
      <c r="G1817" s="49" t="str">
        <f t="shared" ca="1" si="1815"/>
        <v/>
      </c>
      <c r="H1817" s="49" t="str">
        <f t="shared" ca="1" si="1815"/>
        <v/>
      </c>
      <c r="I1817" s="49" t="str">
        <f t="shared" ca="1" si="1815"/>
        <v/>
      </c>
      <c r="J1817" s="49" t="str">
        <f t="shared" ca="1" si="1815"/>
        <v/>
      </c>
    </row>
    <row r="1818" spans="1:10" ht="12.75" x14ac:dyDescent="0.2">
      <c r="A1818" s="40"/>
      <c r="B1818" s="41" t="s">
        <v>399</v>
      </c>
      <c r="C1818" s="40"/>
      <c r="D1818" s="40"/>
      <c r="E1818" s="40"/>
      <c r="F1818" s="49" t="str">
        <f t="shared" ref="F1818:J1818" ca="1" si="1816">IFERROR(__xludf.DUMMYFUNCTION("if (A1818 &lt;&gt; """", GOOGLETRANSLATE(A1818, ""auto"", ""en""), """")"),"")</f>
        <v/>
      </c>
      <c r="G1818" s="49" t="str">
        <f t="shared" ca="1" si="1816"/>
        <v/>
      </c>
      <c r="H1818" s="49" t="str">
        <f t="shared" ca="1" si="1816"/>
        <v/>
      </c>
      <c r="I1818" s="49" t="str">
        <f t="shared" ca="1" si="1816"/>
        <v/>
      </c>
      <c r="J1818" s="49" t="str">
        <f t="shared" ca="1" si="1816"/>
        <v/>
      </c>
    </row>
    <row r="1819" spans="1:10" ht="12.75" x14ac:dyDescent="0.2">
      <c r="A1819" s="40"/>
      <c r="B1819" s="41" t="s">
        <v>400</v>
      </c>
      <c r="C1819" s="41" t="s">
        <v>1350</v>
      </c>
      <c r="D1819" s="40"/>
      <c r="E1819" s="40"/>
      <c r="F1819" s="49" t="str">
        <f t="shared" ref="F1819:J1819" ca="1" si="1817">IFERROR(__xludf.DUMMYFUNCTION("if (A1819 &lt;&gt; """", GOOGLETRANSLATE(A1819, ""auto"", ""en""), """")"),"")</f>
        <v/>
      </c>
      <c r="G1819" s="49" t="str">
        <f t="shared" ca="1" si="1817"/>
        <v/>
      </c>
      <c r="H1819" s="49" t="str">
        <f t="shared" ca="1" si="1817"/>
        <v/>
      </c>
      <c r="I1819" s="49" t="str">
        <f t="shared" ca="1" si="1817"/>
        <v/>
      </c>
      <c r="J1819" s="49" t="str">
        <f t="shared" ca="1" si="1817"/>
        <v/>
      </c>
    </row>
    <row r="1820" spans="1:10" ht="12.75" x14ac:dyDescent="0.2">
      <c r="A1820" s="40"/>
      <c r="B1820" s="41" t="s">
        <v>401</v>
      </c>
      <c r="C1820" s="40"/>
      <c r="D1820" s="40"/>
      <c r="E1820" s="40"/>
      <c r="F1820" s="49" t="str">
        <f t="shared" ref="F1820:J1820" ca="1" si="1818">IFERROR(__xludf.DUMMYFUNCTION("if (A1820 &lt;&gt; """", GOOGLETRANSLATE(A1820, ""auto"", ""en""), """")"),"")</f>
        <v/>
      </c>
      <c r="G1820" s="49" t="str">
        <f t="shared" ca="1" si="1818"/>
        <v/>
      </c>
      <c r="H1820" s="49" t="str">
        <f t="shared" ca="1" si="1818"/>
        <v/>
      </c>
      <c r="I1820" s="49" t="str">
        <f t="shared" ca="1" si="1818"/>
        <v/>
      </c>
      <c r="J1820" s="49" t="str">
        <f t="shared" ca="1" si="1818"/>
        <v/>
      </c>
    </row>
    <row r="1821" spans="1:10" ht="25.5" x14ac:dyDescent="0.2">
      <c r="A1821" s="41" t="s">
        <v>1351</v>
      </c>
      <c r="B1821" s="41" t="s">
        <v>402</v>
      </c>
      <c r="C1821" s="41" t="s">
        <v>1352</v>
      </c>
      <c r="D1821" s="40"/>
      <c r="E1821" s="40"/>
      <c r="F1821" s="49" t="str">
        <f t="shared" ref="F1821:J1821" ca="1" si="1819">IFERROR(__xludf.DUMMYFUNCTION("if (A1821 &lt;&gt; """", GOOGLETRANSLATE(A1821, ""auto"", ""en""), """")"),"How much weight")</f>
        <v>How much weight</v>
      </c>
      <c r="G1821" s="49" t="str">
        <f t="shared" ca="1" si="1819"/>
        <v>How much weight</v>
      </c>
      <c r="H1821" s="49" t="str">
        <f t="shared" ca="1" si="1819"/>
        <v>How much weight</v>
      </c>
      <c r="I1821" s="49" t="str">
        <f t="shared" ca="1" si="1819"/>
        <v>How much weight</v>
      </c>
      <c r="J1821" s="49" t="str">
        <f t="shared" ca="1" si="1819"/>
        <v>How much weight</v>
      </c>
    </row>
    <row r="1822" spans="1:10" ht="25.5" x14ac:dyDescent="0.2">
      <c r="A1822" s="41" t="s">
        <v>1353</v>
      </c>
      <c r="B1822" s="40"/>
      <c r="C1822" s="40"/>
      <c r="D1822" s="40"/>
      <c r="E1822" s="40"/>
      <c r="F1822" s="49" t="str">
        <f t="shared" ref="F1822:J1822" ca="1" si="1820">IFERROR(__xludf.DUMMYFUNCTION("if (A1822 &lt;&gt; """", GOOGLETRANSLATE(A1822, ""auto"", ""en""), """")"),"How much weight")</f>
        <v>How much weight</v>
      </c>
      <c r="G1822" s="49" t="str">
        <f t="shared" ca="1" si="1820"/>
        <v>How much weight</v>
      </c>
      <c r="H1822" s="49" t="str">
        <f t="shared" ca="1" si="1820"/>
        <v>How much weight</v>
      </c>
      <c r="I1822" s="49" t="str">
        <f t="shared" ca="1" si="1820"/>
        <v>How much weight</v>
      </c>
      <c r="J1822" s="49" t="str">
        <f t="shared" ca="1" si="1820"/>
        <v>How much weight</v>
      </c>
    </row>
    <row r="1823" spans="1:10" ht="12.75" x14ac:dyDescent="0.2">
      <c r="A1823" s="41" t="s">
        <v>1354</v>
      </c>
      <c r="B1823" s="40"/>
      <c r="C1823" s="40"/>
      <c r="D1823" s="40"/>
      <c r="E1823" s="40"/>
      <c r="F1823" s="49" t="str">
        <f t="shared" ref="F1823:J1823" ca="1" si="1821">IFERROR(__xludf.DUMMYFUNCTION("if (A1823 &lt;&gt; """", GOOGLETRANSLATE(A1823, ""auto"", ""en""), """")"),"body weight")</f>
        <v>body weight</v>
      </c>
      <c r="G1823" s="49" t="str">
        <f t="shared" ca="1" si="1821"/>
        <v>body weight</v>
      </c>
      <c r="H1823" s="49" t="str">
        <f t="shared" ca="1" si="1821"/>
        <v>body weight</v>
      </c>
      <c r="I1823" s="49" t="str">
        <f t="shared" ca="1" si="1821"/>
        <v>body weight</v>
      </c>
      <c r="J1823" s="49" t="str">
        <f t="shared" ca="1" si="1821"/>
        <v>body weight</v>
      </c>
    </row>
    <row r="1824" spans="1:10" ht="12.75" x14ac:dyDescent="0.2">
      <c r="A1824" s="41" t="s">
        <v>1355</v>
      </c>
      <c r="B1824" s="40"/>
      <c r="C1824" s="40"/>
      <c r="D1824" s="40"/>
      <c r="E1824" s="40"/>
      <c r="F1824" s="49" t="str">
        <f t="shared" ref="F1824:J1824" ca="1" si="1822">IFERROR(__xludf.DUMMYFUNCTION("if (A1824 &lt;&gt; """", GOOGLETRANSLATE(A1824, ""auto"", ""en""), """")"),"Your weight")</f>
        <v>Your weight</v>
      </c>
      <c r="G1824" s="49" t="str">
        <f t="shared" ca="1" si="1822"/>
        <v>Your weight</v>
      </c>
      <c r="H1824" s="49" t="str">
        <f t="shared" ca="1" si="1822"/>
        <v>Your weight</v>
      </c>
      <c r="I1824" s="49" t="str">
        <f t="shared" ca="1" si="1822"/>
        <v>Your weight</v>
      </c>
      <c r="J1824" s="49" t="str">
        <f t="shared" ca="1" si="1822"/>
        <v>Your weight</v>
      </c>
    </row>
    <row r="1825" spans="1:10" ht="25.5" x14ac:dyDescent="0.2">
      <c r="A1825" s="41" t="s">
        <v>1356</v>
      </c>
      <c r="B1825" s="40"/>
      <c r="C1825" s="40"/>
      <c r="D1825" s="40"/>
      <c r="E1825" s="40"/>
      <c r="F1825" s="49" t="str">
        <f t="shared" ref="F1825:J1825" ca="1" si="1823">IFERROR(__xludf.DUMMYFUNCTION("if (A1825 &lt;&gt; """", GOOGLETRANSLATE(A1825, ""auto"", ""en""), """")"),"How much is heavy or")</f>
        <v>How much is heavy or</v>
      </c>
      <c r="G1825" s="49" t="str">
        <f t="shared" ca="1" si="1823"/>
        <v>How much is heavy or</v>
      </c>
      <c r="H1825" s="49" t="str">
        <f t="shared" ca="1" si="1823"/>
        <v>How much is heavy or</v>
      </c>
      <c r="I1825" s="49" t="str">
        <f t="shared" ca="1" si="1823"/>
        <v>How much is heavy or</v>
      </c>
      <c r="J1825" s="49" t="str">
        <f t="shared" ca="1" si="1823"/>
        <v>How much is heavy or</v>
      </c>
    </row>
    <row r="1826" spans="1:10" ht="38.25" x14ac:dyDescent="0.2">
      <c r="A1826" s="41" t="s">
        <v>1357</v>
      </c>
      <c r="B1826" s="40"/>
      <c r="C1826" s="40"/>
      <c r="D1826" s="40"/>
      <c r="E1826" s="40"/>
      <c r="F1826" s="49" t="str">
        <f t="shared" ref="F1826:J1826" ca="1" si="1824">IFERROR(__xludf.DUMMYFUNCTION("if (A1826 &lt;&gt; """", GOOGLETRANSLATE(A1826, ""auto"", ""en""), """")"),"Or body weight is heavier")</f>
        <v>Or body weight is heavier</v>
      </c>
      <c r="G1826" s="49" t="str">
        <f t="shared" ca="1" si="1824"/>
        <v>Or body weight is heavier</v>
      </c>
      <c r="H1826" s="49" t="str">
        <f t="shared" ca="1" si="1824"/>
        <v>Or body weight is heavier</v>
      </c>
      <c r="I1826" s="49" t="str">
        <f t="shared" ca="1" si="1824"/>
        <v>Or body weight is heavier</v>
      </c>
      <c r="J1826" s="49" t="str">
        <f t="shared" ca="1" si="1824"/>
        <v>Or body weight is heavier</v>
      </c>
    </row>
    <row r="1827" spans="1:10" ht="38.25" x14ac:dyDescent="0.2">
      <c r="A1827" s="41" t="s">
        <v>1358</v>
      </c>
      <c r="B1827" s="40"/>
      <c r="C1827" s="40"/>
      <c r="D1827" s="40"/>
      <c r="E1827" s="40"/>
      <c r="F1827" s="49" t="str">
        <f t="shared" ref="F1827:J1827" ca="1" si="1825">IFERROR(__xludf.DUMMYFUNCTION("if (A1827 &lt;&gt; """", GOOGLETRANSLATE(A1827, ""auto"", ""en""), """")"),"Please tell me the body weight")</f>
        <v>Please tell me the body weight</v>
      </c>
      <c r="G1827" s="49" t="str">
        <f t="shared" ca="1" si="1825"/>
        <v>Please tell me the body weight</v>
      </c>
      <c r="H1827" s="49" t="str">
        <f t="shared" ca="1" si="1825"/>
        <v>Please tell me the body weight</v>
      </c>
      <c r="I1827" s="49" t="str">
        <f t="shared" ca="1" si="1825"/>
        <v>Please tell me the body weight</v>
      </c>
      <c r="J1827" s="49" t="str">
        <f t="shared" ca="1" si="1825"/>
        <v>Please tell me the body weight</v>
      </c>
    </row>
    <row r="1828" spans="1:10" ht="12.75" x14ac:dyDescent="0.2">
      <c r="A1828" s="40"/>
      <c r="B1828" s="40"/>
      <c r="C1828" s="40"/>
      <c r="D1828" s="40"/>
      <c r="E1828" s="40"/>
      <c r="F1828" s="49" t="str">
        <f t="shared" ref="F1828:J1828" ca="1" si="1826">IFERROR(__xludf.DUMMYFUNCTION("if (A1828 &lt;&gt; """", GOOGLETRANSLATE(A1828, ""auto"", ""en""), """")"),"")</f>
        <v/>
      </c>
      <c r="G1828" s="49" t="str">
        <f t="shared" ca="1" si="1826"/>
        <v/>
      </c>
      <c r="H1828" s="49" t="str">
        <f t="shared" ca="1" si="1826"/>
        <v/>
      </c>
      <c r="I1828" s="49" t="str">
        <f t="shared" ca="1" si="1826"/>
        <v/>
      </c>
      <c r="J1828" s="49" t="str">
        <f t="shared" ca="1" si="1826"/>
        <v/>
      </c>
    </row>
    <row r="1829" spans="1:10" ht="25.5" x14ac:dyDescent="0.2">
      <c r="A1829" s="41" t="s">
        <v>1359</v>
      </c>
      <c r="B1829" s="40"/>
      <c r="C1829" s="40"/>
      <c r="D1829" s="40"/>
      <c r="E1829" s="40"/>
      <c r="F1829" s="49" t="str">
        <f t="shared" ref="F1829:J1829" ca="1" si="1827">IFERROR(__xludf.DUMMYFUNCTION("if (A1829 &lt;&gt; """", GOOGLETRANSLATE(A1829, ""auto"", ""en""), """")"),"smalltalk.appraisal.bad")</f>
        <v>smalltalk.appraisal.bad</v>
      </c>
      <c r="G1829" s="49" t="str">
        <f t="shared" ca="1" si="1827"/>
        <v>smalltalk.appraisal.bad</v>
      </c>
      <c r="H1829" s="49" t="str">
        <f t="shared" ca="1" si="1827"/>
        <v>smalltalk.appraisal.bad</v>
      </c>
      <c r="I1829" s="49" t="str">
        <f t="shared" ca="1" si="1827"/>
        <v>smalltalk.appraisal.bad</v>
      </c>
      <c r="J1829" s="49" t="str">
        <f t="shared" ca="1" si="1827"/>
        <v>smalltalk.appraisal.bad</v>
      </c>
    </row>
    <row r="1830" spans="1:10" ht="12.75" x14ac:dyDescent="0.2">
      <c r="A1830" s="40"/>
      <c r="B1830" s="41" t="s">
        <v>398</v>
      </c>
      <c r="C1830" s="40"/>
      <c r="D1830" s="40"/>
      <c r="E1830" s="40"/>
      <c r="F1830" s="49" t="str">
        <f t="shared" ref="F1830:J1830" ca="1" si="1828">IFERROR(__xludf.DUMMYFUNCTION("if (A1830 &lt;&gt; """", GOOGLETRANSLATE(A1830, ""auto"", ""en""), """")"),"")</f>
        <v/>
      </c>
      <c r="G1830" s="49" t="str">
        <f t="shared" ca="1" si="1828"/>
        <v/>
      </c>
      <c r="H1830" s="49" t="str">
        <f t="shared" ca="1" si="1828"/>
        <v/>
      </c>
      <c r="I1830" s="49" t="str">
        <f t="shared" ca="1" si="1828"/>
        <v/>
      </c>
      <c r="J1830" s="49" t="str">
        <f t="shared" ca="1" si="1828"/>
        <v/>
      </c>
    </row>
    <row r="1831" spans="1:10" ht="12.75" x14ac:dyDescent="0.2">
      <c r="A1831" s="40"/>
      <c r="B1831" s="41" t="s">
        <v>399</v>
      </c>
      <c r="C1831" s="40"/>
      <c r="D1831" s="40"/>
      <c r="E1831" s="40"/>
      <c r="F1831" s="49" t="str">
        <f t="shared" ref="F1831:J1831" ca="1" si="1829">IFERROR(__xludf.DUMMYFUNCTION("if (A1831 &lt;&gt; """", GOOGLETRANSLATE(A1831, ""auto"", ""en""), """")"),"")</f>
        <v/>
      </c>
      <c r="G1831" s="49" t="str">
        <f t="shared" ca="1" si="1829"/>
        <v/>
      </c>
      <c r="H1831" s="49" t="str">
        <f t="shared" ca="1" si="1829"/>
        <v/>
      </c>
      <c r="I1831" s="49" t="str">
        <f t="shared" ca="1" si="1829"/>
        <v/>
      </c>
      <c r="J1831" s="49" t="str">
        <f t="shared" ca="1" si="1829"/>
        <v/>
      </c>
    </row>
    <row r="1832" spans="1:10" ht="12.75" x14ac:dyDescent="0.2">
      <c r="A1832" s="40"/>
      <c r="B1832" s="41" t="s">
        <v>400</v>
      </c>
      <c r="C1832" s="41" t="s">
        <v>1359</v>
      </c>
      <c r="D1832" s="40"/>
      <c r="E1832" s="40"/>
      <c r="F1832" s="49" t="str">
        <f t="shared" ref="F1832:J1832" ca="1" si="1830">IFERROR(__xludf.DUMMYFUNCTION("if (A1832 &lt;&gt; """", GOOGLETRANSLATE(A1832, ""auto"", ""en""), """")"),"")</f>
        <v/>
      </c>
      <c r="G1832" s="49" t="str">
        <f t="shared" ca="1" si="1830"/>
        <v/>
      </c>
      <c r="H1832" s="49" t="str">
        <f t="shared" ca="1" si="1830"/>
        <v/>
      </c>
      <c r="I1832" s="49" t="str">
        <f t="shared" ca="1" si="1830"/>
        <v/>
      </c>
      <c r="J1832" s="49" t="str">
        <f t="shared" ca="1" si="1830"/>
        <v/>
      </c>
    </row>
    <row r="1833" spans="1:10" ht="12.75" x14ac:dyDescent="0.2">
      <c r="A1833" s="40"/>
      <c r="B1833" s="41" t="s">
        <v>401</v>
      </c>
      <c r="C1833" s="40"/>
      <c r="D1833" s="40"/>
      <c r="E1833" s="40"/>
      <c r="F1833" s="49" t="str">
        <f t="shared" ref="F1833:J1833" ca="1" si="1831">IFERROR(__xludf.DUMMYFUNCTION("if (A1833 &lt;&gt; """", GOOGLETRANSLATE(A1833, ""auto"", ""en""), """")"),"")</f>
        <v/>
      </c>
      <c r="G1833" s="49" t="str">
        <f t="shared" ca="1" si="1831"/>
        <v/>
      </c>
      <c r="H1833" s="49" t="str">
        <f t="shared" ca="1" si="1831"/>
        <v/>
      </c>
      <c r="I1833" s="49" t="str">
        <f t="shared" ca="1" si="1831"/>
        <v/>
      </c>
      <c r="J1833" s="49" t="str">
        <f t="shared" ca="1" si="1831"/>
        <v/>
      </c>
    </row>
    <row r="1834" spans="1:10" ht="25.5" x14ac:dyDescent="0.2">
      <c r="A1834" s="41" t="s">
        <v>1360</v>
      </c>
      <c r="B1834" s="41" t="s">
        <v>402</v>
      </c>
      <c r="C1834" s="41" t="s">
        <v>1361</v>
      </c>
      <c r="D1834" s="40"/>
      <c r="E1834" s="40"/>
      <c r="F1834" s="49" t="str">
        <f t="shared" ref="F1834:J1834" ca="1" si="1832">IFERROR(__xludf.DUMMYFUNCTION("if (A1834 &lt;&gt; """", GOOGLETRANSLATE(A1834, ""auto"", ""en""), """")"),"Quite poor")</f>
        <v>Quite poor</v>
      </c>
      <c r="G1834" s="49" t="str">
        <f t="shared" ca="1" si="1832"/>
        <v>Quite poor</v>
      </c>
      <c r="H1834" s="49" t="str">
        <f t="shared" ca="1" si="1832"/>
        <v>Quite poor</v>
      </c>
      <c r="I1834" s="49" t="str">
        <f t="shared" ca="1" si="1832"/>
        <v>Quite poor</v>
      </c>
      <c r="J1834" s="49" t="str">
        <f t="shared" ca="1" si="1832"/>
        <v>Quite poor</v>
      </c>
    </row>
    <row r="1835" spans="1:10" ht="25.5" x14ac:dyDescent="0.2">
      <c r="A1835" s="41" t="s">
        <v>1362</v>
      </c>
      <c r="B1835" s="40"/>
      <c r="C1835" s="40"/>
      <c r="D1835" s="40"/>
      <c r="E1835" s="40"/>
      <c r="F1835" s="49" t="str">
        <f t="shared" ref="F1835:J1835" ca="1" si="1833">IFERROR(__xludf.DUMMYFUNCTION("if (A1835 &lt;&gt; """", GOOGLETRANSLATE(A1835, ""auto"", ""en""), """")"),"'S not enough yet")</f>
        <v>'S not enough yet</v>
      </c>
      <c r="G1835" s="49" t="str">
        <f t="shared" ca="1" si="1833"/>
        <v>'S not enough yet</v>
      </c>
      <c r="H1835" s="49" t="str">
        <f t="shared" ca="1" si="1833"/>
        <v>'S not enough yet</v>
      </c>
      <c r="I1835" s="49" t="str">
        <f t="shared" ca="1" si="1833"/>
        <v>'S not enough yet</v>
      </c>
      <c r="J1835" s="49" t="str">
        <f t="shared" ca="1" si="1833"/>
        <v>'S not enough yet</v>
      </c>
    </row>
    <row r="1836" spans="1:10" ht="25.5" x14ac:dyDescent="0.2">
      <c r="A1836" s="41" t="s">
        <v>1363</v>
      </c>
      <c r="B1836" s="40"/>
      <c r="C1836" s="40"/>
      <c r="D1836" s="40"/>
      <c r="E1836" s="40"/>
      <c r="F1836" s="49" t="str">
        <f t="shared" ref="F1836:J1836" ca="1" si="1834">IFERROR(__xludf.DUMMYFUNCTION("if (A1836 &lt;&gt; """", GOOGLETRANSLATE(A1836, ""auto"", ""en""), """")"),"It was badly cooked")</f>
        <v>It was badly cooked</v>
      </c>
      <c r="G1836" s="49" t="str">
        <f t="shared" ca="1" si="1834"/>
        <v>It was badly cooked</v>
      </c>
      <c r="H1836" s="49" t="str">
        <f t="shared" ca="1" si="1834"/>
        <v>It was badly cooked</v>
      </c>
      <c r="I1836" s="49" t="str">
        <f t="shared" ca="1" si="1834"/>
        <v>It was badly cooked</v>
      </c>
      <c r="J1836" s="49" t="str">
        <f t="shared" ca="1" si="1834"/>
        <v>It was badly cooked</v>
      </c>
    </row>
    <row r="1837" spans="1:10" ht="12.75" x14ac:dyDescent="0.2">
      <c r="A1837" s="41" t="s">
        <v>1364</v>
      </c>
      <c r="B1837" s="40"/>
      <c r="C1837" s="40"/>
      <c r="D1837" s="40"/>
      <c r="E1837" s="40"/>
      <c r="F1837" s="49" t="str">
        <f t="shared" ref="F1837:J1837" ca="1" si="1835">IFERROR(__xludf.DUMMYFUNCTION("if (A1837 &lt;&gt; """", GOOGLETRANSLATE(A1837, ""auto"", ""en""), """")"),"It was terrible")</f>
        <v>It was terrible</v>
      </c>
      <c r="G1837" s="49" t="str">
        <f t="shared" ca="1" si="1835"/>
        <v>It was terrible</v>
      </c>
      <c r="H1837" s="49" t="str">
        <f t="shared" ca="1" si="1835"/>
        <v>It was terrible</v>
      </c>
      <c r="I1837" s="49" t="str">
        <f t="shared" ca="1" si="1835"/>
        <v>It was terrible</v>
      </c>
      <c r="J1837" s="49" t="str">
        <f t="shared" ca="1" si="1835"/>
        <v>It was terrible</v>
      </c>
    </row>
    <row r="1838" spans="1:10" ht="12.75" x14ac:dyDescent="0.2">
      <c r="A1838" s="41" t="s">
        <v>1365</v>
      </c>
      <c r="B1838" s="40"/>
      <c r="C1838" s="40"/>
      <c r="D1838" s="40"/>
      <c r="E1838" s="40"/>
      <c r="F1838" s="49" t="str">
        <f t="shared" ref="F1838:J1838" ca="1" si="1836">IFERROR(__xludf.DUMMYFUNCTION("if (A1838 &lt;&gt; """", GOOGLETRANSLATE(A1838, ""auto"", ""en""), """")"),"bad")</f>
        <v>bad</v>
      </c>
      <c r="G1838" s="49" t="str">
        <f t="shared" ca="1" si="1836"/>
        <v>bad</v>
      </c>
      <c r="H1838" s="49" t="str">
        <f t="shared" ca="1" si="1836"/>
        <v>bad</v>
      </c>
      <c r="I1838" s="49" t="str">
        <f t="shared" ca="1" si="1836"/>
        <v>bad</v>
      </c>
      <c r="J1838" s="49" t="str">
        <f t="shared" ca="1" si="1836"/>
        <v>bad</v>
      </c>
    </row>
    <row r="1839" spans="1:10" ht="12.75" x14ac:dyDescent="0.2">
      <c r="A1839" s="41" t="s">
        <v>1366</v>
      </c>
      <c r="B1839" s="40"/>
      <c r="C1839" s="40"/>
      <c r="D1839" s="40"/>
      <c r="E1839" s="40"/>
      <c r="F1839" s="49" t="str">
        <f t="shared" ref="F1839:J1839" ca="1" si="1837">IFERROR(__xludf.DUMMYFUNCTION("if (A1839 &lt;&gt; """", GOOGLETRANSLATE(A1839, ""auto"", ""en""), """")"),"It is bad")</f>
        <v>It is bad</v>
      </c>
      <c r="G1839" s="49" t="str">
        <f t="shared" ca="1" si="1837"/>
        <v>It is bad</v>
      </c>
      <c r="H1839" s="49" t="str">
        <f t="shared" ca="1" si="1837"/>
        <v>It is bad</v>
      </c>
      <c r="I1839" s="49" t="str">
        <f t="shared" ca="1" si="1837"/>
        <v>It is bad</v>
      </c>
      <c r="J1839" s="49" t="str">
        <f t="shared" ca="1" si="1837"/>
        <v>It is bad</v>
      </c>
    </row>
    <row r="1840" spans="1:10" ht="12.75" x14ac:dyDescent="0.2">
      <c r="A1840" s="41" t="s">
        <v>1367</v>
      </c>
      <c r="B1840" s="40"/>
      <c r="C1840" s="40"/>
      <c r="D1840" s="40"/>
      <c r="E1840" s="40"/>
      <c r="F1840" s="49" t="str">
        <f t="shared" ref="F1840:J1840" ca="1" si="1838">IFERROR(__xludf.DUMMYFUNCTION("if (A1840 &lt;&gt; """", GOOGLETRANSLATE(A1840, ""auto"", ""en""), """")"),"This is bad")</f>
        <v>This is bad</v>
      </c>
      <c r="G1840" s="49" t="str">
        <f t="shared" ca="1" si="1838"/>
        <v>This is bad</v>
      </c>
      <c r="H1840" s="49" t="str">
        <f t="shared" ca="1" si="1838"/>
        <v>This is bad</v>
      </c>
      <c r="I1840" s="49" t="str">
        <f t="shared" ca="1" si="1838"/>
        <v>This is bad</v>
      </c>
      <c r="J1840" s="49" t="str">
        <f t="shared" ca="1" si="1838"/>
        <v>This is bad</v>
      </c>
    </row>
    <row r="1841" spans="1:10" ht="12.75" x14ac:dyDescent="0.2">
      <c r="A1841" s="41" t="s">
        <v>1368</v>
      </c>
      <c r="B1841" s="40"/>
      <c r="C1841" s="40"/>
      <c r="D1841" s="40"/>
      <c r="E1841" s="40"/>
      <c r="F1841" s="49" t="str">
        <f t="shared" ref="F1841:J1841" ca="1" si="1839">IFERROR(__xludf.DUMMYFUNCTION("if (A1841 &lt;&gt; """", GOOGLETRANSLATE(A1841, ""auto"", ""en""), """")"),"not good")</f>
        <v>not good</v>
      </c>
      <c r="G1841" s="49" t="str">
        <f t="shared" ca="1" si="1839"/>
        <v>not good</v>
      </c>
      <c r="H1841" s="49" t="str">
        <f t="shared" ca="1" si="1839"/>
        <v>not good</v>
      </c>
      <c r="I1841" s="49" t="str">
        <f t="shared" ca="1" si="1839"/>
        <v>not good</v>
      </c>
      <c r="J1841" s="49" t="str">
        <f t="shared" ca="1" si="1839"/>
        <v>not good</v>
      </c>
    </row>
    <row r="1842" spans="1:10" ht="25.5" x14ac:dyDescent="0.2">
      <c r="A1842" s="41" t="s">
        <v>1369</v>
      </c>
      <c r="B1842" s="40"/>
      <c r="C1842" s="40"/>
      <c r="D1842" s="40"/>
      <c r="E1842" s="40"/>
      <c r="F1842" s="49" t="str">
        <f t="shared" ref="F1842:J1842" ca="1" si="1840">IFERROR(__xludf.DUMMYFUNCTION("if (A1842 &lt;&gt; """", GOOGLETRANSLATE(A1842, ""auto"", ""en""), """")"),"I think that bad")</f>
        <v>I think that bad</v>
      </c>
      <c r="G1842" s="49" t="str">
        <f t="shared" ca="1" si="1840"/>
        <v>I think that bad</v>
      </c>
      <c r="H1842" s="49" t="str">
        <f t="shared" ca="1" si="1840"/>
        <v>I think that bad</v>
      </c>
      <c r="I1842" s="49" t="str">
        <f t="shared" ca="1" si="1840"/>
        <v>I think that bad</v>
      </c>
      <c r="J1842" s="49" t="str">
        <f t="shared" ca="1" si="1840"/>
        <v>I think that bad</v>
      </c>
    </row>
    <row r="1843" spans="1:10" ht="12.75" x14ac:dyDescent="0.2">
      <c r="A1843" s="41" t="s">
        <v>1370</v>
      </c>
      <c r="B1843" s="40"/>
      <c r="C1843" s="40"/>
      <c r="D1843" s="40"/>
      <c r="E1843" s="40"/>
      <c r="F1843" s="49" t="str">
        <f t="shared" ref="F1843:J1843" ca="1" si="1841">IFERROR(__xludf.DUMMYFUNCTION("if (A1843 &lt;&gt; """", GOOGLETRANSLATE(A1843, ""auto"", ""en""), """")"),"No, it's bad")</f>
        <v>No, it's bad</v>
      </c>
      <c r="G1843" s="49" t="str">
        <f t="shared" ca="1" si="1841"/>
        <v>No, it's bad</v>
      </c>
      <c r="H1843" s="49" t="str">
        <f t="shared" ca="1" si="1841"/>
        <v>No, it's bad</v>
      </c>
      <c r="I1843" s="49" t="str">
        <f t="shared" ca="1" si="1841"/>
        <v>No, it's bad</v>
      </c>
      <c r="J1843" s="49" t="str">
        <f t="shared" ca="1" si="1841"/>
        <v>No, it's bad</v>
      </c>
    </row>
    <row r="1844" spans="1:10" ht="12.75" x14ac:dyDescent="0.2">
      <c r="A1844" s="40"/>
      <c r="B1844" s="40"/>
      <c r="C1844" s="40"/>
      <c r="D1844" s="40"/>
      <c r="E1844" s="40"/>
      <c r="F1844" s="49" t="str">
        <f t="shared" ref="F1844:J1844" ca="1" si="1842">IFERROR(__xludf.DUMMYFUNCTION("if (A1844 &lt;&gt; """", GOOGLETRANSLATE(A1844, ""auto"", ""en""), """")"),"")</f>
        <v/>
      </c>
      <c r="G1844" s="49" t="str">
        <f t="shared" ca="1" si="1842"/>
        <v/>
      </c>
      <c r="H1844" s="49" t="str">
        <f t="shared" ca="1" si="1842"/>
        <v/>
      </c>
      <c r="I1844" s="49" t="str">
        <f t="shared" ca="1" si="1842"/>
        <v/>
      </c>
      <c r="J1844" s="49" t="str">
        <f t="shared" ca="1" si="1842"/>
        <v/>
      </c>
    </row>
    <row r="1845" spans="1:10" ht="25.5" x14ac:dyDescent="0.2">
      <c r="A1845" s="41" t="s">
        <v>1371</v>
      </c>
      <c r="B1845" s="40"/>
      <c r="C1845" s="40"/>
      <c r="D1845" s="40"/>
      <c r="E1845" s="40"/>
      <c r="F1845" s="49" t="str">
        <f t="shared" ref="F1845:J1845" ca="1" si="1843">IFERROR(__xludf.DUMMYFUNCTION("if (A1845 &lt;&gt; """", GOOGLETRANSLATE(A1845, ""auto"", ""en""), """")"),"smalltalk.appraisal.finally")</f>
        <v>smalltalk.appraisal.finally</v>
      </c>
      <c r="G1845" s="49" t="str">
        <f t="shared" ca="1" si="1843"/>
        <v>smalltalk.appraisal.finally</v>
      </c>
      <c r="H1845" s="49" t="str">
        <f t="shared" ca="1" si="1843"/>
        <v>smalltalk.appraisal.finally</v>
      </c>
      <c r="I1845" s="49" t="str">
        <f t="shared" ca="1" si="1843"/>
        <v>smalltalk.appraisal.finally</v>
      </c>
      <c r="J1845" s="49" t="str">
        <f t="shared" ca="1" si="1843"/>
        <v>smalltalk.appraisal.finally</v>
      </c>
    </row>
    <row r="1846" spans="1:10" ht="12.75" x14ac:dyDescent="0.2">
      <c r="A1846" s="40"/>
      <c r="B1846" s="41" t="s">
        <v>398</v>
      </c>
      <c r="C1846" s="40"/>
      <c r="D1846" s="40"/>
      <c r="E1846" s="40"/>
      <c r="F1846" s="49" t="str">
        <f t="shared" ref="F1846:J1846" ca="1" si="1844">IFERROR(__xludf.DUMMYFUNCTION("if (A1846 &lt;&gt; """", GOOGLETRANSLATE(A1846, ""auto"", ""en""), """")"),"")</f>
        <v/>
      </c>
      <c r="G1846" s="49" t="str">
        <f t="shared" ca="1" si="1844"/>
        <v/>
      </c>
      <c r="H1846" s="49" t="str">
        <f t="shared" ca="1" si="1844"/>
        <v/>
      </c>
      <c r="I1846" s="49" t="str">
        <f t="shared" ca="1" si="1844"/>
        <v/>
      </c>
      <c r="J1846" s="49" t="str">
        <f t="shared" ca="1" si="1844"/>
        <v/>
      </c>
    </row>
    <row r="1847" spans="1:10" ht="12.75" x14ac:dyDescent="0.2">
      <c r="A1847" s="40"/>
      <c r="B1847" s="41" t="s">
        <v>399</v>
      </c>
      <c r="C1847" s="40"/>
      <c r="D1847" s="40"/>
      <c r="E1847" s="40"/>
      <c r="F1847" s="49" t="str">
        <f t="shared" ref="F1847:J1847" ca="1" si="1845">IFERROR(__xludf.DUMMYFUNCTION("if (A1847 &lt;&gt; """", GOOGLETRANSLATE(A1847, ""auto"", ""en""), """")"),"")</f>
        <v/>
      </c>
      <c r="G1847" s="49" t="str">
        <f t="shared" ca="1" si="1845"/>
        <v/>
      </c>
      <c r="H1847" s="49" t="str">
        <f t="shared" ca="1" si="1845"/>
        <v/>
      </c>
      <c r="I1847" s="49" t="str">
        <f t="shared" ca="1" si="1845"/>
        <v/>
      </c>
      <c r="J1847" s="49" t="str">
        <f t="shared" ca="1" si="1845"/>
        <v/>
      </c>
    </row>
    <row r="1848" spans="1:10" ht="12.75" x14ac:dyDescent="0.2">
      <c r="A1848" s="40"/>
      <c r="B1848" s="41" t="s">
        <v>400</v>
      </c>
      <c r="C1848" s="41" t="s">
        <v>1371</v>
      </c>
      <c r="D1848" s="40"/>
      <c r="E1848" s="40"/>
      <c r="F1848" s="49" t="str">
        <f t="shared" ref="F1848:J1848" ca="1" si="1846">IFERROR(__xludf.DUMMYFUNCTION("if (A1848 &lt;&gt; """", GOOGLETRANSLATE(A1848, ""auto"", ""en""), """")"),"")</f>
        <v/>
      </c>
      <c r="G1848" s="49" t="str">
        <f t="shared" ca="1" si="1846"/>
        <v/>
      </c>
      <c r="H1848" s="49" t="str">
        <f t="shared" ca="1" si="1846"/>
        <v/>
      </c>
      <c r="I1848" s="49" t="str">
        <f t="shared" ca="1" si="1846"/>
        <v/>
      </c>
      <c r="J1848" s="49" t="str">
        <f t="shared" ca="1" si="1846"/>
        <v/>
      </c>
    </row>
    <row r="1849" spans="1:10" ht="12.75" x14ac:dyDescent="0.2">
      <c r="A1849" s="40"/>
      <c r="B1849" s="41" t="s">
        <v>401</v>
      </c>
      <c r="C1849" s="40"/>
      <c r="D1849" s="40"/>
      <c r="E1849" s="40"/>
      <c r="F1849" s="49" t="str">
        <f t="shared" ref="F1849:J1849" ca="1" si="1847">IFERROR(__xludf.DUMMYFUNCTION("if (A1849 &lt;&gt; """", GOOGLETRANSLATE(A1849, ""auto"", ""en""), """")"),"")</f>
        <v/>
      </c>
      <c r="G1849" s="49" t="str">
        <f t="shared" ca="1" si="1847"/>
        <v/>
      </c>
      <c r="H1849" s="49" t="str">
        <f t="shared" ca="1" si="1847"/>
        <v/>
      </c>
      <c r="I1849" s="49" t="str">
        <f t="shared" ca="1" si="1847"/>
        <v/>
      </c>
      <c r="J1849" s="49" t="str">
        <f t="shared" ca="1" si="1847"/>
        <v/>
      </c>
    </row>
    <row r="1850" spans="1:10" ht="25.5" x14ac:dyDescent="0.2">
      <c r="A1850" s="41" t="s">
        <v>1372</v>
      </c>
      <c r="B1850" s="41" t="s">
        <v>402</v>
      </c>
      <c r="C1850" s="41" t="s">
        <v>1373</v>
      </c>
      <c r="D1850" s="40"/>
      <c r="E1850" s="40"/>
      <c r="F1850" s="49" t="str">
        <f t="shared" ref="F1850:J1850" ca="1" si="1848">IFERROR(__xludf.DUMMYFUNCTION("if (A1850 &lt;&gt; """", GOOGLETRANSLATE(A1850, ""auto"", ""en""), """")"),"Oh finally")</f>
        <v>Oh finally</v>
      </c>
      <c r="G1850" s="49" t="str">
        <f t="shared" ca="1" si="1848"/>
        <v>Oh finally</v>
      </c>
      <c r="H1850" s="49" t="str">
        <f t="shared" ca="1" si="1848"/>
        <v>Oh finally</v>
      </c>
      <c r="I1850" s="49" t="str">
        <f t="shared" ca="1" si="1848"/>
        <v>Oh finally</v>
      </c>
      <c r="J1850" s="49" t="str">
        <f t="shared" ca="1" si="1848"/>
        <v>Oh finally</v>
      </c>
    </row>
    <row r="1851" spans="1:10" ht="38.25" x14ac:dyDescent="0.2">
      <c r="A1851" s="41" t="s">
        <v>1374</v>
      </c>
      <c r="B1851" s="40"/>
      <c r="C1851" s="40"/>
      <c r="D1851" s="40"/>
      <c r="E1851" s="40"/>
      <c r="F1851" s="49" t="str">
        <f t="shared" ref="F1851:J1851" ca="1" si="1849">IFERROR(__xludf.DUMMYFUNCTION("if (A1851 &lt;&gt; """", GOOGLETRANSLATE(A1851, ""auto"", ""en""), """")"),"Finally the answer was I get")</f>
        <v>Finally the answer was I get</v>
      </c>
      <c r="G1851" s="49" t="str">
        <f t="shared" ca="1" si="1849"/>
        <v>Finally the answer was I get</v>
      </c>
      <c r="H1851" s="49" t="str">
        <f t="shared" ca="1" si="1849"/>
        <v>Finally the answer was I get</v>
      </c>
      <c r="I1851" s="49" t="str">
        <f t="shared" ca="1" si="1849"/>
        <v>Finally the answer was I get</v>
      </c>
      <c r="J1851" s="49" t="str">
        <f t="shared" ca="1" si="1849"/>
        <v>Finally the answer was I get</v>
      </c>
    </row>
    <row r="1852" spans="1:10" ht="25.5" x14ac:dyDescent="0.2">
      <c r="A1852" s="41" t="s">
        <v>1375</v>
      </c>
      <c r="B1852" s="40"/>
      <c r="C1852" s="40"/>
      <c r="D1852" s="40"/>
      <c r="E1852" s="40"/>
      <c r="F1852" s="49" t="str">
        <f t="shared" ref="F1852:J1852" ca="1" si="1850">IFERROR(__xludf.DUMMYFUNCTION("if (A1852 &lt;&gt; """", GOOGLETRANSLATE(A1852, ""auto"", ""en""), """")"),"There was finally reply")</f>
        <v>There was finally reply</v>
      </c>
      <c r="G1852" s="49" t="str">
        <f t="shared" ca="1" si="1850"/>
        <v>There was finally reply</v>
      </c>
      <c r="H1852" s="49" t="str">
        <f t="shared" ca="1" si="1850"/>
        <v>There was finally reply</v>
      </c>
      <c r="I1852" s="49" t="str">
        <f t="shared" ca="1" si="1850"/>
        <v>There was finally reply</v>
      </c>
      <c r="J1852" s="49" t="str">
        <f t="shared" ca="1" si="1850"/>
        <v>There was finally reply</v>
      </c>
    </row>
    <row r="1853" spans="1:10" ht="38.25" x14ac:dyDescent="0.2">
      <c r="A1853" s="41" t="s">
        <v>1376</v>
      </c>
      <c r="B1853" s="40"/>
      <c r="C1853" s="40"/>
      <c r="D1853" s="40"/>
      <c r="E1853" s="40"/>
      <c r="F1853" s="49" t="str">
        <f t="shared" ref="F1853:J1853" ca="1" si="1851">IFERROR(__xludf.DUMMYFUNCTION("if (A1853 &lt;&gt; """", GOOGLETRANSLATE(A1853, ""auto"", ""en""), """")"),"Finally it was give me a reply")</f>
        <v>Finally it was give me a reply</v>
      </c>
      <c r="G1853" s="49" t="str">
        <f t="shared" ca="1" si="1851"/>
        <v>Finally it was give me a reply</v>
      </c>
      <c r="H1853" s="49" t="str">
        <f t="shared" ca="1" si="1851"/>
        <v>Finally it was give me a reply</v>
      </c>
      <c r="I1853" s="49" t="str">
        <f t="shared" ca="1" si="1851"/>
        <v>Finally it was give me a reply</v>
      </c>
      <c r="J1853" s="49" t="str">
        <f t="shared" ca="1" si="1851"/>
        <v>Finally it was give me a reply</v>
      </c>
    </row>
    <row r="1854" spans="1:10" ht="12.75" x14ac:dyDescent="0.2">
      <c r="A1854" s="40"/>
      <c r="B1854" s="40"/>
      <c r="C1854" s="40"/>
      <c r="D1854" s="40"/>
      <c r="E1854" s="40"/>
      <c r="F1854" s="49" t="str">
        <f t="shared" ref="F1854:J1854" ca="1" si="1852">IFERROR(__xludf.DUMMYFUNCTION("if (A1854 &lt;&gt; """", GOOGLETRANSLATE(A1854, ""auto"", ""en""), """")"),"")</f>
        <v/>
      </c>
      <c r="G1854" s="49" t="str">
        <f t="shared" ca="1" si="1852"/>
        <v/>
      </c>
      <c r="H1854" s="49" t="str">
        <f t="shared" ca="1" si="1852"/>
        <v/>
      </c>
      <c r="I1854" s="49" t="str">
        <f t="shared" ca="1" si="1852"/>
        <v/>
      </c>
      <c r="J1854" s="49" t="str">
        <f t="shared" ca="1" si="1852"/>
        <v/>
      </c>
    </row>
    <row r="1855" spans="1:10" ht="25.5" x14ac:dyDescent="0.2">
      <c r="A1855" s="41" t="s">
        <v>1377</v>
      </c>
      <c r="B1855" s="40"/>
      <c r="C1855" s="40"/>
      <c r="D1855" s="40"/>
      <c r="E1855" s="40"/>
      <c r="F1855" s="49" t="str">
        <f t="shared" ref="F1855:J1855" ca="1" si="1853">IFERROR(__xludf.DUMMYFUNCTION("if (A1855 &lt;&gt; """", GOOGLETRANSLATE(A1855, ""auto"", ""en""), """")"),"smalltalk.appraisal.good")</f>
        <v>smalltalk.appraisal.good</v>
      </c>
      <c r="G1855" s="49" t="str">
        <f t="shared" ca="1" si="1853"/>
        <v>smalltalk.appraisal.good</v>
      </c>
      <c r="H1855" s="49" t="str">
        <f t="shared" ca="1" si="1853"/>
        <v>smalltalk.appraisal.good</v>
      </c>
      <c r="I1855" s="49" t="str">
        <f t="shared" ca="1" si="1853"/>
        <v>smalltalk.appraisal.good</v>
      </c>
      <c r="J1855" s="49" t="str">
        <f t="shared" ca="1" si="1853"/>
        <v>smalltalk.appraisal.good</v>
      </c>
    </row>
    <row r="1856" spans="1:10" ht="12.75" x14ac:dyDescent="0.2">
      <c r="A1856" s="40"/>
      <c r="B1856" s="41" t="s">
        <v>398</v>
      </c>
      <c r="C1856" s="40"/>
      <c r="D1856" s="40"/>
      <c r="E1856" s="40"/>
      <c r="F1856" s="49" t="str">
        <f t="shared" ref="F1856:J1856" ca="1" si="1854">IFERROR(__xludf.DUMMYFUNCTION("if (A1856 &lt;&gt; """", GOOGLETRANSLATE(A1856, ""auto"", ""en""), """")"),"")</f>
        <v/>
      </c>
      <c r="G1856" s="49" t="str">
        <f t="shared" ca="1" si="1854"/>
        <v/>
      </c>
      <c r="H1856" s="49" t="str">
        <f t="shared" ca="1" si="1854"/>
        <v/>
      </c>
      <c r="I1856" s="49" t="str">
        <f t="shared" ca="1" si="1854"/>
        <v/>
      </c>
      <c r="J1856" s="49" t="str">
        <f t="shared" ca="1" si="1854"/>
        <v/>
      </c>
    </row>
    <row r="1857" spans="1:10" ht="12.75" x14ac:dyDescent="0.2">
      <c r="A1857" s="40"/>
      <c r="B1857" s="41" t="s">
        <v>399</v>
      </c>
      <c r="C1857" s="40"/>
      <c r="D1857" s="40"/>
      <c r="E1857" s="40"/>
      <c r="F1857" s="49" t="str">
        <f t="shared" ref="F1857:J1857" ca="1" si="1855">IFERROR(__xludf.DUMMYFUNCTION("if (A1857 &lt;&gt; """", GOOGLETRANSLATE(A1857, ""auto"", ""en""), """")"),"")</f>
        <v/>
      </c>
      <c r="G1857" s="49" t="str">
        <f t="shared" ca="1" si="1855"/>
        <v/>
      </c>
      <c r="H1857" s="49" t="str">
        <f t="shared" ca="1" si="1855"/>
        <v/>
      </c>
      <c r="I1857" s="49" t="str">
        <f t="shared" ca="1" si="1855"/>
        <v/>
      </c>
      <c r="J1857" s="49" t="str">
        <f t="shared" ca="1" si="1855"/>
        <v/>
      </c>
    </row>
    <row r="1858" spans="1:10" ht="12.75" x14ac:dyDescent="0.2">
      <c r="A1858" s="40"/>
      <c r="B1858" s="41" t="s">
        <v>400</v>
      </c>
      <c r="C1858" s="41" t="s">
        <v>1377</v>
      </c>
      <c r="D1858" s="40"/>
      <c r="E1858" s="40"/>
      <c r="F1858" s="49" t="str">
        <f t="shared" ref="F1858:J1858" ca="1" si="1856">IFERROR(__xludf.DUMMYFUNCTION("if (A1858 &lt;&gt; """", GOOGLETRANSLATE(A1858, ""auto"", ""en""), """")"),"")</f>
        <v/>
      </c>
      <c r="G1858" s="49" t="str">
        <f t="shared" ca="1" si="1856"/>
        <v/>
      </c>
      <c r="H1858" s="49" t="str">
        <f t="shared" ca="1" si="1856"/>
        <v/>
      </c>
      <c r="I1858" s="49" t="str">
        <f t="shared" ca="1" si="1856"/>
        <v/>
      </c>
      <c r="J1858" s="49" t="str">
        <f t="shared" ca="1" si="1856"/>
        <v/>
      </c>
    </row>
    <row r="1859" spans="1:10" ht="12.75" x14ac:dyDescent="0.2">
      <c r="A1859" s="40"/>
      <c r="B1859" s="41" t="s">
        <v>401</v>
      </c>
      <c r="C1859" s="40"/>
      <c r="D1859" s="40"/>
      <c r="E1859" s="40"/>
      <c r="F1859" s="49" t="str">
        <f t="shared" ref="F1859:J1859" ca="1" si="1857">IFERROR(__xludf.DUMMYFUNCTION("if (A1859 &lt;&gt; """", GOOGLETRANSLATE(A1859, ""auto"", ""en""), """")"),"")</f>
        <v/>
      </c>
      <c r="G1859" s="49" t="str">
        <f t="shared" ca="1" si="1857"/>
        <v/>
      </c>
      <c r="H1859" s="49" t="str">
        <f t="shared" ca="1" si="1857"/>
        <v/>
      </c>
      <c r="I1859" s="49" t="str">
        <f t="shared" ca="1" si="1857"/>
        <v/>
      </c>
      <c r="J1859" s="49" t="str">
        <f t="shared" ca="1" si="1857"/>
        <v/>
      </c>
    </row>
    <row r="1860" spans="1:10" ht="12.75" x14ac:dyDescent="0.2">
      <c r="A1860" s="41" t="s">
        <v>1378</v>
      </c>
      <c r="B1860" s="41" t="s">
        <v>402</v>
      </c>
      <c r="C1860" s="41" t="s">
        <v>1379</v>
      </c>
      <c r="D1860" s="40"/>
      <c r="E1860" s="40"/>
      <c r="F1860" s="49" t="str">
        <f t="shared" ref="F1860:J1860" ca="1" si="1858">IFERROR(__xludf.DUMMYFUNCTION("if (A1860 &lt;&gt; """", GOOGLETRANSLATE(A1860, ""auto"", ""en""), """")"),"Very nice")</f>
        <v>Very nice</v>
      </c>
      <c r="G1860" s="49" t="str">
        <f t="shared" ca="1" si="1858"/>
        <v>Very nice</v>
      </c>
      <c r="H1860" s="49" t="str">
        <f t="shared" ca="1" si="1858"/>
        <v>Very nice</v>
      </c>
      <c r="I1860" s="49" t="str">
        <f t="shared" ca="1" si="1858"/>
        <v>Very nice</v>
      </c>
      <c r="J1860" s="49" t="str">
        <f t="shared" ca="1" si="1858"/>
        <v>Very nice</v>
      </c>
    </row>
    <row r="1861" spans="1:10" ht="12.75" x14ac:dyDescent="0.2">
      <c r="A1861" s="41" t="s">
        <v>1380</v>
      </c>
      <c r="B1861" s="40"/>
      <c r="C1861" s="40"/>
      <c r="D1861" s="40"/>
      <c r="E1861" s="40"/>
      <c r="F1861" s="49" t="str">
        <f t="shared" ref="F1861:J1861" ca="1" si="1859">IFERROR(__xludf.DUMMYFUNCTION("if (A1861 &lt;&gt; """", GOOGLETRANSLATE(A1861, ""auto"", ""en""), """")"),"Good")</f>
        <v>Good</v>
      </c>
      <c r="G1861" s="49" t="str">
        <f t="shared" ca="1" si="1859"/>
        <v>Good</v>
      </c>
      <c r="H1861" s="49" t="str">
        <f t="shared" ca="1" si="1859"/>
        <v>Good</v>
      </c>
      <c r="I1861" s="49" t="str">
        <f t="shared" ca="1" si="1859"/>
        <v>Good</v>
      </c>
      <c r="J1861" s="49" t="str">
        <f t="shared" ca="1" si="1859"/>
        <v>Good</v>
      </c>
    </row>
    <row r="1862" spans="1:10" ht="12.75" x14ac:dyDescent="0.2">
      <c r="A1862" s="41" t="s">
        <v>1381</v>
      </c>
      <c r="B1862" s="40"/>
      <c r="C1862" s="40"/>
      <c r="D1862" s="40"/>
      <c r="E1862" s="40"/>
      <c r="F1862" s="49" t="str">
        <f t="shared" ref="F1862:J1862" ca="1" si="1860">IFERROR(__xludf.DUMMYFUNCTION("if (A1862 &lt;&gt; """", GOOGLETRANSLATE(A1862, ""auto"", ""en""), """")"),"i like it")</f>
        <v>i like it</v>
      </c>
      <c r="G1862" s="49" t="str">
        <f t="shared" ca="1" si="1860"/>
        <v>i like it</v>
      </c>
      <c r="H1862" s="49" t="str">
        <f t="shared" ca="1" si="1860"/>
        <v>i like it</v>
      </c>
      <c r="I1862" s="49" t="str">
        <f t="shared" ca="1" si="1860"/>
        <v>i like it</v>
      </c>
      <c r="J1862" s="49" t="str">
        <f t="shared" ca="1" si="1860"/>
        <v>i like it</v>
      </c>
    </row>
    <row r="1863" spans="1:10" ht="38.25" x14ac:dyDescent="0.2">
      <c r="A1863" s="41" t="s">
        <v>1382</v>
      </c>
      <c r="B1863" s="40"/>
      <c r="C1863" s="40"/>
      <c r="D1863" s="40"/>
      <c r="E1863" s="40"/>
      <c r="F1863" s="49" t="str">
        <f t="shared" ref="F1863:J1863" ca="1" si="1861">IFERROR(__xludf.DUMMYFUNCTION("if (A1863 &lt;&gt; """", GOOGLETRANSLATE(A1863, ""auto"", ""en""), """")"),"That was good was not it")</f>
        <v>That was good was not it</v>
      </c>
      <c r="G1863" s="49" t="str">
        <f t="shared" ca="1" si="1861"/>
        <v>That was good was not it</v>
      </c>
      <c r="H1863" s="49" t="str">
        <f t="shared" ca="1" si="1861"/>
        <v>That was good was not it</v>
      </c>
      <c r="I1863" s="49" t="str">
        <f t="shared" ca="1" si="1861"/>
        <v>That was good was not it</v>
      </c>
      <c r="J1863" s="49" t="str">
        <f t="shared" ca="1" si="1861"/>
        <v>That was good was not it</v>
      </c>
    </row>
    <row r="1864" spans="1:10" ht="25.5" x14ac:dyDescent="0.2">
      <c r="A1864" s="41" t="s">
        <v>1383</v>
      </c>
      <c r="B1864" s="40"/>
      <c r="C1864" s="40"/>
      <c r="D1864" s="40"/>
      <c r="E1864" s="40"/>
      <c r="F1864" s="49" t="str">
        <f t="shared" ref="F1864:J1864" ca="1" si="1862">IFERROR(__xludf.DUMMYFUNCTION("if (A1864 &lt;&gt; """", GOOGLETRANSLATE(A1864, ""auto"", ""en""), """")"),"It is very friendly")</f>
        <v>It is very friendly</v>
      </c>
      <c r="G1864" s="49" t="str">
        <f t="shared" ca="1" si="1862"/>
        <v>It is very friendly</v>
      </c>
      <c r="H1864" s="49" t="str">
        <f t="shared" ca="1" si="1862"/>
        <v>It is very friendly</v>
      </c>
      <c r="I1864" s="49" t="str">
        <f t="shared" ca="1" si="1862"/>
        <v>It is very friendly</v>
      </c>
      <c r="J1864" s="49" t="str">
        <f t="shared" ca="1" si="1862"/>
        <v>It is very friendly</v>
      </c>
    </row>
    <row r="1865" spans="1:10" ht="12.75" x14ac:dyDescent="0.2">
      <c r="A1865" s="41" t="s">
        <v>1384</v>
      </c>
      <c r="B1865" s="40"/>
      <c r="C1865" s="40"/>
      <c r="D1865" s="40"/>
      <c r="E1865" s="40"/>
      <c r="F1865" s="49" t="str">
        <f t="shared" ref="F1865:J1865" ca="1" si="1863">IFERROR(__xludf.DUMMYFUNCTION("if (A1865 &lt;&gt; """", GOOGLETRANSLATE(A1865, ""auto"", ""en""), """")"),"Very good")</f>
        <v>Very good</v>
      </c>
      <c r="G1865" s="49" t="str">
        <f t="shared" ca="1" si="1863"/>
        <v>Very good</v>
      </c>
      <c r="H1865" s="49" t="str">
        <f t="shared" ca="1" si="1863"/>
        <v>Very good</v>
      </c>
      <c r="I1865" s="49" t="str">
        <f t="shared" ca="1" si="1863"/>
        <v>Very good</v>
      </c>
      <c r="J1865" s="49" t="str">
        <f t="shared" ca="1" si="1863"/>
        <v>Very good</v>
      </c>
    </row>
    <row r="1866" spans="1:10" ht="12.75" x14ac:dyDescent="0.2">
      <c r="A1866" s="41" t="s">
        <v>951</v>
      </c>
      <c r="B1866" s="40"/>
      <c r="C1866" s="40"/>
      <c r="D1866" s="40"/>
      <c r="E1866" s="40"/>
      <c r="F1866" s="49" t="str">
        <f t="shared" ref="F1866:J1866" ca="1" si="1864">IFERROR(__xludf.DUMMYFUNCTION("if (A1866 &lt;&gt; """", GOOGLETRANSLATE(A1866, ""auto"", ""en""), """")"),"great")</f>
        <v>great</v>
      </c>
      <c r="G1866" s="49" t="str">
        <f t="shared" ca="1" si="1864"/>
        <v>great</v>
      </c>
      <c r="H1866" s="49" t="str">
        <f t="shared" ca="1" si="1864"/>
        <v>great</v>
      </c>
      <c r="I1866" s="49" t="str">
        <f t="shared" ca="1" si="1864"/>
        <v>great</v>
      </c>
      <c r="J1866" s="49" t="str">
        <f t="shared" ca="1" si="1864"/>
        <v>great</v>
      </c>
    </row>
    <row r="1867" spans="1:10" ht="25.5" x14ac:dyDescent="0.2">
      <c r="A1867" s="41" t="s">
        <v>1385</v>
      </c>
      <c r="B1867" s="40"/>
      <c r="C1867" s="40"/>
      <c r="D1867" s="40"/>
      <c r="E1867" s="40"/>
      <c r="F1867" s="49" t="str">
        <f t="shared" ref="F1867:J1867" ca="1" si="1865">IFERROR(__xludf.DUMMYFUNCTION("if (A1867 &lt;&gt; """", GOOGLETRANSLATE(A1867, ""auto"", ""en""), """")"),"It is impressive")</f>
        <v>It is impressive</v>
      </c>
      <c r="G1867" s="49" t="str">
        <f t="shared" ca="1" si="1865"/>
        <v>It is impressive</v>
      </c>
      <c r="H1867" s="49" t="str">
        <f t="shared" ca="1" si="1865"/>
        <v>It is impressive</v>
      </c>
      <c r="I1867" s="49" t="str">
        <f t="shared" ca="1" si="1865"/>
        <v>It is impressive</v>
      </c>
      <c r="J1867" s="49" t="str">
        <f t="shared" ca="1" si="1865"/>
        <v>It is impressive</v>
      </c>
    </row>
    <row r="1868" spans="1:10" ht="12.75" x14ac:dyDescent="0.2">
      <c r="A1868" s="41" t="s">
        <v>1386</v>
      </c>
      <c r="B1868" s="40"/>
      <c r="C1868" s="40"/>
      <c r="D1868" s="40"/>
      <c r="E1868" s="40"/>
      <c r="F1868" s="49" t="str">
        <f t="shared" ref="F1868:J1868" ca="1" si="1866">IFERROR(__xludf.DUMMYFUNCTION("if (A1868 &lt;&gt; """", GOOGLETRANSLATE(A1868, ""auto"", ""en""), """")"),"Perfection")</f>
        <v>Perfection</v>
      </c>
      <c r="G1868" s="49" t="str">
        <f t="shared" ca="1" si="1866"/>
        <v>Perfection</v>
      </c>
      <c r="H1868" s="49" t="str">
        <f t="shared" ca="1" si="1866"/>
        <v>Perfection</v>
      </c>
      <c r="I1868" s="49" t="str">
        <f t="shared" ca="1" si="1866"/>
        <v>Perfection</v>
      </c>
      <c r="J1868" s="49" t="str">
        <f t="shared" ca="1" si="1866"/>
        <v>Perfection</v>
      </c>
    </row>
    <row r="1869" spans="1:10" ht="12.75" x14ac:dyDescent="0.2">
      <c r="A1869" s="41" t="s">
        <v>1387</v>
      </c>
      <c r="B1869" s="40"/>
      <c r="C1869" s="40"/>
      <c r="D1869" s="40"/>
      <c r="E1869" s="40"/>
      <c r="F1869" s="49" t="str">
        <f t="shared" ref="F1869:J1869" ca="1" si="1867">IFERROR(__xludf.DUMMYFUNCTION("if (A1869 &lt;&gt; """", GOOGLETRANSLATE(A1869, ""auto"", ""en""), """")"),"highest")</f>
        <v>highest</v>
      </c>
      <c r="G1869" s="49" t="str">
        <f t="shared" ca="1" si="1867"/>
        <v>highest</v>
      </c>
      <c r="H1869" s="49" t="str">
        <f t="shared" ca="1" si="1867"/>
        <v>highest</v>
      </c>
      <c r="I1869" s="49" t="str">
        <f t="shared" ca="1" si="1867"/>
        <v>highest</v>
      </c>
      <c r="J1869" s="49" t="str">
        <f t="shared" ca="1" si="1867"/>
        <v>highest</v>
      </c>
    </row>
    <row r="1870" spans="1:10" ht="12.75" x14ac:dyDescent="0.2">
      <c r="A1870" s="40"/>
      <c r="B1870" s="40"/>
      <c r="C1870" s="40"/>
      <c r="D1870" s="40"/>
      <c r="E1870" s="40"/>
      <c r="F1870" s="49" t="str">
        <f t="shared" ref="F1870:J1870" ca="1" si="1868">IFERROR(__xludf.DUMMYFUNCTION("if (A1870 &lt;&gt; """", GOOGLETRANSLATE(A1870, ""auto"", ""en""), """")"),"")</f>
        <v/>
      </c>
      <c r="G1870" s="49" t="str">
        <f t="shared" ca="1" si="1868"/>
        <v/>
      </c>
      <c r="H1870" s="49" t="str">
        <f t="shared" ca="1" si="1868"/>
        <v/>
      </c>
      <c r="I1870" s="49" t="str">
        <f t="shared" ca="1" si="1868"/>
        <v/>
      </c>
      <c r="J1870" s="49" t="str">
        <f t="shared" ca="1" si="1868"/>
        <v/>
      </c>
    </row>
    <row r="1871" spans="1:10" ht="38.25" x14ac:dyDescent="0.2">
      <c r="A1871" s="41" t="s">
        <v>1388</v>
      </c>
      <c r="B1871" s="40"/>
      <c r="C1871" s="40"/>
      <c r="D1871" s="40"/>
      <c r="E1871" s="40"/>
      <c r="F1871" s="49" t="str">
        <f t="shared" ref="F1871:J1871" ca="1" si="1869">IFERROR(__xludf.DUMMYFUNCTION("if (A1871 &lt;&gt; """", GOOGLETRANSLATE(A1871, ""auto"", ""en""), """")"),"smalltalk.appraisal.no_problem")</f>
        <v>smalltalk.appraisal.no_problem</v>
      </c>
      <c r="G1871" s="49" t="str">
        <f t="shared" ca="1" si="1869"/>
        <v>smalltalk.appraisal.no_problem</v>
      </c>
      <c r="H1871" s="49" t="str">
        <f t="shared" ca="1" si="1869"/>
        <v>smalltalk.appraisal.no_problem</v>
      </c>
      <c r="I1871" s="49" t="str">
        <f t="shared" ca="1" si="1869"/>
        <v>smalltalk.appraisal.no_problem</v>
      </c>
      <c r="J1871" s="49" t="str">
        <f t="shared" ca="1" si="1869"/>
        <v>smalltalk.appraisal.no_problem</v>
      </c>
    </row>
    <row r="1872" spans="1:10" ht="12.75" x14ac:dyDescent="0.2">
      <c r="A1872" s="40"/>
      <c r="B1872" s="41" t="s">
        <v>398</v>
      </c>
      <c r="C1872" s="40"/>
      <c r="D1872" s="40"/>
      <c r="E1872" s="40"/>
      <c r="F1872" s="49" t="str">
        <f t="shared" ref="F1872:J1872" ca="1" si="1870">IFERROR(__xludf.DUMMYFUNCTION("if (A1872 &lt;&gt; """", GOOGLETRANSLATE(A1872, ""auto"", ""en""), """")"),"")</f>
        <v/>
      </c>
      <c r="G1872" s="49" t="str">
        <f t="shared" ca="1" si="1870"/>
        <v/>
      </c>
      <c r="H1872" s="49" t="str">
        <f t="shared" ca="1" si="1870"/>
        <v/>
      </c>
      <c r="I1872" s="49" t="str">
        <f t="shared" ca="1" si="1870"/>
        <v/>
      </c>
      <c r="J1872" s="49" t="str">
        <f t="shared" ca="1" si="1870"/>
        <v/>
      </c>
    </row>
    <row r="1873" spans="1:10" ht="12.75" x14ac:dyDescent="0.2">
      <c r="A1873" s="40"/>
      <c r="B1873" s="41" t="s">
        <v>399</v>
      </c>
      <c r="C1873" s="40"/>
      <c r="D1873" s="40"/>
      <c r="E1873" s="40"/>
      <c r="F1873" s="49" t="str">
        <f t="shared" ref="F1873:J1873" ca="1" si="1871">IFERROR(__xludf.DUMMYFUNCTION("if (A1873 &lt;&gt; """", GOOGLETRANSLATE(A1873, ""auto"", ""en""), """")"),"")</f>
        <v/>
      </c>
      <c r="G1873" s="49" t="str">
        <f t="shared" ca="1" si="1871"/>
        <v/>
      </c>
      <c r="H1873" s="49" t="str">
        <f t="shared" ca="1" si="1871"/>
        <v/>
      </c>
      <c r="I1873" s="49" t="str">
        <f t="shared" ca="1" si="1871"/>
        <v/>
      </c>
      <c r="J1873" s="49" t="str">
        <f t="shared" ca="1" si="1871"/>
        <v/>
      </c>
    </row>
    <row r="1874" spans="1:10" ht="12.75" x14ac:dyDescent="0.2">
      <c r="A1874" s="40"/>
      <c r="B1874" s="41" t="s">
        <v>400</v>
      </c>
      <c r="C1874" s="41" t="s">
        <v>1388</v>
      </c>
      <c r="D1874" s="40"/>
      <c r="E1874" s="40"/>
      <c r="F1874" s="49" t="str">
        <f t="shared" ref="F1874:J1874" ca="1" si="1872">IFERROR(__xludf.DUMMYFUNCTION("if (A1874 &lt;&gt; """", GOOGLETRANSLATE(A1874, ""auto"", ""en""), """")"),"")</f>
        <v/>
      </c>
      <c r="G1874" s="49" t="str">
        <f t="shared" ca="1" si="1872"/>
        <v/>
      </c>
      <c r="H1874" s="49" t="str">
        <f t="shared" ca="1" si="1872"/>
        <v/>
      </c>
      <c r="I1874" s="49" t="str">
        <f t="shared" ca="1" si="1872"/>
        <v/>
      </c>
      <c r="J1874" s="49" t="str">
        <f t="shared" ca="1" si="1872"/>
        <v/>
      </c>
    </row>
    <row r="1875" spans="1:10" ht="12.75" x14ac:dyDescent="0.2">
      <c r="A1875" s="40"/>
      <c r="B1875" s="41" t="s">
        <v>401</v>
      </c>
      <c r="C1875" s="40"/>
      <c r="D1875" s="40"/>
      <c r="E1875" s="40"/>
      <c r="F1875" s="49" t="str">
        <f t="shared" ref="F1875:J1875" ca="1" si="1873">IFERROR(__xludf.DUMMYFUNCTION("if (A1875 &lt;&gt; """", GOOGLETRANSLATE(A1875, ""auto"", ""en""), """")"),"")</f>
        <v/>
      </c>
      <c r="G1875" s="49" t="str">
        <f t="shared" ca="1" si="1873"/>
        <v/>
      </c>
      <c r="H1875" s="49" t="str">
        <f t="shared" ca="1" si="1873"/>
        <v/>
      </c>
      <c r="I1875" s="49" t="str">
        <f t="shared" ca="1" si="1873"/>
        <v/>
      </c>
      <c r="J1875" s="49" t="str">
        <f t="shared" ca="1" si="1873"/>
        <v/>
      </c>
    </row>
    <row r="1876" spans="1:10" ht="25.5" x14ac:dyDescent="0.2">
      <c r="A1876" s="41" t="s">
        <v>1389</v>
      </c>
      <c r="B1876" s="41" t="s">
        <v>402</v>
      </c>
      <c r="C1876" s="41" t="s">
        <v>1390</v>
      </c>
      <c r="D1876" s="40"/>
      <c r="E1876" s="40"/>
      <c r="F1876" s="49" t="str">
        <f t="shared" ref="F1876:J1876" ca="1" si="1874">IFERROR(__xludf.DUMMYFUNCTION("if (A1876 &lt;&gt; """", GOOGLETRANSLATE(A1876, ""auto"", ""en""), """")"),"Do not worry")</f>
        <v>Do not worry</v>
      </c>
      <c r="G1876" s="49" t="str">
        <f t="shared" ca="1" si="1874"/>
        <v>Do not worry</v>
      </c>
      <c r="H1876" s="49" t="str">
        <f t="shared" ca="1" si="1874"/>
        <v>Do not worry</v>
      </c>
      <c r="I1876" s="49" t="str">
        <f t="shared" ca="1" si="1874"/>
        <v>Do not worry</v>
      </c>
      <c r="J1876" s="49" t="str">
        <f t="shared" ca="1" si="1874"/>
        <v>Do not worry</v>
      </c>
    </row>
    <row r="1877" spans="1:10" ht="12.75" x14ac:dyDescent="0.2">
      <c r="A1877" s="41" t="s">
        <v>1391</v>
      </c>
      <c r="B1877" s="40"/>
      <c r="C1877" s="40"/>
      <c r="D1877" s="40"/>
      <c r="E1877" s="40"/>
      <c r="F1877" s="49" t="str">
        <f t="shared" ref="F1877:J1877" ca="1" si="1875">IFERROR(__xludf.DUMMYFUNCTION("if (A1877 &lt;&gt; """", GOOGLETRANSLATE(A1877, ""auto"", ""en""), """")"),"All right")</f>
        <v>All right</v>
      </c>
      <c r="G1877" s="49" t="str">
        <f t="shared" ca="1" si="1875"/>
        <v>All right</v>
      </c>
      <c r="H1877" s="49" t="str">
        <f t="shared" ca="1" si="1875"/>
        <v>All right</v>
      </c>
      <c r="I1877" s="49" t="str">
        <f t="shared" ca="1" si="1875"/>
        <v>All right</v>
      </c>
      <c r="J1877" s="49" t="str">
        <f t="shared" ca="1" si="1875"/>
        <v>All right</v>
      </c>
    </row>
    <row r="1878" spans="1:10" ht="12.75" x14ac:dyDescent="0.2">
      <c r="A1878" s="41" t="s">
        <v>1392</v>
      </c>
      <c r="B1878" s="40"/>
      <c r="C1878" s="40"/>
      <c r="D1878" s="40"/>
      <c r="E1878" s="40"/>
      <c r="F1878" s="49" t="str">
        <f t="shared" ref="F1878:J1878" ca="1" si="1876">IFERROR(__xludf.DUMMYFUNCTION("if (A1878 &lt;&gt; """", GOOGLETRANSLATE(A1878, ""auto"", ""en""), """")"),"It's okay")</f>
        <v>It's okay</v>
      </c>
      <c r="G1878" s="49" t="str">
        <f t="shared" ca="1" si="1876"/>
        <v>It's okay</v>
      </c>
      <c r="H1878" s="49" t="str">
        <f t="shared" ca="1" si="1876"/>
        <v>It's okay</v>
      </c>
      <c r="I1878" s="49" t="str">
        <f t="shared" ca="1" si="1876"/>
        <v>It's okay</v>
      </c>
      <c r="J1878" s="49" t="str">
        <f t="shared" ca="1" si="1876"/>
        <v>It's okay</v>
      </c>
    </row>
    <row r="1879" spans="1:10" ht="12.75" x14ac:dyDescent="0.2">
      <c r="A1879" s="41" t="s">
        <v>1393</v>
      </c>
      <c r="B1879" s="40"/>
      <c r="C1879" s="40"/>
      <c r="D1879" s="40"/>
      <c r="E1879" s="40"/>
      <c r="F1879" s="49" t="str">
        <f t="shared" ref="F1879:J1879" ca="1" si="1877">IFERROR(__xludf.DUMMYFUNCTION("if (A1879 &lt;&gt; """", GOOGLETRANSLATE(A1879, ""auto"", ""en""), """")"),"I was aware")</f>
        <v>I was aware</v>
      </c>
      <c r="G1879" s="49" t="str">
        <f t="shared" ca="1" si="1877"/>
        <v>I was aware</v>
      </c>
      <c r="H1879" s="49" t="str">
        <f t="shared" ca="1" si="1877"/>
        <v>I was aware</v>
      </c>
      <c r="I1879" s="49" t="str">
        <f t="shared" ca="1" si="1877"/>
        <v>I was aware</v>
      </c>
      <c r="J1879" s="49" t="str">
        <f t="shared" ca="1" si="1877"/>
        <v>I was aware</v>
      </c>
    </row>
    <row r="1880" spans="1:10" ht="12.75" x14ac:dyDescent="0.2">
      <c r="A1880" s="41" t="s">
        <v>1394</v>
      </c>
      <c r="B1880" s="40"/>
      <c r="C1880" s="40"/>
      <c r="D1880" s="40"/>
      <c r="E1880" s="40"/>
      <c r="F1880" s="49" t="str">
        <f t="shared" ref="F1880:J1880" ca="1" si="1878">IFERROR(__xludf.DUMMYFUNCTION("if (A1880 &lt;&gt; """", GOOGLETRANSLATE(A1880, ""auto"", ""en""), """")"),"understood")</f>
        <v>understood</v>
      </c>
      <c r="G1880" s="49" t="str">
        <f t="shared" ca="1" si="1878"/>
        <v>understood</v>
      </c>
      <c r="H1880" s="49" t="str">
        <f t="shared" ca="1" si="1878"/>
        <v>understood</v>
      </c>
      <c r="I1880" s="49" t="str">
        <f t="shared" ca="1" si="1878"/>
        <v>understood</v>
      </c>
      <c r="J1880" s="49" t="str">
        <f t="shared" ca="1" si="1878"/>
        <v>understood</v>
      </c>
    </row>
    <row r="1881" spans="1:10" ht="12.75" x14ac:dyDescent="0.2">
      <c r="A1881" s="41" t="s">
        <v>1395</v>
      </c>
      <c r="B1881" s="40"/>
      <c r="C1881" s="40"/>
      <c r="D1881" s="40"/>
      <c r="E1881" s="40"/>
      <c r="F1881" s="49" t="str">
        <f t="shared" ref="F1881:J1881" ca="1" si="1879">IFERROR(__xludf.DUMMYFUNCTION("if (A1881 &lt;&gt; """", GOOGLETRANSLATE(A1881, ""auto"", ""en""), """")"),"OK")</f>
        <v>OK</v>
      </c>
      <c r="G1881" s="49" t="str">
        <f t="shared" ca="1" si="1879"/>
        <v>OK</v>
      </c>
      <c r="H1881" s="49" t="str">
        <f t="shared" ca="1" si="1879"/>
        <v>OK</v>
      </c>
      <c r="I1881" s="49" t="str">
        <f t="shared" ca="1" si="1879"/>
        <v>OK</v>
      </c>
      <c r="J1881" s="49" t="str">
        <f t="shared" ca="1" si="1879"/>
        <v>OK</v>
      </c>
    </row>
    <row r="1882" spans="1:10" ht="25.5" x14ac:dyDescent="0.2">
      <c r="A1882" s="41" t="s">
        <v>1396</v>
      </c>
      <c r="B1882" s="40"/>
      <c r="C1882" s="40"/>
      <c r="D1882" s="40"/>
      <c r="E1882" s="40"/>
      <c r="F1882" s="49" t="str">
        <f t="shared" ref="F1882:J1882" ca="1" si="1880">IFERROR(__xludf.DUMMYFUNCTION("if (A1882 &lt;&gt; """", GOOGLETRANSLATE(A1882, ""auto"", ""en""), """")"),"please do not worry")</f>
        <v>please do not worry</v>
      </c>
      <c r="G1882" s="49" t="str">
        <f t="shared" ca="1" si="1880"/>
        <v>please do not worry</v>
      </c>
      <c r="H1882" s="49" t="str">
        <f t="shared" ca="1" si="1880"/>
        <v>please do not worry</v>
      </c>
      <c r="I1882" s="49" t="str">
        <f t="shared" ca="1" si="1880"/>
        <v>please do not worry</v>
      </c>
      <c r="J1882" s="49" t="str">
        <f t="shared" ca="1" si="1880"/>
        <v>please do not worry</v>
      </c>
    </row>
    <row r="1883" spans="1:10" ht="51" x14ac:dyDescent="0.2">
      <c r="A1883" s="41" t="s">
        <v>1397</v>
      </c>
      <c r="B1883" s="40"/>
      <c r="C1883" s="40"/>
      <c r="D1883" s="40"/>
      <c r="E1883" s="40"/>
      <c r="F1883" s="49" t="str">
        <f t="shared" ref="F1883:J1883" ca="1" si="1881">IFERROR(__xludf.DUMMYFUNCTION("if (A1883 &lt;&gt; """", GOOGLETRANSLATE(A1883, ""auto"", ""en""), """")"),"Please do not bother because it okay")</f>
        <v>Please do not bother because it okay</v>
      </c>
      <c r="G1883" s="49" t="str">
        <f t="shared" ca="1" si="1881"/>
        <v>Please do not bother because it okay</v>
      </c>
      <c r="H1883" s="49" t="str">
        <f t="shared" ca="1" si="1881"/>
        <v>Please do not bother because it okay</v>
      </c>
      <c r="I1883" s="49" t="str">
        <f t="shared" ca="1" si="1881"/>
        <v>Please do not bother because it okay</v>
      </c>
      <c r="J1883" s="49" t="str">
        <f t="shared" ca="1" si="1881"/>
        <v>Please do not bother because it okay</v>
      </c>
    </row>
    <row r="1884" spans="1:10" ht="12.75" x14ac:dyDescent="0.2">
      <c r="A1884" s="40"/>
      <c r="B1884" s="40"/>
      <c r="C1884" s="40"/>
      <c r="D1884" s="40"/>
      <c r="E1884" s="40"/>
      <c r="F1884" s="49" t="str">
        <f t="shared" ref="F1884:J1884" ca="1" si="1882">IFERROR(__xludf.DUMMYFUNCTION("if (A1884 &lt;&gt; """", GOOGLETRANSLATE(A1884, ""auto"", ""en""), """")"),"")</f>
        <v/>
      </c>
      <c r="G1884" s="49" t="str">
        <f t="shared" ca="1" si="1882"/>
        <v/>
      </c>
      <c r="H1884" s="49" t="str">
        <f t="shared" ca="1" si="1882"/>
        <v/>
      </c>
      <c r="I1884" s="49" t="str">
        <f t="shared" ca="1" si="1882"/>
        <v/>
      </c>
      <c r="J1884" s="49" t="str">
        <f t="shared" ca="1" si="1882"/>
        <v/>
      </c>
    </row>
    <row r="1885" spans="1:10" ht="38.25" x14ac:dyDescent="0.2">
      <c r="A1885" s="41" t="s">
        <v>1398</v>
      </c>
      <c r="B1885" s="40"/>
      <c r="C1885" s="40"/>
      <c r="D1885" s="40"/>
      <c r="E1885" s="40"/>
      <c r="F1885" s="49" t="str">
        <f t="shared" ref="F1885:J1885" ca="1" si="1883">IFERROR(__xludf.DUMMYFUNCTION("if (A1885 &lt;&gt; """", GOOGLETRANSLATE(A1885, ""auto"", ""en""), """")"),"smalltalk.appraisal.thank_you")</f>
        <v>smalltalk.appraisal.thank_you</v>
      </c>
      <c r="G1885" s="49" t="str">
        <f t="shared" ca="1" si="1883"/>
        <v>smalltalk.appraisal.thank_you</v>
      </c>
      <c r="H1885" s="49" t="str">
        <f t="shared" ca="1" si="1883"/>
        <v>smalltalk.appraisal.thank_you</v>
      </c>
      <c r="I1885" s="49" t="str">
        <f t="shared" ca="1" si="1883"/>
        <v>smalltalk.appraisal.thank_you</v>
      </c>
      <c r="J1885" s="49" t="str">
        <f t="shared" ca="1" si="1883"/>
        <v>smalltalk.appraisal.thank_you</v>
      </c>
    </row>
    <row r="1886" spans="1:10" ht="12.75" x14ac:dyDescent="0.2">
      <c r="A1886" s="40"/>
      <c r="B1886" s="41" t="s">
        <v>398</v>
      </c>
      <c r="C1886" s="40"/>
      <c r="D1886" s="40"/>
      <c r="E1886" s="40"/>
      <c r="F1886" s="49" t="str">
        <f t="shared" ref="F1886:J1886" ca="1" si="1884">IFERROR(__xludf.DUMMYFUNCTION("if (A1886 &lt;&gt; """", GOOGLETRANSLATE(A1886, ""auto"", ""en""), """")"),"")</f>
        <v/>
      </c>
      <c r="G1886" s="49" t="str">
        <f t="shared" ca="1" si="1884"/>
        <v/>
      </c>
      <c r="H1886" s="49" t="str">
        <f t="shared" ca="1" si="1884"/>
        <v/>
      </c>
      <c r="I1886" s="49" t="str">
        <f t="shared" ca="1" si="1884"/>
        <v/>
      </c>
      <c r="J1886" s="49" t="str">
        <f t="shared" ca="1" si="1884"/>
        <v/>
      </c>
    </row>
    <row r="1887" spans="1:10" ht="12.75" x14ac:dyDescent="0.2">
      <c r="A1887" s="40"/>
      <c r="B1887" s="41" t="s">
        <v>399</v>
      </c>
      <c r="C1887" s="40"/>
      <c r="D1887" s="40"/>
      <c r="E1887" s="40"/>
      <c r="F1887" s="49" t="str">
        <f t="shared" ref="F1887:J1887" ca="1" si="1885">IFERROR(__xludf.DUMMYFUNCTION("if (A1887 &lt;&gt; """", GOOGLETRANSLATE(A1887, ""auto"", ""en""), """")"),"")</f>
        <v/>
      </c>
      <c r="G1887" s="49" t="str">
        <f t="shared" ca="1" si="1885"/>
        <v/>
      </c>
      <c r="H1887" s="49" t="str">
        <f t="shared" ca="1" si="1885"/>
        <v/>
      </c>
      <c r="I1887" s="49" t="str">
        <f t="shared" ca="1" si="1885"/>
        <v/>
      </c>
      <c r="J1887" s="49" t="str">
        <f t="shared" ca="1" si="1885"/>
        <v/>
      </c>
    </row>
    <row r="1888" spans="1:10" ht="12.75" x14ac:dyDescent="0.2">
      <c r="A1888" s="40"/>
      <c r="B1888" s="41" t="s">
        <v>400</v>
      </c>
      <c r="C1888" s="41" t="s">
        <v>1398</v>
      </c>
      <c r="D1888" s="40"/>
      <c r="E1888" s="40"/>
      <c r="F1888" s="49" t="str">
        <f t="shared" ref="F1888:J1888" ca="1" si="1886">IFERROR(__xludf.DUMMYFUNCTION("if (A1888 &lt;&gt; """", GOOGLETRANSLATE(A1888, ""auto"", ""en""), """")"),"")</f>
        <v/>
      </c>
      <c r="G1888" s="49" t="str">
        <f t="shared" ca="1" si="1886"/>
        <v/>
      </c>
      <c r="H1888" s="49" t="str">
        <f t="shared" ca="1" si="1886"/>
        <v/>
      </c>
      <c r="I1888" s="49" t="str">
        <f t="shared" ca="1" si="1886"/>
        <v/>
      </c>
      <c r="J1888" s="49" t="str">
        <f t="shared" ca="1" si="1886"/>
        <v/>
      </c>
    </row>
    <row r="1889" spans="1:10" ht="12.75" x14ac:dyDescent="0.2">
      <c r="A1889" s="40"/>
      <c r="B1889" s="41" t="s">
        <v>401</v>
      </c>
      <c r="C1889" s="40"/>
      <c r="D1889" s="40"/>
      <c r="E1889" s="40"/>
      <c r="F1889" s="49" t="str">
        <f t="shared" ref="F1889:J1889" ca="1" si="1887">IFERROR(__xludf.DUMMYFUNCTION("if (A1889 &lt;&gt; """", GOOGLETRANSLATE(A1889, ""auto"", ""en""), """")"),"")</f>
        <v/>
      </c>
      <c r="G1889" s="49" t="str">
        <f t="shared" ca="1" si="1887"/>
        <v/>
      </c>
      <c r="H1889" s="49" t="str">
        <f t="shared" ca="1" si="1887"/>
        <v/>
      </c>
      <c r="I1889" s="49" t="str">
        <f t="shared" ca="1" si="1887"/>
        <v/>
      </c>
      <c r="J1889" s="49" t="str">
        <f t="shared" ca="1" si="1887"/>
        <v/>
      </c>
    </row>
    <row r="1890" spans="1:10" ht="25.5" x14ac:dyDescent="0.2">
      <c r="A1890" s="41" t="s">
        <v>1399</v>
      </c>
      <c r="B1890" s="41" t="s">
        <v>402</v>
      </c>
      <c r="C1890" s="41" t="s">
        <v>1400</v>
      </c>
      <c r="D1890" s="40"/>
      <c r="E1890" s="40"/>
      <c r="F1890" s="49" t="str">
        <f t="shared" ref="F1890:J1890" ca="1" si="1888">IFERROR(__xludf.DUMMYFUNCTION("if (A1890 &lt;&gt; """", GOOGLETRANSLATE(A1890, ""auto"", ""en""), """")"),"Thank you for help")</f>
        <v>Thank you for help</v>
      </c>
      <c r="G1890" s="49" t="str">
        <f t="shared" ca="1" si="1888"/>
        <v>Thank you for help</v>
      </c>
      <c r="H1890" s="49" t="str">
        <f t="shared" ca="1" si="1888"/>
        <v>Thank you for help</v>
      </c>
      <c r="I1890" s="49" t="str">
        <f t="shared" ca="1" si="1888"/>
        <v>Thank you for help</v>
      </c>
      <c r="J1890" s="49" t="str">
        <f t="shared" ca="1" si="1888"/>
        <v>Thank you for help</v>
      </c>
    </row>
    <row r="1891" spans="1:10" ht="38.25" x14ac:dyDescent="0.2">
      <c r="A1891" s="41" t="s">
        <v>1401</v>
      </c>
      <c r="B1891" s="40"/>
      <c r="C1891" s="40"/>
      <c r="D1891" s="40"/>
      <c r="E1891" s="40"/>
      <c r="F1891" s="49" t="str">
        <f t="shared" ref="F1891:J1891" ca="1" si="1889">IFERROR(__xludf.DUMMYFUNCTION("if (A1891 &lt;&gt; """", GOOGLETRANSLATE(A1891, ""auto"", ""en""), """")"),"We thank you for your cooperation")</f>
        <v>We thank you for your cooperation</v>
      </c>
      <c r="G1891" s="49" t="str">
        <f t="shared" ca="1" si="1889"/>
        <v>We thank you for your cooperation</v>
      </c>
      <c r="H1891" s="49" t="str">
        <f t="shared" ca="1" si="1889"/>
        <v>We thank you for your cooperation</v>
      </c>
      <c r="I1891" s="49" t="str">
        <f t="shared" ca="1" si="1889"/>
        <v>We thank you for your cooperation</v>
      </c>
      <c r="J1891" s="49" t="str">
        <f t="shared" ca="1" si="1889"/>
        <v>We thank you for your cooperation</v>
      </c>
    </row>
    <row r="1892" spans="1:10" ht="12.75" x14ac:dyDescent="0.2">
      <c r="A1892" s="41" t="s">
        <v>319</v>
      </c>
      <c r="B1892" s="40"/>
      <c r="C1892" s="40"/>
      <c r="D1892" s="40"/>
      <c r="E1892" s="40"/>
      <c r="F1892" s="49" t="str">
        <f t="shared" ref="F1892:J1892" ca="1" si="1890">IFERROR(__xludf.DUMMYFUNCTION("if (A1892 &lt;&gt; """", GOOGLETRANSLATE(A1892, ""auto"", ""en""), """")"),"Thank you")</f>
        <v>Thank you</v>
      </c>
      <c r="G1892" s="49" t="str">
        <f t="shared" ca="1" si="1890"/>
        <v>Thank you</v>
      </c>
      <c r="H1892" s="49" t="str">
        <f t="shared" ca="1" si="1890"/>
        <v>Thank you</v>
      </c>
      <c r="I1892" s="49" t="str">
        <f t="shared" ca="1" si="1890"/>
        <v>Thank you</v>
      </c>
      <c r="J1892" s="49" t="str">
        <f t="shared" ca="1" si="1890"/>
        <v>Thank you</v>
      </c>
    </row>
    <row r="1893" spans="1:10" ht="12.75" x14ac:dyDescent="0.2">
      <c r="A1893" s="41" t="s">
        <v>1402</v>
      </c>
      <c r="B1893" s="40"/>
      <c r="C1893" s="40"/>
      <c r="D1893" s="40"/>
      <c r="E1893" s="40"/>
      <c r="F1893" s="49" t="str">
        <f t="shared" ref="F1893:J1893" ca="1" si="1891">IFERROR(__xludf.DUMMYFUNCTION("if (A1893 &lt;&gt; """", GOOGLETRANSLATE(A1893, ""auto"", ""en""), """")"),"thank you")</f>
        <v>thank you</v>
      </c>
      <c r="G1893" s="49" t="str">
        <f t="shared" ca="1" si="1891"/>
        <v>thank you</v>
      </c>
      <c r="H1893" s="49" t="str">
        <f t="shared" ca="1" si="1891"/>
        <v>thank you</v>
      </c>
      <c r="I1893" s="49" t="str">
        <f t="shared" ca="1" si="1891"/>
        <v>thank you</v>
      </c>
      <c r="J1893" s="49" t="str">
        <f t="shared" ca="1" si="1891"/>
        <v>thank you</v>
      </c>
    </row>
    <row r="1894" spans="1:10" ht="12.75" x14ac:dyDescent="0.2">
      <c r="A1894" s="41" t="s">
        <v>333</v>
      </c>
      <c r="B1894" s="40"/>
      <c r="C1894" s="40"/>
      <c r="D1894" s="40"/>
      <c r="E1894" s="40"/>
      <c r="F1894" s="49" t="str">
        <f t="shared" ref="F1894:J1894" ca="1" si="1892">IFERROR(__xludf.DUMMYFUNCTION("if (A1894 &lt;&gt; """", GOOGLETRANSLATE(A1894, ""auto"", ""en""), """")"),"Thank you")</f>
        <v>Thank you</v>
      </c>
      <c r="G1894" s="49" t="str">
        <f t="shared" ca="1" si="1892"/>
        <v>Thank you</v>
      </c>
      <c r="H1894" s="49" t="str">
        <f t="shared" ca="1" si="1892"/>
        <v>Thank you</v>
      </c>
      <c r="I1894" s="49" t="str">
        <f t="shared" ca="1" si="1892"/>
        <v>Thank you</v>
      </c>
      <c r="J1894" s="49" t="str">
        <f t="shared" ca="1" si="1892"/>
        <v>Thank you</v>
      </c>
    </row>
    <row r="1895" spans="1:10" ht="25.5" x14ac:dyDescent="0.2">
      <c r="A1895" s="41" t="s">
        <v>1403</v>
      </c>
      <c r="B1895" s="40"/>
      <c r="C1895" s="40"/>
      <c r="D1895" s="40"/>
      <c r="E1895" s="40"/>
      <c r="F1895" s="49" t="str">
        <f t="shared" ref="F1895:J1895" ca="1" si="1893">IFERROR(__xludf.DUMMYFUNCTION("if (A1895 &lt;&gt; """", GOOGLETRANSLATE(A1895, ""auto"", ""en""), """")"),"Great, thank you")</f>
        <v>Great, thank you</v>
      </c>
      <c r="G1895" s="49" t="str">
        <f t="shared" ca="1" si="1893"/>
        <v>Great, thank you</v>
      </c>
      <c r="H1895" s="49" t="str">
        <f t="shared" ca="1" si="1893"/>
        <v>Great, thank you</v>
      </c>
      <c r="I1895" s="49" t="str">
        <f t="shared" ca="1" si="1893"/>
        <v>Great, thank you</v>
      </c>
      <c r="J1895" s="49" t="str">
        <f t="shared" ca="1" si="1893"/>
        <v>Great, thank you</v>
      </c>
    </row>
    <row r="1896" spans="1:10" ht="25.5" x14ac:dyDescent="0.2">
      <c r="A1896" s="41" t="s">
        <v>1404</v>
      </c>
      <c r="B1896" s="40"/>
      <c r="C1896" s="40"/>
      <c r="D1896" s="40"/>
      <c r="E1896" s="40"/>
      <c r="F1896" s="49" t="str">
        <f t="shared" ref="F1896:J1896" ca="1" si="1894">IFERROR(__xludf.DUMMYFUNCTION("if (A1896 &lt;&gt; """", GOOGLETRANSLATE(A1896, ""auto"", ""en""), """")"),"Thank you very much")</f>
        <v>Thank you very much</v>
      </c>
      <c r="G1896" s="49" t="str">
        <f t="shared" ca="1" si="1894"/>
        <v>Thank you very much</v>
      </c>
      <c r="H1896" s="49" t="str">
        <f t="shared" ca="1" si="1894"/>
        <v>Thank you very much</v>
      </c>
      <c r="I1896" s="49" t="str">
        <f t="shared" ca="1" si="1894"/>
        <v>Thank you very much</v>
      </c>
      <c r="J1896" s="49" t="str">
        <f t="shared" ca="1" si="1894"/>
        <v>Thank you very much</v>
      </c>
    </row>
    <row r="1897" spans="1:10" ht="12.75" x14ac:dyDescent="0.2">
      <c r="A1897" s="41" t="s">
        <v>327</v>
      </c>
      <c r="B1897" s="40"/>
      <c r="C1897" s="40"/>
      <c r="D1897" s="40"/>
      <c r="E1897" s="40"/>
      <c r="F1897" s="49" t="str">
        <f t="shared" ref="F1897:J1897" ca="1" si="1895">IFERROR(__xludf.DUMMYFUNCTION("if (A1897 &lt;&gt; """", GOOGLETRANSLATE(A1897, ""auto"", ""en""), """")"),"Thank you")</f>
        <v>Thank you</v>
      </c>
      <c r="G1897" s="49" t="str">
        <f t="shared" ca="1" si="1895"/>
        <v>Thank you</v>
      </c>
      <c r="H1897" s="49" t="str">
        <f t="shared" ca="1" si="1895"/>
        <v>Thank you</v>
      </c>
      <c r="I1897" s="49" t="str">
        <f t="shared" ca="1" si="1895"/>
        <v>Thank you</v>
      </c>
      <c r="J1897" s="49" t="str">
        <f t="shared" ca="1" si="1895"/>
        <v>Thank you</v>
      </c>
    </row>
    <row r="1898" spans="1:10" ht="25.5" x14ac:dyDescent="0.2">
      <c r="A1898" s="41" t="s">
        <v>1405</v>
      </c>
      <c r="B1898" s="40"/>
      <c r="C1898" s="40"/>
      <c r="D1898" s="40"/>
      <c r="E1898" s="40"/>
      <c r="F1898" s="49" t="str">
        <f t="shared" ref="F1898:J1898" ca="1" si="1896">IFERROR(__xludf.DUMMYFUNCTION("if (A1898 &lt;&gt; """", GOOGLETRANSLATE(A1898, ""auto"", ""en""), """")"),"thank you very much")</f>
        <v>thank you very much</v>
      </c>
      <c r="G1898" s="49" t="str">
        <f t="shared" ca="1" si="1896"/>
        <v>thank you very much</v>
      </c>
      <c r="H1898" s="49" t="str">
        <f t="shared" ca="1" si="1896"/>
        <v>thank you very much</v>
      </c>
      <c r="I1898" s="49" t="str">
        <f t="shared" ca="1" si="1896"/>
        <v>thank you very much</v>
      </c>
      <c r="J1898" s="49" t="str">
        <f t="shared" ca="1" si="1896"/>
        <v>thank you very much</v>
      </c>
    </row>
    <row r="1899" spans="1:10" ht="12.75" x14ac:dyDescent="0.2">
      <c r="A1899" s="40"/>
      <c r="B1899" s="40"/>
      <c r="C1899" s="40"/>
      <c r="D1899" s="40"/>
      <c r="E1899" s="40"/>
      <c r="F1899" s="49" t="str">
        <f t="shared" ref="F1899:J1899" ca="1" si="1897">IFERROR(__xludf.DUMMYFUNCTION("if (A1899 &lt;&gt; """", GOOGLETRANSLATE(A1899, ""auto"", ""en""), """")"),"")</f>
        <v/>
      </c>
      <c r="G1899" s="49" t="str">
        <f t="shared" ca="1" si="1897"/>
        <v/>
      </c>
      <c r="H1899" s="49" t="str">
        <f t="shared" ca="1" si="1897"/>
        <v/>
      </c>
      <c r="I1899" s="49" t="str">
        <f t="shared" ca="1" si="1897"/>
        <v/>
      </c>
      <c r="J1899" s="49" t="str">
        <f t="shared" ca="1" si="1897"/>
        <v/>
      </c>
    </row>
    <row r="1900" spans="1:10" ht="25.5" x14ac:dyDescent="0.2">
      <c r="A1900" s="41" t="s">
        <v>1406</v>
      </c>
      <c r="B1900" s="40"/>
      <c r="C1900" s="40"/>
      <c r="D1900" s="40"/>
      <c r="E1900" s="40"/>
      <c r="F1900" s="49" t="str">
        <f t="shared" ref="F1900:J1900" ca="1" si="1898">IFERROR(__xludf.DUMMYFUNCTION("if (A1900 &lt;&gt; """", GOOGLETRANSLATE(A1900, ""auto"", ""en""), """")"),"smalltalk.appraisal.welcome")</f>
        <v>smalltalk.appraisal.welcome</v>
      </c>
      <c r="G1900" s="49" t="str">
        <f t="shared" ca="1" si="1898"/>
        <v>smalltalk.appraisal.welcome</v>
      </c>
      <c r="H1900" s="49" t="str">
        <f t="shared" ca="1" si="1898"/>
        <v>smalltalk.appraisal.welcome</v>
      </c>
      <c r="I1900" s="49" t="str">
        <f t="shared" ca="1" si="1898"/>
        <v>smalltalk.appraisal.welcome</v>
      </c>
      <c r="J1900" s="49" t="str">
        <f t="shared" ca="1" si="1898"/>
        <v>smalltalk.appraisal.welcome</v>
      </c>
    </row>
    <row r="1901" spans="1:10" ht="12.75" x14ac:dyDescent="0.2">
      <c r="A1901" s="40"/>
      <c r="B1901" s="41" t="s">
        <v>398</v>
      </c>
      <c r="C1901" s="40"/>
      <c r="D1901" s="40"/>
      <c r="E1901" s="40"/>
      <c r="F1901" s="49" t="str">
        <f t="shared" ref="F1901:J1901" ca="1" si="1899">IFERROR(__xludf.DUMMYFUNCTION("if (A1901 &lt;&gt; """", GOOGLETRANSLATE(A1901, ""auto"", ""en""), """")"),"")</f>
        <v/>
      </c>
      <c r="G1901" s="49" t="str">
        <f t="shared" ca="1" si="1899"/>
        <v/>
      </c>
      <c r="H1901" s="49" t="str">
        <f t="shared" ca="1" si="1899"/>
        <v/>
      </c>
      <c r="I1901" s="49" t="str">
        <f t="shared" ca="1" si="1899"/>
        <v/>
      </c>
      <c r="J1901" s="49" t="str">
        <f t="shared" ca="1" si="1899"/>
        <v/>
      </c>
    </row>
    <row r="1902" spans="1:10" ht="12.75" x14ac:dyDescent="0.2">
      <c r="A1902" s="40"/>
      <c r="B1902" s="41" t="s">
        <v>399</v>
      </c>
      <c r="C1902" s="40"/>
      <c r="D1902" s="40"/>
      <c r="E1902" s="40"/>
      <c r="F1902" s="49" t="str">
        <f t="shared" ref="F1902:J1902" ca="1" si="1900">IFERROR(__xludf.DUMMYFUNCTION("if (A1902 &lt;&gt; """", GOOGLETRANSLATE(A1902, ""auto"", ""en""), """")"),"")</f>
        <v/>
      </c>
      <c r="G1902" s="49" t="str">
        <f t="shared" ca="1" si="1900"/>
        <v/>
      </c>
      <c r="H1902" s="49" t="str">
        <f t="shared" ca="1" si="1900"/>
        <v/>
      </c>
      <c r="I1902" s="49" t="str">
        <f t="shared" ca="1" si="1900"/>
        <v/>
      </c>
      <c r="J1902" s="49" t="str">
        <f t="shared" ca="1" si="1900"/>
        <v/>
      </c>
    </row>
    <row r="1903" spans="1:10" ht="12.75" x14ac:dyDescent="0.2">
      <c r="A1903" s="40"/>
      <c r="B1903" s="41" t="s">
        <v>400</v>
      </c>
      <c r="C1903" s="41" t="s">
        <v>1406</v>
      </c>
      <c r="D1903" s="40"/>
      <c r="E1903" s="40"/>
      <c r="F1903" s="49" t="str">
        <f t="shared" ref="F1903:J1903" ca="1" si="1901">IFERROR(__xludf.DUMMYFUNCTION("if (A1903 &lt;&gt; """", GOOGLETRANSLATE(A1903, ""auto"", ""en""), """")"),"")</f>
        <v/>
      </c>
      <c r="G1903" s="49" t="str">
        <f t="shared" ca="1" si="1901"/>
        <v/>
      </c>
      <c r="H1903" s="49" t="str">
        <f t="shared" ca="1" si="1901"/>
        <v/>
      </c>
      <c r="I1903" s="49" t="str">
        <f t="shared" ca="1" si="1901"/>
        <v/>
      </c>
      <c r="J1903" s="49" t="str">
        <f t="shared" ca="1" si="1901"/>
        <v/>
      </c>
    </row>
    <row r="1904" spans="1:10" ht="12.75" x14ac:dyDescent="0.2">
      <c r="A1904" s="40"/>
      <c r="B1904" s="41" t="s">
        <v>401</v>
      </c>
      <c r="C1904" s="40"/>
      <c r="D1904" s="40"/>
      <c r="E1904" s="40"/>
      <c r="F1904" s="49" t="str">
        <f t="shared" ref="F1904:J1904" ca="1" si="1902">IFERROR(__xludf.DUMMYFUNCTION("if (A1904 &lt;&gt; """", GOOGLETRANSLATE(A1904, ""auto"", ""en""), """")"),"")</f>
        <v/>
      </c>
      <c r="G1904" s="49" t="str">
        <f t="shared" ca="1" si="1902"/>
        <v/>
      </c>
      <c r="H1904" s="49" t="str">
        <f t="shared" ca="1" si="1902"/>
        <v/>
      </c>
      <c r="I1904" s="49" t="str">
        <f t="shared" ca="1" si="1902"/>
        <v/>
      </c>
      <c r="J1904" s="49" t="str">
        <f t="shared" ca="1" si="1902"/>
        <v/>
      </c>
    </row>
    <row r="1905" spans="1:10" ht="25.5" x14ac:dyDescent="0.2">
      <c r="A1905" s="41" t="s">
        <v>1407</v>
      </c>
      <c r="B1905" s="41" t="s">
        <v>402</v>
      </c>
      <c r="C1905" s="41" t="s">
        <v>1408</v>
      </c>
      <c r="D1905" s="40"/>
      <c r="E1905" s="40"/>
      <c r="F1905" s="49" t="str">
        <f t="shared" ref="F1905:J1905" ca="1" si="1903">IFERROR(__xludf.DUMMYFUNCTION("if (A1905 &lt;&gt; """", GOOGLETRANSLATE(A1905, ""auto"", ""en""), """")"),"No, not noticing your")</f>
        <v>No, not noticing your</v>
      </c>
      <c r="G1905" s="49" t="str">
        <f t="shared" ca="1" si="1903"/>
        <v>No, not noticing your</v>
      </c>
      <c r="H1905" s="49" t="str">
        <f t="shared" ca="1" si="1903"/>
        <v>No, not noticing your</v>
      </c>
      <c r="I1905" s="49" t="str">
        <f t="shared" ca="1" si="1903"/>
        <v>No, not noticing your</v>
      </c>
      <c r="J1905" s="49" t="str">
        <f t="shared" ca="1" si="1903"/>
        <v>No, not noticing your</v>
      </c>
    </row>
    <row r="1906" spans="1:10" ht="25.5" x14ac:dyDescent="0.2">
      <c r="A1906" s="41" t="s">
        <v>1409</v>
      </c>
      <c r="B1906" s="40"/>
      <c r="C1906" s="40"/>
      <c r="D1906" s="40"/>
      <c r="E1906" s="40"/>
      <c r="F1906" s="49" t="str">
        <f t="shared" ref="F1906:J1906" ca="1" si="1904">IFERROR(__xludf.DUMMYFUNCTION("if (A1906 &lt;&gt; """", GOOGLETRANSLATE(A1906, ""auto"", ""en""), """")"),"Not notice you")</f>
        <v>Not notice you</v>
      </c>
      <c r="G1906" s="49" t="str">
        <f t="shared" ca="1" si="1904"/>
        <v>Not notice you</v>
      </c>
      <c r="H1906" s="49" t="str">
        <f t="shared" ca="1" si="1904"/>
        <v>Not notice you</v>
      </c>
      <c r="I1906" s="49" t="str">
        <f t="shared" ca="1" si="1904"/>
        <v>Not notice you</v>
      </c>
      <c r="J1906" s="49" t="str">
        <f t="shared" ca="1" si="1904"/>
        <v>Not notice you</v>
      </c>
    </row>
    <row r="1907" spans="1:10" ht="25.5" x14ac:dyDescent="0.2">
      <c r="A1907" s="41" t="s">
        <v>1410</v>
      </c>
      <c r="B1907" s="40"/>
      <c r="C1907" s="40"/>
      <c r="D1907" s="40"/>
      <c r="E1907" s="40"/>
      <c r="F1907" s="49" t="str">
        <f t="shared" ref="F1907:J1907" ca="1" si="1905">IFERROR(__xludf.DUMMYFUNCTION("if (A1907 &lt;&gt; """", GOOGLETRANSLATE(A1907, ""auto"", ""en""), """")"),"Anytime my friend")</f>
        <v>Anytime my friend</v>
      </c>
      <c r="G1907" s="49" t="str">
        <f t="shared" ca="1" si="1905"/>
        <v>Anytime my friend</v>
      </c>
      <c r="H1907" s="49" t="str">
        <f t="shared" ca="1" si="1905"/>
        <v>Anytime my friend</v>
      </c>
      <c r="I1907" s="49" t="str">
        <f t="shared" ca="1" si="1905"/>
        <v>Anytime my friend</v>
      </c>
      <c r="J1907" s="49" t="str">
        <f t="shared" ca="1" si="1905"/>
        <v>Anytime my friend</v>
      </c>
    </row>
    <row r="1908" spans="1:10" ht="12.75" x14ac:dyDescent="0.2">
      <c r="A1908" s="41" t="s">
        <v>1411</v>
      </c>
      <c r="B1908" s="40"/>
      <c r="C1908" s="40"/>
      <c r="D1908" s="40"/>
      <c r="E1908" s="40"/>
      <c r="F1908" s="49" t="str">
        <f t="shared" ref="F1908:J1908" ca="1" si="1906">IFERROR(__xludf.DUMMYFUNCTION("if (A1908 &lt;&gt; """", GOOGLETRANSLATE(A1908, ""auto"", ""en""), """")"),"With pleasure")</f>
        <v>With pleasure</v>
      </c>
      <c r="G1908" s="49" t="str">
        <f t="shared" ca="1" si="1906"/>
        <v>With pleasure</v>
      </c>
      <c r="H1908" s="49" t="str">
        <f t="shared" ca="1" si="1906"/>
        <v>With pleasure</v>
      </c>
      <c r="I1908" s="49" t="str">
        <f t="shared" ca="1" si="1906"/>
        <v>With pleasure</v>
      </c>
      <c r="J1908" s="49" t="str">
        <f t="shared" ca="1" si="1906"/>
        <v>With pleasure</v>
      </c>
    </row>
    <row r="1909" spans="1:10" ht="25.5" x14ac:dyDescent="0.2">
      <c r="A1909" s="41" t="s">
        <v>1412</v>
      </c>
      <c r="B1909" s="40"/>
      <c r="C1909" s="40"/>
      <c r="D1909" s="40"/>
      <c r="E1909" s="40"/>
      <c r="F1909" s="49" t="str">
        <f t="shared" ref="F1909:J1909" ca="1" si="1907">IFERROR(__xludf.DUMMYFUNCTION("if (A1909 &lt;&gt; """", GOOGLETRANSLATE(A1909, ""auto"", ""en""), """")"),"You're welcome")</f>
        <v>You're welcome</v>
      </c>
      <c r="G1909" s="49" t="str">
        <f t="shared" ca="1" si="1907"/>
        <v>You're welcome</v>
      </c>
      <c r="H1909" s="49" t="str">
        <f t="shared" ca="1" si="1907"/>
        <v>You're welcome</v>
      </c>
      <c r="I1909" s="49" t="str">
        <f t="shared" ca="1" si="1907"/>
        <v>You're welcome</v>
      </c>
      <c r="J1909" s="49" t="str">
        <f t="shared" ca="1" si="1907"/>
        <v>You're welcome</v>
      </c>
    </row>
    <row r="1910" spans="1:10" ht="12.75" x14ac:dyDescent="0.2">
      <c r="A1910" s="41" t="s">
        <v>1413</v>
      </c>
      <c r="B1910" s="40"/>
      <c r="C1910" s="40"/>
      <c r="D1910" s="40"/>
      <c r="E1910" s="40"/>
      <c r="F1910" s="49" t="str">
        <f t="shared" ref="F1910:J1910" ca="1" si="1908">IFERROR(__xludf.DUMMYFUNCTION("if (A1910 &lt;&gt; """", GOOGLETRANSLATE(A1910, ""auto"", ""en""), """")"),"Welcome")</f>
        <v>Welcome</v>
      </c>
      <c r="G1910" s="49" t="str">
        <f t="shared" ca="1" si="1908"/>
        <v>Welcome</v>
      </c>
      <c r="H1910" s="49" t="str">
        <f t="shared" ca="1" si="1908"/>
        <v>Welcome</v>
      </c>
      <c r="I1910" s="49" t="str">
        <f t="shared" ca="1" si="1908"/>
        <v>Welcome</v>
      </c>
      <c r="J1910" s="49" t="str">
        <f t="shared" ca="1" si="1908"/>
        <v>Welcome</v>
      </c>
    </row>
    <row r="1911" spans="1:10" ht="25.5" x14ac:dyDescent="0.2">
      <c r="A1911" s="41" t="s">
        <v>1414</v>
      </c>
      <c r="B1911" s="40"/>
      <c r="C1911" s="40"/>
      <c r="D1911" s="40"/>
      <c r="E1911" s="40"/>
      <c r="F1911" s="49" t="str">
        <f t="shared" ref="F1911:J1911" ca="1" si="1909">IFERROR(__xludf.DUMMYFUNCTION("if (A1911 &lt;&gt; """", GOOGLETRANSLATE(A1911, ""auto"", ""en""), """")"),"Please do not hesitate to")</f>
        <v>Please do not hesitate to</v>
      </c>
      <c r="G1911" s="49" t="str">
        <f t="shared" ca="1" si="1909"/>
        <v>Please do not hesitate to</v>
      </c>
      <c r="H1911" s="49" t="str">
        <f t="shared" ca="1" si="1909"/>
        <v>Please do not hesitate to</v>
      </c>
      <c r="I1911" s="49" t="str">
        <f t="shared" ca="1" si="1909"/>
        <v>Please do not hesitate to</v>
      </c>
      <c r="J1911" s="49" t="str">
        <f t="shared" ca="1" si="1909"/>
        <v>Please do not hesitate to</v>
      </c>
    </row>
    <row r="1912" spans="1:10" ht="12.75" x14ac:dyDescent="0.2">
      <c r="A1912" s="40"/>
      <c r="B1912" s="40"/>
      <c r="C1912" s="40"/>
      <c r="D1912" s="40"/>
      <c r="E1912" s="40"/>
      <c r="F1912" s="49" t="str">
        <f t="shared" ref="F1912:J1912" ca="1" si="1910">IFERROR(__xludf.DUMMYFUNCTION("if (A1912 &lt;&gt; """", GOOGLETRANSLATE(A1912, ""auto"", ""en""), """")"),"")</f>
        <v/>
      </c>
      <c r="G1912" s="49" t="str">
        <f t="shared" ca="1" si="1910"/>
        <v/>
      </c>
      <c r="H1912" s="49" t="str">
        <f t="shared" ca="1" si="1910"/>
        <v/>
      </c>
      <c r="I1912" s="49" t="str">
        <f t="shared" ca="1" si="1910"/>
        <v/>
      </c>
      <c r="J1912" s="49" t="str">
        <f t="shared" ca="1" si="1910"/>
        <v/>
      </c>
    </row>
    <row r="1913" spans="1:10" ht="38.25" x14ac:dyDescent="0.2">
      <c r="A1913" s="41" t="s">
        <v>1415</v>
      </c>
      <c r="B1913" s="40"/>
      <c r="C1913" s="40"/>
      <c r="D1913" s="40"/>
      <c r="E1913" s="40"/>
      <c r="F1913" s="49" t="str">
        <f t="shared" ref="F1913:J1913" ca="1" si="1911">IFERROR(__xludf.DUMMYFUNCTION("if (A1913 &lt;&gt; """", GOOGLETRANSLATE(A1913, ""auto"", ""en""), """")"),"smalltalk.appraisal.well_done")</f>
        <v>smalltalk.appraisal.well_done</v>
      </c>
      <c r="G1913" s="49" t="str">
        <f t="shared" ca="1" si="1911"/>
        <v>smalltalk.appraisal.well_done</v>
      </c>
      <c r="H1913" s="49" t="str">
        <f t="shared" ca="1" si="1911"/>
        <v>smalltalk.appraisal.well_done</v>
      </c>
      <c r="I1913" s="49" t="str">
        <f t="shared" ca="1" si="1911"/>
        <v>smalltalk.appraisal.well_done</v>
      </c>
      <c r="J1913" s="49" t="str">
        <f t="shared" ca="1" si="1911"/>
        <v>smalltalk.appraisal.well_done</v>
      </c>
    </row>
    <row r="1914" spans="1:10" ht="12.75" x14ac:dyDescent="0.2">
      <c r="A1914" s="40"/>
      <c r="B1914" s="41" t="s">
        <v>398</v>
      </c>
      <c r="C1914" s="40"/>
      <c r="D1914" s="40"/>
      <c r="E1914" s="40"/>
      <c r="F1914" s="49" t="str">
        <f t="shared" ref="F1914:J1914" ca="1" si="1912">IFERROR(__xludf.DUMMYFUNCTION("if (A1914 &lt;&gt; """", GOOGLETRANSLATE(A1914, ""auto"", ""en""), """")"),"")</f>
        <v/>
      </c>
      <c r="G1914" s="49" t="str">
        <f t="shared" ca="1" si="1912"/>
        <v/>
      </c>
      <c r="H1914" s="49" t="str">
        <f t="shared" ca="1" si="1912"/>
        <v/>
      </c>
      <c r="I1914" s="49" t="str">
        <f t="shared" ca="1" si="1912"/>
        <v/>
      </c>
      <c r="J1914" s="49" t="str">
        <f t="shared" ca="1" si="1912"/>
        <v/>
      </c>
    </row>
    <row r="1915" spans="1:10" ht="12.75" x14ac:dyDescent="0.2">
      <c r="A1915" s="40"/>
      <c r="B1915" s="41" t="s">
        <v>399</v>
      </c>
      <c r="C1915" s="40"/>
      <c r="D1915" s="40"/>
      <c r="E1915" s="40"/>
      <c r="F1915" s="49" t="str">
        <f t="shared" ref="F1915:J1915" ca="1" si="1913">IFERROR(__xludf.DUMMYFUNCTION("if (A1915 &lt;&gt; """", GOOGLETRANSLATE(A1915, ""auto"", ""en""), """")"),"")</f>
        <v/>
      </c>
      <c r="G1915" s="49" t="str">
        <f t="shared" ca="1" si="1913"/>
        <v/>
      </c>
      <c r="H1915" s="49" t="str">
        <f t="shared" ca="1" si="1913"/>
        <v/>
      </c>
      <c r="I1915" s="49" t="str">
        <f t="shared" ca="1" si="1913"/>
        <v/>
      </c>
      <c r="J1915" s="49" t="str">
        <f t="shared" ca="1" si="1913"/>
        <v/>
      </c>
    </row>
    <row r="1916" spans="1:10" ht="12.75" x14ac:dyDescent="0.2">
      <c r="A1916" s="40"/>
      <c r="B1916" s="41" t="s">
        <v>400</v>
      </c>
      <c r="C1916" s="41" t="s">
        <v>1415</v>
      </c>
      <c r="D1916" s="40"/>
      <c r="E1916" s="40"/>
      <c r="F1916" s="49" t="str">
        <f t="shared" ref="F1916:J1916" ca="1" si="1914">IFERROR(__xludf.DUMMYFUNCTION("if (A1916 &lt;&gt; """", GOOGLETRANSLATE(A1916, ""auto"", ""en""), """")"),"")</f>
        <v/>
      </c>
      <c r="G1916" s="49" t="str">
        <f t="shared" ca="1" si="1914"/>
        <v/>
      </c>
      <c r="H1916" s="49" t="str">
        <f t="shared" ca="1" si="1914"/>
        <v/>
      </c>
      <c r="I1916" s="49" t="str">
        <f t="shared" ca="1" si="1914"/>
        <v/>
      </c>
      <c r="J1916" s="49" t="str">
        <f t="shared" ca="1" si="1914"/>
        <v/>
      </c>
    </row>
    <row r="1917" spans="1:10" ht="12.75" x14ac:dyDescent="0.2">
      <c r="A1917" s="40"/>
      <c r="B1917" s="41" t="s">
        <v>401</v>
      </c>
      <c r="C1917" s="40"/>
      <c r="D1917" s="40"/>
      <c r="E1917" s="40"/>
      <c r="F1917" s="49" t="str">
        <f t="shared" ref="F1917:J1917" ca="1" si="1915">IFERROR(__xludf.DUMMYFUNCTION("if (A1917 &lt;&gt; """", GOOGLETRANSLATE(A1917, ""auto"", ""en""), """")"),"")</f>
        <v/>
      </c>
      <c r="G1917" s="49" t="str">
        <f t="shared" ca="1" si="1915"/>
        <v/>
      </c>
      <c r="H1917" s="49" t="str">
        <f t="shared" ca="1" si="1915"/>
        <v/>
      </c>
      <c r="I1917" s="49" t="str">
        <f t="shared" ca="1" si="1915"/>
        <v/>
      </c>
      <c r="J1917" s="49" t="str">
        <f t="shared" ca="1" si="1915"/>
        <v/>
      </c>
    </row>
    <row r="1918" spans="1:10" ht="25.5" x14ac:dyDescent="0.2">
      <c r="A1918" s="41" t="s">
        <v>1416</v>
      </c>
      <c r="B1918" s="41" t="s">
        <v>402</v>
      </c>
      <c r="C1918" s="41" t="s">
        <v>1417</v>
      </c>
      <c r="D1918" s="40"/>
      <c r="E1918" s="40"/>
      <c r="F1918" s="49" t="str">
        <f t="shared" ref="F1918:J1918" ca="1" si="1916">IFERROR(__xludf.DUMMYFUNCTION("if (A1918 &lt;&gt; """", GOOGLETRANSLATE(A1918, ""auto"", ""en""), """")"),"Good job")</f>
        <v>Good job</v>
      </c>
      <c r="G1918" s="49" t="str">
        <f t="shared" ca="1" si="1916"/>
        <v>Good job</v>
      </c>
      <c r="H1918" s="49" t="str">
        <f t="shared" ca="1" si="1916"/>
        <v>Good job</v>
      </c>
      <c r="I1918" s="49" t="str">
        <f t="shared" ca="1" si="1916"/>
        <v>Good job</v>
      </c>
      <c r="J1918" s="49" t="str">
        <f t="shared" ca="1" si="1916"/>
        <v>Good job</v>
      </c>
    </row>
    <row r="1919" spans="1:10" ht="12.75" x14ac:dyDescent="0.2">
      <c r="A1919" s="41" t="s">
        <v>1418</v>
      </c>
      <c r="B1919" s="40"/>
      <c r="C1919" s="40"/>
      <c r="D1919" s="40"/>
      <c r="E1919" s="40"/>
      <c r="F1919" s="49" t="str">
        <f t="shared" ref="F1919:J1919" ca="1" si="1917">IFERROR(__xludf.DUMMYFUNCTION("if (A1919 &lt;&gt; """", GOOGLETRANSLATE(A1919, ""auto"", ""en""), """")"),"I'm glad")</f>
        <v>I'm glad</v>
      </c>
      <c r="G1919" s="49" t="str">
        <f t="shared" ca="1" si="1917"/>
        <v>I'm glad</v>
      </c>
      <c r="H1919" s="49" t="str">
        <f t="shared" ca="1" si="1917"/>
        <v>I'm glad</v>
      </c>
      <c r="I1919" s="49" t="str">
        <f t="shared" ca="1" si="1917"/>
        <v>I'm glad</v>
      </c>
      <c r="J1919" s="49" t="str">
        <f t="shared" ca="1" si="1917"/>
        <v>I'm glad</v>
      </c>
    </row>
    <row r="1920" spans="1:10" ht="12.75" x14ac:dyDescent="0.2">
      <c r="A1920" s="41" t="s">
        <v>1419</v>
      </c>
      <c r="B1920" s="40"/>
      <c r="C1920" s="40"/>
      <c r="D1920" s="40"/>
      <c r="E1920" s="40"/>
      <c r="F1920" s="49" t="str">
        <f t="shared" ref="F1920:J1920" ca="1" si="1918">IFERROR(__xludf.DUMMYFUNCTION("if (A1920 &lt;&gt; """", GOOGLETRANSLATE(A1920, ""auto"", ""en""), """")"),"It was luck")</f>
        <v>It was luck</v>
      </c>
      <c r="G1920" s="49" t="str">
        <f t="shared" ca="1" si="1918"/>
        <v>It was luck</v>
      </c>
      <c r="H1920" s="49" t="str">
        <f t="shared" ca="1" si="1918"/>
        <v>It was luck</v>
      </c>
      <c r="I1920" s="49" t="str">
        <f t="shared" ca="1" si="1918"/>
        <v>It was luck</v>
      </c>
      <c r="J1920" s="49" t="str">
        <f t="shared" ca="1" si="1918"/>
        <v>It was luck</v>
      </c>
    </row>
    <row r="1921" spans="1:10" ht="12.75" x14ac:dyDescent="0.2">
      <c r="A1921" s="41" t="s">
        <v>1420</v>
      </c>
      <c r="B1921" s="40"/>
      <c r="C1921" s="40"/>
      <c r="D1921" s="40"/>
      <c r="E1921" s="40"/>
      <c r="F1921" s="49" t="str">
        <f t="shared" ref="F1921:J1921" ca="1" si="1919">IFERROR(__xludf.DUMMYFUNCTION("if (A1921 &lt;&gt; """", GOOGLETRANSLATE(A1921, ""auto"", ""en""), """")"),"We did it")</f>
        <v>We did it</v>
      </c>
      <c r="G1921" s="49" t="str">
        <f t="shared" ca="1" si="1919"/>
        <v>We did it</v>
      </c>
      <c r="H1921" s="49" t="str">
        <f t="shared" ca="1" si="1919"/>
        <v>We did it</v>
      </c>
      <c r="I1921" s="49" t="str">
        <f t="shared" ca="1" si="1919"/>
        <v>We did it</v>
      </c>
      <c r="J1921" s="49" t="str">
        <f t="shared" ca="1" si="1919"/>
        <v>We did it</v>
      </c>
    </row>
    <row r="1922" spans="1:10" ht="12.75" x14ac:dyDescent="0.2">
      <c r="A1922" s="41" t="s">
        <v>1421</v>
      </c>
      <c r="B1922" s="40"/>
      <c r="C1922" s="40"/>
      <c r="D1922" s="40"/>
      <c r="E1922" s="40"/>
      <c r="F1922" s="49" t="str">
        <f t="shared" ref="F1922:J1922" ca="1" si="1920">IFERROR(__xludf.DUMMYFUNCTION("if (A1922 &lt;&gt; """", GOOGLETRANSLATE(A1922, ""auto"", ""en""), """")"),"well done")</f>
        <v>well done</v>
      </c>
      <c r="G1922" s="49" t="str">
        <f t="shared" ca="1" si="1920"/>
        <v>well done</v>
      </c>
      <c r="H1922" s="49" t="str">
        <f t="shared" ca="1" si="1920"/>
        <v>well done</v>
      </c>
      <c r="I1922" s="49" t="str">
        <f t="shared" ca="1" si="1920"/>
        <v>well done</v>
      </c>
      <c r="J1922" s="49" t="str">
        <f t="shared" ca="1" si="1920"/>
        <v>well done</v>
      </c>
    </row>
    <row r="1923" spans="1:10" ht="12.75" x14ac:dyDescent="0.2">
      <c r="A1923" s="41" t="s">
        <v>1422</v>
      </c>
      <c r="B1923" s="40"/>
      <c r="C1923" s="40"/>
      <c r="D1923" s="40"/>
      <c r="E1923" s="40"/>
      <c r="F1923" s="49" t="str">
        <f t="shared" ref="F1923:J1923" ca="1" si="1921">IFERROR(__xludf.DUMMYFUNCTION("if (A1923 &lt;&gt; """", GOOGLETRANSLATE(A1923, ""auto"", ""en""), """")"),"very nice")</f>
        <v>very nice</v>
      </c>
      <c r="G1923" s="49" t="str">
        <f t="shared" ca="1" si="1921"/>
        <v>very nice</v>
      </c>
      <c r="H1923" s="49" t="str">
        <f t="shared" ca="1" si="1921"/>
        <v>very nice</v>
      </c>
      <c r="I1923" s="49" t="str">
        <f t="shared" ca="1" si="1921"/>
        <v>very nice</v>
      </c>
      <c r="J1923" s="49" t="str">
        <f t="shared" ca="1" si="1921"/>
        <v>very nice</v>
      </c>
    </row>
    <row r="1924" spans="1:10" ht="25.5" x14ac:dyDescent="0.2">
      <c r="A1924" s="41" t="s">
        <v>1423</v>
      </c>
      <c r="B1924" s="40"/>
      <c r="C1924" s="40"/>
      <c r="D1924" s="40"/>
      <c r="E1924" s="40"/>
      <c r="F1924" s="49" t="str">
        <f t="shared" ref="F1924:J1924" ca="1" si="1922">IFERROR(__xludf.DUMMYFUNCTION("if (A1924 &lt;&gt; """", GOOGLETRANSLATE(A1924, ""auto"", ""en""), """")"),"Contact is impressive")</f>
        <v>Contact is impressive</v>
      </c>
      <c r="G1924" s="49" t="str">
        <f t="shared" ca="1" si="1922"/>
        <v>Contact is impressive</v>
      </c>
      <c r="H1924" s="49" t="str">
        <f t="shared" ca="1" si="1922"/>
        <v>Contact is impressive</v>
      </c>
      <c r="I1924" s="49" t="str">
        <f t="shared" ca="1" si="1922"/>
        <v>Contact is impressive</v>
      </c>
      <c r="J1924" s="49" t="str">
        <f t="shared" ca="1" si="1922"/>
        <v>Contact is impressive</v>
      </c>
    </row>
    <row r="1925" spans="1:10" ht="12.75" x14ac:dyDescent="0.2">
      <c r="A1925" s="41" t="s">
        <v>1424</v>
      </c>
      <c r="B1925" s="40"/>
      <c r="C1925" s="40"/>
      <c r="D1925" s="40"/>
      <c r="E1925" s="40"/>
      <c r="F1925" s="49" t="str">
        <f t="shared" ref="F1925:J1925" ca="1" si="1923">IFERROR(__xludf.DUMMYFUNCTION("if (A1925 &lt;&gt; """", GOOGLETRANSLATE(A1925, ""auto"", ""en""), """")"),"well done")</f>
        <v>well done</v>
      </c>
      <c r="G1925" s="49" t="str">
        <f t="shared" ca="1" si="1923"/>
        <v>well done</v>
      </c>
      <c r="H1925" s="49" t="str">
        <f t="shared" ca="1" si="1923"/>
        <v>well done</v>
      </c>
      <c r="I1925" s="49" t="str">
        <f t="shared" ca="1" si="1923"/>
        <v>well done</v>
      </c>
      <c r="J1925" s="49" t="str">
        <f t="shared" ca="1" si="1923"/>
        <v>well done</v>
      </c>
    </row>
    <row r="1926" spans="1:10" ht="12.75" x14ac:dyDescent="0.2">
      <c r="A1926" s="41" t="s">
        <v>1425</v>
      </c>
      <c r="B1926" s="40"/>
      <c r="C1926" s="40"/>
      <c r="D1926" s="40"/>
      <c r="E1926" s="40"/>
      <c r="F1926" s="49" t="str">
        <f t="shared" ref="F1926:J1926" ca="1" si="1924">IFERROR(__xludf.DUMMYFUNCTION("if (A1926 &lt;&gt; """", GOOGLETRANSLATE(A1926, ""auto"", ""en""), """")"),"I tried")</f>
        <v>I tried</v>
      </c>
      <c r="G1926" s="49" t="str">
        <f t="shared" ca="1" si="1924"/>
        <v>I tried</v>
      </c>
      <c r="H1926" s="49" t="str">
        <f t="shared" ca="1" si="1924"/>
        <v>I tried</v>
      </c>
      <c r="I1926" s="49" t="str">
        <f t="shared" ca="1" si="1924"/>
        <v>I tried</v>
      </c>
      <c r="J1926" s="49" t="str">
        <f t="shared" ca="1" si="1924"/>
        <v>I tried</v>
      </c>
    </row>
    <row r="1927" spans="1:10" ht="12.75" x14ac:dyDescent="0.2">
      <c r="A1927" s="40"/>
      <c r="B1927" s="40"/>
      <c r="C1927" s="40"/>
      <c r="D1927" s="40"/>
      <c r="E1927" s="40"/>
      <c r="F1927" s="49" t="str">
        <f t="shared" ref="F1927:J1927" ca="1" si="1925">IFERROR(__xludf.DUMMYFUNCTION("if (A1927 &lt;&gt; """", GOOGLETRANSLATE(A1927, ""auto"", ""en""), """")"),"")</f>
        <v/>
      </c>
      <c r="G1927" s="49" t="str">
        <f t="shared" ca="1" si="1925"/>
        <v/>
      </c>
      <c r="H1927" s="49" t="str">
        <f t="shared" ca="1" si="1925"/>
        <v/>
      </c>
      <c r="I1927" s="49" t="str">
        <f t="shared" ca="1" si="1925"/>
        <v/>
      </c>
      <c r="J1927" s="49" t="str">
        <f t="shared" ca="1" si="1925"/>
        <v/>
      </c>
    </row>
    <row r="1928" spans="1:10" ht="25.5" x14ac:dyDescent="0.2">
      <c r="A1928" s="41" t="s">
        <v>1426</v>
      </c>
      <c r="B1928" s="40"/>
      <c r="C1928" s="40"/>
      <c r="D1928" s="40"/>
      <c r="E1928" s="40"/>
      <c r="F1928" s="49" t="str">
        <f t="shared" ref="F1928:J1928" ca="1" si="1926">IFERROR(__xludf.DUMMYFUNCTION("if (A1928 &lt;&gt; """", GOOGLETRANSLATE(A1928, ""auto"", ""en""), """")"),"smalltalk.dialog.come_on")</f>
        <v>smalltalk.dialog.come_on</v>
      </c>
      <c r="G1928" s="49" t="str">
        <f t="shared" ca="1" si="1926"/>
        <v>smalltalk.dialog.come_on</v>
      </c>
      <c r="H1928" s="49" t="str">
        <f t="shared" ca="1" si="1926"/>
        <v>smalltalk.dialog.come_on</v>
      </c>
      <c r="I1928" s="49" t="str">
        <f t="shared" ca="1" si="1926"/>
        <v>smalltalk.dialog.come_on</v>
      </c>
      <c r="J1928" s="49" t="str">
        <f t="shared" ca="1" si="1926"/>
        <v>smalltalk.dialog.come_on</v>
      </c>
    </row>
    <row r="1929" spans="1:10" ht="12.75" x14ac:dyDescent="0.2">
      <c r="A1929" s="40"/>
      <c r="B1929" s="41" t="s">
        <v>398</v>
      </c>
      <c r="C1929" s="40"/>
      <c r="D1929" s="40"/>
      <c r="E1929" s="40"/>
      <c r="F1929" s="49" t="str">
        <f t="shared" ref="F1929:J1929" ca="1" si="1927">IFERROR(__xludf.DUMMYFUNCTION("if (A1929 &lt;&gt; """", GOOGLETRANSLATE(A1929, ""auto"", ""en""), """")"),"")</f>
        <v/>
      </c>
      <c r="G1929" s="49" t="str">
        <f t="shared" ca="1" si="1927"/>
        <v/>
      </c>
      <c r="H1929" s="49" t="str">
        <f t="shared" ca="1" si="1927"/>
        <v/>
      </c>
      <c r="I1929" s="49" t="str">
        <f t="shared" ca="1" si="1927"/>
        <v/>
      </c>
      <c r="J1929" s="49" t="str">
        <f t="shared" ca="1" si="1927"/>
        <v/>
      </c>
    </row>
    <row r="1930" spans="1:10" ht="12.75" x14ac:dyDescent="0.2">
      <c r="A1930" s="40"/>
      <c r="B1930" s="41" t="s">
        <v>399</v>
      </c>
      <c r="C1930" s="40"/>
      <c r="D1930" s="40"/>
      <c r="E1930" s="40"/>
      <c r="F1930" s="49" t="str">
        <f t="shared" ref="F1930:J1930" ca="1" si="1928">IFERROR(__xludf.DUMMYFUNCTION("if (A1930 &lt;&gt; """", GOOGLETRANSLATE(A1930, ""auto"", ""en""), """")"),"")</f>
        <v/>
      </c>
      <c r="G1930" s="49" t="str">
        <f t="shared" ca="1" si="1928"/>
        <v/>
      </c>
      <c r="H1930" s="49" t="str">
        <f t="shared" ca="1" si="1928"/>
        <v/>
      </c>
      <c r="I1930" s="49" t="str">
        <f t="shared" ca="1" si="1928"/>
        <v/>
      </c>
      <c r="J1930" s="49" t="str">
        <f t="shared" ca="1" si="1928"/>
        <v/>
      </c>
    </row>
    <row r="1931" spans="1:10" ht="12.75" x14ac:dyDescent="0.2">
      <c r="A1931" s="40"/>
      <c r="B1931" s="41" t="s">
        <v>400</v>
      </c>
      <c r="C1931" s="41" t="s">
        <v>1426</v>
      </c>
      <c r="D1931" s="40"/>
      <c r="E1931" s="40"/>
      <c r="F1931" s="49" t="str">
        <f t="shared" ref="F1931:J1931" ca="1" si="1929">IFERROR(__xludf.DUMMYFUNCTION("if (A1931 &lt;&gt; """", GOOGLETRANSLATE(A1931, ""auto"", ""en""), """")"),"")</f>
        <v/>
      </c>
      <c r="G1931" s="49" t="str">
        <f t="shared" ca="1" si="1929"/>
        <v/>
      </c>
      <c r="H1931" s="49" t="str">
        <f t="shared" ca="1" si="1929"/>
        <v/>
      </c>
      <c r="I1931" s="49" t="str">
        <f t="shared" ca="1" si="1929"/>
        <v/>
      </c>
      <c r="J1931" s="49" t="str">
        <f t="shared" ca="1" si="1929"/>
        <v/>
      </c>
    </row>
    <row r="1932" spans="1:10" ht="12.75" x14ac:dyDescent="0.2">
      <c r="A1932" s="40"/>
      <c r="B1932" s="41" t="s">
        <v>401</v>
      </c>
      <c r="C1932" s="40"/>
      <c r="D1932" s="40"/>
      <c r="E1932" s="40"/>
      <c r="F1932" s="49" t="str">
        <f t="shared" ref="F1932:J1932" ca="1" si="1930">IFERROR(__xludf.DUMMYFUNCTION("if (A1932 &lt;&gt; """", GOOGLETRANSLATE(A1932, ""auto"", ""en""), """")"),"")</f>
        <v/>
      </c>
      <c r="G1932" s="49" t="str">
        <f t="shared" ca="1" si="1930"/>
        <v/>
      </c>
      <c r="H1932" s="49" t="str">
        <f t="shared" ca="1" si="1930"/>
        <v/>
      </c>
      <c r="I1932" s="49" t="str">
        <f t="shared" ca="1" si="1930"/>
        <v/>
      </c>
      <c r="J1932" s="49" t="str">
        <f t="shared" ca="1" si="1930"/>
        <v/>
      </c>
    </row>
    <row r="1933" spans="1:10" ht="12.75" x14ac:dyDescent="0.2">
      <c r="A1933" s="41" t="s">
        <v>1427</v>
      </c>
      <c r="B1933" s="41" t="s">
        <v>402</v>
      </c>
      <c r="C1933" s="41" t="s">
        <v>1428</v>
      </c>
      <c r="D1933" s="40"/>
      <c r="E1933" s="40"/>
      <c r="F1933" s="49" t="str">
        <f t="shared" ref="F1933:J1933" ca="1" si="1931">IFERROR(__xludf.DUMMYFUNCTION("if (A1933 &lt;&gt; """", GOOGLETRANSLATE(A1933, ""auto"", ""en""), """")"),"Surely")</f>
        <v>Surely</v>
      </c>
      <c r="G1933" s="49" t="str">
        <f t="shared" ca="1" si="1931"/>
        <v>Surely</v>
      </c>
      <c r="H1933" s="49" t="str">
        <f t="shared" ca="1" si="1931"/>
        <v>Surely</v>
      </c>
      <c r="I1933" s="49" t="str">
        <f t="shared" ca="1" si="1931"/>
        <v>Surely</v>
      </c>
      <c r="J1933" s="49" t="str">
        <f t="shared" ca="1" si="1931"/>
        <v>Surely</v>
      </c>
    </row>
    <row r="1934" spans="1:10" ht="12.75" x14ac:dyDescent="0.2">
      <c r="A1934" s="41" t="s">
        <v>1429</v>
      </c>
      <c r="B1934" s="40"/>
      <c r="C1934" s="40"/>
      <c r="D1934" s="40"/>
      <c r="E1934" s="40"/>
      <c r="F1934" s="49" t="str">
        <f t="shared" ref="F1934:J1934" ca="1" si="1932">IFERROR(__xludf.DUMMYFUNCTION("if (A1934 &lt;&gt; """", GOOGLETRANSLATE(A1934, ""auto"", ""en""), """")"),"Hey No way")</f>
        <v>Hey No way</v>
      </c>
      <c r="G1934" s="49" t="str">
        <f t="shared" ca="1" si="1932"/>
        <v>Hey No way</v>
      </c>
      <c r="H1934" s="49" t="str">
        <f t="shared" ca="1" si="1932"/>
        <v>Hey No way</v>
      </c>
      <c r="I1934" s="49" t="str">
        <f t="shared" ca="1" si="1932"/>
        <v>Hey No way</v>
      </c>
      <c r="J1934" s="49" t="str">
        <f t="shared" ca="1" si="1932"/>
        <v>Hey No way</v>
      </c>
    </row>
    <row r="1935" spans="1:10" ht="12.75" x14ac:dyDescent="0.2">
      <c r="A1935" s="41" t="s">
        <v>1430</v>
      </c>
      <c r="B1935" s="40"/>
      <c r="C1935" s="40"/>
      <c r="D1935" s="40"/>
      <c r="E1935" s="40"/>
      <c r="F1935" s="49" t="str">
        <f t="shared" ref="F1935:J1935" ca="1" si="1933">IFERROR(__xludf.DUMMYFUNCTION("if (A1935 &lt;&gt; """", GOOGLETRANSLATE(A1935, ""auto"", ""en""), """")"),"Me stop at")</f>
        <v>Me stop at</v>
      </c>
      <c r="G1935" s="49" t="str">
        <f t="shared" ca="1" si="1933"/>
        <v>Me stop at</v>
      </c>
      <c r="H1935" s="49" t="str">
        <f t="shared" ca="1" si="1933"/>
        <v>Me stop at</v>
      </c>
      <c r="I1935" s="49" t="str">
        <f t="shared" ca="1" si="1933"/>
        <v>Me stop at</v>
      </c>
      <c r="J1935" s="49" t="str">
        <f t="shared" ca="1" si="1933"/>
        <v>Me stop at</v>
      </c>
    </row>
    <row r="1936" spans="1:10" ht="12.75" x14ac:dyDescent="0.2">
      <c r="A1936" s="41" t="s">
        <v>1431</v>
      </c>
      <c r="B1936" s="40"/>
      <c r="C1936" s="40"/>
      <c r="D1936" s="40"/>
      <c r="E1936" s="40"/>
      <c r="F1936" s="49" t="str">
        <f t="shared" ref="F1936:J1936" ca="1" si="1934">IFERROR(__xludf.DUMMYFUNCTION("if (A1936 &lt;&gt; """", GOOGLETRANSLATE(A1936, ""auto"", ""en""), """")"),"C'mon")</f>
        <v>C'mon</v>
      </c>
      <c r="G1936" s="49" t="str">
        <f t="shared" ca="1" si="1934"/>
        <v>C'mon</v>
      </c>
      <c r="H1936" s="49" t="str">
        <f t="shared" ca="1" si="1934"/>
        <v>C'mon</v>
      </c>
      <c r="I1936" s="49" t="str">
        <f t="shared" ca="1" si="1934"/>
        <v>C'mon</v>
      </c>
      <c r="J1936" s="49" t="str">
        <f t="shared" ca="1" si="1934"/>
        <v>C'mon</v>
      </c>
    </row>
    <row r="1937" spans="1:10" ht="25.5" x14ac:dyDescent="0.2">
      <c r="A1937" s="41" t="s">
        <v>1432</v>
      </c>
      <c r="B1937" s="40"/>
      <c r="C1937" s="40"/>
      <c r="D1937" s="40"/>
      <c r="E1937" s="40"/>
      <c r="F1937" s="49" t="str">
        <f t="shared" ref="F1937:J1937" ca="1" si="1935">IFERROR(__xludf.DUMMYFUNCTION("if (A1937 &lt;&gt; """", GOOGLETRANSLATE(A1937, ""auto"", ""en""), """")"),"Give me strength")</f>
        <v>Give me strength</v>
      </c>
      <c r="G1937" s="49" t="str">
        <f t="shared" ca="1" si="1935"/>
        <v>Give me strength</v>
      </c>
      <c r="H1937" s="49" t="str">
        <f t="shared" ca="1" si="1935"/>
        <v>Give me strength</v>
      </c>
      <c r="I1937" s="49" t="str">
        <f t="shared" ca="1" si="1935"/>
        <v>Give me strength</v>
      </c>
      <c r="J1937" s="49" t="str">
        <f t="shared" ca="1" si="1935"/>
        <v>Give me strength</v>
      </c>
    </row>
    <row r="1938" spans="1:10" ht="12.75" x14ac:dyDescent="0.2">
      <c r="A1938" s="40"/>
      <c r="B1938" s="40"/>
      <c r="C1938" s="40"/>
      <c r="D1938" s="40"/>
      <c r="E1938" s="40"/>
      <c r="F1938" s="49" t="str">
        <f t="shared" ref="F1938:J1938" ca="1" si="1936">IFERROR(__xludf.DUMMYFUNCTION("if (A1938 &lt;&gt; """", GOOGLETRANSLATE(A1938, ""auto"", ""en""), """")"),"")</f>
        <v/>
      </c>
      <c r="G1938" s="49" t="str">
        <f t="shared" ca="1" si="1936"/>
        <v/>
      </c>
      <c r="H1938" s="49" t="str">
        <f t="shared" ca="1" si="1936"/>
        <v/>
      </c>
      <c r="I1938" s="49" t="str">
        <f t="shared" ca="1" si="1936"/>
        <v/>
      </c>
      <c r="J1938" s="49" t="str">
        <f t="shared" ca="1" si="1936"/>
        <v/>
      </c>
    </row>
    <row r="1939" spans="1:10" ht="25.5" x14ac:dyDescent="0.2">
      <c r="A1939" s="41" t="s">
        <v>1433</v>
      </c>
      <c r="B1939" s="40"/>
      <c r="C1939" s="40"/>
      <c r="D1939" s="40"/>
      <c r="E1939" s="40"/>
      <c r="F1939" s="49" t="str">
        <f t="shared" ref="F1939:J1939" ca="1" si="1937">IFERROR(__xludf.DUMMYFUNCTION("if (A1939 &lt;&gt; """", GOOGLETRANSLATE(A1939, ""auto"", ""en""), """")"),"smalltalk.dialog.curious")</f>
        <v>smalltalk.dialog.curious</v>
      </c>
      <c r="G1939" s="49" t="str">
        <f t="shared" ca="1" si="1937"/>
        <v>smalltalk.dialog.curious</v>
      </c>
      <c r="H1939" s="49" t="str">
        <f t="shared" ca="1" si="1937"/>
        <v>smalltalk.dialog.curious</v>
      </c>
      <c r="I1939" s="49" t="str">
        <f t="shared" ca="1" si="1937"/>
        <v>smalltalk.dialog.curious</v>
      </c>
      <c r="J1939" s="49" t="str">
        <f t="shared" ca="1" si="1937"/>
        <v>smalltalk.dialog.curious</v>
      </c>
    </row>
    <row r="1940" spans="1:10" ht="12.75" x14ac:dyDescent="0.2">
      <c r="A1940" s="40"/>
      <c r="B1940" s="41" t="s">
        <v>398</v>
      </c>
      <c r="C1940" s="40"/>
      <c r="D1940" s="40"/>
      <c r="E1940" s="40"/>
      <c r="F1940" s="49" t="str">
        <f t="shared" ref="F1940:J1940" ca="1" si="1938">IFERROR(__xludf.DUMMYFUNCTION("if (A1940 &lt;&gt; """", GOOGLETRANSLATE(A1940, ""auto"", ""en""), """")"),"")</f>
        <v/>
      </c>
      <c r="G1940" s="49" t="str">
        <f t="shared" ca="1" si="1938"/>
        <v/>
      </c>
      <c r="H1940" s="49" t="str">
        <f t="shared" ca="1" si="1938"/>
        <v/>
      </c>
      <c r="I1940" s="49" t="str">
        <f t="shared" ca="1" si="1938"/>
        <v/>
      </c>
      <c r="J1940" s="49" t="str">
        <f t="shared" ca="1" si="1938"/>
        <v/>
      </c>
    </row>
    <row r="1941" spans="1:10" ht="12.75" x14ac:dyDescent="0.2">
      <c r="A1941" s="40"/>
      <c r="B1941" s="41" t="s">
        <v>399</v>
      </c>
      <c r="C1941" s="40"/>
      <c r="D1941" s="40"/>
      <c r="E1941" s="40"/>
      <c r="F1941" s="49" t="str">
        <f t="shared" ref="F1941:J1941" ca="1" si="1939">IFERROR(__xludf.DUMMYFUNCTION("if (A1941 &lt;&gt; """", GOOGLETRANSLATE(A1941, ""auto"", ""en""), """")"),"")</f>
        <v/>
      </c>
      <c r="G1941" s="49" t="str">
        <f t="shared" ca="1" si="1939"/>
        <v/>
      </c>
      <c r="H1941" s="49" t="str">
        <f t="shared" ca="1" si="1939"/>
        <v/>
      </c>
      <c r="I1941" s="49" t="str">
        <f t="shared" ca="1" si="1939"/>
        <v/>
      </c>
      <c r="J1941" s="49" t="str">
        <f t="shared" ca="1" si="1939"/>
        <v/>
      </c>
    </row>
    <row r="1942" spans="1:10" ht="12.75" x14ac:dyDescent="0.2">
      <c r="A1942" s="40"/>
      <c r="B1942" s="41" t="s">
        <v>400</v>
      </c>
      <c r="C1942" s="41" t="s">
        <v>1433</v>
      </c>
      <c r="D1942" s="40"/>
      <c r="E1942" s="40"/>
      <c r="F1942" s="49" t="str">
        <f t="shared" ref="F1942:J1942" ca="1" si="1940">IFERROR(__xludf.DUMMYFUNCTION("if (A1942 &lt;&gt; """", GOOGLETRANSLATE(A1942, ""auto"", ""en""), """")"),"")</f>
        <v/>
      </c>
      <c r="G1942" s="49" t="str">
        <f t="shared" ca="1" si="1940"/>
        <v/>
      </c>
      <c r="H1942" s="49" t="str">
        <f t="shared" ca="1" si="1940"/>
        <v/>
      </c>
      <c r="I1942" s="49" t="str">
        <f t="shared" ca="1" si="1940"/>
        <v/>
      </c>
      <c r="J1942" s="49" t="str">
        <f t="shared" ca="1" si="1940"/>
        <v/>
      </c>
    </row>
    <row r="1943" spans="1:10" ht="12.75" x14ac:dyDescent="0.2">
      <c r="A1943" s="40"/>
      <c r="B1943" s="41" t="s">
        <v>401</v>
      </c>
      <c r="C1943" s="40"/>
      <c r="D1943" s="40"/>
      <c r="E1943" s="40"/>
      <c r="F1943" s="49" t="str">
        <f t="shared" ref="F1943:J1943" ca="1" si="1941">IFERROR(__xludf.DUMMYFUNCTION("if (A1943 &lt;&gt; """", GOOGLETRANSLATE(A1943, ""auto"", ""en""), """")"),"")</f>
        <v/>
      </c>
      <c r="G1943" s="49" t="str">
        <f t="shared" ca="1" si="1941"/>
        <v/>
      </c>
      <c r="H1943" s="49" t="str">
        <f t="shared" ca="1" si="1941"/>
        <v/>
      </c>
      <c r="I1943" s="49" t="str">
        <f t="shared" ca="1" si="1941"/>
        <v/>
      </c>
      <c r="J1943" s="49" t="str">
        <f t="shared" ca="1" si="1941"/>
        <v/>
      </c>
    </row>
    <row r="1944" spans="1:10" ht="25.5" x14ac:dyDescent="0.2">
      <c r="A1944" s="41" t="s">
        <v>1434</v>
      </c>
      <c r="B1944" s="41" t="s">
        <v>402</v>
      </c>
      <c r="C1944" s="41" t="s">
        <v>1435</v>
      </c>
      <c r="D1944" s="40"/>
      <c r="E1944" s="40"/>
      <c r="F1944" s="49" t="str">
        <f t="shared" ref="F1944:J1944" ca="1" si="1942">IFERROR(__xludf.DUMMYFUNCTION("if (A1944 &lt;&gt; """", GOOGLETRANSLATE(A1944, ""auto"", ""en""), """")"),"It is very intriguing")</f>
        <v>It is very intriguing</v>
      </c>
      <c r="G1944" s="49" t="str">
        <f t="shared" ca="1" si="1942"/>
        <v>It is very intriguing</v>
      </c>
      <c r="H1944" s="49" t="str">
        <f t="shared" ca="1" si="1942"/>
        <v>It is very intriguing</v>
      </c>
      <c r="I1944" s="49" t="str">
        <f t="shared" ca="1" si="1942"/>
        <v>It is very intriguing</v>
      </c>
      <c r="J1944" s="49" t="str">
        <f t="shared" ca="1" si="1942"/>
        <v>It is very intriguing</v>
      </c>
    </row>
    <row r="1945" spans="1:10" ht="12.75" x14ac:dyDescent="0.2">
      <c r="A1945" s="41" t="s">
        <v>1436</v>
      </c>
      <c r="B1945" s="40"/>
      <c r="C1945" s="40"/>
      <c r="D1945" s="40"/>
      <c r="E1945" s="40"/>
      <c r="F1945" s="49" t="str">
        <f t="shared" ref="F1945:J1945" ca="1" si="1943">IFERROR(__xludf.DUMMYFUNCTION("if (A1945 &lt;&gt; """", GOOGLETRANSLATE(A1945, ""auto"", ""en""), """")"),"Interesting")</f>
        <v>Interesting</v>
      </c>
      <c r="G1945" s="49" t="str">
        <f t="shared" ca="1" si="1943"/>
        <v>Interesting</v>
      </c>
      <c r="H1945" s="49" t="str">
        <f t="shared" ca="1" si="1943"/>
        <v>Interesting</v>
      </c>
      <c r="I1945" s="49" t="str">
        <f t="shared" ca="1" si="1943"/>
        <v>Interesting</v>
      </c>
      <c r="J1945" s="49" t="str">
        <f t="shared" ca="1" si="1943"/>
        <v>Interesting</v>
      </c>
    </row>
    <row r="1946" spans="1:10" ht="12.75" x14ac:dyDescent="0.2">
      <c r="A1946" s="40"/>
      <c r="B1946" s="40"/>
      <c r="C1946" s="40"/>
      <c r="D1946" s="40"/>
      <c r="E1946" s="40"/>
      <c r="F1946" s="49" t="str">
        <f t="shared" ref="F1946:J1946" ca="1" si="1944">IFERROR(__xludf.DUMMYFUNCTION("if (A1946 &lt;&gt; """", GOOGLETRANSLATE(A1946, ""auto"", ""en""), """")"),"")</f>
        <v/>
      </c>
      <c r="G1946" s="49" t="str">
        <f t="shared" ca="1" si="1944"/>
        <v/>
      </c>
      <c r="H1946" s="49" t="str">
        <f t="shared" ca="1" si="1944"/>
        <v/>
      </c>
      <c r="I1946" s="49" t="str">
        <f t="shared" ca="1" si="1944"/>
        <v/>
      </c>
      <c r="J1946" s="49" t="str">
        <f t="shared" ca="1" si="1944"/>
        <v/>
      </c>
    </row>
    <row r="1947" spans="1:10" ht="25.5" x14ac:dyDescent="0.2">
      <c r="A1947" s="41" t="s">
        <v>1437</v>
      </c>
      <c r="B1947" s="40"/>
      <c r="C1947" s="40"/>
      <c r="D1947" s="40"/>
      <c r="E1947" s="40"/>
      <c r="F1947" s="49" t="str">
        <f t="shared" ref="F1947:J1947" ca="1" si="1945">IFERROR(__xludf.DUMMYFUNCTION("if (A1947 &lt;&gt; """", GOOGLETRANSLATE(A1947, ""auto"", ""en""), """")"),"smalltalk.dialog.guess_what")</f>
        <v>smalltalk.dialog.guess_what</v>
      </c>
      <c r="G1947" s="49" t="str">
        <f t="shared" ca="1" si="1945"/>
        <v>smalltalk.dialog.guess_what</v>
      </c>
      <c r="H1947" s="49" t="str">
        <f t="shared" ca="1" si="1945"/>
        <v>smalltalk.dialog.guess_what</v>
      </c>
      <c r="I1947" s="49" t="str">
        <f t="shared" ca="1" si="1945"/>
        <v>smalltalk.dialog.guess_what</v>
      </c>
      <c r="J1947" s="49" t="str">
        <f t="shared" ca="1" si="1945"/>
        <v>smalltalk.dialog.guess_what</v>
      </c>
    </row>
    <row r="1948" spans="1:10" ht="12.75" x14ac:dyDescent="0.2">
      <c r="A1948" s="40"/>
      <c r="B1948" s="41" t="s">
        <v>398</v>
      </c>
      <c r="C1948" s="40"/>
      <c r="D1948" s="40"/>
      <c r="E1948" s="40"/>
      <c r="F1948" s="49" t="str">
        <f t="shared" ref="F1948:J1948" ca="1" si="1946">IFERROR(__xludf.DUMMYFUNCTION("if (A1948 &lt;&gt; """", GOOGLETRANSLATE(A1948, ""auto"", ""en""), """")"),"")</f>
        <v/>
      </c>
      <c r="G1948" s="49" t="str">
        <f t="shared" ca="1" si="1946"/>
        <v/>
      </c>
      <c r="H1948" s="49" t="str">
        <f t="shared" ca="1" si="1946"/>
        <v/>
      </c>
      <c r="I1948" s="49" t="str">
        <f t="shared" ca="1" si="1946"/>
        <v/>
      </c>
      <c r="J1948" s="49" t="str">
        <f t="shared" ca="1" si="1946"/>
        <v/>
      </c>
    </row>
    <row r="1949" spans="1:10" ht="12.75" x14ac:dyDescent="0.2">
      <c r="A1949" s="40"/>
      <c r="B1949" s="41" t="s">
        <v>399</v>
      </c>
      <c r="C1949" s="40"/>
      <c r="D1949" s="40"/>
      <c r="E1949" s="40"/>
      <c r="F1949" s="49" t="str">
        <f t="shared" ref="F1949:J1949" ca="1" si="1947">IFERROR(__xludf.DUMMYFUNCTION("if (A1949 &lt;&gt; """", GOOGLETRANSLATE(A1949, ""auto"", ""en""), """")"),"")</f>
        <v/>
      </c>
      <c r="G1949" s="49" t="str">
        <f t="shared" ca="1" si="1947"/>
        <v/>
      </c>
      <c r="H1949" s="49" t="str">
        <f t="shared" ca="1" si="1947"/>
        <v/>
      </c>
      <c r="I1949" s="49" t="str">
        <f t="shared" ca="1" si="1947"/>
        <v/>
      </c>
      <c r="J1949" s="49" t="str">
        <f t="shared" ca="1" si="1947"/>
        <v/>
      </c>
    </row>
    <row r="1950" spans="1:10" ht="12.75" x14ac:dyDescent="0.2">
      <c r="A1950" s="40"/>
      <c r="B1950" s="41" t="s">
        <v>400</v>
      </c>
      <c r="C1950" s="41" t="s">
        <v>1437</v>
      </c>
      <c r="D1950" s="40"/>
      <c r="E1950" s="40"/>
      <c r="F1950" s="49" t="str">
        <f t="shared" ref="F1950:J1950" ca="1" si="1948">IFERROR(__xludf.DUMMYFUNCTION("if (A1950 &lt;&gt; """", GOOGLETRANSLATE(A1950, ""auto"", ""en""), """")"),"")</f>
        <v/>
      </c>
      <c r="G1950" s="49" t="str">
        <f t="shared" ca="1" si="1948"/>
        <v/>
      </c>
      <c r="H1950" s="49" t="str">
        <f t="shared" ca="1" si="1948"/>
        <v/>
      </c>
      <c r="I1950" s="49" t="str">
        <f t="shared" ca="1" si="1948"/>
        <v/>
      </c>
      <c r="J1950" s="49" t="str">
        <f t="shared" ca="1" si="1948"/>
        <v/>
      </c>
    </row>
    <row r="1951" spans="1:10" ht="12.75" x14ac:dyDescent="0.2">
      <c r="A1951" s="40"/>
      <c r="B1951" s="41" t="s">
        <v>401</v>
      </c>
      <c r="C1951" s="40"/>
      <c r="D1951" s="40"/>
      <c r="E1951" s="40"/>
      <c r="F1951" s="49" t="str">
        <f t="shared" ref="F1951:J1951" ca="1" si="1949">IFERROR(__xludf.DUMMYFUNCTION("if (A1951 &lt;&gt; """", GOOGLETRANSLATE(A1951, ""auto"", ""en""), """")"),"")</f>
        <v/>
      </c>
      <c r="G1951" s="49" t="str">
        <f t="shared" ca="1" si="1949"/>
        <v/>
      </c>
      <c r="H1951" s="49" t="str">
        <f t="shared" ca="1" si="1949"/>
        <v/>
      </c>
      <c r="I1951" s="49" t="str">
        <f t="shared" ca="1" si="1949"/>
        <v/>
      </c>
      <c r="J1951" s="49" t="str">
        <f t="shared" ca="1" si="1949"/>
        <v/>
      </c>
    </row>
    <row r="1952" spans="1:10" ht="51" x14ac:dyDescent="0.2">
      <c r="A1952" s="41" t="s">
        <v>1438</v>
      </c>
      <c r="B1952" s="41" t="s">
        <v>402</v>
      </c>
      <c r="C1952" s="41" t="s">
        <v>1439</v>
      </c>
      <c r="D1952" s="40"/>
      <c r="E1952" s="40"/>
      <c r="F1952" s="49" t="str">
        <f t="shared" ref="F1952:J1952" ca="1" si="1950">IFERROR(__xludf.DUMMYFUNCTION("if (A1952 &lt;&gt; """", GOOGLETRANSLATE(A1952, ""auto"", ""en""), """")"),"I think that what is happening now")</f>
        <v>I think that what is happening now</v>
      </c>
      <c r="G1952" s="49" t="str">
        <f t="shared" ca="1" si="1950"/>
        <v>I think that what is happening now</v>
      </c>
      <c r="H1952" s="49" t="str">
        <f t="shared" ca="1" si="1950"/>
        <v>I think that what is happening now</v>
      </c>
      <c r="I1952" s="49" t="str">
        <f t="shared" ca="1" si="1950"/>
        <v>I think that what is happening now</v>
      </c>
      <c r="J1952" s="49" t="str">
        <f t="shared" ca="1" si="1950"/>
        <v>I think that what is happening now</v>
      </c>
    </row>
    <row r="1953" spans="1:10" ht="38.25" x14ac:dyDescent="0.2">
      <c r="A1953" s="41" t="s">
        <v>1440</v>
      </c>
      <c r="B1953" s="40"/>
      <c r="C1953" s="40"/>
      <c r="D1953" s="40"/>
      <c r="E1953" s="40"/>
      <c r="F1953" s="49" t="str">
        <f t="shared" ref="F1953:J1953" ca="1" si="1951">IFERROR(__xludf.DUMMYFUNCTION("if (A1953 &lt;&gt; """", GOOGLETRANSLATE(A1953, ""auto"", ""en""), """")"),"I would not imagine what happened now")</f>
        <v>I would not imagine what happened now</v>
      </c>
      <c r="G1953" s="49" t="str">
        <f t="shared" ca="1" si="1951"/>
        <v>I would not imagine what happened now</v>
      </c>
      <c r="H1953" s="49" t="str">
        <f t="shared" ca="1" si="1951"/>
        <v>I would not imagine what happened now</v>
      </c>
      <c r="I1953" s="49" t="str">
        <f t="shared" ca="1" si="1951"/>
        <v>I would not imagine what happened now</v>
      </c>
      <c r="J1953" s="49" t="str">
        <f t="shared" ca="1" si="1951"/>
        <v>I would not imagine what happened now</v>
      </c>
    </row>
    <row r="1954" spans="1:10" ht="38.25" x14ac:dyDescent="0.2">
      <c r="A1954" s="41" t="s">
        <v>1441</v>
      </c>
      <c r="B1954" s="40"/>
      <c r="C1954" s="40"/>
      <c r="D1954" s="40"/>
      <c r="E1954" s="40"/>
      <c r="F1954" s="49" t="str">
        <f t="shared" ref="F1954:J1954" ca="1" si="1952">IFERROR(__xludf.DUMMYFUNCTION("if (A1954 &lt;&gt; """", GOOGLETRANSLATE(A1954, ""auto"", ""en""), """")"),"Can you imagine what happened now")</f>
        <v>Can you imagine what happened now</v>
      </c>
      <c r="G1954" s="49" t="str">
        <f t="shared" ca="1" si="1952"/>
        <v>Can you imagine what happened now</v>
      </c>
      <c r="H1954" s="49" t="str">
        <f t="shared" ca="1" si="1952"/>
        <v>Can you imagine what happened now</v>
      </c>
      <c r="I1954" s="49" t="str">
        <f t="shared" ca="1" si="1952"/>
        <v>Can you imagine what happened now</v>
      </c>
      <c r="J1954" s="49" t="str">
        <f t="shared" ca="1" si="1952"/>
        <v>Can you imagine what happened now</v>
      </c>
    </row>
    <row r="1955" spans="1:10" ht="25.5" x14ac:dyDescent="0.2">
      <c r="A1955" s="41" t="s">
        <v>1442</v>
      </c>
      <c r="B1955" s="40"/>
      <c r="C1955" s="40"/>
      <c r="D1955" s="40"/>
      <c r="E1955" s="40"/>
      <c r="F1955" s="49" t="str">
        <f t="shared" ref="F1955:J1955" ca="1" si="1953">IFERROR(__xludf.DUMMYFUNCTION("if (A1955 &lt;&gt; """", GOOGLETRANSLATE(A1955, ""auto"", ""en""), """")"),"I think what happened")</f>
        <v>I think what happened</v>
      </c>
      <c r="G1955" s="49" t="str">
        <f t="shared" ca="1" si="1953"/>
        <v>I think what happened</v>
      </c>
      <c r="H1955" s="49" t="str">
        <f t="shared" ca="1" si="1953"/>
        <v>I think what happened</v>
      </c>
      <c r="I1955" s="49" t="str">
        <f t="shared" ca="1" si="1953"/>
        <v>I think what happened</v>
      </c>
      <c r="J1955" s="49" t="str">
        <f t="shared" ca="1" si="1953"/>
        <v>I think what happened</v>
      </c>
    </row>
    <row r="1956" spans="1:10" ht="12.75" x14ac:dyDescent="0.2">
      <c r="A1956" s="40"/>
      <c r="B1956" s="40"/>
      <c r="C1956" s="40"/>
      <c r="D1956" s="40"/>
      <c r="E1956" s="40"/>
      <c r="F1956" s="49" t="str">
        <f t="shared" ref="F1956:J1956" ca="1" si="1954">IFERROR(__xludf.DUMMYFUNCTION("if (A1956 &lt;&gt; """", GOOGLETRANSLATE(A1956, ""auto"", ""en""), """")"),"")</f>
        <v/>
      </c>
      <c r="G1956" s="49" t="str">
        <f t="shared" ca="1" si="1954"/>
        <v/>
      </c>
      <c r="H1956" s="49" t="str">
        <f t="shared" ca="1" si="1954"/>
        <v/>
      </c>
      <c r="I1956" s="49" t="str">
        <f t="shared" ca="1" si="1954"/>
        <v/>
      </c>
      <c r="J1956" s="49" t="str">
        <f t="shared" ca="1" si="1954"/>
        <v/>
      </c>
    </row>
    <row r="1957" spans="1:10" ht="25.5" x14ac:dyDescent="0.2">
      <c r="A1957" s="41" t="s">
        <v>1443</v>
      </c>
      <c r="B1957" s="40"/>
      <c r="C1957" s="40"/>
      <c r="D1957" s="40"/>
      <c r="E1957" s="40"/>
      <c r="F1957" s="49" t="str">
        <f t="shared" ref="F1957:J1957" ca="1" si="1955">IFERROR(__xludf.DUMMYFUNCTION("if (A1957 &lt;&gt; """", GOOGLETRANSLATE(A1957, ""auto"", ""en""), """")"),"smalltalk.dialog.hold_on")</f>
        <v>smalltalk.dialog.hold_on</v>
      </c>
      <c r="G1957" s="49" t="str">
        <f t="shared" ca="1" si="1955"/>
        <v>smalltalk.dialog.hold_on</v>
      </c>
      <c r="H1957" s="49" t="str">
        <f t="shared" ca="1" si="1955"/>
        <v>smalltalk.dialog.hold_on</v>
      </c>
      <c r="I1957" s="49" t="str">
        <f t="shared" ca="1" si="1955"/>
        <v>smalltalk.dialog.hold_on</v>
      </c>
      <c r="J1957" s="49" t="str">
        <f t="shared" ca="1" si="1955"/>
        <v>smalltalk.dialog.hold_on</v>
      </c>
    </row>
    <row r="1958" spans="1:10" ht="12.75" x14ac:dyDescent="0.2">
      <c r="A1958" s="40"/>
      <c r="B1958" s="41" t="s">
        <v>398</v>
      </c>
      <c r="C1958" s="40"/>
      <c r="D1958" s="40"/>
      <c r="E1958" s="40"/>
      <c r="F1958" s="49" t="str">
        <f t="shared" ref="F1958:J1958" ca="1" si="1956">IFERROR(__xludf.DUMMYFUNCTION("if (A1958 &lt;&gt; """", GOOGLETRANSLATE(A1958, ""auto"", ""en""), """")"),"")</f>
        <v/>
      </c>
      <c r="G1958" s="49" t="str">
        <f t="shared" ca="1" si="1956"/>
        <v/>
      </c>
      <c r="H1958" s="49" t="str">
        <f t="shared" ca="1" si="1956"/>
        <v/>
      </c>
      <c r="I1958" s="49" t="str">
        <f t="shared" ca="1" si="1956"/>
        <v/>
      </c>
      <c r="J1958" s="49" t="str">
        <f t="shared" ca="1" si="1956"/>
        <v/>
      </c>
    </row>
    <row r="1959" spans="1:10" ht="12.75" x14ac:dyDescent="0.2">
      <c r="A1959" s="40"/>
      <c r="B1959" s="41" t="s">
        <v>399</v>
      </c>
      <c r="C1959" s="40"/>
      <c r="D1959" s="40"/>
      <c r="E1959" s="40"/>
      <c r="F1959" s="49" t="str">
        <f t="shared" ref="F1959:J1959" ca="1" si="1957">IFERROR(__xludf.DUMMYFUNCTION("if (A1959 &lt;&gt; """", GOOGLETRANSLATE(A1959, ""auto"", ""en""), """")"),"")</f>
        <v/>
      </c>
      <c r="G1959" s="49" t="str">
        <f t="shared" ca="1" si="1957"/>
        <v/>
      </c>
      <c r="H1959" s="49" t="str">
        <f t="shared" ca="1" si="1957"/>
        <v/>
      </c>
      <c r="I1959" s="49" t="str">
        <f t="shared" ca="1" si="1957"/>
        <v/>
      </c>
      <c r="J1959" s="49" t="str">
        <f t="shared" ca="1" si="1957"/>
        <v/>
      </c>
    </row>
    <row r="1960" spans="1:10" ht="12.75" x14ac:dyDescent="0.2">
      <c r="A1960" s="40"/>
      <c r="B1960" s="41" t="s">
        <v>400</v>
      </c>
      <c r="C1960" s="41" t="s">
        <v>1443</v>
      </c>
      <c r="D1960" s="40"/>
      <c r="E1960" s="40"/>
      <c r="F1960" s="49" t="str">
        <f t="shared" ref="F1960:J1960" ca="1" si="1958">IFERROR(__xludf.DUMMYFUNCTION("if (A1960 &lt;&gt; """", GOOGLETRANSLATE(A1960, ""auto"", ""en""), """")"),"")</f>
        <v/>
      </c>
      <c r="G1960" s="49" t="str">
        <f t="shared" ca="1" si="1958"/>
        <v/>
      </c>
      <c r="H1960" s="49" t="str">
        <f t="shared" ca="1" si="1958"/>
        <v/>
      </c>
      <c r="I1960" s="49" t="str">
        <f t="shared" ca="1" si="1958"/>
        <v/>
      </c>
      <c r="J1960" s="49" t="str">
        <f t="shared" ca="1" si="1958"/>
        <v/>
      </c>
    </row>
    <row r="1961" spans="1:10" ht="12.75" x14ac:dyDescent="0.2">
      <c r="A1961" s="40"/>
      <c r="B1961" s="41" t="s">
        <v>401</v>
      </c>
      <c r="C1961" s="40"/>
      <c r="D1961" s="40"/>
      <c r="E1961" s="40"/>
      <c r="F1961" s="49" t="str">
        <f t="shared" ref="F1961:J1961" ca="1" si="1959">IFERROR(__xludf.DUMMYFUNCTION("if (A1961 &lt;&gt; """", GOOGLETRANSLATE(A1961, ""auto"", ""en""), """")"),"")</f>
        <v/>
      </c>
      <c r="G1961" s="49" t="str">
        <f t="shared" ca="1" si="1959"/>
        <v/>
      </c>
      <c r="H1961" s="49" t="str">
        <f t="shared" ca="1" si="1959"/>
        <v/>
      </c>
      <c r="I1961" s="49" t="str">
        <f t="shared" ca="1" si="1959"/>
        <v/>
      </c>
      <c r="J1961" s="49" t="str">
        <f t="shared" ca="1" si="1959"/>
        <v/>
      </c>
    </row>
    <row r="1962" spans="1:10" ht="12.75" x14ac:dyDescent="0.2">
      <c r="A1962" s="41" t="s">
        <v>1444</v>
      </c>
      <c r="B1962" s="41" t="s">
        <v>402</v>
      </c>
      <c r="C1962" s="41" t="s">
        <v>1445</v>
      </c>
      <c r="D1962" s="40"/>
      <c r="E1962" s="40"/>
      <c r="F1962" s="49" t="str">
        <f t="shared" ref="F1962:J1962" ca="1" si="1960">IFERROR(__xludf.DUMMYFUNCTION("if (A1962 &lt;&gt; """", GOOGLETRANSLATE(A1962, ""auto"", ""en""), """")"),"Wait a minute")</f>
        <v>Wait a minute</v>
      </c>
      <c r="G1962" s="49" t="str">
        <f t="shared" ca="1" si="1960"/>
        <v>Wait a minute</v>
      </c>
      <c r="H1962" s="49" t="str">
        <f t="shared" ca="1" si="1960"/>
        <v>Wait a minute</v>
      </c>
      <c r="I1962" s="49" t="str">
        <f t="shared" ca="1" si="1960"/>
        <v>Wait a minute</v>
      </c>
      <c r="J1962" s="49" t="str">
        <f t="shared" ca="1" si="1960"/>
        <v>Wait a minute</v>
      </c>
    </row>
    <row r="1963" spans="1:10" ht="12.75" x14ac:dyDescent="0.2">
      <c r="A1963" s="41" t="s">
        <v>1446</v>
      </c>
      <c r="B1963" s="40"/>
      <c r="C1963" s="40"/>
      <c r="D1963" s="40"/>
      <c r="E1963" s="40"/>
      <c r="F1963" s="49" t="str">
        <f t="shared" ref="F1963:J1963" ca="1" si="1961">IFERROR(__xludf.DUMMYFUNCTION("if (A1963 &lt;&gt; """", GOOGLETRANSLATE(A1963, ""auto"", ""en""), """")"),"Can you wait")</f>
        <v>Can you wait</v>
      </c>
      <c r="G1963" s="49" t="str">
        <f t="shared" ca="1" si="1961"/>
        <v>Can you wait</v>
      </c>
      <c r="H1963" s="49" t="str">
        <f t="shared" ca="1" si="1961"/>
        <v>Can you wait</v>
      </c>
      <c r="I1963" s="49" t="str">
        <f t="shared" ca="1" si="1961"/>
        <v>Can you wait</v>
      </c>
      <c r="J1963" s="49" t="str">
        <f t="shared" ca="1" si="1961"/>
        <v>Can you wait</v>
      </c>
    </row>
    <row r="1964" spans="1:10" ht="12.75" x14ac:dyDescent="0.2">
      <c r="A1964" s="41" t="s">
        <v>1447</v>
      </c>
      <c r="B1964" s="40"/>
      <c r="C1964" s="40"/>
      <c r="D1964" s="40"/>
      <c r="E1964" s="40"/>
      <c r="F1964" s="49" t="str">
        <f t="shared" ref="F1964:J1964" ca="1" si="1962">IFERROR(__xludf.DUMMYFUNCTION("if (A1964 &lt;&gt; """", GOOGLETRANSLATE(A1964, ""auto"", ""en""), """")"),"please wait")</f>
        <v>please wait</v>
      </c>
      <c r="G1964" s="49" t="str">
        <f t="shared" ca="1" si="1962"/>
        <v>please wait</v>
      </c>
      <c r="H1964" s="49" t="str">
        <f t="shared" ca="1" si="1962"/>
        <v>please wait</v>
      </c>
      <c r="I1964" s="49" t="str">
        <f t="shared" ca="1" si="1962"/>
        <v>please wait</v>
      </c>
      <c r="J1964" s="49" t="str">
        <f t="shared" ca="1" si="1962"/>
        <v>please wait</v>
      </c>
    </row>
    <row r="1965" spans="1:10" ht="12.75" x14ac:dyDescent="0.2">
      <c r="A1965" s="41" t="s">
        <v>1448</v>
      </c>
      <c r="B1965" s="40"/>
      <c r="C1965" s="40"/>
      <c r="D1965" s="40"/>
      <c r="E1965" s="40"/>
      <c r="F1965" s="49" t="str">
        <f t="shared" ref="F1965:J1965" ca="1" si="1963">IFERROR(__xludf.DUMMYFUNCTION("if (A1965 &lt;&gt; """", GOOGLETRANSLATE(A1965, ""auto"", ""en""), """")"),"Please wait")</f>
        <v>Please wait</v>
      </c>
      <c r="G1965" s="49" t="str">
        <f t="shared" ca="1" si="1963"/>
        <v>Please wait</v>
      </c>
      <c r="H1965" s="49" t="str">
        <f t="shared" ca="1" si="1963"/>
        <v>Please wait</v>
      </c>
      <c r="I1965" s="49" t="str">
        <f t="shared" ca="1" si="1963"/>
        <v>Please wait</v>
      </c>
      <c r="J1965" s="49" t="str">
        <f t="shared" ca="1" si="1963"/>
        <v>Please wait</v>
      </c>
    </row>
    <row r="1966" spans="1:10" ht="12.75" x14ac:dyDescent="0.2">
      <c r="A1966" s="41" t="s">
        <v>1449</v>
      </c>
      <c r="B1966" s="40"/>
      <c r="C1966" s="40"/>
      <c r="D1966" s="40"/>
      <c r="E1966" s="40"/>
      <c r="F1966" s="49" t="str">
        <f t="shared" ref="F1966:J1966" ca="1" si="1964">IFERROR(__xludf.DUMMYFUNCTION("if (A1966 &lt;&gt; """", GOOGLETRANSLATE(A1966, ""auto"", ""en""), """")"),"wait")</f>
        <v>wait</v>
      </c>
      <c r="G1966" s="49" t="str">
        <f t="shared" ca="1" si="1964"/>
        <v>wait</v>
      </c>
      <c r="H1966" s="49" t="str">
        <f t="shared" ca="1" si="1964"/>
        <v>wait</v>
      </c>
      <c r="I1966" s="49" t="str">
        <f t="shared" ca="1" si="1964"/>
        <v>wait</v>
      </c>
      <c r="J1966" s="49" t="str">
        <f t="shared" ca="1" si="1964"/>
        <v>wait</v>
      </c>
    </row>
    <row r="1967" spans="1:10" ht="12.75" x14ac:dyDescent="0.2">
      <c r="A1967" s="41" t="s">
        <v>1450</v>
      </c>
      <c r="B1967" s="40"/>
      <c r="C1967" s="40"/>
      <c r="D1967" s="40"/>
      <c r="E1967" s="40"/>
      <c r="F1967" s="49" t="str">
        <f t="shared" ref="F1967:J1967" ca="1" si="1965">IFERROR(__xludf.DUMMYFUNCTION("if (A1967 &lt;&gt; """", GOOGLETRANSLATE(A1967, ""auto"", ""en""), """")"),"Oh, wait")</f>
        <v>Oh, wait</v>
      </c>
      <c r="G1967" s="49" t="str">
        <f t="shared" ca="1" si="1965"/>
        <v>Oh, wait</v>
      </c>
      <c r="H1967" s="49" t="str">
        <f t="shared" ca="1" si="1965"/>
        <v>Oh, wait</v>
      </c>
      <c r="I1967" s="49" t="str">
        <f t="shared" ca="1" si="1965"/>
        <v>Oh, wait</v>
      </c>
      <c r="J1967" s="49" t="str">
        <f t="shared" ca="1" si="1965"/>
        <v>Oh, wait</v>
      </c>
    </row>
    <row r="1968" spans="1:10" ht="25.5" x14ac:dyDescent="0.2">
      <c r="A1968" s="41" t="s">
        <v>1451</v>
      </c>
      <c r="B1968" s="40"/>
      <c r="C1968" s="40"/>
      <c r="D1968" s="40"/>
      <c r="E1968" s="40"/>
      <c r="F1968" s="49" t="str">
        <f t="shared" ref="F1968:J1968" ca="1" si="1966">IFERROR(__xludf.DUMMYFUNCTION("if (A1968 &lt;&gt; """", GOOGLETRANSLATE(A1968, ""auto"", ""en""), """")"),"wait wait please")</f>
        <v>wait wait please</v>
      </c>
      <c r="G1968" s="49" t="str">
        <f t="shared" ca="1" si="1966"/>
        <v>wait wait please</v>
      </c>
      <c r="H1968" s="49" t="str">
        <f t="shared" ca="1" si="1966"/>
        <v>wait wait please</v>
      </c>
      <c r="I1968" s="49" t="str">
        <f t="shared" ca="1" si="1966"/>
        <v>wait wait please</v>
      </c>
      <c r="J1968" s="49" t="str">
        <f t="shared" ca="1" si="1966"/>
        <v>wait wait please</v>
      </c>
    </row>
    <row r="1969" spans="1:10" ht="12.75" x14ac:dyDescent="0.2">
      <c r="A1969" s="40"/>
      <c r="B1969" s="40"/>
      <c r="C1969" s="40"/>
      <c r="D1969" s="40"/>
      <c r="E1969" s="40"/>
      <c r="F1969" s="49" t="str">
        <f t="shared" ref="F1969:J1969" ca="1" si="1967">IFERROR(__xludf.DUMMYFUNCTION("if (A1969 &lt;&gt; """", GOOGLETRANSLATE(A1969, ""auto"", ""en""), """")"),"")</f>
        <v/>
      </c>
      <c r="G1969" s="49" t="str">
        <f t="shared" ca="1" si="1967"/>
        <v/>
      </c>
      <c r="H1969" s="49" t="str">
        <f t="shared" ca="1" si="1967"/>
        <v/>
      </c>
      <c r="I1969" s="49" t="str">
        <f t="shared" ca="1" si="1967"/>
        <v/>
      </c>
      <c r="J1969" s="49" t="str">
        <f t="shared" ca="1" si="1967"/>
        <v/>
      </c>
    </row>
    <row r="1970" spans="1:10" ht="25.5" x14ac:dyDescent="0.2">
      <c r="A1970" s="41" t="s">
        <v>1452</v>
      </c>
      <c r="B1970" s="40"/>
      <c r="C1970" s="40"/>
      <c r="D1970" s="40"/>
      <c r="E1970" s="40"/>
      <c r="F1970" s="49" t="str">
        <f t="shared" ref="F1970:J1970" ca="1" si="1968">IFERROR(__xludf.DUMMYFUNCTION("if (A1970 &lt;&gt; """", GOOGLETRANSLATE(A1970, ""auto"", ""en""), """")"),"smalltalk.dialog.hug")</f>
        <v>smalltalk.dialog.hug</v>
      </c>
      <c r="G1970" s="49" t="str">
        <f t="shared" ca="1" si="1968"/>
        <v>smalltalk.dialog.hug</v>
      </c>
      <c r="H1970" s="49" t="str">
        <f t="shared" ca="1" si="1968"/>
        <v>smalltalk.dialog.hug</v>
      </c>
      <c r="I1970" s="49" t="str">
        <f t="shared" ca="1" si="1968"/>
        <v>smalltalk.dialog.hug</v>
      </c>
      <c r="J1970" s="49" t="str">
        <f t="shared" ca="1" si="1968"/>
        <v>smalltalk.dialog.hug</v>
      </c>
    </row>
    <row r="1971" spans="1:10" ht="12.75" x14ac:dyDescent="0.2">
      <c r="A1971" s="40"/>
      <c r="B1971" s="41" t="s">
        <v>398</v>
      </c>
      <c r="C1971" s="40"/>
      <c r="D1971" s="40"/>
      <c r="E1971" s="40"/>
      <c r="F1971" s="49" t="str">
        <f t="shared" ref="F1971:J1971" ca="1" si="1969">IFERROR(__xludf.DUMMYFUNCTION("if (A1971 &lt;&gt; """", GOOGLETRANSLATE(A1971, ""auto"", ""en""), """")"),"")</f>
        <v/>
      </c>
      <c r="G1971" s="49" t="str">
        <f t="shared" ca="1" si="1969"/>
        <v/>
      </c>
      <c r="H1971" s="49" t="str">
        <f t="shared" ca="1" si="1969"/>
        <v/>
      </c>
      <c r="I1971" s="49" t="str">
        <f t="shared" ca="1" si="1969"/>
        <v/>
      </c>
      <c r="J1971" s="49" t="str">
        <f t="shared" ca="1" si="1969"/>
        <v/>
      </c>
    </row>
    <row r="1972" spans="1:10" ht="12.75" x14ac:dyDescent="0.2">
      <c r="A1972" s="40"/>
      <c r="B1972" s="41" t="s">
        <v>399</v>
      </c>
      <c r="C1972" s="40"/>
      <c r="D1972" s="40"/>
      <c r="E1972" s="40"/>
      <c r="F1972" s="49" t="str">
        <f t="shared" ref="F1972:J1972" ca="1" si="1970">IFERROR(__xludf.DUMMYFUNCTION("if (A1972 &lt;&gt; """", GOOGLETRANSLATE(A1972, ""auto"", ""en""), """")"),"")</f>
        <v/>
      </c>
      <c r="G1972" s="49" t="str">
        <f t="shared" ca="1" si="1970"/>
        <v/>
      </c>
      <c r="H1972" s="49" t="str">
        <f t="shared" ca="1" si="1970"/>
        <v/>
      </c>
      <c r="I1972" s="49" t="str">
        <f t="shared" ca="1" si="1970"/>
        <v/>
      </c>
      <c r="J1972" s="49" t="str">
        <f t="shared" ca="1" si="1970"/>
        <v/>
      </c>
    </row>
    <row r="1973" spans="1:10" ht="12.75" x14ac:dyDescent="0.2">
      <c r="A1973" s="40"/>
      <c r="B1973" s="41" t="s">
        <v>400</v>
      </c>
      <c r="C1973" s="41" t="s">
        <v>1452</v>
      </c>
      <c r="D1973" s="40"/>
      <c r="E1973" s="40"/>
      <c r="F1973" s="49" t="str">
        <f t="shared" ref="F1973:J1973" ca="1" si="1971">IFERROR(__xludf.DUMMYFUNCTION("if (A1973 &lt;&gt; """", GOOGLETRANSLATE(A1973, ""auto"", ""en""), """")"),"")</f>
        <v/>
      </c>
      <c r="G1973" s="49" t="str">
        <f t="shared" ca="1" si="1971"/>
        <v/>
      </c>
      <c r="H1973" s="49" t="str">
        <f t="shared" ca="1" si="1971"/>
        <v/>
      </c>
      <c r="I1973" s="49" t="str">
        <f t="shared" ca="1" si="1971"/>
        <v/>
      </c>
      <c r="J1973" s="49" t="str">
        <f t="shared" ca="1" si="1971"/>
        <v/>
      </c>
    </row>
    <row r="1974" spans="1:10" ht="12.75" x14ac:dyDescent="0.2">
      <c r="A1974" s="40"/>
      <c r="B1974" s="41" t="s">
        <v>401</v>
      </c>
      <c r="C1974" s="40"/>
      <c r="D1974" s="40"/>
      <c r="E1974" s="40"/>
      <c r="F1974" s="49" t="str">
        <f t="shared" ref="F1974:J1974" ca="1" si="1972">IFERROR(__xludf.DUMMYFUNCTION("if (A1974 &lt;&gt; """", GOOGLETRANSLATE(A1974, ""auto"", ""en""), """")"),"")</f>
        <v/>
      </c>
      <c r="G1974" s="49" t="str">
        <f t="shared" ca="1" si="1972"/>
        <v/>
      </c>
      <c r="H1974" s="49" t="str">
        <f t="shared" ca="1" si="1972"/>
        <v/>
      </c>
      <c r="I1974" s="49" t="str">
        <f t="shared" ca="1" si="1972"/>
        <v/>
      </c>
      <c r="J1974" s="49" t="str">
        <f t="shared" ca="1" si="1972"/>
        <v/>
      </c>
    </row>
    <row r="1975" spans="1:10" ht="12.75" x14ac:dyDescent="0.2">
      <c r="A1975" s="41" t="s">
        <v>1453</v>
      </c>
      <c r="B1975" s="41" t="s">
        <v>402</v>
      </c>
      <c r="C1975" s="41" t="s">
        <v>1454</v>
      </c>
      <c r="D1975" s="40"/>
      <c r="E1975" s="40"/>
      <c r="F1975" s="49" t="str">
        <f t="shared" ref="F1975:J1975" ca="1" si="1973">IFERROR(__xludf.DUMMYFUNCTION("if (A1975 &lt;&gt; """", GOOGLETRANSLATE(A1975, ""auto"", ""en""), """")"),"I want to hug")</f>
        <v>I want to hug</v>
      </c>
      <c r="G1975" s="49" t="str">
        <f t="shared" ca="1" si="1973"/>
        <v>I want to hug</v>
      </c>
      <c r="H1975" s="49" t="str">
        <f t="shared" ca="1" si="1973"/>
        <v>I want to hug</v>
      </c>
      <c r="I1975" s="49" t="str">
        <f t="shared" ca="1" si="1973"/>
        <v>I want to hug</v>
      </c>
      <c r="J1975" s="49" t="str">
        <f t="shared" ca="1" si="1973"/>
        <v>I want to hug</v>
      </c>
    </row>
    <row r="1976" spans="1:10" ht="12.75" x14ac:dyDescent="0.2">
      <c r="A1976" s="41" t="s">
        <v>1455</v>
      </c>
      <c r="B1976" s="40"/>
      <c r="C1976" s="40"/>
      <c r="D1976" s="40"/>
      <c r="E1976" s="40"/>
      <c r="F1976" s="49" t="str">
        <f t="shared" ref="F1976:J1976" ca="1" si="1974">IFERROR(__xludf.DUMMYFUNCTION("if (A1976 &lt;&gt; """", GOOGLETRANSLATE(A1976, ""auto"", ""en""), """")"),"To hug")</f>
        <v>To hug</v>
      </c>
      <c r="G1976" s="49" t="str">
        <f t="shared" ca="1" si="1974"/>
        <v>To hug</v>
      </c>
      <c r="H1976" s="49" t="str">
        <f t="shared" ca="1" si="1974"/>
        <v>To hug</v>
      </c>
      <c r="I1976" s="49" t="str">
        <f t="shared" ca="1" si="1974"/>
        <v>To hug</v>
      </c>
      <c r="J1976" s="49" t="str">
        <f t="shared" ca="1" si="1974"/>
        <v>To hug</v>
      </c>
    </row>
    <row r="1977" spans="1:10" ht="25.5" x14ac:dyDescent="0.2">
      <c r="A1977" s="41" t="s">
        <v>1456</v>
      </c>
      <c r="B1977" s="40"/>
      <c r="C1977" s="40"/>
      <c r="D1977" s="40"/>
      <c r="E1977" s="40"/>
      <c r="F1977" s="49" t="str">
        <f t="shared" ref="F1977:J1977" ca="1" si="1975">IFERROR(__xludf.DUMMYFUNCTION("if (A1977 &lt;&gt; """", GOOGLETRANSLATE(A1977, ""auto"", ""en""), """")"),"Do you want to hug")</f>
        <v>Do you want to hug</v>
      </c>
      <c r="G1977" s="49" t="str">
        <f t="shared" ca="1" si="1975"/>
        <v>Do you want to hug</v>
      </c>
      <c r="H1977" s="49" t="str">
        <f t="shared" ca="1" si="1975"/>
        <v>Do you want to hug</v>
      </c>
      <c r="I1977" s="49" t="str">
        <f t="shared" ca="1" si="1975"/>
        <v>Do you want to hug</v>
      </c>
      <c r="J1977" s="49" t="str">
        <f t="shared" ca="1" si="1975"/>
        <v>Do you want to hug</v>
      </c>
    </row>
    <row r="1978" spans="1:10" ht="38.25" x14ac:dyDescent="0.2">
      <c r="A1978" s="41" t="s">
        <v>1457</v>
      </c>
      <c r="B1978" s="40"/>
      <c r="C1978" s="40"/>
      <c r="D1978" s="40"/>
      <c r="E1978" s="40"/>
      <c r="F1978" s="49" t="str">
        <f t="shared" ref="F1978:J1978" ca="1" si="1976">IFERROR(__xludf.DUMMYFUNCTION("if (A1978 &lt;&gt; """", GOOGLETRANSLATE(A1978, ""auto"", ""en""), """")"),"Are you sure you want to hug")</f>
        <v>Are you sure you want to hug</v>
      </c>
      <c r="G1978" s="49" t="str">
        <f t="shared" ca="1" si="1976"/>
        <v>Are you sure you want to hug</v>
      </c>
      <c r="H1978" s="49" t="str">
        <f t="shared" ca="1" si="1976"/>
        <v>Are you sure you want to hug</v>
      </c>
      <c r="I1978" s="49" t="str">
        <f t="shared" ca="1" si="1976"/>
        <v>Are you sure you want to hug</v>
      </c>
      <c r="J1978" s="49" t="str">
        <f t="shared" ca="1" si="1976"/>
        <v>Are you sure you want to hug</v>
      </c>
    </row>
    <row r="1979" spans="1:10" ht="12.75" x14ac:dyDescent="0.2">
      <c r="A1979" s="41" t="s">
        <v>1458</v>
      </c>
      <c r="B1979" s="40"/>
      <c r="C1979" s="40"/>
      <c r="D1979" s="40"/>
      <c r="E1979" s="40"/>
      <c r="F1979" s="49" t="str">
        <f t="shared" ref="F1979:J1979" ca="1" si="1977">IFERROR(__xludf.DUMMYFUNCTION("if (A1979 &lt;&gt; """", GOOGLETRANSLATE(A1979, ""auto"", ""en""), """")"),"Will you hug")</f>
        <v>Will you hug</v>
      </c>
      <c r="G1979" s="49" t="str">
        <f t="shared" ca="1" si="1977"/>
        <v>Will you hug</v>
      </c>
      <c r="H1979" s="49" t="str">
        <f t="shared" ca="1" si="1977"/>
        <v>Will you hug</v>
      </c>
      <c r="I1979" s="49" t="str">
        <f t="shared" ca="1" si="1977"/>
        <v>Will you hug</v>
      </c>
      <c r="J1979" s="49" t="str">
        <f t="shared" ca="1" si="1977"/>
        <v>Will you hug</v>
      </c>
    </row>
    <row r="1980" spans="1:10" ht="12.75" x14ac:dyDescent="0.2">
      <c r="A1980" s="41" t="s">
        <v>1459</v>
      </c>
      <c r="B1980" s="40"/>
      <c r="C1980" s="40"/>
      <c r="D1980" s="40"/>
      <c r="E1980" s="40"/>
      <c r="F1980" s="49" t="str">
        <f t="shared" ref="F1980:J1980" ca="1" si="1978">IFERROR(__xludf.DUMMYFUNCTION("if (A1980 &lt;&gt; """", GOOGLETRANSLATE(A1980, ""auto"", ""en""), """")"),"I want to hug")</f>
        <v>I want to hug</v>
      </c>
      <c r="G1980" s="49" t="str">
        <f t="shared" ca="1" si="1978"/>
        <v>I want to hug</v>
      </c>
      <c r="H1980" s="49" t="str">
        <f t="shared" ca="1" si="1978"/>
        <v>I want to hug</v>
      </c>
      <c r="I1980" s="49" t="str">
        <f t="shared" ca="1" si="1978"/>
        <v>I want to hug</v>
      </c>
      <c r="J1980" s="49" t="str">
        <f t="shared" ca="1" si="1978"/>
        <v>I want to hug</v>
      </c>
    </row>
    <row r="1981" spans="1:10" ht="12.75" x14ac:dyDescent="0.2">
      <c r="A1981" s="41" t="s">
        <v>1460</v>
      </c>
      <c r="B1981" s="40"/>
      <c r="C1981" s="40"/>
      <c r="D1981" s="40"/>
      <c r="E1981" s="40"/>
      <c r="F1981" s="49" t="str">
        <f t="shared" ref="F1981:J1981" ca="1" si="1979">IFERROR(__xludf.DUMMYFUNCTION("if (A1981 &lt;&gt; """", GOOGLETRANSLATE(A1981, ""auto"", ""en""), """")"),"hug")</f>
        <v>hug</v>
      </c>
      <c r="G1981" s="49" t="str">
        <f t="shared" ca="1" si="1979"/>
        <v>hug</v>
      </c>
      <c r="H1981" s="49" t="str">
        <f t="shared" ca="1" si="1979"/>
        <v>hug</v>
      </c>
      <c r="I1981" s="49" t="str">
        <f t="shared" ca="1" si="1979"/>
        <v>hug</v>
      </c>
      <c r="J1981" s="49" t="str">
        <f t="shared" ca="1" si="1979"/>
        <v>hug</v>
      </c>
    </row>
    <row r="1982" spans="1:10" ht="12.75" x14ac:dyDescent="0.2">
      <c r="A1982" s="41" t="s">
        <v>1461</v>
      </c>
      <c r="B1982" s="40"/>
      <c r="C1982" s="40"/>
      <c r="D1982" s="40"/>
      <c r="E1982" s="40"/>
      <c r="F1982" s="49" t="str">
        <f t="shared" ref="F1982:J1982" ca="1" si="1980">IFERROR(__xludf.DUMMYFUNCTION("if (A1982 &lt;&gt; """", GOOGLETRANSLATE(A1982, ""auto"", ""en""), """")"),"Give me a hug")</f>
        <v>Give me a hug</v>
      </c>
      <c r="G1982" s="49" t="str">
        <f t="shared" ca="1" si="1980"/>
        <v>Give me a hug</v>
      </c>
      <c r="H1982" s="49" t="str">
        <f t="shared" ca="1" si="1980"/>
        <v>Give me a hug</v>
      </c>
      <c r="I1982" s="49" t="str">
        <f t="shared" ca="1" si="1980"/>
        <v>Give me a hug</v>
      </c>
      <c r="J1982" s="49" t="str">
        <f t="shared" ca="1" si="1980"/>
        <v>Give me a hug</v>
      </c>
    </row>
    <row r="1983" spans="1:10" ht="12.75" x14ac:dyDescent="0.2">
      <c r="A1983" s="40"/>
      <c r="B1983" s="40"/>
      <c r="C1983" s="40"/>
      <c r="D1983" s="40"/>
      <c r="E1983" s="40"/>
      <c r="F1983" s="49" t="str">
        <f t="shared" ref="F1983:J1983" ca="1" si="1981">IFERROR(__xludf.DUMMYFUNCTION("if (A1983 &lt;&gt; """", GOOGLETRANSLATE(A1983, ""auto"", ""en""), """")"),"")</f>
        <v/>
      </c>
      <c r="G1983" s="49" t="str">
        <f t="shared" ca="1" si="1981"/>
        <v/>
      </c>
      <c r="H1983" s="49" t="str">
        <f t="shared" ca="1" si="1981"/>
        <v/>
      </c>
      <c r="I1983" s="49" t="str">
        <f t="shared" ca="1" si="1981"/>
        <v/>
      </c>
      <c r="J1983" s="49" t="str">
        <f t="shared" ca="1" si="1981"/>
        <v/>
      </c>
    </row>
    <row r="1984" spans="1:10" ht="38.25" x14ac:dyDescent="0.2">
      <c r="A1984" s="41" t="s">
        <v>1462</v>
      </c>
      <c r="B1984" s="40"/>
      <c r="C1984" s="40"/>
      <c r="D1984" s="40"/>
      <c r="E1984" s="40"/>
      <c r="F1984" s="49" t="str">
        <f t="shared" ref="F1984:J1984" ca="1" si="1982">IFERROR(__xludf.DUMMYFUNCTION("if (A1984 &lt;&gt; """", GOOGLETRANSLATE(A1984, ""auto"", ""en""), """")"),"smalltalk.dialog.i_do_not_care")</f>
        <v>smalltalk.dialog.i_do_not_care</v>
      </c>
      <c r="G1984" s="49" t="str">
        <f t="shared" ca="1" si="1982"/>
        <v>smalltalk.dialog.i_do_not_care</v>
      </c>
      <c r="H1984" s="49" t="str">
        <f t="shared" ca="1" si="1982"/>
        <v>smalltalk.dialog.i_do_not_care</v>
      </c>
      <c r="I1984" s="49" t="str">
        <f t="shared" ca="1" si="1982"/>
        <v>smalltalk.dialog.i_do_not_care</v>
      </c>
      <c r="J1984" s="49" t="str">
        <f t="shared" ca="1" si="1982"/>
        <v>smalltalk.dialog.i_do_not_care</v>
      </c>
    </row>
    <row r="1985" spans="1:10" ht="12.75" x14ac:dyDescent="0.2">
      <c r="A1985" s="40"/>
      <c r="B1985" s="41" t="s">
        <v>398</v>
      </c>
      <c r="C1985" s="40"/>
      <c r="D1985" s="40"/>
      <c r="E1985" s="40"/>
      <c r="F1985" s="49" t="str">
        <f t="shared" ref="F1985:J1985" ca="1" si="1983">IFERROR(__xludf.DUMMYFUNCTION("if (A1985 &lt;&gt; """", GOOGLETRANSLATE(A1985, ""auto"", ""en""), """")"),"")</f>
        <v/>
      </c>
      <c r="G1985" s="49" t="str">
        <f t="shared" ca="1" si="1983"/>
        <v/>
      </c>
      <c r="H1985" s="49" t="str">
        <f t="shared" ca="1" si="1983"/>
        <v/>
      </c>
      <c r="I1985" s="49" t="str">
        <f t="shared" ca="1" si="1983"/>
        <v/>
      </c>
      <c r="J1985" s="49" t="str">
        <f t="shared" ca="1" si="1983"/>
        <v/>
      </c>
    </row>
    <row r="1986" spans="1:10" ht="12.75" x14ac:dyDescent="0.2">
      <c r="A1986" s="40"/>
      <c r="B1986" s="41" t="s">
        <v>399</v>
      </c>
      <c r="C1986" s="40"/>
      <c r="D1986" s="40"/>
      <c r="E1986" s="40"/>
      <c r="F1986" s="49" t="str">
        <f t="shared" ref="F1986:J1986" ca="1" si="1984">IFERROR(__xludf.DUMMYFUNCTION("if (A1986 &lt;&gt; """", GOOGLETRANSLATE(A1986, ""auto"", ""en""), """")"),"")</f>
        <v/>
      </c>
      <c r="G1986" s="49" t="str">
        <f t="shared" ca="1" si="1984"/>
        <v/>
      </c>
      <c r="H1986" s="49" t="str">
        <f t="shared" ca="1" si="1984"/>
        <v/>
      </c>
      <c r="I1986" s="49" t="str">
        <f t="shared" ca="1" si="1984"/>
        <v/>
      </c>
      <c r="J1986" s="49" t="str">
        <f t="shared" ca="1" si="1984"/>
        <v/>
      </c>
    </row>
    <row r="1987" spans="1:10" ht="12.75" x14ac:dyDescent="0.2">
      <c r="A1987" s="40"/>
      <c r="B1987" s="41" t="s">
        <v>400</v>
      </c>
      <c r="C1987" s="41" t="s">
        <v>1462</v>
      </c>
      <c r="D1987" s="40"/>
      <c r="E1987" s="40"/>
      <c r="F1987" s="49" t="str">
        <f t="shared" ref="F1987:J1987" ca="1" si="1985">IFERROR(__xludf.DUMMYFUNCTION("if (A1987 &lt;&gt; """", GOOGLETRANSLATE(A1987, ""auto"", ""en""), """")"),"")</f>
        <v/>
      </c>
      <c r="G1987" s="49" t="str">
        <f t="shared" ca="1" si="1985"/>
        <v/>
      </c>
      <c r="H1987" s="49" t="str">
        <f t="shared" ca="1" si="1985"/>
        <v/>
      </c>
      <c r="I1987" s="49" t="str">
        <f t="shared" ca="1" si="1985"/>
        <v/>
      </c>
      <c r="J1987" s="49" t="str">
        <f t="shared" ca="1" si="1985"/>
        <v/>
      </c>
    </row>
    <row r="1988" spans="1:10" ht="12.75" x14ac:dyDescent="0.2">
      <c r="A1988" s="40"/>
      <c r="B1988" s="41" t="s">
        <v>401</v>
      </c>
      <c r="C1988" s="40"/>
      <c r="D1988" s="40"/>
      <c r="E1988" s="40"/>
      <c r="F1988" s="49" t="str">
        <f t="shared" ref="F1988:J1988" ca="1" si="1986">IFERROR(__xludf.DUMMYFUNCTION("if (A1988 &lt;&gt; """", GOOGLETRANSLATE(A1988, ""auto"", ""en""), """")"),"")</f>
        <v/>
      </c>
      <c r="G1988" s="49" t="str">
        <f t="shared" ca="1" si="1986"/>
        <v/>
      </c>
      <c r="H1988" s="49" t="str">
        <f t="shared" ca="1" si="1986"/>
        <v/>
      </c>
      <c r="I1988" s="49" t="str">
        <f t="shared" ca="1" si="1986"/>
        <v/>
      </c>
      <c r="J1988" s="49" t="str">
        <f t="shared" ca="1" si="1986"/>
        <v/>
      </c>
    </row>
    <row r="1989" spans="1:10" ht="12.75" x14ac:dyDescent="0.2">
      <c r="A1989" s="41" t="s">
        <v>1463</v>
      </c>
      <c r="B1989" s="41" t="s">
        <v>402</v>
      </c>
      <c r="C1989" s="41" t="s">
        <v>1408</v>
      </c>
      <c r="D1989" s="40"/>
      <c r="E1989" s="40"/>
      <c r="F1989" s="49" t="str">
        <f t="shared" ref="F1989:J1989" ca="1" si="1987">IFERROR(__xludf.DUMMYFUNCTION("if (A1989 &lt;&gt; """", GOOGLETRANSLATE(A1989, ""auto"", ""en""), """")"),"I do not care")</f>
        <v>I do not care</v>
      </c>
      <c r="G1989" s="49" t="str">
        <f t="shared" ca="1" si="1987"/>
        <v>I do not care</v>
      </c>
      <c r="H1989" s="49" t="str">
        <f t="shared" ca="1" si="1987"/>
        <v>I do not care</v>
      </c>
      <c r="I1989" s="49" t="str">
        <f t="shared" ca="1" si="1987"/>
        <v>I do not care</v>
      </c>
      <c r="J1989" s="49" t="str">
        <f t="shared" ca="1" si="1987"/>
        <v>I do not care</v>
      </c>
    </row>
    <row r="1990" spans="1:10" ht="25.5" x14ac:dyDescent="0.2">
      <c r="A1990" s="41" t="s">
        <v>1464</v>
      </c>
      <c r="B1990" s="40"/>
      <c r="C1990" s="40"/>
      <c r="D1990" s="40"/>
      <c r="E1990" s="40"/>
      <c r="F1990" s="49" t="str">
        <f t="shared" ref="F1990:J1990" ca="1" si="1988">IFERROR(__xludf.DUMMYFUNCTION("if (A1990 &lt;&gt; """", GOOGLETRANSLATE(A1990, ""auto"", ""en""), """")"),"So that we do not care")</f>
        <v>So that we do not care</v>
      </c>
      <c r="G1990" s="49" t="str">
        <f t="shared" ca="1" si="1988"/>
        <v>So that we do not care</v>
      </c>
      <c r="H1990" s="49" t="str">
        <f t="shared" ca="1" si="1988"/>
        <v>So that we do not care</v>
      </c>
      <c r="I1990" s="49" t="str">
        <f t="shared" ca="1" si="1988"/>
        <v>So that we do not care</v>
      </c>
      <c r="J1990" s="49" t="str">
        <f t="shared" ca="1" si="1988"/>
        <v>So that we do not care</v>
      </c>
    </row>
    <row r="1991" spans="1:10" ht="25.5" x14ac:dyDescent="0.2">
      <c r="A1991" s="41" t="s">
        <v>1465</v>
      </c>
      <c r="B1991" s="40"/>
      <c r="C1991" s="40"/>
      <c r="D1991" s="40"/>
      <c r="E1991" s="40"/>
      <c r="F1991" s="49" t="str">
        <f t="shared" ref="F1991:J1991" ca="1" si="1989">IFERROR(__xludf.DUMMYFUNCTION("if (A1991 &lt;&gt; """", GOOGLETRANSLATE(A1991, ""auto"", ""en""), """")"),"Does not matter")</f>
        <v>Does not matter</v>
      </c>
      <c r="G1991" s="49" t="str">
        <f t="shared" ca="1" si="1989"/>
        <v>Does not matter</v>
      </c>
      <c r="H1991" s="49" t="str">
        <f t="shared" ca="1" si="1989"/>
        <v>Does not matter</v>
      </c>
      <c r="I1991" s="49" t="str">
        <f t="shared" ca="1" si="1989"/>
        <v>Does not matter</v>
      </c>
      <c r="J1991" s="49" t="str">
        <f t="shared" ca="1" si="1989"/>
        <v>Does not matter</v>
      </c>
    </row>
    <row r="1992" spans="1:10" ht="12.75" x14ac:dyDescent="0.2">
      <c r="A1992" s="41" t="s">
        <v>1466</v>
      </c>
      <c r="B1992" s="40"/>
      <c r="C1992" s="40"/>
      <c r="D1992" s="40"/>
      <c r="E1992" s="40"/>
      <c r="F1992" s="49" t="str">
        <f t="shared" ref="F1992:J1992" ca="1" si="1990">IFERROR(__xludf.DUMMYFUNCTION("if (A1992 &lt;&gt; """", GOOGLETRANSLATE(A1992, ""auto"", ""en""), """")"),"I do not mind")</f>
        <v>I do not mind</v>
      </c>
      <c r="G1992" s="49" t="str">
        <f t="shared" ca="1" si="1990"/>
        <v>I do not mind</v>
      </c>
      <c r="H1992" s="49" t="str">
        <f t="shared" ca="1" si="1990"/>
        <v>I do not mind</v>
      </c>
      <c r="I1992" s="49" t="str">
        <f t="shared" ca="1" si="1990"/>
        <v>I do not mind</v>
      </c>
      <c r="J1992" s="49" t="str">
        <f t="shared" ca="1" si="1990"/>
        <v>I do not mind</v>
      </c>
    </row>
    <row r="1993" spans="1:10" ht="25.5" x14ac:dyDescent="0.2">
      <c r="A1993" s="41" t="s">
        <v>1467</v>
      </c>
      <c r="B1993" s="40"/>
      <c r="C1993" s="40"/>
      <c r="D1993" s="40"/>
      <c r="E1993" s="40"/>
      <c r="F1993" s="49" t="str">
        <f t="shared" ref="F1993:J1993" ca="1" si="1991">IFERROR(__xludf.DUMMYFUNCTION("if (A1993 &lt;&gt; """", GOOGLETRANSLATE(A1993, ""auto"", ""en""), """")"),"It does not matter at all")</f>
        <v>It does not matter at all</v>
      </c>
      <c r="G1993" s="49" t="str">
        <f t="shared" ca="1" si="1991"/>
        <v>It does not matter at all</v>
      </c>
      <c r="H1993" s="49" t="str">
        <f t="shared" ca="1" si="1991"/>
        <v>It does not matter at all</v>
      </c>
      <c r="I1993" s="49" t="str">
        <f t="shared" ca="1" si="1991"/>
        <v>It does not matter at all</v>
      </c>
      <c r="J1993" s="49" t="str">
        <f t="shared" ca="1" si="1991"/>
        <v>It does not matter at all</v>
      </c>
    </row>
    <row r="1994" spans="1:10" ht="25.5" x14ac:dyDescent="0.2">
      <c r="A1994" s="41" t="s">
        <v>1468</v>
      </c>
      <c r="B1994" s="40"/>
      <c r="C1994" s="40"/>
      <c r="D1994" s="40"/>
      <c r="E1994" s="40"/>
      <c r="F1994" s="49" t="str">
        <f t="shared" ref="F1994:J1994" ca="1" si="1992">IFERROR(__xludf.DUMMYFUNCTION("if (A1994 &lt;&gt; """", GOOGLETRANSLATE(A1994, ""auto"", ""en""), """")"),"It does not matter")</f>
        <v>It does not matter</v>
      </c>
      <c r="G1994" s="49" t="str">
        <f t="shared" ca="1" si="1992"/>
        <v>It does not matter</v>
      </c>
      <c r="H1994" s="49" t="str">
        <f t="shared" ca="1" si="1992"/>
        <v>It does not matter</v>
      </c>
      <c r="I1994" s="49" t="str">
        <f t="shared" ca="1" si="1992"/>
        <v>It does not matter</v>
      </c>
      <c r="J1994" s="49" t="str">
        <f t="shared" ca="1" si="1992"/>
        <v>It does not matter</v>
      </c>
    </row>
    <row r="1995" spans="1:10" ht="25.5" x14ac:dyDescent="0.2">
      <c r="A1995" s="41" t="s">
        <v>1469</v>
      </c>
      <c r="B1995" s="40"/>
      <c r="C1995" s="40"/>
      <c r="D1995" s="40"/>
      <c r="E1995" s="40"/>
      <c r="F1995" s="49" t="str">
        <f t="shared" ref="F1995:J1995" ca="1" si="1993">IFERROR(__xludf.DUMMYFUNCTION("if (A1995 &lt;&gt; """", GOOGLETRANSLATE(A1995, ""auto"", ""en""), """")"),"It does not matter at all")</f>
        <v>It does not matter at all</v>
      </c>
      <c r="G1995" s="49" t="str">
        <f t="shared" ca="1" si="1993"/>
        <v>It does not matter at all</v>
      </c>
      <c r="H1995" s="49" t="str">
        <f t="shared" ca="1" si="1993"/>
        <v>It does not matter at all</v>
      </c>
      <c r="I1995" s="49" t="str">
        <f t="shared" ca="1" si="1993"/>
        <v>It does not matter at all</v>
      </c>
      <c r="J1995" s="49" t="str">
        <f t="shared" ca="1" si="1993"/>
        <v>It does not matter at all</v>
      </c>
    </row>
    <row r="1996" spans="1:10" ht="25.5" x14ac:dyDescent="0.2">
      <c r="A1996" s="41" t="s">
        <v>1470</v>
      </c>
      <c r="B1996" s="40"/>
      <c r="C1996" s="40"/>
      <c r="D1996" s="40"/>
      <c r="E1996" s="40"/>
      <c r="F1996" s="49" t="str">
        <f t="shared" ref="F1996:J1996" ca="1" si="1994">IFERROR(__xludf.DUMMYFUNCTION("if (A1996 &lt;&gt; """", GOOGLETRANSLATE(A1996, ""auto"", ""en""), """")"),"I do not care at all")</f>
        <v>I do not care at all</v>
      </c>
      <c r="G1996" s="49" t="str">
        <f t="shared" ca="1" si="1994"/>
        <v>I do not care at all</v>
      </c>
      <c r="H1996" s="49" t="str">
        <f t="shared" ca="1" si="1994"/>
        <v>I do not care at all</v>
      </c>
      <c r="I1996" s="49" t="str">
        <f t="shared" ca="1" si="1994"/>
        <v>I do not care at all</v>
      </c>
      <c r="J1996" s="49" t="str">
        <f t="shared" ca="1" si="1994"/>
        <v>I do not care at all</v>
      </c>
    </row>
    <row r="1997" spans="1:10" ht="25.5" x14ac:dyDescent="0.2">
      <c r="A1997" s="41" t="s">
        <v>1471</v>
      </c>
      <c r="B1997" s="40"/>
      <c r="C1997" s="40"/>
      <c r="D1997" s="40"/>
      <c r="E1997" s="40"/>
      <c r="F1997" s="49" t="str">
        <f t="shared" ref="F1997:J1997" ca="1" si="1995">IFERROR(__xludf.DUMMYFUNCTION("if (A1997 &lt;&gt; """", GOOGLETRANSLATE(A1997, ""auto"", ""en""), """")"),"I do not care at all")</f>
        <v>I do not care at all</v>
      </c>
      <c r="G1997" s="49" t="str">
        <f t="shared" ca="1" si="1995"/>
        <v>I do not care at all</v>
      </c>
      <c r="H1997" s="49" t="str">
        <f t="shared" ca="1" si="1995"/>
        <v>I do not care at all</v>
      </c>
      <c r="I1997" s="49" t="str">
        <f t="shared" ca="1" si="1995"/>
        <v>I do not care at all</v>
      </c>
      <c r="J1997" s="49" t="str">
        <f t="shared" ca="1" si="1995"/>
        <v>I do not care at all</v>
      </c>
    </row>
    <row r="1998" spans="1:10" ht="12.75" x14ac:dyDescent="0.2">
      <c r="A1998" s="40"/>
      <c r="B1998" s="40"/>
      <c r="C1998" s="40"/>
      <c r="D1998" s="40"/>
      <c r="E1998" s="40"/>
      <c r="F1998" s="49" t="str">
        <f t="shared" ref="F1998:J1998" ca="1" si="1996">IFERROR(__xludf.DUMMYFUNCTION("if (A1998 &lt;&gt; """", GOOGLETRANSLATE(A1998, ""auto"", ""en""), """")"),"")</f>
        <v/>
      </c>
      <c r="G1998" s="49" t="str">
        <f t="shared" ca="1" si="1996"/>
        <v/>
      </c>
      <c r="H1998" s="49" t="str">
        <f t="shared" ca="1" si="1996"/>
        <v/>
      </c>
      <c r="I1998" s="49" t="str">
        <f t="shared" ca="1" si="1996"/>
        <v/>
      </c>
      <c r="J1998" s="49" t="str">
        <f t="shared" ca="1" si="1996"/>
        <v/>
      </c>
    </row>
    <row r="1999" spans="1:10" ht="38.25" x14ac:dyDescent="0.2">
      <c r="A1999" s="41" t="s">
        <v>1472</v>
      </c>
      <c r="B1999" s="40"/>
      <c r="C1999" s="40"/>
      <c r="D1999" s="40"/>
      <c r="E1999" s="40"/>
      <c r="F1999" s="49" t="str">
        <f t="shared" ref="F1999:J1999" ca="1" si="1997">IFERROR(__xludf.DUMMYFUNCTION("if (A1999 &lt;&gt; """", GOOGLETRANSLATE(A1999, ""auto"", ""en""), """")"),"smalltalk.dialog.let_us_change_the_topic")</f>
        <v>smalltalk.dialog.let_us_change_the_topic</v>
      </c>
      <c r="G1999" s="49" t="str">
        <f t="shared" ca="1" si="1997"/>
        <v>smalltalk.dialog.let_us_change_the_topic</v>
      </c>
      <c r="H1999" s="49" t="str">
        <f t="shared" ca="1" si="1997"/>
        <v>smalltalk.dialog.let_us_change_the_topic</v>
      </c>
      <c r="I1999" s="49" t="str">
        <f t="shared" ca="1" si="1997"/>
        <v>smalltalk.dialog.let_us_change_the_topic</v>
      </c>
      <c r="J1999" s="49" t="str">
        <f t="shared" ca="1" si="1997"/>
        <v>smalltalk.dialog.let_us_change_the_topic</v>
      </c>
    </row>
    <row r="2000" spans="1:10" ht="12.75" x14ac:dyDescent="0.2">
      <c r="A2000" s="40"/>
      <c r="B2000" s="41" t="s">
        <v>398</v>
      </c>
      <c r="C2000" s="40"/>
      <c r="D2000" s="40"/>
      <c r="E2000" s="40"/>
      <c r="F2000" s="49" t="str">
        <f t="shared" ref="F2000:J2000" ca="1" si="1998">IFERROR(__xludf.DUMMYFUNCTION("if (A2000 &lt;&gt; """", GOOGLETRANSLATE(A2000, ""auto"", ""en""), """")"),"")</f>
        <v/>
      </c>
      <c r="G2000" s="49" t="str">
        <f t="shared" ca="1" si="1998"/>
        <v/>
      </c>
      <c r="H2000" s="49" t="str">
        <f t="shared" ca="1" si="1998"/>
        <v/>
      </c>
      <c r="I2000" s="49" t="str">
        <f t="shared" ca="1" si="1998"/>
        <v/>
      </c>
      <c r="J2000" s="49" t="str">
        <f t="shared" ca="1" si="1998"/>
        <v/>
      </c>
    </row>
    <row r="2001" spans="1:10" ht="12.75" x14ac:dyDescent="0.2">
      <c r="A2001" s="40"/>
      <c r="B2001" s="41" t="s">
        <v>399</v>
      </c>
      <c r="C2001" s="40"/>
      <c r="D2001" s="40"/>
      <c r="E2001" s="40"/>
      <c r="F2001" s="49" t="str">
        <f t="shared" ref="F2001:J2001" ca="1" si="1999">IFERROR(__xludf.DUMMYFUNCTION("if (A2001 &lt;&gt; """", GOOGLETRANSLATE(A2001, ""auto"", ""en""), """")"),"")</f>
        <v/>
      </c>
      <c r="G2001" s="49" t="str">
        <f t="shared" ca="1" si="1999"/>
        <v/>
      </c>
      <c r="H2001" s="49" t="str">
        <f t="shared" ca="1" si="1999"/>
        <v/>
      </c>
      <c r="I2001" s="49" t="str">
        <f t="shared" ca="1" si="1999"/>
        <v/>
      </c>
      <c r="J2001" s="49" t="str">
        <f t="shared" ca="1" si="1999"/>
        <v/>
      </c>
    </row>
    <row r="2002" spans="1:10" ht="25.5" x14ac:dyDescent="0.2">
      <c r="A2002" s="40"/>
      <c r="B2002" s="41" t="s">
        <v>400</v>
      </c>
      <c r="C2002" s="41" t="s">
        <v>1472</v>
      </c>
      <c r="D2002" s="40"/>
      <c r="E2002" s="40"/>
      <c r="F2002" s="49" t="str">
        <f t="shared" ref="F2002:J2002" ca="1" si="2000">IFERROR(__xludf.DUMMYFUNCTION("if (A2002 &lt;&gt; """", GOOGLETRANSLATE(A2002, ""auto"", ""en""), """")"),"")</f>
        <v/>
      </c>
      <c r="G2002" s="49" t="str">
        <f t="shared" ca="1" si="2000"/>
        <v/>
      </c>
      <c r="H2002" s="49" t="str">
        <f t="shared" ca="1" si="2000"/>
        <v/>
      </c>
      <c r="I2002" s="49" t="str">
        <f t="shared" ca="1" si="2000"/>
        <v/>
      </c>
      <c r="J2002" s="49" t="str">
        <f t="shared" ca="1" si="2000"/>
        <v/>
      </c>
    </row>
    <row r="2003" spans="1:10" ht="12.75" x14ac:dyDescent="0.2">
      <c r="A2003" s="40"/>
      <c r="B2003" s="41" t="s">
        <v>401</v>
      </c>
      <c r="C2003" s="40"/>
      <c r="D2003" s="40"/>
      <c r="E2003" s="40"/>
      <c r="F2003" s="49" t="str">
        <f t="shared" ref="F2003:J2003" ca="1" si="2001">IFERROR(__xludf.DUMMYFUNCTION("if (A2003 &lt;&gt; """", GOOGLETRANSLATE(A2003, ""auto"", ""en""), """")"),"")</f>
        <v/>
      </c>
      <c r="G2003" s="49" t="str">
        <f t="shared" ca="1" si="2001"/>
        <v/>
      </c>
      <c r="H2003" s="49" t="str">
        <f t="shared" ca="1" si="2001"/>
        <v/>
      </c>
      <c r="I2003" s="49" t="str">
        <f t="shared" ca="1" si="2001"/>
        <v/>
      </c>
      <c r="J2003" s="49" t="str">
        <f t="shared" ca="1" si="2001"/>
        <v/>
      </c>
    </row>
    <row r="2004" spans="1:10" ht="51" x14ac:dyDescent="0.2">
      <c r="A2004" s="41" t="s">
        <v>1473</v>
      </c>
      <c r="B2004" s="41" t="s">
        <v>402</v>
      </c>
      <c r="C2004" s="41" t="s">
        <v>1474</v>
      </c>
      <c r="D2004" s="40"/>
      <c r="E2004" s="40"/>
      <c r="F2004" s="49" t="str">
        <f t="shared" ref="F2004:J2004" ca="1" si="2002">IFERROR(__xludf.DUMMYFUNCTION("if (A2004 &lt;&gt; """", GOOGLETRANSLATE(A2004, ""auto"", ""en""), """")"),"Do not talk about something else")</f>
        <v>Do not talk about something else</v>
      </c>
      <c r="G2004" s="49" t="str">
        <f t="shared" ca="1" si="2002"/>
        <v>Do not talk about something else</v>
      </c>
      <c r="H2004" s="49" t="str">
        <f t="shared" ca="1" si="2002"/>
        <v>Do not talk about something else</v>
      </c>
      <c r="I2004" s="49" t="str">
        <f t="shared" ca="1" si="2002"/>
        <v>Do not talk about something else</v>
      </c>
      <c r="J2004" s="49" t="str">
        <f t="shared" ca="1" si="2002"/>
        <v>Do not talk about something else</v>
      </c>
    </row>
    <row r="2005" spans="1:10" ht="38.25" x14ac:dyDescent="0.2">
      <c r="A2005" s="41" t="s">
        <v>1475</v>
      </c>
      <c r="B2005" s="40"/>
      <c r="C2005" s="40"/>
      <c r="D2005" s="40"/>
      <c r="E2005" s="40"/>
      <c r="F2005" s="49" t="str">
        <f t="shared" ref="F2005:J2005" ca="1" si="2003">IFERROR(__xludf.DUMMYFUNCTION("if (A2005 &lt;&gt; """", GOOGLETRANSLATE(A2005, ""auto"", ""en""), """")"),"Do not change the subject")</f>
        <v>Do not change the subject</v>
      </c>
      <c r="G2005" s="49" t="str">
        <f t="shared" ca="1" si="2003"/>
        <v>Do not change the subject</v>
      </c>
      <c r="H2005" s="49" t="str">
        <f t="shared" ca="1" si="2003"/>
        <v>Do not change the subject</v>
      </c>
      <c r="I2005" s="49" t="str">
        <f t="shared" ca="1" si="2003"/>
        <v>Do not change the subject</v>
      </c>
      <c r="J2005" s="49" t="str">
        <f t="shared" ca="1" si="2003"/>
        <v>Do not change the subject</v>
      </c>
    </row>
    <row r="2006" spans="1:10" ht="38.25" x14ac:dyDescent="0.2">
      <c r="A2006" s="41" t="s">
        <v>1476</v>
      </c>
      <c r="B2006" s="40"/>
      <c r="C2006" s="40"/>
      <c r="D2006" s="40"/>
      <c r="E2006" s="40"/>
      <c r="F2006" s="49" t="str">
        <f t="shared" ref="F2006:J2006" ca="1" si="2004">IFERROR(__xludf.DUMMYFUNCTION("if (A2006 &lt;&gt; """", GOOGLETRANSLATE(A2006, ""auto"", ""en""), """")"),"I want to change the subject")</f>
        <v>I want to change the subject</v>
      </c>
      <c r="G2006" s="49" t="str">
        <f t="shared" ca="1" si="2004"/>
        <v>I want to change the subject</v>
      </c>
      <c r="H2006" s="49" t="str">
        <f t="shared" ca="1" si="2004"/>
        <v>I want to change the subject</v>
      </c>
      <c r="I2006" s="49" t="str">
        <f t="shared" ca="1" si="2004"/>
        <v>I want to change the subject</v>
      </c>
      <c r="J2006" s="49" t="str">
        <f t="shared" ca="1" si="2004"/>
        <v>I want to change the subject</v>
      </c>
    </row>
    <row r="2007" spans="1:10" ht="38.25" x14ac:dyDescent="0.2">
      <c r="A2007" s="41" t="s">
        <v>1477</v>
      </c>
      <c r="B2007" s="40"/>
      <c r="C2007" s="40"/>
      <c r="D2007" s="40"/>
      <c r="E2007" s="40"/>
      <c r="F2007" s="49" t="str">
        <f t="shared" ref="F2007:J2007" ca="1" si="2005">IFERROR(__xludf.DUMMYFUNCTION("if (A2007 &lt;&gt; """", GOOGLETRANSLATE(A2007, ""auto"", ""en""), """")"),"To chat about another problem")</f>
        <v>To chat about another problem</v>
      </c>
      <c r="G2007" s="49" t="str">
        <f t="shared" ca="1" si="2005"/>
        <v>To chat about another problem</v>
      </c>
      <c r="H2007" s="49" t="str">
        <f t="shared" ca="1" si="2005"/>
        <v>To chat about another problem</v>
      </c>
      <c r="I2007" s="49" t="str">
        <f t="shared" ca="1" si="2005"/>
        <v>To chat about another problem</v>
      </c>
      <c r="J2007" s="49" t="str">
        <f t="shared" ca="1" si="2005"/>
        <v>To chat about another problem</v>
      </c>
    </row>
    <row r="2008" spans="1:10" ht="25.5" x14ac:dyDescent="0.2">
      <c r="A2008" s="41" t="s">
        <v>1478</v>
      </c>
      <c r="B2008" s="40"/>
      <c r="C2008" s="40"/>
      <c r="D2008" s="40"/>
      <c r="E2008" s="40"/>
      <c r="F2008" s="49" t="str">
        <f t="shared" ref="F2008:J2008" ca="1" si="2006">IFERROR(__xludf.DUMMYFUNCTION("if (A2008 &lt;&gt; """", GOOGLETRANSLATE(A2008, ""auto"", ""en""), """")"),"Talking about other things")</f>
        <v>Talking about other things</v>
      </c>
      <c r="G2008" s="49" t="str">
        <f t="shared" ca="1" si="2006"/>
        <v>Talking about other things</v>
      </c>
      <c r="H2008" s="49" t="str">
        <f t="shared" ca="1" si="2006"/>
        <v>Talking about other things</v>
      </c>
      <c r="I2008" s="49" t="str">
        <f t="shared" ca="1" si="2006"/>
        <v>Talking about other things</v>
      </c>
      <c r="J2008" s="49" t="str">
        <f t="shared" ca="1" si="2006"/>
        <v>Talking about other things</v>
      </c>
    </row>
    <row r="2009" spans="1:10" ht="25.5" x14ac:dyDescent="0.2">
      <c r="A2009" s="41" t="s">
        <v>1479</v>
      </c>
      <c r="B2009" s="40"/>
      <c r="C2009" s="40"/>
      <c r="D2009" s="40"/>
      <c r="E2009" s="40"/>
      <c r="F2009" s="49" t="str">
        <f t="shared" ref="F2009:J2009" ca="1" si="2007">IFERROR(__xludf.DUMMYFUNCTION("if (A2009 &lt;&gt; """", GOOGLETRANSLATE(A2009, ""auto"", ""en""), """")"),"Let's change the subject")</f>
        <v>Let's change the subject</v>
      </c>
      <c r="G2009" s="49" t="str">
        <f t="shared" ca="1" si="2007"/>
        <v>Let's change the subject</v>
      </c>
      <c r="H2009" s="49" t="str">
        <f t="shared" ca="1" si="2007"/>
        <v>Let's change the subject</v>
      </c>
      <c r="I2009" s="49" t="str">
        <f t="shared" ca="1" si="2007"/>
        <v>Let's change the subject</v>
      </c>
      <c r="J2009" s="49" t="str">
        <f t="shared" ca="1" si="2007"/>
        <v>Let's change the subject</v>
      </c>
    </row>
    <row r="2010" spans="1:10" ht="25.5" x14ac:dyDescent="0.2">
      <c r="A2010" s="41" t="s">
        <v>1480</v>
      </c>
      <c r="B2010" s="40"/>
      <c r="C2010" s="40"/>
      <c r="D2010" s="40"/>
      <c r="E2010" s="40"/>
      <c r="F2010" s="49" t="str">
        <f t="shared" ref="F2010:J2010" ca="1" si="2008">IFERROR(__xludf.DUMMYFUNCTION("if (A2010 &lt;&gt; """", GOOGLETRANSLATE(A2010, ""auto"", ""en""), """")"),"Let's change the topic")</f>
        <v>Let's change the topic</v>
      </c>
      <c r="G2010" s="49" t="str">
        <f t="shared" ca="1" si="2008"/>
        <v>Let's change the topic</v>
      </c>
      <c r="H2010" s="49" t="str">
        <f t="shared" ca="1" si="2008"/>
        <v>Let's change the topic</v>
      </c>
      <c r="I2010" s="49" t="str">
        <f t="shared" ca="1" si="2008"/>
        <v>Let's change the topic</v>
      </c>
      <c r="J2010" s="49" t="str">
        <f t="shared" ca="1" si="2008"/>
        <v>Let's change the topic</v>
      </c>
    </row>
    <row r="2011" spans="1:10" ht="25.5" x14ac:dyDescent="0.2">
      <c r="A2011" s="41" t="s">
        <v>1481</v>
      </c>
      <c r="B2011" s="40"/>
      <c r="C2011" s="40"/>
      <c r="D2011" s="40"/>
      <c r="E2011" s="40"/>
      <c r="F2011" s="49" t="str">
        <f t="shared" ref="F2011:J2011" ca="1" si="2009">IFERROR(__xludf.DUMMYFUNCTION("if (A2011 &lt;&gt; """", GOOGLETRANSLATE(A2011, ""auto"", ""en""), """")"),"By changing the topic")</f>
        <v>By changing the topic</v>
      </c>
      <c r="G2011" s="49" t="str">
        <f t="shared" ca="1" si="2009"/>
        <v>By changing the topic</v>
      </c>
      <c r="H2011" s="49" t="str">
        <f t="shared" ca="1" si="2009"/>
        <v>By changing the topic</v>
      </c>
      <c r="I2011" s="49" t="str">
        <f t="shared" ca="1" si="2009"/>
        <v>By changing the topic</v>
      </c>
      <c r="J2011" s="49" t="str">
        <f t="shared" ca="1" si="2009"/>
        <v>By changing the topic</v>
      </c>
    </row>
    <row r="2012" spans="1:10" ht="25.5" x14ac:dyDescent="0.2">
      <c r="A2012" s="41" t="s">
        <v>1482</v>
      </c>
      <c r="B2012" s="40"/>
      <c r="C2012" s="40"/>
      <c r="D2012" s="40"/>
      <c r="E2012" s="40"/>
      <c r="F2012" s="49" t="str">
        <f t="shared" ref="F2012:J2012" ca="1" si="2010">IFERROR(__xludf.DUMMYFUNCTION("if (A2012 &lt;&gt; """", GOOGLETRANSLATE(A2012, ""auto"", ""en""), """")"),"Let's change the story")</f>
        <v>Let's change the story</v>
      </c>
      <c r="G2012" s="49" t="str">
        <f t="shared" ca="1" si="2010"/>
        <v>Let's change the story</v>
      </c>
      <c r="H2012" s="49" t="str">
        <f t="shared" ca="1" si="2010"/>
        <v>Let's change the story</v>
      </c>
      <c r="I2012" s="49" t="str">
        <f t="shared" ca="1" si="2010"/>
        <v>Let's change the story</v>
      </c>
      <c r="J2012" s="49" t="str">
        <f t="shared" ca="1" si="2010"/>
        <v>Let's change the story</v>
      </c>
    </row>
    <row r="2013" spans="1:10" ht="25.5" x14ac:dyDescent="0.2">
      <c r="A2013" s="41" t="s">
        <v>1483</v>
      </c>
      <c r="B2013" s="40"/>
      <c r="C2013" s="40"/>
      <c r="D2013" s="40"/>
      <c r="E2013" s="40"/>
      <c r="F2013" s="49" t="str">
        <f t="shared" ref="F2013:J2013" ca="1" si="2011">IFERROR(__xludf.DUMMYFUNCTION("if (A2013 &lt;&gt; """", GOOGLETRANSLATE(A2013, ""auto"", ""en""), """")"),"Quit it is the story")</f>
        <v>Quit it is the story</v>
      </c>
      <c r="G2013" s="49" t="str">
        <f t="shared" ca="1" si="2011"/>
        <v>Quit it is the story</v>
      </c>
      <c r="H2013" s="49" t="str">
        <f t="shared" ca="1" si="2011"/>
        <v>Quit it is the story</v>
      </c>
      <c r="I2013" s="49" t="str">
        <f t="shared" ca="1" si="2011"/>
        <v>Quit it is the story</v>
      </c>
      <c r="J2013" s="49" t="str">
        <f t="shared" ca="1" si="2011"/>
        <v>Quit it is the story</v>
      </c>
    </row>
    <row r="2014" spans="1:10" ht="12.75" x14ac:dyDescent="0.2">
      <c r="A2014" s="40"/>
      <c r="B2014" s="41" t="s">
        <v>403</v>
      </c>
      <c r="C2014" s="41" t="s">
        <v>41</v>
      </c>
      <c r="D2014" s="41" t="s">
        <v>10</v>
      </c>
      <c r="E2014" s="40"/>
      <c r="F2014" s="49" t="str">
        <f t="shared" ref="F2014:J2014" ca="1" si="2012">IFERROR(__xludf.DUMMYFUNCTION("if (A2014 &lt;&gt; """", GOOGLETRANSLATE(A2014, ""auto"", ""en""), """")"),"")</f>
        <v/>
      </c>
      <c r="G2014" s="49" t="str">
        <f t="shared" ca="1" si="2012"/>
        <v/>
      </c>
      <c r="H2014" s="49" t="str">
        <f t="shared" ca="1" si="2012"/>
        <v/>
      </c>
      <c r="I2014" s="49" t="str">
        <f t="shared" ca="1" si="2012"/>
        <v/>
      </c>
      <c r="J2014" s="49" t="str">
        <f t="shared" ca="1" si="2012"/>
        <v/>
      </c>
    </row>
    <row r="2015" spans="1:10" ht="12.75" x14ac:dyDescent="0.2">
      <c r="A2015" s="40"/>
      <c r="B2015" s="40"/>
      <c r="C2015" s="40"/>
      <c r="D2015" s="40"/>
      <c r="E2015" s="40"/>
      <c r="F2015" s="49" t="str">
        <f t="shared" ref="F2015:J2015" ca="1" si="2013">IFERROR(__xludf.DUMMYFUNCTION("if (A2015 &lt;&gt; """", GOOGLETRANSLATE(A2015, ""auto"", ""en""), """")"),"")</f>
        <v/>
      </c>
      <c r="G2015" s="49" t="str">
        <f t="shared" ca="1" si="2013"/>
        <v/>
      </c>
      <c r="H2015" s="49" t="str">
        <f t="shared" ca="1" si="2013"/>
        <v/>
      </c>
      <c r="I2015" s="49" t="str">
        <f t="shared" ca="1" si="2013"/>
        <v/>
      </c>
      <c r="J2015" s="49" t="str">
        <f t="shared" ca="1" si="2013"/>
        <v/>
      </c>
    </row>
    <row r="2016" spans="1:10" ht="25.5" x14ac:dyDescent="0.2">
      <c r="A2016" s="41" t="s">
        <v>1484</v>
      </c>
      <c r="B2016" s="40"/>
      <c r="C2016" s="40"/>
      <c r="D2016" s="40"/>
      <c r="E2016" s="40"/>
      <c r="F2016" s="49" t="str">
        <f t="shared" ref="F2016:J2016" ca="1" si="2014">IFERROR(__xludf.DUMMYFUNCTION("if (A2016 &lt;&gt; """", GOOGLETRANSLATE(A2016, ""auto"", ""en""), """")"),"smalltalk.dialog.look")</f>
        <v>smalltalk.dialog.look</v>
      </c>
      <c r="G2016" s="49" t="str">
        <f t="shared" ca="1" si="2014"/>
        <v>smalltalk.dialog.look</v>
      </c>
      <c r="H2016" s="49" t="str">
        <f t="shared" ca="1" si="2014"/>
        <v>smalltalk.dialog.look</v>
      </c>
      <c r="I2016" s="49" t="str">
        <f t="shared" ca="1" si="2014"/>
        <v>smalltalk.dialog.look</v>
      </c>
      <c r="J2016" s="49" t="str">
        <f t="shared" ca="1" si="2014"/>
        <v>smalltalk.dialog.look</v>
      </c>
    </row>
    <row r="2017" spans="1:10" ht="12.75" x14ac:dyDescent="0.2">
      <c r="A2017" s="40"/>
      <c r="B2017" s="41" t="s">
        <v>398</v>
      </c>
      <c r="C2017" s="40"/>
      <c r="D2017" s="40"/>
      <c r="E2017" s="40"/>
      <c r="F2017" s="49" t="str">
        <f t="shared" ref="F2017:J2017" ca="1" si="2015">IFERROR(__xludf.DUMMYFUNCTION("if (A2017 &lt;&gt; """", GOOGLETRANSLATE(A2017, ""auto"", ""en""), """")"),"")</f>
        <v/>
      </c>
      <c r="G2017" s="49" t="str">
        <f t="shared" ca="1" si="2015"/>
        <v/>
      </c>
      <c r="H2017" s="49" t="str">
        <f t="shared" ca="1" si="2015"/>
        <v/>
      </c>
      <c r="I2017" s="49" t="str">
        <f t="shared" ca="1" si="2015"/>
        <v/>
      </c>
      <c r="J2017" s="49" t="str">
        <f t="shared" ca="1" si="2015"/>
        <v/>
      </c>
    </row>
    <row r="2018" spans="1:10" ht="12.75" x14ac:dyDescent="0.2">
      <c r="A2018" s="40"/>
      <c r="B2018" s="41" t="s">
        <v>399</v>
      </c>
      <c r="C2018" s="40"/>
      <c r="D2018" s="40"/>
      <c r="E2018" s="40"/>
      <c r="F2018" s="49" t="str">
        <f t="shared" ref="F2018:J2018" ca="1" si="2016">IFERROR(__xludf.DUMMYFUNCTION("if (A2018 &lt;&gt; """", GOOGLETRANSLATE(A2018, ""auto"", ""en""), """")"),"")</f>
        <v/>
      </c>
      <c r="G2018" s="49" t="str">
        <f t="shared" ca="1" si="2016"/>
        <v/>
      </c>
      <c r="H2018" s="49" t="str">
        <f t="shared" ca="1" si="2016"/>
        <v/>
      </c>
      <c r="I2018" s="49" t="str">
        <f t="shared" ca="1" si="2016"/>
        <v/>
      </c>
      <c r="J2018" s="49" t="str">
        <f t="shared" ca="1" si="2016"/>
        <v/>
      </c>
    </row>
    <row r="2019" spans="1:10" ht="12.75" x14ac:dyDescent="0.2">
      <c r="A2019" s="40"/>
      <c r="B2019" s="41" t="s">
        <v>400</v>
      </c>
      <c r="C2019" s="41" t="s">
        <v>1484</v>
      </c>
      <c r="D2019" s="40"/>
      <c r="E2019" s="40"/>
      <c r="F2019" s="49" t="str">
        <f t="shared" ref="F2019:J2019" ca="1" si="2017">IFERROR(__xludf.DUMMYFUNCTION("if (A2019 &lt;&gt; """", GOOGLETRANSLATE(A2019, ""auto"", ""en""), """")"),"")</f>
        <v/>
      </c>
      <c r="G2019" s="49" t="str">
        <f t="shared" ca="1" si="2017"/>
        <v/>
      </c>
      <c r="H2019" s="49" t="str">
        <f t="shared" ca="1" si="2017"/>
        <v/>
      </c>
      <c r="I2019" s="49" t="str">
        <f t="shared" ca="1" si="2017"/>
        <v/>
      </c>
      <c r="J2019" s="49" t="str">
        <f t="shared" ca="1" si="2017"/>
        <v/>
      </c>
    </row>
    <row r="2020" spans="1:10" ht="12.75" x14ac:dyDescent="0.2">
      <c r="A2020" s="40"/>
      <c r="B2020" s="41" t="s">
        <v>401</v>
      </c>
      <c r="C2020" s="40"/>
      <c r="D2020" s="40"/>
      <c r="E2020" s="40"/>
      <c r="F2020" s="49" t="str">
        <f t="shared" ref="F2020:J2020" ca="1" si="2018">IFERROR(__xludf.DUMMYFUNCTION("if (A2020 &lt;&gt; """", GOOGLETRANSLATE(A2020, ""auto"", ""en""), """")"),"")</f>
        <v/>
      </c>
      <c r="G2020" s="49" t="str">
        <f t="shared" ca="1" si="2018"/>
        <v/>
      </c>
      <c r="H2020" s="49" t="str">
        <f t="shared" ca="1" si="2018"/>
        <v/>
      </c>
      <c r="I2020" s="49" t="str">
        <f t="shared" ca="1" si="2018"/>
        <v/>
      </c>
      <c r="J2020" s="49" t="str">
        <f t="shared" ca="1" si="2018"/>
        <v/>
      </c>
    </row>
    <row r="2021" spans="1:10" ht="25.5" x14ac:dyDescent="0.2">
      <c r="A2021" s="41" t="s">
        <v>1485</v>
      </c>
      <c r="B2021" s="41" t="s">
        <v>402</v>
      </c>
      <c r="C2021" s="41" t="s">
        <v>1486</v>
      </c>
      <c r="D2021" s="40"/>
      <c r="E2021" s="40"/>
      <c r="F2021" s="49" t="str">
        <f t="shared" ref="F2021:J2021" ca="1" si="2019">IFERROR(__xludf.DUMMYFUNCTION("if (A2021 &lt;&gt; """", GOOGLETRANSLATE(A2021, ""auto"", ""en""), """")"),"Can you look at this")</f>
        <v>Can you look at this</v>
      </c>
      <c r="G2021" s="49" t="str">
        <f t="shared" ca="1" si="2019"/>
        <v>Can you look at this</v>
      </c>
      <c r="H2021" s="49" t="str">
        <f t="shared" ca="1" si="2019"/>
        <v>Can you look at this</v>
      </c>
      <c r="I2021" s="49" t="str">
        <f t="shared" ca="1" si="2019"/>
        <v>Can you look at this</v>
      </c>
      <c r="J2021" s="49" t="str">
        <f t="shared" ca="1" si="2019"/>
        <v>Can you look at this</v>
      </c>
    </row>
    <row r="2022" spans="1:10" ht="12.75" x14ac:dyDescent="0.2">
      <c r="A2022" s="41" t="s">
        <v>1487</v>
      </c>
      <c r="B2022" s="40"/>
      <c r="C2022" s="40"/>
      <c r="D2022" s="40"/>
      <c r="E2022" s="40"/>
      <c r="F2022" s="49" t="str">
        <f t="shared" ref="F2022:J2022" ca="1" si="2020">IFERROR(__xludf.DUMMYFUNCTION("if (A2022 &lt;&gt; """", GOOGLETRANSLATE(A2022, ""auto"", ""en""), """")"),"Can you see")</f>
        <v>Can you see</v>
      </c>
      <c r="G2022" s="49" t="str">
        <f t="shared" ca="1" si="2020"/>
        <v>Can you see</v>
      </c>
      <c r="H2022" s="49" t="str">
        <f t="shared" ca="1" si="2020"/>
        <v>Can you see</v>
      </c>
      <c r="I2022" s="49" t="str">
        <f t="shared" ca="1" si="2020"/>
        <v>Can you see</v>
      </c>
      <c r="J2022" s="49" t="str">
        <f t="shared" ca="1" si="2020"/>
        <v>Can you see</v>
      </c>
    </row>
    <row r="2023" spans="1:10" ht="12.75" x14ac:dyDescent="0.2">
      <c r="A2023" s="41" t="s">
        <v>1488</v>
      </c>
      <c r="B2023" s="40"/>
      <c r="C2023" s="40"/>
      <c r="D2023" s="40"/>
      <c r="E2023" s="40"/>
      <c r="F2023" s="49" t="str">
        <f t="shared" ref="F2023:J2023" ca="1" si="2021">IFERROR(__xludf.DUMMYFUNCTION("if (A2023 &lt;&gt; """", GOOGLETRANSLATE(A2023, ""auto"", ""en""), """")"),"please look")</f>
        <v>please look</v>
      </c>
      <c r="G2023" s="49" t="str">
        <f t="shared" ca="1" si="2021"/>
        <v>please look</v>
      </c>
      <c r="H2023" s="49" t="str">
        <f t="shared" ca="1" si="2021"/>
        <v>please look</v>
      </c>
      <c r="I2023" s="49" t="str">
        <f t="shared" ca="1" si="2021"/>
        <v>please look</v>
      </c>
      <c r="J2023" s="49" t="str">
        <f t="shared" ca="1" si="2021"/>
        <v>please look</v>
      </c>
    </row>
    <row r="2024" spans="1:10" ht="12.75" x14ac:dyDescent="0.2">
      <c r="A2024" s="41" t="s">
        <v>1489</v>
      </c>
      <c r="B2024" s="40"/>
      <c r="C2024" s="40"/>
      <c r="D2024" s="40"/>
      <c r="E2024" s="40"/>
      <c r="F2024" s="49" t="str">
        <f t="shared" ref="F2024:J2024" ca="1" si="2022">IFERROR(__xludf.DUMMYFUNCTION("if (A2024 &lt;&gt; """", GOOGLETRANSLATE(A2024, ""auto"", ""en""), """")"),"look")</f>
        <v>look</v>
      </c>
      <c r="G2024" s="49" t="str">
        <f t="shared" ca="1" si="2022"/>
        <v>look</v>
      </c>
      <c r="H2024" s="49" t="str">
        <f t="shared" ca="1" si="2022"/>
        <v>look</v>
      </c>
      <c r="I2024" s="49" t="str">
        <f t="shared" ca="1" si="2022"/>
        <v>look</v>
      </c>
      <c r="J2024" s="49" t="str">
        <f t="shared" ca="1" si="2022"/>
        <v>look</v>
      </c>
    </row>
    <row r="2025" spans="1:10" ht="12.75" x14ac:dyDescent="0.2">
      <c r="A2025" s="41" t="s">
        <v>1490</v>
      </c>
      <c r="B2025" s="40"/>
      <c r="C2025" s="40"/>
      <c r="D2025" s="40"/>
      <c r="E2025" s="40"/>
      <c r="F2025" s="49" t="str">
        <f t="shared" ref="F2025:J2025" ca="1" si="2023">IFERROR(__xludf.DUMMYFUNCTION("if (A2025 &lt;&gt; """", GOOGLETRANSLATE(A2025, ""auto"", ""en""), """")"),"Look here")</f>
        <v>Look here</v>
      </c>
      <c r="G2025" s="49" t="str">
        <f t="shared" ca="1" si="2023"/>
        <v>Look here</v>
      </c>
      <c r="H2025" s="49" t="str">
        <f t="shared" ca="1" si="2023"/>
        <v>Look here</v>
      </c>
      <c r="I2025" s="49" t="str">
        <f t="shared" ca="1" si="2023"/>
        <v>Look here</v>
      </c>
      <c r="J2025" s="49" t="str">
        <f t="shared" ca="1" si="2023"/>
        <v>Look here</v>
      </c>
    </row>
    <row r="2026" spans="1:10" ht="12.75" x14ac:dyDescent="0.2">
      <c r="A2026" s="41" t="s">
        <v>1491</v>
      </c>
      <c r="B2026" s="40"/>
      <c r="C2026" s="40"/>
      <c r="D2026" s="40"/>
      <c r="E2026" s="40"/>
      <c r="F2026" s="49" t="str">
        <f t="shared" ref="F2026:J2026" ca="1" si="2024">IFERROR(__xludf.DUMMYFUNCTION("if (A2026 &lt;&gt; """", GOOGLETRANSLATE(A2026, ""auto"", ""en""), """")"),"Wow, Look")</f>
        <v>Wow, Look</v>
      </c>
      <c r="G2026" s="49" t="str">
        <f t="shared" ca="1" si="2024"/>
        <v>Wow, Look</v>
      </c>
      <c r="H2026" s="49" t="str">
        <f t="shared" ca="1" si="2024"/>
        <v>Wow, Look</v>
      </c>
      <c r="I2026" s="49" t="str">
        <f t="shared" ca="1" si="2024"/>
        <v>Wow, Look</v>
      </c>
      <c r="J2026" s="49" t="str">
        <f t="shared" ca="1" si="2024"/>
        <v>Wow, Look</v>
      </c>
    </row>
    <row r="2027" spans="1:10" ht="12.75" x14ac:dyDescent="0.2">
      <c r="A2027" s="41" t="s">
        <v>1492</v>
      </c>
      <c r="B2027" s="40"/>
      <c r="C2027" s="40"/>
      <c r="D2027" s="40"/>
      <c r="E2027" s="40"/>
      <c r="F2027" s="49" t="str">
        <f t="shared" ref="F2027:J2027" ca="1" si="2025">IFERROR(__xludf.DUMMYFUNCTION("if (A2027 &lt;&gt; """", GOOGLETRANSLATE(A2027, ""auto"", ""en""), """")"),"Look at this")</f>
        <v>Look at this</v>
      </c>
      <c r="G2027" s="49" t="str">
        <f t="shared" ca="1" si="2025"/>
        <v>Look at this</v>
      </c>
      <c r="H2027" s="49" t="str">
        <f t="shared" ca="1" si="2025"/>
        <v>Look at this</v>
      </c>
      <c r="I2027" s="49" t="str">
        <f t="shared" ca="1" si="2025"/>
        <v>Look at this</v>
      </c>
      <c r="J2027" s="49" t="str">
        <f t="shared" ca="1" si="2025"/>
        <v>Look at this</v>
      </c>
    </row>
    <row r="2028" spans="1:10" ht="12.75" x14ac:dyDescent="0.2">
      <c r="A2028" s="41" t="s">
        <v>1493</v>
      </c>
      <c r="B2028" s="40"/>
      <c r="C2028" s="40"/>
      <c r="D2028" s="40"/>
      <c r="E2028" s="40"/>
      <c r="F2028" s="49" t="str">
        <f t="shared" ref="F2028:J2028" ca="1" si="2026">IFERROR(__xludf.DUMMYFUNCTION("if (A2028 &lt;&gt; """", GOOGLETRANSLATE(A2028, ""auto"", ""en""), """")"),"Look at any")</f>
        <v>Look at any</v>
      </c>
      <c r="G2028" s="49" t="str">
        <f t="shared" ca="1" si="2026"/>
        <v>Look at any</v>
      </c>
      <c r="H2028" s="49" t="str">
        <f t="shared" ca="1" si="2026"/>
        <v>Look at any</v>
      </c>
      <c r="I2028" s="49" t="str">
        <f t="shared" ca="1" si="2026"/>
        <v>Look at any</v>
      </c>
      <c r="J2028" s="49" t="str">
        <f t="shared" ca="1" si="2026"/>
        <v>Look at any</v>
      </c>
    </row>
    <row r="2029" spans="1:10" ht="12.75" x14ac:dyDescent="0.2">
      <c r="A2029" s="41" t="s">
        <v>1494</v>
      </c>
      <c r="B2029" s="40"/>
      <c r="C2029" s="40"/>
      <c r="D2029" s="40"/>
      <c r="E2029" s="40"/>
      <c r="F2029" s="49" t="str">
        <f t="shared" ref="F2029:J2029" ca="1" si="2027">IFERROR(__xludf.DUMMYFUNCTION("if (A2029 &lt;&gt; """", GOOGLETRANSLATE(A2029, ""auto"", ""en""), """")"),"Look")</f>
        <v>Look</v>
      </c>
      <c r="G2029" s="49" t="str">
        <f t="shared" ca="1" si="2027"/>
        <v>Look</v>
      </c>
      <c r="H2029" s="49" t="str">
        <f t="shared" ca="1" si="2027"/>
        <v>Look</v>
      </c>
      <c r="I2029" s="49" t="str">
        <f t="shared" ca="1" si="2027"/>
        <v>Look</v>
      </c>
      <c r="J2029" s="49" t="str">
        <f t="shared" ca="1" si="2027"/>
        <v>Look</v>
      </c>
    </row>
    <row r="2030" spans="1:10" ht="12.75" x14ac:dyDescent="0.2">
      <c r="A2030" s="41" t="s">
        <v>1495</v>
      </c>
      <c r="B2030" s="40"/>
      <c r="C2030" s="40"/>
      <c r="D2030" s="40"/>
      <c r="E2030" s="40"/>
      <c r="F2030" s="49" t="str">
        <f t="shared" ref="F2030:J2030" ca="1" si="2028">IFERROR(__xludf.DUMMYFUNCTION("if (A2030 &lt;&gt; """", GOOGLETRANSLATE(A2030, ""auto"", ""en""), """")"),"Look here")</f>
        <v>Look here</v>
      </c>
      <c r="G2030" s="49" t="str">
        <f t="shared" ca="1" si="2028"/>
        <v>Look here</v>
      </c>
      <c r="H2030" s="49" t="str">
        <f t="shared" ca="1" si="2028"/>
        <v>Look here</v>
      </c>
      <c r="I2030" s="49" t="str">
        <f t="shared" ca="1" si="2028"/>
        <v>Look here</v>
      </c>
      <c r="J2030" s="49" t="str">
        <f t="shared" ca="1" si="2028"/>
        <v>Look here</v>
      </c>
    </row>
    <row r="2031" spans="1:10" ht="12.75" x14ac:dyDescent="0.2">
      <c r="A2031" s="40"/>
      <c r="B2031" s="40"/>
      <c r="C2031" s="40"/>
      <c r="D2031" s="40"/>
      <c r="E2031" s="40"/>
      <c r="F2031" s="49" t="str">
        <f t="shared" ref="F2031:J2031" ca="1" si="2029">IFERROR(__xludf.DUMMYFUNCTION("if (A2031 &lt;&gt; """", GOOGLETRANSLATE(A2031, ""auto"", ""en""), """")"),"")</f>
        <v/>
      </c>
      <c r="G2031" s="49" t="str">
        <f t="shared" ca="1" si="2029"/>
        <v/>
      </c>
      <c r="H2031" s="49" t="str">
        <f t="shared" ca="1" si="2029"/>
        <v/>
      </c>
      <c r="I2031" s="49" t="str">
        <f t="shared" ca="1" si="2029"/>
        <v/>
      </c>
      <c r="J2031" s="49" t="str">
        <f t="shared" ca="1" si="2029"/>
        <v/>
      </c>
    </row>
    <row r="2032" spans="1:10" ht="25.5" x14ac:dyDescent="0.2">
      <c r="A2032" s="41" t="s">
        <v>1496</v>
      </c>
      <c r="B2032" s="40"/>
      <c r="C2032" s="40"/>
      <c r="D2032" s="40"/>
      <c r="E2032" s="40"/>
      <c r="F2032" s="49" t="str">
        <f t="shared" ref="F2032:J2032" ca="1" si="2030">IFERROR(__xludf.DUMMYFUNCTION("if (A2032 &lt;&gt; """", GOOGLETRANSLATE(A2032, ""auto"", ""en""), """")"),"smalltalk.dialog.sorry")</f>
        <v>smalltalk.dialog.sorry</v>
      </c>
      <c r="G2032" s="49" t="str">
        <f t="shared" ca="1" si="2030"/>
        <v>smalltalk.dialog.sorry</v>
      </c>
      <c r="H2032" s="49" t="str">
        <f t="shared" ca="1" si="2030"/>
        <v>smalltalk.dialog.sorry</v>
      </c>
      <c r="I2032" s="49" t="str">
        <f t="shared" ca="1" si="2030"/>
        <v>smalltalk.dialog.sorry</v>
      </c>
      <c r="J2032" s="49" t="str">
        <f t="shared" ca="1" si="2030"/>
        <v>smalltalk.dialog.sorry</v>
      </c>
    </row>
    <row r="2033" spans="1:10" ht="12.75" x14ac:dyDescent="0.2">
      <c r="A2033" s="40"/>
      <c r="B2033" s="41" t="s">
        <v>398</v>
      </c>
      <c r="C2033" s="40"/>
      <c r="D2033" s="40"/>
      <c r="E2033" s="40"/>
      <c r="F2033" s="49" t="str">
        <f t="shared" ref="F2033:J2033" ca="1" si="2031">IFERROR(__xludf.DUMMYFUNCTION("if (A2033 &lt;&gt; """", GOOGLETRANSLATE(A2033, ""auto"", ""en""), """")"),"")</f>
        <v/>
      </c>
      <c r="G2033" s="49" t="str">
        <f t="shared" ca="1" si="2031"/>
        <v/>
      </c>
      <c r="H2033" s="49" t="str">
        <f t="shared" ca="1" si="2031"/>
        <v/>
      </c>
      <c r="I2033" s="49" t="str">
        <f t="shared" ca="1" si="2031"/>
        <v/>
      </c>
      <c r="J2033" s="49" t="str">
        <f t="shared" ca="1" si="2031"/>
        <v/>
      </c>
    </row>
    <row r="2034" spans="1:10" ht="12.75" x14ac:dyDescent="0.2">
      <c r="A2034" s="40"/>
      <c r="B2034" s="41" t="s">
        <v>399</v>
      </c>
      <c r="C2034" s="40"/>
      <c r="D2034" s="40"/>
      <c r="E2034" s="40"/>
      <c r="F2034" s="49" t="str">
        <f t="shared" ref="F2034:J2034" ca="1" si="2032">IFERROR(__xludf.DUMMYFUNCTION("if (A2034 &lt;&gt; """", GOOGLETRANSLATE(A2034, ""auto"", ""en""), """")"),"")</f>
        <v/>
      </c>
      <c r="G2034" s="49" t="str">
        <f t="shared" ca="1" si="2032"/>
        <v/>
      </c>
      <c r="H2034" s="49" t="str">
        <f t="shared" ca="1" si="2032"/>
        <v/>
      </c>
      <c r="I2034" s="49" t="str">
        <f t="shared" ca="1" si="2032"/>
        <v/>
      </c>
      <c r="J2034" s="49" t="str">
        <f t="shared" ca="1" si="2032"/>
        <v/>
      </c>
    </row>
    <row r="2035" spans="1:10" ht="12.75" x14ac:dyDescent="0.2">
      <c r="A2035" s="40"/>
      <c r="B2035" s="41" t="s">
        <v>400</v>
      </c>
      <c r="C2035" s="41" t="s">
        <v>1496</v>
      </c>
      <c r="D2035" s="40"/>
      <c r="E2035" s="40"/>
      <c r="F2035" s="49" t="str">
        <f t="shared" ref="F2035:J2035" ca="1" si="2033">IFERROR(__xludf.DUMMYFUNCTION("if (A2035 &lt;&gt; """", GOOGLETRANSLATE(A2035, ""auto"", ""en""), """")"),"")</f>
        <v/>
      </c>
      <c r="G2035" s="49" t="str">
        <f t="shared" ca="1" si="2033"/>
        <v/>
      </c>
      <c r="H2035" s="49" t="str">
        <f t="shared" ca="1" si="2033"/>
        <v/>
      </c>
      <c r="I2035" s="49" t="str">
        <f t="shared" ca="1" si="2033"/>
        <v/>
      </c>
      <c r="J2035" s="49" t="str">
        <f t="shared" ca="1" si="2033"/>
        <v/>
      </c>
    </row>
    <row r="2036" spans="1:10" ht="12.75" x14ac:dyDescent="0.2">
      <c r="A2036" s="40"/>
      <c r="B2036" s="41" t="s">
        <v>401</v>
      </c>
      <c r="C2036" s="40"/>
      <c r="D2036" s="40"/>
      <c r="E2036" s="40"/>
      <c r="F2036" s="49" t="str">
        <f t="shared" ref="F2036:J2036" ca="1" si="2034">IFERROR(__xludf.DUMMYFUNCTION("if (A2036 &lt;&gt; """", GOOGLETRANSLATE(A2036, ""auto"", ""en""), """")"),"")</f>
        <v/>
      </c>
      <c r="G2036" s="49" t="str">
        <f t="shared" ca="1" si="2034"/>
        <v/>
      </c>
      <c r="H2036" s="49" t="str">
        <f t="shared" ca="1" si="2034"/>
        <v/>
      </c>
      <c r="I2036" s="49" t="str">
        <f t="shared" ca="1" si="2034"/>
        <v/>
      </c>
      <c r="J2036" s="49" t="str">
        <f t="shared" ca="1" si="2034"/>
        <v/>
      </c>
    </row>
    <row r="2037" spans="1:10" ht="25.5" x14ac:dyDescent="0.2">
      <c r="A2037" s="41" t="s">
        <v>1497</v>
      </c>
      <c r="B2037" s="41" t="s">
        <v>402</v>
      </c>
      <c r="C2037" s="41" t="s">
        <v>1498</v>
      </c>
      <c r="D2037" s="40"/>
      <c r="E2037" s="40"/>
      <c r="F2037" s="49" t="str">
        <f t="shared" ref="F2037:J2037" ca="1" si="2035">IFERROR(__xludf.DUMMYFUNCTION("if (A2037 &lt;&gt; """", GOOGLETRANSLATE(A2037, ""auto"", ""en""), """")"),"Excuse me")</f>
        <v>Excuse me</v>
      </c>
      <c r="G2037" s="49" t="str">
        <f t="shared" ca="1" si="2035"/>
        <v>Excuse me</v>
      </c>
      <c r="H2037" s="49" t="str">
        <f t="shared" ca="1" si="2035"/>
        <v>Excuse me</v>
      </c>
      <c r="I2037" s="49" t="str">
        <f t="shared" ca="1" si="2035"/>
        <v>Excuse me</v>
      </c>
      <c r="J2037" s="49" t="str">
        <f t="shared" ca="1" si="2035"/>
        <v>Excuse me</v>
      </c>
    </row>
    <row r="2038" spans="1:10" ht="12.75" x14ac:dyDescent="0.2">
      <c r="A2038" s="41" t="s">
        <v>1499</v>
      </c>
      <c r="B2038" s="40"/>
      <c r="C2038" s="40"/>
      <c r="D2038" s="40"/>
      <c r="E2038" s="40"/>
      <c r="F2038" s="49" t="str">
        <f t="shared" ref="F2038:J2038" ca="1" si="2036">IFERROR(__xludf.DUMMYFUNCTION("if (A2038 &lt;&gt; """", GOOGLETRANSLATE(A2038, ""auto"", ""en""), """")"),"To apologize")</f>
        <v>To apologize</v>
      </c>
      <c r="G2038" s="49" t="str">
        <f t="shared" ca="1" si="2036"/>
        <v>To apologize</v>
      </c>
      <c r="H2038" s="49" t="str">
        <f t="shared" ca="1" si="2036"/>
        <v>To apologize</v>
      </c>
      <c r="I2038" s="49" t="str">
        <f t="shared" ca="1" si="2036"/>
        <v>To apologize</v>
      </c>
      <c r="J2038" s="49" t="str">
        <f t="shared" ca="1" si="2036"/>
        <v>To apologize</v>
      </c>
    </row>
    <row r="2039" spans="1:10" ht="12.75" x14ac:dyDescent="0.2">
      <c r="A2039" s="41" t="s">
        <v>1500</v>
      </c>
      <c r="B2039" s="40"/>
      <c r="C2039" s="40"/>
      <c r="D2039" s="40"/>
      <c r="E2039" s="40"/>
      <c r="F2039" s="49" t="str">
        <f t="shared" ref="F2039:J2039" ca="1" si="2037">IFERROR(__xludf.DUMMYFUNCTION("if (A2039 &lt;&gt; """", GOOGLETRANSLATE(A2039, ""auto"", ""en""), """")"),"You apologize")</f>
        <v>You apologize</v>
      </c>
      <c r="G2039" s="49" t="str">
        <f t="shared" ca="1" si="2037"/>
        <v>You apologize</v>
      </c>
      <c r="H2039" s="49" t="str">
        <f t="shared" ca="1" si="2037"/>
        <v>You apologize</v>
      </c>
      <c r="I2039" s="49" t="str">
        <f t="shared" ca="1" si="2037"/>
        <v>You apologize</v>
      </c>
      <c r="J2039" s="49" t="str">
        <f t="shared" ca="1" si="2037"/>
        <v>You apologize</v>
      </c>
    </row>
    <row r="2040" spans="1:10" ht="12.75" x14ac:dyDescent="0.2">
      <c r="A2040" s="41" t="s">
        <v>1501</v>
      </c>
      <c r="B2040" s="40"/>
      <c r="C2040" s="40"/>
      <c r="D2040" s="40"/>
      <c r="E2040" s="40"/>
      <c r="F2040" s="49" t="str">
        <f t="shared" ref="F2040:J2040" ca="1" si="2038">IFERROR(__xludf.DUMMYFUNCTION("if (A2040 &lt;&gt; """", GOOGLETRANSLATE(A2040, ""auto"", ""en""), """")"),"sorry")</f>
        <v>sorry</v>
      </c>
      <c r="G2040" s="49" t="str">
        <f t="shared" ca="1" si="2038"/>
        <v>sorry</v>
      </c>
      <c r="H2040" s="49" t="str">
        <f t="shared" ca="1" si="2038"/>
        <v>sorry</v>
      </c>
      <c r="I2040" s="49" t="str">
        <f t="shared" ca="1" si="2038"/>
        <v>sorry</v>
      </c>
      <c r="J2040" s="49" t="str">
        <f t="shared" ca="1" si="2038"/>
        <v>sorry</v>
      </c>
    </row>
    <row r="2041" spans="1:10" ht="12.75" x14ac:dyDescent="0.2">
      <c r="A2041" s="41" t="s">
        <v>1502</v>
      </c>
      <c r="B2041" s="40"/>
      <c r="C2041" s="40"/>
      <c r="D2041" s="40"/>
      <c r="E2041" s="40"/>
      <c r="F2041" s="49" t="str">
        <f t="shared" ref="F2041:J2041" ca="1" si="2039">IFERROR(__xludf.DUMMYFUNCTION("if (A2041 &lt;&gt; """", GOOGLETRANSLATE(A2041, ""auto"", ""en""), """")"),"I'm sorry")</f>
        <v>I'm sorry</v>
      </c>
      <c r="G2041" s="49" t="str">
        <f t="shared" ca="1" si="2039"/>
        <v>I'm sorry</v>
      </c>
      <c r="H2041" s="49" t="str">
        <f t="shared" ca="1" si="2039"/>
        <v>I'm sorry</v>
      </c>
      <c r="I2041" s="49" t="str">
        <f t="shared" ca="1" si="2039"/>
        <v>I'm sorry</v>
      </c>
      <c r="J2041" s="49" t="str">
        <f t="shared" ca="1" si="2039"/>
        <v>I'm sorry</v>
      </c>
    </row>
    <row r="2042" spans="1:10" ht="12.75" x14ac:dyDescent="0.2">
      <c r="A2042" s="41" t="s">
        <v>1503</v>
      </c>
      <c r="B2042" s="40"/>
      <c r="C2042" s="40"/>
      <c r="D2042" s="40"/>
      <c r="E2042" s="40"/>
      <c r="F2042" s="49" t="str">
        <f t="shared" ref="F2042:J2042" ca="1" si="2040">IFERROR(__xludf.DUMMYFUNCTION("if (A2042 &lt;&gt; """", GOOGLETRANSLATE(A2042, ""auto"", ""en""), """")"),"really sorry")</f>
        <v>really sorry</v>
      </c>
      <c r="G2042" s="49" t="str">
        <f t="shared" ca="1" si="2040"/>
        <v>really sorry</v>
      </c>
      <c r="H2042" s="49" t="str">
        <f t="shared" ca="1" si="2040"/>
        <v>really sorry</v>
      </c>
      <c r="I2042" s="49" t="str">
        <f t="shared" ca="1" si="2040"/>
        <v>really sorry</v>
      </c>
      <c r="J2042" s="49" t="str">
        <f t="shared" ca="1" si="2040"/>
        <v>really sorry</v>
      </c>
    </row>
    <row r="2043" spans="1:10" ht="12.75" x14ac:dyDescent="0.2">
      <c r="A2043" s="41" t="s">
        <v>1504</v>
      </c>
      <c r="B2043" s="40"/>
      <c r="C2043" s="40"/>
      <c r="D2043" s="40"/>
      <c r="E2043" s="40"/>
      <c r="F2043" s="49" t="str">
        <f t="shared" ref="F2043:J2043" ca="1" si="2041">IFERROR(__xludf.DUMMYFUNCTION("if (A2043 &lt;&gt; """", GOOGLETRANSLATE(A2043, ""auto"", ""en""), """")"),"I'm sorry")</f>
        <v>I'm sorry</v>
      </c>
      <c r="G2043" s="49" t="str">
        <f t="shared" ca="1" si="2041"/>
        <v>I'm sorry</v>
      </c>
      <c r="H2043" s="49" t="str">
        <f t="shared" ca="1" si="2041"/>
        <v>I'm sorry</v>
      </c>
      <c r="I2043" s="49" t="str">
        <f t="shared" ca="1" si="2041"/>
        <v>I'm sorry</v>
      </c>
      <c r="J2043" s="49" t="str">
        <f t="shared" ca="1" si="2041"/>
        <v>I'm sorry</v>
      </c>
    </row>
    <row r="2044" spans="1:10" ht="12.75" x14ac:dyDescent="0.2">
      <c r="A2044" s="41" t="s">
        <v>1505</v>
      </c>
      <c r="B2044" s="40"/>
      <c r="C2044" s="40"/>
      <c r="D2044" s="40"/>
      <c r="E2044" s="40"/>
      <c r="F2044" s="49" t="str">
        <f t="shared" ref="F2044:J2044" ca="1" si="2042">IFERROR(__xludf.DUMMYFUNCTION("if (A2044 &lt;&gt; """", GOOGLETRANSLATE(A2044, ""auto"", ""en""), """")"),"I'm sorry")</f>
        <v>I'm sorry</v>
      </c>
      <c r="G2044" s="49" t="str">
        <f t="shared" ca="1" si="2042"/>
        <v>I'm sorry</v>
      </c>
      <c r="H2044" s="49" t="str">
        <f t="shared" ca="1" si="2042"/>
        <v>I'm sorry</v>
      </c>
      <c r="I2044" s="49" t="str">
        <f t="shared" ca="1" si="2042"/>
        <v>I'm sorry</v>
      </c>
      <c r="J2044" s="49" t="str">
        <f t="shared" ca="1" si="2042"/>
        <v>I'm sorry</v>
      </c>
    </row>
    <row r="2045" spans="1:10" ht="25.5" x14ac:dyDescent="0.2">
      <c r="A2045" s="41" t="s">
        <v>1506</v>
      </c>
      <c r="B2045" s="40"/>
      <c r="C2045" s="40"/>
      <c r="D2045" s="40"/>
      <c r="E2045" s="40"/>
      <c r="F2045" s="49" t="str">
        <f t="shared" ref="F2045:J2045" ca="1" si="2043">IFERROR(__xludf.DUMMYFUNCTION("if (A2045 &lt;&gt; """", GOOGLETRANSLATE(A2045, ""auto"", ""en""), """")"),"Apologize to me")</f>
        <v>Apologize to me</v>
      </c>
      <c r="G2045" s="49" t="str">
        <f t="shared" ca="1" si="2043"/>
        <v>Apologize to me</v>
      </c>
      <c r="H2045" s="49" t="str">
        <f t="shared" ca="1" si="2043"/>
        <v>Apologize to me</v>
      </c>
      <c r="I2045" s="49" t="str">
        <f t="shared" ca="1" si="2043"/>
        <v>Apologize to me</v>
      </c>
      <c r="J2045" s="49" t="str">
        <f t="shared" ca="1" si="2043"/>
        <v>Apologize to me</v>
      </c>
    </row>
    <row r="2046" spans="1:10" ht="12.75" x14ac:dyDescent="0.2">
      <c r="A2046" s="41" t="s">
        <v>1507</v>
      </c>
      <c r="B2046" s="40"/>
      <c r="C2046" s="40"/>
      <c r="D2046" s="40"/>
      <c r="E2046" s="40"/>
      <c r="F2046" s="49" t="str">
        <f t="shared" ref="F2046:J2046" ca="1" si="2044">IFERROR(__xludf.DUMMYFUNCTION("if (A2046 &lt;&gt; """", GOOGLETRANSLATE(A2046, ""auto"", ""en""), """")"),"I'm sorry")</f>
        <v>I'm sorry</v>
      </c>
      <c r="G2046" s="49" t="str">
        <f t="shared" ca="1" si="2044"/>
        <v>I'm sorry</v>
      </c>
      <c r="H2046" s="49" t="str">
        <f t="shared" ca="1" si="2044"/>
        <v>I'm sorry</v>
      </c>
      <c r="I2046" s="49" t="str">
        <f t="shared" ca="1" si="2044"/>
        <v>I'm sorry</v>
      </c>
      <c r="J2046" s="49" t="str">
        <f t="shared" ca="1" si="2044"/>
        <v>I'm sorry</v>
      </c>
    </row>
    <row r="2047" spans="1:10" ht="12.75" x14ac:dyDescent="0.2">
      <c r="A2047" s="40"/>
      <c r="B2047" s="40"/>
      <c r="C2047" s="40"/>
      <c r="D2047" s="40"/>
      <c r="E2047" s="40"/>
      <c r="F2047" s="49" t="str">
        <f t="shared" ref="F2047:J2047" ca="1" si="2045">IFERROR(__xludf.DUMMYFUNCTION("if (A2047 &lt;&gt; """", GOOGLETRANSLATE(A2047, ""auto"", ""en""), """")"),"")</f>
        <v/>
      </c>
      <c r="G2047" s="49" t="str">
        <f t="shared" ca="1" si="2045"/>
        <v/>
      </c>
      <c r="H2047" s="49" t="str">
        <f t="shared" ca="1" si="2045"/>
        <v/>
      </c>
      <c r="I2047" s="49" t="str">
        <f t="shared" ca="1" si="2045"/>
        <v/>
      </c>
      <c r="J2047" s="49" t="str">
        <f t="shared" ca="1" si="2045"/>
        <v/>
      </c>
    </row>
    <row r="2048" spans="1:10" ht="38.25" x14ac:dyDescent="0.2">
      <c r="A2048" s="41" t="s">
        <v>1508</v>
      </c>
      <c r="B2048" s="40"/>
      <c r="C2048" s="40"/>
      <c r="D2048" s="40"/>
      <c r="E2048" s="40"/>
      <c r="F2048" s="49" t="str">
        <f t="shared" ref="F2048:J2048" ca="1" si="2046">IFERROR(__xludf.DUMMYFUNCTION("if (A2048 &lt;&gt; """", GOOGLETRANSLATE(A2048, ""auto"", ""en""), """")"),"smalltalk.dialog.what_do_you_mean")</f>
        <v>smalltalk.dialog.what_do_you_mean</v>
      </c>
      <c r="G2048" s="49" t="str">
        <f t="shared" ca="1" si="2046"/>
        <v>smalltalk.dialog.what_do_you_mean</v>
      </c>
      <c r="H2048" s="49" t="str">
        <f t="shared" ca="1" si="2046"/>
        <v>smalltalk.dialog.what_do_you_mean</v>
      </c>
      <c r="I2048" s="49" t="str">
        <f t="shared" ca="1" si="2046"/>
        <v>smalltalk.dialog.what_do_you_mean</v>
      </c>
      <c r="J2048" s="49" t="str">
        <f t="shared" ca="1" si="2046"/>
        <v>smalltalk.dialog.what_do_you_mean</v>
      </c>
    </row>
    <row r="2049" spans="1:10" ht="12.75" x14ac:dyDescent="0.2">
      <c r="A2049" s="40"/>
      <c r="B2049" s="41" t="s">
        <v>398</v>
      </c>
      <c r="C2049" s="40"/>
      <c r="D2049" s="40"/>
      <c r="E2049" s="40"/>
      <c r="F2049" s="49" t="str">
        <f t="shared" ref="F2049:J2049" ca="1" si="2047">IFERROR(__xludf.DUMMYFUNCTION("if (A2049 &lt;&gt; """", GOOGLETRANSLATE(A2049, ""auto"", ""en""), """")"),"")</f>
        <v/>
      </c>
      <c r="G2049" s="49" t="str">
        <f t="shared" ca="1" si="2047"/>
        <v/>
      </c>
      <c r="H2049" s="49" t="str">
        <f t="shared" ca="1" si="2047"/>
        <v/>
      </c>
      <c r="I2049" s="49" t="str">
        <f t="shared" ca="1" si="2047"/>
        <v/>
      </c>
      <c r="J2049" s="49" t="str">
        <f t="shared" ca="1" si="2047"/>
        <v/>
      </c>
    </row>
    <row r="2050" spans="1:10" ht="12.75" x14ac:dyDescent="0.2">
      <c r="A2050" s="40"/>
      <c r="B2050" s="41" t="s">
        <v>399</v>
      </c>
      <c r="C2050" s="40"/>
      <c r="D2050" s="40"/>
      <c r="E2050" s="40"/>
      <c r="F2050" s="49" t="str">
        <f t="shared" ref="F2050:J2050" ca="1" si="2048">IFERROR(__xludf.DUMMYFUNCTION("if (A2050 &lt;&gt; """", GOOGLETRANSLATE(A2050, ""auto"", ""en""), """")"),"")</f>
        <v/>
      </c>
      <c r="G2050" s="49" t="str">
        <f t="shared" ca="1" si="2048"/>
        <v/>
      </c>
      <c r="H2050" s="49" t="str">
        <f t="shared" ca="1" si="2048"/>
        <v/>
      </c>
      <c r="I2050" s="49" t="str">
        <f t="shared" ca="1" si="2048"/>
        <v/>
      </c>
      <c r="J2050" s="49" t="str">
        <f t="shared" ca="1" si="2048"/>
        <v/>
      </c>
    </row>
    <row r="2051" spans="1:10" ht="12.75" x14ac:dyDescent="0.2">
      <c r="A2051" s="40"/>
      <c r="B2051" s="41" t="s">
        <v>400</v>
      </c>
      <c r="C2051" s="41" t="s">
        <v>1508</v>
      </c>
      <c r="D2051" s="40"/>
      <c r="E2051" s="40"/>
      <c r="F2051" s="49" t="str">
        <f t="shared" ref="F2051:J2051" ca="1" si="2049">IFERROR(__xludf.DUMMYFUNCTION("if (A2051 &lt;&gt; """", GOOGLETRANSLATE(A2051, ""auto"", ""en""), """")"),"")</f>
        <v/>
      </c>
      <c r="G2051" s="49" t="str">
        <f t="shared" ca="1" si="2049"/>
        <v/>
      </c>
      <c r="H2051" s="49" t="str">
        <f t="shared" ca="1" si="2049"/>
        <v/>
      </c>
      <c r="I2051" s="49" t="str">
        <f t="shared" ca="1" si="2049"/>
        <v/>
      </c>
      <c r="J2051" s="49" t="str">
        <f t="shared" ca="1" si="2049"/>
        <v/>
      </c>
    </row>
    <row r="2052" spans="1:10" ht="12.75" x14ac:dyDescent="0.2">
      <c r="A2052" s="40"/>
      <c r="B2052" s="41" t="s">
        <v>401</v>
      </c>
      <c r="C2052" s="40"/>
      <c r="D2052" s="40"/>
      <c r="E2052" s="40"/>
      <c r="F2052" s="49" t="str">
        <f t="shared" ref="F2052:J2052" ca="1" si="2050">IFERROR(__xludf.DUMMYFUNCTION("if (A2052 &lt;&gt; """", GOOGLETRANSLATE(A2052, ""auto"", ""en""), """")"),"")</f>
        <v/>
      </c>
      <c r="G2052" s="49" t="str">
        <f t="shared" ca="1" si="2050"/>
        <v/>
      </c>
      <c r="H2052" s="49" t="str">
        <f t="shared" ca="1" si="2050"/>
        <v/>
      </c>
      <c r="I2052" s="49" t="str">
        <f t="shared" ca="1" si="2050"/>
        <v/>
      </c>
      <c r="J2052" s="49" t="str">
        <f t="shared" ca="1" si="2050"/>
        <v/>
      </c>
    </row>
    <row r="2053" spans="1:10" ht="25.5" x14ac:dyDescent="0.2">
      <c r="A2053" s="41" t="s">
        <v>1509</v>
      </c>
      <c r="B2053" s="41" t="s">
        <v>402</v>
      </c>
      <c r="C2053" s="41" t="s">
        <v>1510</v>
      </c>
      <c r="D2053" s="40"/>
      <c r="E2053" s="40"/>
      <c r="F2053" s="49" t="str">
        <f t="shared" ref="F2053:J2053" ca="1" si="2051">IFERROR(__xludf.DUMMYFUNCTION("if (A2053 &lt;&gt; """", GOOGLETRANSLATE(A2053, ""auto"", ""en""), """")"),"What do you mean")</f>
        <v>What do you mean</v>
      </c>
      <c r="G2053" s="49" t="str">
        <f t="shared" ca="1" si="2051"/>
        <v>What do you mean</v>
      </c>
      <c r="H2053" s="49" t="str">
        <f t="shared" ca="1" si="2051"/>
        <v>What do you mean</v>
      </c>
      <c r="I2053" s="49" t="str">
        <f t="shared" ca="1" si="2051"/>
        <v>What do you mean</v>
      </c>
      <c r="J2053" s="49" t="str">
        <f t="shared" ca="1" si="2051"/>
        <v>What do you mean</v>
      </c>
    </row>
    <row r="2054" spans="1:10" ht="12.75" x14ac:dyDescent="0.2">
      <c r="A2054" s="41" t="s">
        <v>1511</v>
      </c>
      <c r="B2054" s="40"/>
      <c r="C2054" s="40"/>
      <c r="D2054" s="40"/>
      <c r="E2054" s="40"/>
      <c r="F2054" s="49" t="str">
        <f t="shared" ref="F2054:J2054" ca="1" si="2052">IFERROR(__xludf.DUMMYFUNCTION("if (A2054 &lt;&gt; """", GOOGLETRANSLATE(A2054, ""auto"", ""en""), """")"),"Is this sense")</f>
        <v>Is this sense</v>
      </c>
      <c r="G2054" s="49" t="str">
        <f t="shared" ca="1" si="2052"/>
        <v>Is this sense</v>
      </c>
      <c r="H2054" s="49" t="str">
        <f t="shared" ca="1" si="2052"/>
        <v>Is this sense</v>
      </c>
      <c r="I2054" s="49" t="str">
        <f t="shared" ca="1" si="2052"/>
        <v>Is this sense</v>
      </c>
      <c r="J2054" s="49" t="str">
        <f t="shared" ca="1" si="2052"/>
        <v>Is this sense</v>
      </c>
    </row>
    <row r="2055" spans="1:10" ht="38.25" x14ac:dyDescent="0.2">
      <c r="A2055" s="41" t="s">
        <v>1512</v>
      </c>
      <c r="B2055" s="40"/>
      <c r="C2055" s="40"/>
      <c r="D2055" s="40"/>
      <c r="E2055" s="40"/>
      <c r="F2055" s="49" t="str">
        <f t="shared" ref="F2055:J2055" ca="1" si="2053">IFERROR(__xludf.DUMMYFUNCTION("if (A2055 &lt;&gt; """", GOOGLETRANSLATE(A2055, ""auto"", ""en""), """")"),"Is exactly does that mean")</f>
        <v>Is exactly does that mean</v>
      </c>
      <c r="G2055" s="49" t="str">
        <f t="shared" ca="1" si="2053"/>
        <v>Is exactly does that mean</v>
      </c>
      <c r="H2055" s="49" t="str">
        <f t="shared" ca="1" si="2053"/>
        <v>Is exactly does that mean</v>
      </c>
      <c r="I2055" s="49" t="str">
        <f t="shared" ca="1" si="2053"/>
        <v>Is exactly does that mean</v>
      </c>
      <c r="J2055" s="49" t="str">
        <f t="shared" ca="1" si="2053"/>
        <v>Is exactly does that mean</v>
      </c>
    </row>
    <row r="2056" spans="1:10" ht="51" x14ac:dyDescent="0.2">
      <c r="A2056" s="41" t="s">
        <v>1513</v>
      </c>
      <c r="B2056" s="40"/>
      <c r="C2056" s="40"/>
      <c r="D2056" s="40"/>
      <c r="E2056" s="40"/>
      <c r="F2056" s="49" t="str">
        <f t="shared" ref="F2056:J2056" ca="1" si="2054">IFERROR(__xludf.DUMMYFUNCTION("if (A2056 &lt;&gt; """", GOOGLETRANSLATE(A2056, ""auto"", ""en""), """")"),"Strictly speaking, What does it mean?")</f>
        <v>Strictly speaking, What does it mean?</v>
      </c>
      <c r="G2056" s="49" t="str">
        <f t="shared" ca="1" si="2054"/>
        <v>Strictly speaking, What does it mean?</v>
      </c>
      <c r="H2056" s="49" t="str">
        <f t="shared" ca="1" si="2054"/>
        <v>Strictly speaking, What does it mean?</v>
      </c>
      <c r="I2056" s="49" t="str">
        <f t="shared" ca="1" si="2054"/>
        <v>Strictly speaking, What does it mean?</v>
      </c>
      <c r="J2056" s="49" t="str">
        <f t="shared" ca="1" si="2054"/>
        <v>Strictly speaking, What does it mean?</v>
      </c>
    </row>
    <row r="2057" spans="1:10" ht="25.5" x14ac:dyDescent="0.2">
      <c r="A2057" s="41" t="s">
        <v>1514</v>
      </c>
      <c r="B2057" s="40"/>
      <c r="C2057" s="40"/>
      <c r="D2057" s="40"/>
      <c r="E2057" s="40"/>
      <c r="F2057" s="49" t="str">
        <f t="shared" ref="F2057:J2057" ca="1" si="2055">IFERROR(__xludf.DUMMYFUNCTION("if (A2057 &lt;&gt; """", GOOGLETRANSLATE(A2057, ""auto"", ""en""), """")"),"But, What does it mean?")</f>
        <v>But, What does it mean?</v>
      </c>
      <c r="G2057" s="49" t="str">
        <f t="shared" ca="1" si="2055"/>
        <v>But, What does it mean?</v>
      </c>
      <c r="H2057" s="49" t="str">
        <f t="shared" ca="1" si="2055"/>
        <v>But, What does it mean?</v>
      </c>
      <c r="I2057" s="49" t="str">
        <f t="shared" ca="1" si="2055"/>
        <v>But, What does it mean?</v>
      </c>
      <c r="J2057" s="49" t="str">
        <f t="shared" ca="1" si="2055"/>
        <v>But, What does it mean?</v>
      </c>
    </row>
    <row r="2058" spans="1:10" ht="12.75" x14ac:dyDescent="0.2">
      <c r="A2058" s="40"/>
      <c r="B2058" s="40"/>
      <c r="C2058" s="40"/>
      <c r="D2058" s="40"/>
      <c r="E2058" s="40"/>
      <c r="F2058" s="49" t="str">
        <f t="shared" ref="F2058:J2058" ca="1" si="2056">IFERROR(__xludf.DUMMYFUNCTION("if (A2058 &lt;&gt; """", GOOGLETRANSLATE(A2058, ""auto"", ""en""), """")"),"")</f>
        <v/>
      </c>
      <c r="G2058" s="49" t="str">
        <f t="shared" ca="1" si="2056"/>
        <v/>
      </c>
      <c r="H2058" s="49" t="str">
        <f t="shared" ca="1" si="2056"/>
        <v/>
      </c>
      <c r="I2058" s="49" t="str">
        <f t="shared" ca="1" si="2056"/>
        <v/>
      </c>
      <c r="J2058" s="49" t="str">
        <f t="shared" ca="1" si="2056"/>
        <v/>
      </c>
    </row>
    <row r="2059" spans="1:10" ht="25.5" x14ac:dyDescent="0.2">
      <c r="A2059" s="41" t="s">
        <v>1515</v>
      </c>
      <c r="B2059" s="40"/>
      <c r="C2059" s="40"/>
      <c r="D2059" s="40"/>
      <c r="E2059" s="40"/>
      <c r="F2059" s="49" t="str">
        <f t="shared" ref="F2059:J2059" ca="1" si="2057">IFERROR(__xludf.DUMMYFUNCTION("if (A2059 &lt;&gt; """", GOOGLETRANSLATE(A2059, ""auto"", ""en""), """")"),"smalltalk.dialog.wrong")</f>
        <v>smalltalk.dialog.wrong</v>
      </c>
      <c r="G2059" s="49" t="str">
        <f t="shared" ca="1" si="2057"/>
        <v>smalltalk.dialog.wrong</v>
      </c>
      <c r="H2059" s="49" t="str">
        <f t="shared" ca="1" si="2057"/>
        <v>smalltalk.dialog.wrong</v>
      </c>
      <c r="I2059" s="49" t="str">
        <f t="shared" ca="1" si="2057"/>
        <v>smalltalk.dialog.wrong</v>
      </c>
      <c r="J2059" s="49" t="str">
        <f t="shared" ca="1" si="2057"/>
        <v>smalltalk.dialog.wrong</v>
      </c>
    </row>
    <row r="2060" spans="1:10" ht="12.75" x14ac:dyDescent="0.2">
      <c r="A2060" s="40"/>
      <c r="B2060" s="41" t="s">
        <v>398</v>
      </c>
      <c r="C2060" s="40"/>
      <c r="D2060" s="40"/>
      <c r="E2060" s="40"/>
      <c r="F2060" s="49" t="str">
        <f t="shared" ref="F2060:J2060" ca="1" si="2058">IFERROR(__xludf.DUMMYFUNCTION("if (A2060 &lt;&gt; """", GOOGLETRANSLATE(A2060, ""auto"", ""en""), """")"),"")</f>
        <v/>
      </c>
      <c r="G2060" s="49" t="str">
        <f t="shared" ca="1" si="2058"/>
        <v/>
      </c>
      <c r="H2060" s="49" t="str">
        <f t="shared" ca="1" si="2058"/>
        <v/>
      </c>
      <c r="I2060" s="49" t="str">
        <f t="shared" ca="1" si="2058"/>
        <v/>
      </c>
      <c r="J2060" s="49" t="str">
        <f t="shared" ca="1" si="2058"/>
        <v/>
      </c>
    </row>
    <row r="2061" spans="1:10" ht="12.75" x14ac:dyDescent="0.2">
      <c r="A2061" s="40"/>
      <c r="B2061" s="41" t="s">
        <v>399</v>
      </c>
      <c r="C2061" s="40"/>
      <c r="D2061" s="40"/>
      <c r="E2061" s="40"/>
      <c r="F2061" s="49" t="str">
        <f t="shared" ref="F2061:J2061" ca="1" si="2059">IFERROR(__xludf.DUMMYFUNCTION("if (A2061 &lt;&gt; """", GOOGLETRANSLATE(A2061, ""auto"", ""en""), """")"),"")</f>
        <v/>
      </c>
      <c r="G2061" s="49" t="str">
        <f t="shared" ca="1" si="2059"/>
        <v/>
      </c>
      <c r="H2061" s="49" t="str">
        <f t="shared" ca="1" si="2059"/>
        <v/>
      </c>
      <c r="I2061" s="49" t="str">
        <f t="shared" ca="1" si="2059"/>
        <v/>
      </c>
      <c r="J2061" s="49" t="str">
        <f t="shared" ca="1" si="2059"/>
        <v/>
      </c>
    </row>
    <row r="2062" spans="1:10" ht="12.75" x14ac:dyDescent="0.2">
      <c r="A2062" s="40"/>
      <c r="B2062" s="41" t="s">
        <v>400</v>
      </c>
      <c r="C2062" s="41" t="s">
        <v>1515</v>
      </c>
      <c r="D2062" s="40"/>
      <c r="E2062" s="40"/>
      <c r="F2062" s="49" t="str">
        <f t="shared" ref="F2062:J2062" ca="1" si="2060">IFERROR(__xludf.DUMMYFUNCTION("if (A2062 &lt;&gt; """", GOOGLETRANSLATE(A2062, ""auto"", ""en""), """")"),"")</f>
        <v/>
      </c>
      <c r="G2062" s="49" t="str">
        <f t="shared" ca="1" si="2060"/>
        <v/>
      </c>
      <c r="H2062" s="49" t="str">
        <f t="shared" ca="1" si="2060"/>
        <v/>
      </c>
      <c r="I2062" s="49" t="str">
        <f t="shared" ca="1" si="2060"/>
        <v/>
      </c>
      <c r="J2062" s="49" t="str">
        <f t="shared" ca="1" si="2060"/>
        <v/>
      </c>
    </row>
    <row r="2063" spans="1:10" ht="12.75" x14ac:dyDescent="0.2">
      <c r="A2063" s="40"/>
      <c r="B2063" s="41" t="s">
        <v>401</v>
      </c>
      <c r="C2063" s="40"/>
      <c r="D2063" s="40"/>
      <c r="E2063" s="40"/>
      <c r="F2063" s="49" t="str">
        <f t="shared" ref="F2063:J2063" ca="1" si="2061">IFERROR(__xludf.DUMMYFUNCTION("if (A2063 &lt;&gt; """", GOOGLETRANSLATE(A2063, ""auto"", ""en""), """")"),"")</f>
        <v/>
      </c>
      <c r="G2063" s="49" t="str">
        <f t="shared" ca="1" si="2061"/>
        <v/>
      </c>
      <c r="H2063" s="49" t="str">
        <f t="shared" ca="1" si="2061"/>
        <v/>
      </c>
      <c r="I2063" s="49" t="str">
        <f t="shared" ca="1" si="2061"/>
        <v/>
      </c>
      <c r="J2063" s="49" t="str">
        <f t="shared" ca="1" si="2061"/>
        <v/>
      </c>
    </row>
    <row r="2064" spans="1:10" ht="38.25" x14ac:dyDescent="0.2">
      <c r="A2064" s="41" t="s">
        <v>1516</v>
      </c>
      <c r="B2064" s="41" t="s">
        <v>402</v>
      </c>
      <c r="C2064" s="41" t="s">
        <v>1517</v>
      </c>
      <c r="D2064" s="40"/>
      <c r="E2064" s="40"/>
      <c r="F2064" s="49" t="str">
        <f t="shared" ref="F2064:J2064" ca="1" si="2062">IFERROR(__xludf.DUMMYFUNCTION("if (A2064 &lt;&gt; """", GOOGLETRANSLATE(A2064, ""auto"", ""en""), """")"),"Wrong")</f>
        <v>Wrong</v>
      </c>
      <c r="G2064" s="49" t="str">
        <f t="shared" ca="1" si="2062"/>
        <v>Wrong</v>
      </c>
      <c r="H2064" s="49" t="str">
        <f t="shared" ca="1" si="2062"/>
        <v>Wrong</v>
      </c>
      <c r="I2064" s="49" t="str">
        <f t="shared" ca="1" si="2062"/>
        <v>Wrong</v>
      </c>
      <c r="J2064" s="49" t="str">
        <f t="shared" ca="1" si="2062"/>
        <v>Wrong</v>
      </c>
    </row>
    <row r="2065" spans="1:10" ht="25.5" x14ac:dyDescent="0.2">
      <c r="A2065" s="41" t="s">
        <v>1518</v>
      </c>
      <c r="B2065" s="40"/>
      <c r="C2065" s="40"/>
      <c r="D2065" s="40"/>
      <c r="E2065" s="40"/>
      <c r="F2065" s="49" t="str">
        <f t="shared" ref="F2065:J2065" ca="1" si="2063">IFERROR(__xludf.DUMMYFUNCTION("if (A2065 &lt;&gt; """", GOOGLETRANSLATE(A2065, ""auto"", ""en""), """")"),"You have different")</f>
        <v>You have different</v>
      </c>
      <c r="G2065" s="49" t="str">
        <f t="shared" ca="1" si="2063"/>
        <v>You have different</v>
      </c>
      <c r="H2065" s="49" t="str">
        <f t="shared" ca="1" si="2063"/>
        <v>You have different</v>
      </c>
      <c r="I2065" s="49" t="str">
        <f t="shared" ca="1" si="2063"/>
        <v>You have different</v>
      </c>
      <c r="J2065" s="49" t="str">
        <f t="shared" ca="1" si="2063"/>
        <v>You have different</v>
      </c>
    </row>
    <row r="2066" spans="1:10" ht="25.5" x14ac:dyDescent="0.2">
      <c r="A2066" s="41" t="s">
        <v>1519</v>
      </c>
      <c r="B2066" s="40"/>
      <c r="C2066" s="40"/>
      <c r="D2066" s="40"/>
      <c r="E2066" s="40"/>
      <c r="F2066" s="49" t="str">
        <f t="shared" ref="F2066:J2066" ca="1" si="2064">IFERROR(__xludf.DUMMYFUNCTION("if (A2066 &lt;&gt; """", GOOGLETRANSLATE(A2066, ""auto"", ""en""), """")"),"That's not right")</f>
        <v>That's not right</v>
      </c>
      <c r="G2066" s="49" t="str">
        <f t="shared" ca="1" si="2064"/>
        <v>That's not right</v>
      </c>
      <c r="H2066" s="49" t="str">
        <f t="shared" ca="1" si="2064"/>
        <v>That's not right</v>
      </c>
      <c r="I2066" s="49" t="str">
        <f t="shared" ca="1" si="2064"/>
        <v>That's not right</v>
      </c>
      <c r="J2066" s="49" t="str">
        <f t="shared" ca="1" si="2064"/>
        <v>That's not right</v>
      </c>
    </row>
    <row r="2067" spans="1:10" ht="12.75" x14ac:dyDescent="0.2">
      <c r="A2067" s="41" t="s">
        <v>1520</v>
      </c>
      <c r="B2067" s="40"/>
      <c r="C2067" s="40"/>
      <c r="D2067" s="40"/>
      <c r="E2067" s="40"/>
      <c r="F2067" s="49" t="str">
        <f t="shared" ref="F2067:J2067" ca="1" si="2065">IFERROR(__xludf.DUMMYFUNCTION("if (A2067 &lt;&gt; """", GOOGLETRANSLATE(A2067, ""auto"", ""en""), """")"),"It's not")</f>
        <v>It's not</v>
      </c>
      <c r="G2067" s="49" t="str">
        <f t="shared" ca="1" si="2065"/>
        <v>It's not</v>
      </c>
      <c r="H2067" s="49" t="str">
        <f t="shared" ca="1" si="2065"/>
        <v>It's not</v>
      </c>
      <c r="I2067" s="49" t="str">
        <f t="shared" ca="1" si="2065"/>
        <v>It's not</v>
      </c>
      <c r="J2067" s="49" t="str">
        <f t="shared" ca="1" si="2065"/>
        <v>It's not</v>
      </c>
    </row>
    <row r="2068" spans="1:10" ht="12.75" x14ac:dyDescent="0.2">
      <c r="A2068" s="41" t="s">
        <v>1521</v>
      </c>
      <c r="B2068" s="40"/>
      <c r="C2068" s="40"/>
      <c r="D2068" s="40"/>
      <c r="E2068" s="40"/>
      <c r="F2068" s="49" t="str">
        <f t="shared" ref="F2068:J2068" ca="1" si="2066">IFERROR(__xludf.DUMMYFUNCTION("if (A2068 &lt;&gt; """", GOOGLETRANSLATE(A2068, ""auto"", ""en""), """")"),"That's not it")</f>
        <v>That's not it</v>
      </c>
      <c r="G2068" s="49" t="str">
        <f t="shared" ca="1" si="2066"/>
        <v>That's not it</v>
      </c>
      <c r="H2068" s="49" t="str">
        <f t="shared" ca="1" si="2066"/>
        <v>That's not it</v>
      </c>
      <c r="I2068" s="49" t="str">
        <f t="shared" ca="1" si="2066"/>
        <v>That's not it</v>
      </c>
      <c r="J2068" s="49" t="str">
        <f t="shared" ca="1" si="2066"/>
        <v>That's not it</v>
      </c>
    </row>
    <row r="2069" spans="1:10" ht="12.75" x14ac:dyDescent="0.2">
      <c r="A2069" s="41" t="s">
        <v>1522</v>
      </c>
      <c r="B2069" s="40"/>
      <c r="C2069" s="40"/>
      <c r="D2069" s="40"/>
      <c r="E2069" s="40"/>
      <c r="F2069" s="49" t="str">
        <f t="shared" ref="F2069:J2069" ca="1" si="2067">IFERROR(__xludf.DUMMYFUNCTION("if (A2069 &lt;&gt; """", GOOGLETRANSLATE(A2069, ""auto"", ""en""), """")"),"That's wrong")</f>
        <v>That's wrong</v>
      </c>
      <c r="G2069" s="49" t="str">
        <f t="shared" ca="1" si="2067"/>
        <v>That's wrong</v>
      </c>
      <c r="H2069" s="49" t="str">
        <f t="shared" ca="1" si="2067"/>
        <v>That's wrong</v>
      </c>
      <c r="I2069" s="49" t="str">
        <f t="shared" ca="1" si="2067"/>
        <v>That's wrong</v>
      </c>
      <c r="J2069" s="49" t="str">
        <f t="shared" ca="1" si="2067"/>
        <v>That's wrong</v>
      </c>
    </row>
    <row r="2070" spans="1:10" ht="12.75" x14ac:dyDescent="0.2">
      <c r="A2070" s="41" t="s">
        <v>1523</v>
      </c>
      <c r="B2070" s="40"/>
      <c r="C2070" s="40"/>
      <c r="D2070" s="40"/>
      <c r="E2070" s="40"/>
      <c r="F2070" s="49" t="str">
        <f t="shared" ref="F2070:J2070" ca="1" si="2068">IFERROR(__xludf.DUMMYFUNCTION("if (A2070 &lt;&gt; """", GOOGLETRANSLATE(A2070, ""auto"", ""en""), """")"),"It's wrong")</f>
        <v>It's wrong</v>
      </c>
      <c r="G2070" s="49" t="str">
        <f t="shared" ca="1" si="2068"/>
        <v>It's wrong</v>
      </c>
      <c r="H2070" s="49" t="str">
        <f t="shared" ca="1" si="2068"/>
        <v>It's wrong</v>
      </c>
      <c r="I2070" s="49" t="str">
        <f t="shared" ca="1" si="2068"/>
        <v>It's wrong</v>
      </c>
      <c r="J2070" s="49" t="str">
        <f t="shared" ca="1" si="2068"/>
        <v>It's wrong</v>
      </c>
    </row>
    <row r="2071" spans="1:10" ht="12.75" x14ac:dyDescent="0.2">
      <c r="A2071" s="41" t="s">
        <v>1524</v>
      </c>
      <c r="B2071" s="40"/>
      <c r="C2071" s="40"/>
      <c r="D2071" s="40"/>
      <c r="E2071" s="40"/>
      <c r="F2071" s="49" t="str">
        <f t="shared" ref="F2071:J2071" ca="1" si="2069">IFERROR(__xludf.DUMMYFUNCTION("if (A2071 &lt;&gt; """", GOOGLETRANSLATE(A2071, ""auto"", ""en""), """")"),"A mistake")</f>
        <v>A mistake</v>
      </c>
      <c r="G2071" s="49" t="str">
        <f t="shared" ca="1" si="2069"/>
        <v>A mistake</v>
      </c>
      <c r="H2071" s="49" t="str">
        <f t="shared" ca="1" si="2069"/>
        <v>A mistake</v>
      </c>
      <c r="I2071" s="49" t="str">
        <f t="shared" ca="1" si="2069"/>
        <v>A mistake</v>
      </c>
      <c r="J2071" s="49" t="str">
        <f t="shared" ca="1" si="2069"/>
        <v>A mistake</v>
      </c>
    </row>
    <row r="2072" spans="1:10" ht="12.75" x14ac:dyDescent="0.2">
      <c r="A2072" s="41" t="s">
        <v>1525</v>
      </c>
      <c r="B2072" s="40"/>
      <c r="C2072" s="40"/>
      <c r="D2072" s="40"/>
      <c r="E2072" s="40"/>
      <c r="F2072" s="49" t="str">
        <f t="shared" ref="F2072:J2072" ca="1" si="2070">IFERROR(__xludf.DUMMYFUNCTION("if (A2072 &lt;&gt; """", GOOGLETRANSLATE(A2072, ""auto"", ""en""), """")"),"Incorrect")</f>
        <v>Incorrect</v>
      </c>
      <c r="G2072" s="49" t="str">
        <f t="shared" ca="1" si="2070"/>
        <v>Incorrect</v>
      </c>
      <c r="H2072" s="49" t="str">
        <f t="shared" ca="1" si="2070"/>
        <v>Incorrect</v>
      </c>
      <c r="I2072" s="49" t="str">
        <f t="shared" ca="1" si="2070"/>
        <v>Incorrect</v>
      </c>
      <c r="J2072" s="49" t="str">
        <f t="shared" ca="1" si="2070"/>
        <v>Incorrect</v>
      </c>
    </row>
    <row r="2073" spans="1:10" ht="12.75" x14ac:dyDescent="0.2">
      <c r="A2073" s="40"/>
      <c r="B2073" s="40"/>
      <c r="C2073" s="40"/>
      <c r="D2073" s="40"/>
      <c r="E2073" s="40"/>
      <c r="F2073" s="49" t="str">
        <f t="shared" ref="F2073:J2073" ca="1" si="2071">IFERROR(__xludf.DUMMYFUNCTION("if (A2073 &lt;&gt; """", GOOGLETRANSLATE(A2073, ""auto"", ""en""), """")"),"")</f>
        <v/>
      </c>
      <c r="G2073" s="49" t="str">
        <f t="shared" ca="1" si="2071"/>
        <v/>
      </c>
      <c r="H2073" s="49" t="str">
        <f t="shared" ca="1" si="2071"/>
        <v/>
      </c>
      <c r="I2073" s="49" t="str">
        <f t="shared" ca="1" si="2071"/>
        <v/>
      </c>
      <c r="J2073" s="49" t="str">
        <f t="shared" ca="1" si="2071"/>
        <v/>
      </c>
    </row>
    <row r="2074" spans="1:10" ht="25.5" x14ac:dyDescent="0.2">
      <c r="A2074" s="41" t="s">
        <v>1526</v>
      </c>
      <c r="B2074" s="40"/>
      <c r="C2074" s="40"/>
      <c r="D2074" s="40"/>
      <c r="E2074" s="40"/>
      <c r="F2074" s="49" t="str">
        <f t="shared" ref="F2074:J2074" ca="1" si="2072">IFERROR(__xludf.DUMMYFUNCTION("if (A2074 &lt;&gt; """", GOOGLETRANSLATE(A2074, ""auto"", ""en""), """")"),"smalltalk.emotions.ha_ha")</f>
        <v>smalltalk.emotions.ha_ha</v>
      </c>
      <c r="G2074" s="49" t="str">
        <f t="shared" ca="1" si="2072"/>
        <v>smalltalk.emotions.ha_ha</v>
      </c>
      <c r="H2074" s="49" t="str">
        <f t="shared" ca="1" si="2072"/>
        <v>smalltalk.emotions.ha_ha</v>
      </c>
      <c r="I2074" s="49" t="str">
        <f t="shared" ca="1" si="2072"/>
        <v>smalltalk.emotions.ha_ha</v>
      </c>
      <c r="J2074" s="49" t="str">
        <f t="shared" ca="1" si="2072"/>
        <v>smalltalk.emotions.ha_ha</v>
      </c>
    </row>
    <row r="2075" spans="1:10" ht="12.75" x14ac:dyDescent="0.2">
      <c r="A2075" s="40"/>
      <c r="B2075" s="41" t="s">
        <v>398</v>
      </c>
      <c r="C2075" s="40"/>
      <c r="D2075" s="40"/>
      <c r="E2075" s="40"/>
      <c r="F2075" s="49" t="str">
        <f t="shared" ref="F2075:J2075" ca="1" si="2073">IFERROR(__xludf.DUMMYFUNCTION("if (A2075 &lt;&gt; """", GOOGLETRANSLATE(A2075, ""auto"", ""en""), """")"),"")</f>
        <v/>
      </c>
      <c r="G2075" s="49" t="str">
        <f t="shared" ca="1" si="2073"/>
        <v/>
      </c>
      <c r="H2075" s="49" t="str">
        <f t="shared" ca="1" si="2073"/>
        <v/>
      </c>
      <c r="I2075" s="49" t="str">
        <f t="shared" ca="1" si="2073"/>
        <v/>
      </c>
      <c r="J2075" s="49" t="str">
        <f t="shared" ca="1" si="2073"/>
        <v/>
      </c>
    </row>
    <row r="2076" spans="1:10" ht="12.75" x14ac:dyDescent="0.2">
      <c r="A2076" s="40"/>
      <c r="B2076" s="41" t="s">
        <v>399</v>
      </c>
      <c r="C2076" s="40"/>
      <c r="D2076" s="40"/>
      <c r="E2076" s="40"/>
      <c r="F2076" s="49" t="str">
        <f t="shared" ref="F2076:J2076" ca="1" si="2074">IFERROR(__xludf.DUMMYFUNCTION("if (A2076 &lt;&gt; """", GOOGLETRANSLATE(A2076, ""auto"", ""en""), """")"),"")</f>
        <v/>
      </c>
      <c r="G2076" s="49" t="str">
        <f t="shared" ca="1" si="2074"/>
        <v/>
      </c>
      <c r="H2076" s="49" t="str">
        <f t="shared" ca="1" si="2074"/>
        <v/>
      </c>
      <c r="I2076" s="49" t="str">
        <f t="shared" ca="1" si="2074"/>
        <v/>
      </c>
      <c r="J2076" s="49" t="str">
        <f t="shared" ca="1" si="2074"/>
        <v/>
      </c>
    </row>
    <row r="2077" spans="1:10" ht="12.75" x14ac:dyDescent="0.2">
      <c r="A2077" s="40"/>
      <c r="B2077" s="41" t="s">
        <v>400</v>
      </c>
      <c r="C2077" s="41" t="s">
        <v>1526</v>
      </c>
      <c r="D2077" s="40"/>
      <c r="E2077" s="40"/>
      <c r="F2077" s="49" t="str">
        <f t="shared" ref="F2077:J2077" ca="1" si="2075">IFERROR(__xludf.DUMMYFUNCTION("if (A2077 &lt;&gt; """", GOOGLETRANSLATE(A2077, ""auto"", ""en""), """")"),"")</f>
        <v/>
      </c>
      <c r="G2077" s="49" t="str">
        <f t="shared" ca="1" si="2075"/>
        <v/>
      </c>
      <c r="H2077" s="49" t="str">
        <f t="shared" ca="1" si="2075"/>
        <v/>
      </c>
      <c r="I2077" s="49" t="str">
        <f t="shared" ca="1" si="2075"/>
        <v/>
      </c>
      <c r="J2077" s="49" t="str">
        <f t="shared" ca="1" si="2075"/>
        <v/>
      </c>
    </row>
    <row r="2078" spans="1:10" ht="12.75" x14ac:dyDescent="0.2">
      <c r="A2078" s="40"/>
      <c r="B2078" s="41" t="s">
        <v>401</v>
      </c>
      <c r="C2078" s="40"/>
      <c r="D2078" s="40"/>
      <c r="E2078" s="40"/>
      <c r="F2078" s="49" t="str">
        <f t="shared" ref="F2078:J2078" ca="1" si="2076">IFERROR(__xludf.DUMMYFUNCTION("if (A2078 &lt;&gt; """", GOOGLETRANSLATE(A2078, ""auto"", ""en""), """")"),"")</f>
        <v/>
      </c>
      <c r="G2078" s="49" t="str">
        <f t="shared" ca="1" si="2076"/>
        <v/>
      </c>
      <c r="H2078" s="49" t="str">
        <f t="shared" ca="1" si="2076"/>
        <v/>
      </c>
      <c r="I2078" s="49" t="str">
        <f t="shared" ca="1" si="2076"/>
        <v/>
      </c>
      <c r="J2078" s="49" t="str">
        <f t="shared" ca="1" si="2076"/>
        <v/>
      </c>
    </row>
    <row r="2079" spans="1:10" ht="12.75" x14ac:dyDescent="0.2">
      <c r="A2079" s="41" t="s">
        <v>1528</v>
      </c>
      <c r="B2079" s="41" t="s">
        <v>402</v>
      </c>
      <c r="C2079" s="41" t="s">
        <v>1528</v>
      </c>
      <c r="D2079" s="40"/>
      <c r="E2079" s="40"/>
      <c r="F2079" s="49" t="str">
        <f t="shared" ref="F2079:J2079" ca="1" si="2077">IFERROR(__xludf.DUMMYFUNCTION("if (A2079 &lt;&gt; """", GOOGLETRANSLATE(A2079, ""auto"", ""en""), """")"),"Lol")</f>
        <v>Lol</v>
      </c>
      <c r="G2079" s="49" t="str">
        <f t="shared" ca="1" si="2077"/>
        <v>Lol</v>
      </c>
      <c r="H2079" s="49" t="str">
        <f t="shared" ca="1" si="2077"/>
        <v>Lol</v>
      </c>
      <c r="I2079" s="49" t="str">
        <f t="shared" ca="1" si="2077"/>
        <v>Lol</v>
      </c>
      <c r="J2079" s="49" t="str">
        <f t="shared" ca="1" si="2077"/>
        <v>Lol</v>
      </c>
    </row>
    <row r="2080" spans="1:10" ht="12.75" x14ac:dyDescent="0.2">
      <c r="A2080" s="41" t="s">
        <v>1529</v>
      </c>
      <c r="B2080" s="40"/>
      <c r="C2080" s="40"/>
      <c r="D2080" s="40"/>
      <c r="E2080" s="40"/>
      <c r="F2080" s="49" t="str">
        <f t="shared" ref="F2080:J2080" ca="1" si="2078">IFERROR(__xludf.DUMMYFUNCTION("if (A2080 &lt;&gt; """", GOOGLETRANSLATE(A2080, ""auto"", ""en""), """")"),"Ah")</f>
        <v>Ah</v>
      </c>
      <c r="G2080" s="49" t="str">
        <f t="shared" ca="1" si="2078"/>
        <v>Ah</v>
      </c>
      <c r="H2080" s="49" t="str">
        <f t="shared" ca="1" si="2078"/>
        <v>Ah</v>
      </c>
      <c r="I2080" s="49" t="str">
        <f t="shared" ca="1" si="2078"/>
        <v>Ah</v>
      </c>
      <c r="J2080" s="49" t="str">
        <f t="shared" ca="1" si="2078"/>
        <v>Ah</v>
      </c>
    </row>
    <row r="2081" spans="1:10" ht="12.75" x14ac:dyDescent="0.2">
      <c r="A2081" s="41" t="s">
        <v>1530</v>
      </c>
      <c r="B2081" s="40"/>
      <c r="C2081" s="40"/>
      <c r="D2081" s="40"/>
      <c r="E2081" s="40"/>
      <c r="F2081" s="49" t="str">
        <f t="shared" ref="F2081:J2081" ca="1" si="2079">IFERROR(__xludf.DUMMYFUNCTION("if (A2081 &lt;&gt; """", GOOGLETRANSLATE(A2081, ""auto"", ""en""), """")"),"Comedy")</f>
        <v>Comedy</v>
      </c>
      <c r="G2081" s="49" t="str">
        <f t="shared" ca="1" si="2079"/>
        <v>Comedy</v>
      </c>
      <c r="H2081" s="49" t="str">
        <f t="shared" ca="1" si="2079"/>
        <v>Comedy</v>
      </c>
      <c r="I2081" s="49" t="str">
        <f t="shared" ca="1" si="2079"/>
        <v>Comedy</v>
      </c>
      <c r="J2081" s="49" t="str">
        <f t="shared" ca="1" si="2079"/>
        <v>Comedy</v>
      </c>
    </row>
    <row r="2082" spans="1:10" ht="12.75" x14ac:dyDescent="0.2">
      <c r="A2082" s="41" t="s">
        <v>1531</v>
      </c>
      <c r="B2082" s="40"/>
      <c r="C2082" s="40"/>
      <c r="D2082" s="40"/>
      <c r="E2082" s="40"/>
      <c r="F2082" s="49" t="str">
        <f t="shared" ref="F2082:J2082" ca="1" si="2080">IFERROR(__xludf.DUMMYFUNCTION("if (A2082 &lt;&gt; """", GOOGLETRANSLATE(A2082, ""auto"", ""en""), """")"),"Haha")</f>
        <v>Haha</v>
      </c>
      <c r="G2082" s="49" t="str">
        <f t="shared" ca="1" si="2080"/>
        <v>Haha</v>
      </c>
      <c r="H2082" s="49" t="str">
        <f t="shared" ca="1" si="2080"/>
        <v>Haha</v>
      </c>
      <c r="I2082" s="49" t="str">
        <f t="shared" ca="1" si="2080"/>
        <v>Haha</v>
      </c>
      <c r="J2082" s="49" t="str">
        <f t="shared" ca="1" si="2080"/>
        <v>Haha</v>
      </c>
    </row>
    <row r="2083" spans="1:10" ht="12.75" x14ac:dyDescent="0.2">
      <c r="A2083" s="41" t="s">
        <v>1532</v>
      </c>
      <c r="B2083" s="40"/>
      <c r="C2083" s="40"/>
      <c r="D2083" s="40"/>
      <c r="E2083" s="40"/>
      <c r="F2083" s="49" t="str">
        <f t="shared" ref="F2083:J2083" ca="1" si="2081">IFERROR(__xludf.DUMMYFUNCTION("if (A2083 &lt;&gt; """", GOOGLETRANSLATE(A2083, ""auto"", ""en""), """")"),"Well done")</f>
        <v>Well done</v>
      </c>
      <c r="G2083" s="49" t="str">
        <f t="shared" ca="1" si="2081"/>
        <v>Well done</v>
      </c>
      <c r="H2083" s="49" t="str">
        <f t="shared" ca="1" si="2081"/>
        <v>Well done</v>
      </c>
      <c r="I2083" s="49" t="str">
        <f t="shared" ca="1" si="2081"/>
        <v>Well done</v>
      </c>
      <c r="J2083" s="49" t="str">
        <f t="shared" ca="1" si="2081"/>
        <v>Well done</v>
      </c>
    </row>
    <row r="2084" spans="1:10" ht="12.75" x14ac:dyDescent="0.2">
      <c r="A2084" s="41" t="s">
        <v>1533</v>
      </c>
      <c r="B2084" s="40"/>
      <c r="C2084" s="40"/>
      <c r="D2084" s="40"/>
      <c r="E2084" s="40"/>
      <c r="F2084" s="49" t="str">
        <f t="shared" ref="F2084:J2084" ca="1" si="2082">IFERROR(__xludf.DUMMYFUNCTION("if (A2084 &lt;&gt; """", GOOGLETRANSLATE(A2084, ""auto"", ""en""), """")"),"Ha ha ha ha")</f>
        <v>Ha ha ha ha</v>
      </c>
      <c r="G2084" s="49" t="str">
        <f t="shared" ca="1" si="2082"/>
        <v>Ha ha ha ha</v>
      </c>
      <c r="H2084" s="49" t="str">
        <f t="shared" ca="1" si="2082"/>
        <v>Ha ha ha ha</v>
      </c>
      <c r="I2084" s="49" t="str">
        <f t="shared" ca="1" si="2082"/>
        <v>Ha ha ha ha</v>
      </c>
      <c r="J2084" s="49" t="str">
        <f t="shared" ca="1" si="2082"/>
        <v>Ha ha ha ha</v>
      </c>
    </row>
    <row r="2085" spans="1:10" ht="12.75" x14ac:dyDescent="0.2">
      <c r="A2085" s="41" t="s">
        <v>1534</v>
      </c>
      <c r="B2085" s="40"/>
      <c r="C2085" s="40"/>
      <c r="D2085" s="40"/>
      <c r="E2085" s="40"/>
      <c r="F2085" s="49" t="str">
        <f t="shared" ref="F2085:J2085" ca="1" si="2083">IFERROR(__xludf.DUMMYFUNCTION("if (A2085 &lt;&gt; """", GOOGLETRANSLATE(A2085, ""auto"", ""en""), """")"),"Big laugh")</f>
        <v>Big laugh</v>
      </c>
      <c r="G2085" s="49" t="str">
        <f t="shared" ca="1" si="2083"/>
        <v>Big laugh</v>
      </c>
      <c r="H2085" s="49" t="str">
        <f t="shared" ca="1" si="2083"/>
        <v>Big laugh</v>
      </c>
      <c r="I2085" s="49" t="str">
        <f t="shared" ca="1" si="2083"/>
        <v>Big laugh</v>
      </c>
      <c r="J2085" s="49" t="str">
        <f t="shared" ca="1" si="2083"/>
        <v>Big laugh</v>
      </c>
    </row>
    <row r="2086" spans="1:10" ht="12.75" x14ac:dyDescent="0.2">
      <c r="A2086" s="41" t="s">
        <v>1535</v>
      </c>
      <c r="B2086" s="40"/>
      <c r="C2086" s="40"/>
      <c r="D2086" s="40"/>
      <c r="E2086" s="40"/>
      <c r="F2086" s="49" t="str">
        <f t="shared" ref="F2086:J2086" ca="1" si="2084">IFERROR(__xludf.DUMMYFUNCTION("if (A2086 &lt;&gt; """", GOOGLETRANSLATE(A2086, ""auto"", ""en""), """")"),"Big Comedy")</f>
        <v>Big Comedy</v>
      </c>
      <c r="G2086" s="49" t="str">
        <f t="shared" ca="1" si="2084"/>
        <v>Big Comedy</v>
      </c>
      <c r="H2086" s="49" t="str">
        <f t="shared" ca="1" si="2084"/>
        <v>Big Comedy</v>
      </c>
      <c r="I2086" s="49" t="str">
        <f t="shared" ca="1" si="2084"/>
        <v>Big Comedy</v>
      </c>
      <c r="J2086" s="49" t="str">
        <f t="shared" ca="1" si="2084"/>
        <v>Big Comedy</v>
      </c>
    </row>
    <row r="2087" spans="1:10" ht="25.5" x14ac:dyDescent="0.2">
      <c r="A2087" s="41" t="s">
        <v>1536</v>
      </c>
      <c r="B2087" s="40"/>
      <c r="C2087" s="40"/>
      <c r="D2087" s="40"/>
      <c r="E2087" s="40"/>
      <c r="F2087" s="49" t="str">
        <f t="shared" ref="F2087:J2087" ca="1" si="2085">IFERROR(__xludf.DUMMYFUNCTION("if (A2087 &lt;&gt; """", GOOGLETRANSLATE(A2087, ""auto"", ""en""), """")"),"That's interesting")</f>
        <v>That's interesting</v>
      </c>
      <c r="G2087" s="49" t="str">
        <f t="shared" ca="1" si="2085"/>
        <v>That's interesting</v>
      </c>
      <c r="H2087" s="49" t="str">
        <f t="shared" ca="1" si="2085"/>
        <v>That's interesting</v>
      </c>
      <c r="I2087" s="49" t="str">
        <f t="shared" ca="1" si="2085"/>
        <v>That's interesting</v>
      </c>
      <c r="J2087" s="49" t="str">
        <f t="shared" ca="1" si="2085"/>
        <v>That's interesting</v>
      </c>
    </row>
    <row r="2088" spans="1:10" ht="12.75" x14ac:dyDescent="0.2">
      <c r="A2088" s="40"/>
      <c r="B2088" s="40"/>
      <c r="C2088" s="40"/>
      <c r="D2088" s="40"/>
      <c r="E2088" s="40"/>
      <c r="F2088" s="49" t="str">
        <f t="shared" ref="F2088:J2088" ca="1" si="2086">IFERROR(__xludf.DUMMYFUNCTION("if (A2088 &lt;&gt; """", GOOGLETRANSLATE(A2088, ""auto"", ""en""), """")"),"")</f>
        <v/>
      </c>
      <c r="G2088" s="49" t="str">
        <f t="shared" ca="1" si="2086"/>
        <v/>
      </c>
      <c r="H2088" s="49" t="str">
        <f t="shared" ca="1" si="2086"/>
        <v/>
      </c>
      <c r="I2088" s="49" t="str">
        <f t="shared" ca="1" si="2086"/>
        <v/>
      </c>
      <c r="J2088" s="49" t="str">
        <f t="shared" ca="1" si="2086"/>
        <v/>
      </c>
    </row>
    <row r="2089" spans="1:10" ht="25.5" x14ac:dyDescent="0.2">
      <c r="A2089" s="41" t="s">
        <v>1537</v>
      </c>
      <c r="B2089" s="40"/>
      <c r="C2089" s="40"/>
      <c r="D2089" s="40"/>
      <c r="E2089" s="40"/>
      <c r="F2089" s="49" t="str">
        <f t="shared" ref="F2089:J2089" ca="1" si="2087">IFERROR(__xludf.DUMMYFUNCTION("if (A2089 &lt;&gt; """", GOOGLETRANSLATE(A2089, ""auto"", ""en""), """")"),"smalltalk.emotions.laugh")</f>
        <v>smalltalk.emotions.laugh</v>
      </c>
      <c r="G2089" s="49" t="str">
        <f t="shared" ca="1" si="2087"/>
        <v>smalltalk.emotions.laugh</v>
      </c>
      <c r="H2089" s="49" t="str">
        <f t="shared" ca="1" si="2087"/>
        <v>smalltalk.emotions.laugh</v>
      </c>
      <c r="I2089" s="49" t="str">
        <f t="shared" ca="1" si="2087"/>
        <v>smalltalk.emotions.laugh</v>
      </c>
      <c r="J2089" s="49" t="str">
        <f t="shared" ca="1" si="2087"/>
        <v>smalltalk.emotions.laugh</v>
      </c>
    </row>
    <row r="2090" spans="1:10" ht="12.75" x14ac:dyDescent="0.2">
      <c r="A2090" s="40"/>
      <c r="B2090" s="41" t="s">
        <v>398</v>
      </c>
      <c r="C2090" s="40"/>
      <c r="D2090" s="40"/>
      <c r="E2090" s="40"/>
      <c r="F2090" s="49" t="str">
        <f t="shared" ref="F2090:J2090" ca="1" si="2088">IFERROR(__xludf.DUMMYFUNCTION("if (A2090 &lt;&gt; """", GOOGLETRANSLATE(A2090, ""auto"", ""en""), """")"),"")</f>
        <v/>
      </c>
      <c r="G2090" s="49" t="str">
        <f t="shared" ca="1" si="2088"/>
        <v/>
      </c>
      <c r="H2090" s="49" t="str">
        <f t="shared" ca="1" si="2088"/>
        <v/>
      </c>
      <c r="I2090" s="49" t="str">
        <f t="shared" ca="1" si="2088"/>
        <v/>
      </c>
      <c r="J2090" s="49" t="str">
        <f t="shared" ca="1" si="2088"/>
        <v/>
      </c>
    </row>
    <row r="2091" spans="1:10" ht="12.75" x14ac:dyDescent="0.2">
      <c r="A2091" s="40"/>
      <c r="B2091" s="41" t="s">
        <v>399</v>
      </c>
      <c r="C2091" s="40"/>
      <c r="D2091" s="40"/>
      <c r="E2091" s="40"/>
      <c r="F2091" s="49" t="str">
        <f t="shared" ref="F2091:J2091" ca="1" si="2089">IFERROR(__xludf.DUMMYFUNCTION("if (A2091 &lt;&gt; """", GOOGLETRANSLATE(A2091, ""auto"", ""en""), """")"),"")</f>
        <v/>
      </c>
      <c r="G2091" s="49" t="str">
        <f t="shared" ca="1" si="2089"/>
        <v/>
      </c>
      <c r="H2091" s="49" t="str">
        <f t="shared" ca="1" si="2089"/>
        <v/>
      </c>
      <c r="I2091" s="49" t="str">
        <f t="shared" ca="1" si="2089"/>
        <v/>
      </c>
      <c r="J2091" s="49" t="str">
        <f t="shared" ca="1" si="2089"/>
        <v/>
      </c>
    </row>
    <row r="2092" spans="1:10" ht="12.75" x14ac:dyDescent="0.2">
      <c r="A2092" s="40"/>
      <c r="B2092" s="41" t="s">
        <v>400</v>
      </c>
      <c r="C2092" s="41" t="s">
        <v>1537</v>
      </c>
      <c r="D2092" s="40"/>
      <c r="E2092" s="40"/>
      <c r="F2092" s="49" t="str">
        <f t="shared" ref="F2092:J2092" ca="1" si="2090">IFERROR(__xludf.DUMMYFUNCTION("if (A2092 &lt;&gt; """", GOOGLETRANSLATE(A2092, ""auto"", ""en""), """")"),"")</f>
        <v/>
      </c>
      <c r="G2092" s="49" t="str">
        <f t="shared" ca="1" si="2090"/>
        <v/>
      </c>
      <c r="H2092" s="49" t="str">
        <f t="shared" ca="1" si="2090"/>
        <v/>
      </c>
      <c r="I2092" s="49" t="str">
        <f t="shared" ca="1" si="2090"/>
        <v/>
      </c>
      <c r="J2092" s="49" t="str">
        <f t="shared" ca="1" si="2090"/>
        <v/>
      </c>
    </row>
    <row r="2093" spans="1:10" ht="12.75" x14ac:dyDescent="0.2">
      <c r="A2093" s="40"/>
      <c r="B2093" s="41" t="s">
        <v>401</v>
      </c>
      <c r="C2093" s="40"/>
      <c r="D2093" s="40"/>
      <c r="E2093" s="40"/>
      <c r="F2093" s="49" t="str">
        <f t="shared" ref="F2093:J2093" ca="1" si="2091">IFERROR(__xludf.DUMMYFUNCTION("if (A2093 &lt;&gt; """", GOOGLETRANSLATE(A2093, ""auto"", ""en""), """")"),"")</f>
        <v/>
      </c>
      <c r="G2093" s="49" t="str">
        <f t="shared" ca="1" si="2091"/>
        <v/>
      </c>
      <c r="H2093" s="49" t="str">
        <f t="shared" ca="1" si="2091"/>
        <v/>
      </c>
      <c r="I2093" s="49" t="str">
        <f t="shared" ca="1" si="2091"/>
        <v/>
      </c>
      <c r="J2093" s="49" t="str">
        <f t="shared" ca="1" si="2091"/>
        <v/>
      </c>
    </row>
    <row r="2094" spans="1:10" ht="12.75" x14ac:dyDescent="0.2">
      <c r="A2094" s="41" t="s">
        <v>1538</v>
      </c>
      <c r="B2094" s="41" t="s">
        <v>402</v>
      </c>
      <c r="C2094" s="41" t="s">
        <v>1539</v>
      </c>
      <c r="D2094" s="40"/>
      <c r="E2094" s="40"/>
      <c r="F2094" s="49" t="str">
        <f t="shared" ref="F2094:J2094" ca="1" si="2092">IFERROR(__xludf.DUMMYFUNCTION("if (A2094 &lt;&gt; """", GOOGLETRANSLATE(A2094, ""auto"", ""en""), """")"),"Laughing")</f>
        <v>Laughing</v>
      </c>
      <c r="G2094" s="49" t="str">
        <f t="shared" ca="1" si="2092"/>
        <v>Laughing</v>
      </c>
      <c r="H2094" s="49" t="str">
        <f t="shared" ca="1" si="2092"/>
        <v>Laughing</v>
      </c>
      <c r="I2094" s="49" t="str">
        <f t="shared" ca="1" si="2092"/>
        <v>Laughing</v>
      </c>
      <c r="J2094" s="49" t="str">
        <f t="shared" ca="1" si="2092"/>
        <v>Laughing</v>
      </c>
    </row>
    <row r="2095" spans="1:10" ht="12.75" x14ac:dyDescent="0.2">
      <c r="A2095" s="41" t="s">
        <v>1540</v>
      </c>
      <c r="B2095" s="40"/>
      <c r="C2095" s="40"/>
      <c r="D2095" s="40"/>
      <c r="E2095" s="40"/>
      <c r="F2095" s="49" t="str">
        <f t="shared" ref="F2095:J2095" ca="1" si="2093">IFERROR(__xludf.DUMMYFUNCTION("if (A2095 &lt;&gt; """", GOOGLETRANSLATE(A2095, ""auto"", ""en""), """")"),"laugh")</f>
        <v>laugh</v>
      </c>
      <c r="G2095" s="49" t="str">
        <f t="shared" ca="1" si="2093"/>
        <v>laugh</v>
      </c>
      <c r="H2095" s="49" t="str">
        <f t="shared" ca="1" si="2093"/>
        <v>laugh</v>
      </c>
      <c r="I2095" s="49" t="str">
        <f t="shared" ca="1" si="2093"/>
        <v>laugh</v>
      </c>
      <c r="J2095" s="49" t="str">
        <f t="shared" ca="1" si="2093"/>
        <v>laugh</v>
      </c>
    </row>
    <row r="2096" spans="1:10" ht="12.75" x14ac:dyDescent="0.2">
      <c r="A2096" s="41" t="s">
        <v>1541</v>
      </c>
      <c r="B2096" s="40"/>
      <c r="C2096" s="40"/>
      <c r="D2096" s="40"/>
      <c r="E2096" s="40"/>
      <c r="F2096" s="49" t="str">
        <f t="shared" ref="F2096:J2096" ca="1" si="2094">IFERROR(__xludf.DUMMYFUNCTION("if (A2096 &lt;&gt; """", GOOGLETRANSLATE(A2096, ""auto"", ""en""), """")"),"Do you laugh")</f>
        <v>Do you laugh</v>
      </c>
      <c r="G2096" s="49" t="str">
        <f t="shared" ca="1" si="2094"/>
        <v>Do you laugh</v>
      </c>
      <c r="H2096" s="49" t="str">
        <f t="shared" ca="1" si="2094"/>
        <v>Do you laugh</v>
      </c>
      <c r="I2096" s="49" t="str">
        <f t="shared" ca="1" si="2094"/>
        <v>Do you laugh</v>
      </c>
      <c r="J2096" s="49" t="str">
        <f t="shared" ca="1" si="2094"/>
        <v>Do you laugh</v>
      </c>
    </row>
    <row r="2097" spans="1:10" ht="12.75" x14ac:dyDescent="0.2">
      <c r="A2097" s="41" t="s">
        <v>1542</v>
      </c>
      <c r="B2097" s="40"/>
      <c r="C2097" s="40"/>
      <c r="D2097" s="40"/>
      <c r="E2097" s="40"/>
      <c r="F2097" s="49" t="str">
        <f t="shared" ref="F2097:J2097" ca="1" si="2095">IFERROR(__xludf.DUMMYFUNCTION("if (A2097 &lt;&gt; """", GOOGLETRANSLATE(A2097, ""auto"", ""en""), """")"),"Can you laugh")</f>
        <v>Can you laugh</v>
      </c>
      <c r="G2097" s="49" t="str">
        <f t="shared" ca="1" si="2095"/>
        <v>Can you laugh</v>
      </c>
      <c r="H2097" s="49" t="str">
        <f t="shared" ca="1" si="2095"/>
        <v>Can you laugh</v>
      </c>
      <c r="I2097" s="49" t="str">
        <f t="shared" ca="1" si="2095"/>
        <v>Can you laugh</v>
      </c>
      <c r="J2097" s="49" t="str">
        <f t="shared" ca="1" si="2095"/>
        <v>Can you laugh</v>
      </c>
    </row>
    <row r="2098" spans="1:10" ht="12.75" x14ac:dyDescent="0.2">
      <c r="A2098" s="41" t="s">
        <v>1544</v>
      </c>
      <c r="B2098" s="40"/>
      <c r="C2098" s="40"/>
      <c r="D2098" s="40"/>
      <c r="E2098" s="40"/>
      <c r="F2098" s="49" t="str">
        <f t="shared" ref="F2098:J2098" ca="1" si="2096">IFERROR(__xludf.DUMMYFUNCTION("if (A2098 &lt;&gt; """", GOOGLETRANSLATE(A2098, ""auto"", ""en""), """")"),"Do you laugh")</f>
        <v>Do you laugh</v>
      </c>
      <c r="G2098" s="49" t="str">
        <f t="shared" ca="1" si="2096"/>
        <v>Do you laugh</v>
      </c>
      <c r="H2098" s="49" t="str">
        <f t="shared" ca="1" si="2096"/>
        <v>Do you laugh</v>
      </c>
      <c r="I2098" s="49" t="str">
        <f t="shared" ca="1" si="2096"/>
        <v>Do you laugh</v>
      </c>
      <c r="J2098" s="49" t="str">
        <f t="shared" ca="1" si="2096"/>
        <v>Do you laugh</v>
      </c>
    </row>
    <row r="2099" spans="1:10" ht="25.5" x14ac:dyDescent="0.2">
      <c r="A2099" s="41" t="s">
        <v>1545</v>
      </c>
      <c r="B2099" s="40"/>
      <c r="C2099" s="40"/>
      <c r="D2099" s="40"/>
      <c r="E2099" s="40"/>
      <c r="F2099" s="49" t="str">
        <f t="shared" ref="F2099:J2099" ca="1" si="2097">IFERROR(__xludf.DUMMYFUNCTION("if (A2099 &lt;&gt; """", GOOGLETRANSLATE(A2099, ""auto"", ""en""), """")"),"And giggling laughing")</f>
        <v>And giggling laughing</v>
      </c>
      <c r="G2099" s="49" t="str">
        <f t="shared" ca="1" si="2097"/>
        <v>And giggling laughing</v>
      </c>
      <c r="H2099" s="49" t="str">
        <f t="shared" ca="1" si="2097"/>
        <v>And giggling laughing</v>
      </c>
      <c r="I2099" s="49" t="str">
        <f t="shared" ca="1" si="2097"/>
        <v>And giggling laughing</v>
      </c>
      <c r="J2099" s="49" t="str">
        <f t="shared" ca="1" si="2097"/>
        <v>And giggling laughing</v>
      </c>
    </row>
    <row r="2100" spans="1:10" ht="25.5" x14ac:dyDescent="0.2">
      <c r="A2100" s="41" t="s">
        <v>1546</v>
      </c>
      <c r="B2100" s="40"/>
      <c r="C2100" s="40"/>
      <c r="D2100" s="40"/>
      <c r="E2100" s="40"/>
      <c r="F2100" s="49" t="str">
        <f t="shared" ref="F2100:J2100" ca="1" si="2098">IFERROR(__xludf.DUMMYFUNCTION("if (A2100 &lt;&gt; """", GOOGLETRANSLATE(A2100, ""auto"", ""en""), """")"),"I want to hear is laughter")</f>
        <v>I want to hear is laughter</v>
      </c>
      <c r="G2100" s="49" t="str">
        <f t="shared" ca="1" si="2098"/>
        <v>I want to hear is laughter</v>
      </c>
      <c r="H2100" s="49" t="str">
        <f t="shared" ca="1" si="2098"/>
        <v>I want to hear is laughter</v>
      </c>
      <c r="I2100" s="49" t="str">
        <f t="shared" ca="1" si="2098"/>
        <v>I want to hear is laughter</v>
      </c>
      <c r="J2100" s="49" t="str">
        <f t="shared" ca="1" si="2098"/>
        <v>I want to hear is laughter</v>
      </c>
    </row>
    <row r="2101" spans="1:10" ht="12.75" x14ac:dyDescent="0.2">
      <c r="A2101" s="41" t="s">
        <v>1547</v>
      </c>
      <c r="B2101" s="40"/>
      <c r="C2101" s="40"/>
      <c r="D2101" s="40"/>
      <c r="E2101" s="40"/>
      <c r="F2101" s="49" t="str">
        <f t="shared" ref="F2101:J2101" ca="1" si="2099">IFERROR(__xludf.DUMMYFUNCTION("if (A2101 &lt;&gt; """", GOOGLETRANSLATE(A2101, ""auto"", ""en""), """")"),"I'm laughing")</f>
        <v>I'm laughing</v>
      </c>
      <c r="G2101" s="49" t="str">
        <f t="shared" ca="1" si="2099"/>
        <v>I'm laughing</v>
      </c>
      <c r="H2101" s="49" t="str">
        <f t="shared" ca="1" si="2099"/>
        <v>I'm laughing</v>
      </c>
      <c r="I2101" s="49" t="str">
        <f t="shared" ca="1" si="2099"/>
        <v>I'm laughing</v>
      </c>
      <c r="J2101" s="49" t="str">
        <f t="shared" ca="1" si="2099"/>
        <v>I'm laughing</v>
      </c>
    </row>
    <row r="2102" spans="1:10" ht="25.5" x14ac:dyDescent="0.2">
      <c r="A2102" s="41" t="s">
        <v>1549</v>
      </c>
      <c r="B2102" s="40"/>
      <c r="C2102" s="40"/>
      <c r="D2102" s="40"/>
      <c r="E2102" s="40"/>
      <c r="F2102" s="49" t="str">
        <f t="shared" ref="F2102:J2102" ca="1" si="2100">IFERROR(__xludf.DUMMYFUNCTION("if (A2102 &lt;&gt; """", GOOGLETRANSLATE(A2102, ""auto"", ""en""), """")"),"I want to laugh")</f>
        <v>I want to laugh</v>
      </c>
      <c r="G2102" s="49" t="str">
        <f t="shared" ca="1" si="2100"/>
        <v>I want to laugh</v>
      </c>
      <c r="H2102" s="49" t="str">
        <f t="shared" ca="1" si="2100"/>
        <v>I want to laugh</v>
      </c>
      <c r="I2102" s="49" t="str">
        <f t="shared" ca="1" si="2100"/>
        <v>I want to laugh</v>
      </c>
      <c r="J2102" s="49" t="str">
        <f t="shared" ca="1" si="2100"/>
        <v>I want to laugh</v>
      </c>
    </row>
    <row r="2103" spans="1:10" ht="12.75" x14ac:dyDescent="0.2">
      <c r="A2103" s="40"/>
      <c r="B2103" s="40"/>
      <c r="C2103" s="40"/>
      <c r="D2103" s="40"/>
      <c r="E2103" s="40"/>
      <c r="F2103" s="49" t="str">
        <f t="shared" ref="F2103:J2103" ca="1" si="2101">IFERROR(__xludf.DUMMYFUNCTION("if (A2103 &lt;&gt; """", GOOGLETRANSLATE(A2103, ""auto"", ""en""), """")"),"")</f>
        <v/>
      </c>
      <c r="G2103" s="49" t="str">
        <f t="shared" ca="1" si="2101"/>
        <v/>
      </c>
      <c r="H2103" s="49" t="str">
        <f t="shared" ca="1" si="2101"/>
        <v/>
      </c>
      <c r="I2103" s="49" t="str">
        <f t="shared" ca="1" si="2101"/>
        <v/>
      </c>
      <c r="J2103" s="49" t="str">
        <f t="shared" ca="1" si="2101"/>
        <v/>
      </c>
    </row>
    <row r="2104" spans="1:10" ht="25.5" x14ac:dyDescent="0.2">
      <c r="A2104" s="82" t="s">
        <v>1551</v>
      </c>
      <c r="B2104" s="40"/>
      <c r="C2104" s="40"/>
      <c r="D2104" s="40"/>
      <c r="E2104" s="40"/>
      <c r="F2104" s="83" t="str">
        <f t="shared" ref="F2104:J2104" ca="1" si="2102">IFERROR(__xludf.DUMMYFUNCTION("if (A2104 &lt;&gt; """", GOOGLETRANSLATE(A2104, ""auto"", ""en""), """")"),"smalltalk.emotions.oh")</f>
        <v>smalltalk.emotions.oh</v>
      </c>
      <c r="G2104" s="49" t="str">
        <f t="shared" ca="1" si="2102"/>
        <v>smalltalk.emotions.oh</v>
      </c>
      <c r="H2104" s="49" t="str">
        <f t="shared" ca="1" si="2102"/>
        <v>smalltalk.emotions.oh</v>
      </c>
      <c r="I2104" s="49" t="str">
        <f t="shared" ca="1" si="2102"/>
        <v>smalltalk.emotions.oh</v>
      </c>
      <c r="J2104" s="49" t="str">
        <f t="shared" ca="1" si="2102"/>
        <v>smalltalk.emotions.oh</v>
      </c>
    </row>
    <row r="2105" spans="1:10" ht="12.75" x14ac:dyDescent="0.2">
      <c r="A2105" s="40"/>
      <c r="B2105" s="41" t="s">
        <v>398</v>
      </c>
      <c r="C2105" s="40"/>
      <c r="D2105" s="40"/>
      <c r="E2105" s="40"/>
      <c r="F2105" s="49" t="str">
        <f t="shared" ref="F2105:J2105" ca="1" si="2103">IFERROR(__xludf.DUMMYFUNCTION("if (A2105 &lt;&gt; """", GOOGLETRANSLATE(A2105, ""auto"", ""en""), """")"),"")</f>
        <v/>
      </c>
      <c r="G2105" s="49" t="str">
        <f t="shared" ca="1" si="2103"/>
        <v/>
      </c>
      <c r="H2105" s="49" t="str">
        <f t="shared" ca="1" si="2103"/>
        <v/>
      </c>
      <c r="I2105" s="49" t="str">
        <f t="shared" ca="1" si="2103"/>
        <v/>
      </c>
      <c r="J2105" s="49" t="str">
        <f t="shared" ca="1" si="2103"/>
        <v/>
      </c>
    </row>
    <row r="2106" spans="1:10" ht="12.75" x14ac:dyDescent="0.2">
      <c r="A2106" s="40"/>
      <c r="B2106" s="41" t="s">
        <v>399</v>
      </c>
      <c r="C2106" s="40"/>
      <c r="D2106" s="40"/>
      <c r="E2106" s="40"/>
      <c r="F2106" s="49" t="str">
        <f t="shared" ref="F2106:J2106" ca="1" si="2104">IFERROR(__xludf.DUMMYFUNCTION("if (A2106 &lt;&gt; """", GOOGLETRANSLATE(A2106, ""auto"", ""en""), """")"),"")</f>
        <v/>
      </c>
      <c r="G2106" s="49" t="str">
        <f t="shared" ca="1" si="2104"/>
        <v/>
      </c>
      <c r="H2106" s="49" t="str">
        <f t="shared" ca="1" si="2104"/>
        <v/>
      </c>
      <c r="I2106" s="49" t="str">
        <f t="shared" ca="1" si="2104"/>
        <v/>
      </c>
      <c r="J2106" s="49" t="str">
        <f t="shared" ca="1" si="2104"/>
        <v/>
      </c>
    </row>
    <row r="2107" spans="1:10" ht="12.75" x14ac:dyDescent="0.2">
      <c r="A2107" s="40"/>
      <c r="B2107" s="41" t="s">
        <v>400</v>
      </c>
      <c r="C2107" s="82" t="s">
        <v>1551</v>
      </c>
      <c r="D2107" s="40"/>
      <c r="E2107" s="40"/>
      <c r="F2107" s="49" t="str">
        <f t="shared" ref="F2107:J2107" ca="1" si="2105">IFERROR(__xludf.DUMMYFUNCTION("if (A2107 &lt;&gt; """", GOOGLETRANSLATE(A2107, ""auto"", ""en""), """")"),"")</f>
        <v/>
      </c>
      <c r="G2107" s="49" t="str">
        <f t="shared" ca="1" si="2105"/>
        <v/>
      </c>
      <c r="H2107" s="83" t="str">
        <f t="shared" ca="1" si="2105"/>
        <v/>
      </c>
      <c r="I2107" s="49" t="str">
        <f t="shared" ca="1" si="2105"/>
        <v/>
      </c>
      <c r="J2107" s="49" t="str">
        <f t="shared" ca="1" si="2105"/>
        <v/>
      </c>
    </row>
    <row r="2108" spans="1:10" ht="12.75" x14ac:dyDescent="0.2">
      <c r="A2108" s="40"/>
      <c r="B2108" s="41" t="s">
        <v>401</v>
      </c>
      <c r="C2108" s="40"/>
      <c r="D2108" s="40"/>
      <c r="E2108" s="40"/>
      <c r="F2108" s="49" t="str">
        <f t="shared" ref="F2108:J2108" ca="1" si="2106">IFERROR(__xludf.DUMMYFUNCTION("if (A2108 &lt;&gt; """", GOOGLETRANSLATE(A2108, ""auto"", ""en""), """")"),"")</f>
        <v/>
      </c>
      <c r="G2108" s="49" t="str">
        <f t="shared" ca="1" si="2106"/>
        <v/>
      </c>
      <c r="H2108" s="49" t="str">
        <f t="shared" ca="1" si="2106"/>
        <v/>
      </c>
      <c r="I2108" s="49" t="str">
        <f t="shared" ca="1" si="2106"/>
        <v/>
      </c>
      <c r="J2108" s="49" t="str">
        <f t="shared" ca="1" si="2106"/>
        <v/>
      </c>
    </row>
    <row r="2109" spans="1:10" ht="12.75" x14ac:dyDescent="0.2">
      <c r="A2109" s="41" t="s">
        <v>1608</v>
      </c>
      <c r="B2109" s="41" t="s">
        <v>402</v>
      </c>
      <c r="C2109" s="41" t="s">
        <v>1611</v>
      </c>
      <c r="D2109" s="40"/>
      <c r="E2109" s="40"/>
      <c r="F2109" s="49" t="str">
        <f t="shared" ref="F2109:J2109" ca="1" si="2107">IFERROR(__xludf.DUMMYFUNCTION("if (A2109 &lt;&gt; """", GOOGLETRANSLATE(A2109, ""auto"", ""en""), """")"),"Oh lord")</f>
        <v>Oh lord</v>
      </c>
      <c r="G2109" s="49" t="str">
        <f t="shared" ca="1" si="2107"/>
        <v>Oh lord</v>
      </c>
      <c r="H2109" s="49" t="str">
        <f t="shared" ca="1" si="2107"/>
        <v>Oh lord</v>
      </c>
      <c r="I2109" s="49" t="str">
        <f t="shared" ca="1" si="2107"/>
        <v>Oh lord</v>
      </c>
      <c r="J2109" s="49" t="str">
        <f t="shared" ca="1" si="2107"/>
        <v>Oh lord</v>
      </c>
    </row>
    <row r="2110" spans="1:10" ht="12.75" x14ac:dyDescent="0.2">
      <c r="A2110" s="41" t="s">
        <v>1613</v>
      </c>
      <c r="B2110" s="40"/>
      <c r="C2110" s="40"/>
      <c r="D2110" s="40"/>
      <c r="E2110" s="40"/>
      <c r="F2110" s="49" t="str">
        <f t="shared" ref="F2110:J2110" ca="1" si="2108">IFERROR(__xludf.DUMMYFUNCTION("if (A2110 &lt;&gt; """", GOOGLETRANSLATE(A2110, ""auto"", ""en""), """")"),"Oh dear")</f>
        <v>Oh dear</v>
      </c>
      <c r="G2110" s="49" t="str">
        <f t="shared" ca="1" si="2108"/>
        <v>Oh dear</v>
      </c>
      <c r="H2110" s="49" t="str">
        <f t="shared" ca="1" si="2108"/>
        <v>Oh dear</v>
      </c>
      <c r="I2110" s="49" t="str">
        <f t="shared" ca="1" si="2108"/>
        <v>Oh dear</v>
      </c>
      <c r="J2110" s="49" t="str">
        <f t="shared" ca="1" si="2108"/>
        <v>Oh dear</v>
      </c>
    </row>
    <row r="2111" spans="1:10" ht="12.75" x14ac:dyDescent="0.2">
      <c r="A2111" s="41" t="s">
        <v>1615</v>
      </c>
      <c r="B2111" s="40"/>
      <c r="C2111" s="40"/>
      <c r="D2111" s="40"/>
      <c r="E2111" s="40"/>
      <c r="F2111" s="49" t="str">
        <f t="shared" ref="F2111:J2111" ca="1" si="2109">IFERROR(__xludf.DUMMYFUNCTION("if (A2111 &lt;&gt; """", GOOGLETRANSLATE(A2111, ""auto"", ""en""), """")"),"Oh snap!")</f>
        <v>Oh snap!</v>
      </c>
      <c r="G2111" s="49" t="str">
        <f t="shared" ca="1" si="2109"/>
        <v>Oh snap!</v>
      </c>
      <c r="H2111" s="49" t="str">
        <f t="shared" ca="1" si="2109"/>
        <v>Oh snap!</v>
      </c>
      <c r="I2111" s="49" t="str">
        <f t="shared" ca="1" si="2109"/>
        <v>Oh snap!</v>
      </c>
      <c r="J2111" s="49" t="str">
        <f t="shared" ca="1" si="2109"/>
        <v>Oh snap!</v>
      </c>
    </row>
    <row r="2112" spans="1:10" ht="12.75" x14ac:dyDescent="0.2">
      <c r="A2112" s="41" t="s">
        <v>1616</v>
      </c>
      <c r="B2112" s="40"/>
      <c r="C2112" s="40"/>
      <c r="D2112" s="40"/>
      <c r="E2112" s="40"/>
      <c r="F2112" s="49" t="str">
        <f t="shared" ref="F2112:J2112" ca="1" si="2110">IFERROR(__xludf.DUMMYFUNCTION("if (A2112 &lt;&gt; """", GOOGLETRANSLATE(A2112, ""auto"", ""en""), """")"),"Oh really")</f>
        <v>Oh really</v>
      </c>
      <c r="G2112" s="49" t="str">
        <f t="shared" ca="1" si="2110"/>
        <v>Oh really</v>
      </c>
      <c r="H2112" s="49" t="str">
        <f t="shared" ca="1" si="2110"/>
        <v>Oh really</v>
      </c>
      <c r="I2112" s="49" t="str">
        <f t="shared" ca="1" si="2110"/>
        <v>Oh really</v>
      </c>
      <c r="J2112" s="49" t="str">
        <f t="shared" ca="1" si="2110"/>
        <v>Oh really</v>
      </c>
    </row>
    <row r="2113" spans="1:10" ht="12.75" x14ac:dyDescent="0.2">
      <c r="A2113" s="40"/>
      <c r="B2113" s="40"/>
      <c r="C2113" s="40"/>
      <c r="D2113" s="40"/>
      <c r="E2113" s="40"/>
      <c r="F2113" s="49" t="str">
        <f t="shared" ref="F2113:J2113" ca="1" si="2111">IFERROR(__xludf.DUMMYFUNCTION("if (A2113 &lt;&gt; """", GOOGLETRANSLATE(A2113, ""auto"", ""en""), """")"),"")</f>
        <v/>
      </c>
      <c r="G2113" s="49" t="str">
        <f t="shared" ca="1" si="2111"/>
        <v/>
      </c>
      <c r="H2113" s="49" t="str">
        <f t="shared" ca="1" si="2111"/>
        <v/>
      </c>
      <c r="I2113" s="49" t="str">
        <f t="shared" ca="1" si="2111"/>
        <v/>
      </c>
      <c r="J2113" s="49" t="str">
        <f t="shared" ca="1" si="2111"/>
        <v/>
      </c>
    </row>
    <row r="2114" spans="1:10" ht="25.5" x14ac:dyDescent="0.2">
      <c r="A2114" s="41" t="s">
        <v>1618</v>
      </c>
      <c r="B2114" s="40"/>
      <c r="C2114" s="40"/>
      <c r="D2114" s="40"/>
      <c r="E2114" s="40"/>
      <c r="F2114" s="49" t="str">
        <f t="shared" ref="F2114:J2114" ca="1" si="2112">IFERROR(__xludf.DUMMYFUNCTION("if (A2114 &lt;&gt; """", GOOGLETRANSLATE(A2114, ""auto"", ""en""), """")"),"smalltalk.emotions.wow")</f>
        <v>smalltalk.emotions.wow</v>
      </c>
      <c r="G2114" s="49" t="str">
        <f t="shared" ca="1" si="2112"/>
        <v>smalltalk.emotions.wow</v>
      </c>
      <c r="H2114" s="49" t="str">
        <f t="shared" ca="1" si="2112"/>
        <v>smalltalk.emotions.wow</v>
      </c>
      <c r="I2114" s="49" t="str">
        <f t="shared" ca="1" si="2112"/>
        <v>smalltalk.emotions.wow</v>
      </c>
      <c r="J2114" s="49" t="str">
        <f t="shared" ca="1" si="2112"/>
        <v>smalltalk.emotions.wow</v>
      </c>
    </row>
    <row r="2115" spans="1:10" ht="12.75" x14ac:dyDescent="0.2">
      <c r="A2115" s="40"/>
      <c r="B2115" s="41" t="s">
        <v>398</v>
      </c>
      <c r="C2115" s="40"/>
      <c r="D2115" s="40"/>
      <c r="E2115" s="40"/>
      <c r="F2115" s="49" t="str">
        <f t="shared" ref="F2115:J2115" ca="1" si="2113">IFERROR(__xludf.DUMMYFUNCTION("if (A2115 &lt;&gt; """", GOOGLETRANSLATE(A2115, ""auto"", ""en""), """")"),"")</f>
        <v/>
      </c>
      <c r="G2115" s="49" t="str">
        <f t="shared" ca="1" si="2113"/>
        <v/>
      </c>
      <c r="H2115" s="49" t="str">
        <f t="shared" ca="1" si="2113"/>
        <v/>
      </c>
      <c r="I2115" s="49" t="str">
        <f t="shared" ca="1" si="2113"/>
        <v/>
      </c>
      <c r="J2115" s="49" t="str">
        <f t="shared" ca="1" si="2113"/>
        <v/>
      </c>
    </row>
    <row r="2116" spans="1:10" ht="12.75" x14ac:dyDescent="0.2">
      <c r="A2116" s="40"/>
      <c r="B2116" s="41" t="s">
        <v>399</v>
      </c>
      <c r="C2116" s="40"/>
      <c r="D2116" s="40"/>
      <c r="E2116" s="40"/>
      <c r="F2116" s="49" t="str">
        <f t="shared" ref="F2116:J2116" ca="1" si="2114">IFERROR(__xludf.DUMMYFUNCTION("if (A2116 &lt;&gt; """", GOOGLETRANSLATE(A2116, ""auto"", ""en""), """")"),"")</f>
        <v/>
      </c>
      <c r="G2116" s="49" t="str">
        <f t="shared" ca="1" si="2114"/>
        <v/>
      </c>
      <c r="H2116" s="49" t="str">
        <f t="shared" ca="1" si="2114"/>
        <v/>
      </c>
      <c r="I2116" s="49" t="str">
        <f t="shared" ca="1" si="2114"/>
        <v/>
      </c>
      <c r="J2116" s="49" t="str">
        <f t="shared" ca="1" si="2114"/>
        <v/>
      </c>
    </row>
    <row r="2117" spans="1:10" ht="12.75" x14ac:dyDescent="0.2">
      <c r="A2117" s="40"/>
      <c r="B2117" s="41" t="s">
        <v>400</v>
      </c>
      <c r="C2117" s="41" t="s">
        <v>1618</v>
      </c>
      <c r="D2117" s="40"/>
      <c r="E2117" s="40"/>
      <c r="F2117" s="49" t="str">
        <f t="shared" ref="F2117:J2117" ca="1" si="2115">IFERROR(__xludf.DUMMYFUNCTION("if (A2117 &lt;&gt; """", GOOGLETRANSLATE(A2117, ""auto"", ""en""), """")"),"")</f>
        <v/>
      </c>
      <c r="G2117" s="49" t="str">
        <f t="shared" ca="1" si="2115"/>
        <v/>
      </c>
      <c r="H2117" s="49" t="str">
        <f t="shared" ca="1" si="2115"/>
        <v/>
      </c>
      <c r="I2117" s="49" t="str">
        <f t="shared" ca="1" si="2115"/>
        <v/>
      </c>
      <c r="J2117" s="49" t="str">
        <f t="shared" ca="1" si="2115"/>
        <v/>
      </c>
    </row>
    <row r="2118" spans="1:10" ht="12.75" x14ac:dyDescent="0.2">
      <c r="A2118" s="40"/>
      <c r="B2118" s="41" t="s">
        <v>401</v>
      </c>
      <c r="C2118" s="40"/>
      <c r="D2118" s="40"/>
      <c r="E2118" s="40"/>
      <c r="F2118" s="49" t="str">
        <f t="shared" ref="F2118:J2118" ca="1" si="2116">IFERROR(__xludf.DUMMYFUNCTION("if (A2118 &lt;&gt; """", GOOGLETRANSLATE(A2118, ""auto"", ""en""), """")"),"")</f>
        <v/>
      </c>
      <c r="G2118" s="49" t="str">
        <f t="shared" ca="1" si="2116"/>
        <v/>
      </c>
      <c r="H2118" s="49" t="str">
        <f t="shared" ca="1" si="2116"/>
        <v/>
      </c>
      <c r="I2118" s="49" t="str">
        <f t="shared" ca="1" si="2116"/>
        <v/>
      </c>
      <c r="J2118" s="49" t="str">
        <f t="shared" ca="1" si="2116"/>
        <v/>
      </c>
    </row>
    <row r="2119" spans="1:10" ht="12.75" x14ac:dyDescent="0.2">
      <c r="A2119" s="41" t="s">
        <v>1620</v>
      </c>
      <c r="B2119" s="41" t="s">
        <v>402</v>
      </c>
      <c r="C2119" s="41" t="s">
        <v>1621</v>
      </c>
      <c r="D2119" s="40"/>
      <c r="E2119" s="40"/>
      <c r="F2119" s="49" t="str">
        <f t="shared" ref="F2119:J2119" ca="1" si="2117">IFERROR(__xludf.DUMMYFUNCTION("if (A2119 &lt;&gt; """", GOOGLETRANSLATE(A2119, ""auto"", ""en""), """")"),"Wow")</f>
        <v>Wow</v>
      </c>
      <c r="G2119" s="49" t="str">
        <f t="shared" ca="1" si="2117"/>
        <v>Wow</v>
      </c>
      <c r="H2119" s="49" t="str">
        <f t="shared" ca="1" si="2117"/>
        <v>Wow</v>
      </c>
      <c r="I2119" s="49" t="str">
        <f t="shared" ca="1" si="2117"/>
        <v>Wow</v>
      </c>
      <c r="J2119" s="49" t="str">
        <f t="shared" ca="1" si="2117"/>
        <v>Wow</v>
      </c>
    </row>
    <row r="2120" spans="1:10" ht="12.75" x14ac:dyDescent="0.2">
      <c r="A2120" s="40"/>
      <c r="B2120" s="40"/>
      <c r="C2120" s="40"/>
      <c r="D2120" s="40"/>
      <c r="E2120" s="40"/>
      <c r="F2120" s="49" t="str">
        <f t="shared" ref="F2120:J2120" ca="1" si="2118">IFERROR(__xludf.DUMMYFUNCTION("if (A2120 &lt;&gt; """", GOOGLETRANSLATE(A2120, ""auto"", ""en""), """")"),"")</f>
        <v/>
      </c>
      <c r="G2120" s="49" t="str">
        <f t="shared" ca="1" si="2118"/>
        <v/>
      </c>
      <c r="H2120" s="49" t="str">
        <f t="shared" ca="1" si="2118"/>
        <v/>
      </c>
      <c r="I2120" s="49" t="str">
        <f t="shared" ca="1" si="2118"/>
        <v/>
      </c>
      <c r="J2120" s="49" t="str">
        <f t="shared" ca="1" si="2118"/>
        <v/>
      </c>
    </row>
    <row r="2121" spans="1:10" ht="25.5" x14ac:dyDescent="0.2">
      <c r="A2121" s="41" t="s">
        <v>1623</v>
      </c>
      <c r="B2121" s="40"/>
      <c r="C2121" s="40"/>
      <c r="D2121" s="40"/>
      <c r="E2121" s="40"/>
      <c r="F2121" s="49" t="str">
        <f t="shared" ref="F2121:J2121" ca="1" si="2119">IFERROR(__xludf.DUMMYFUNCTION("if (A2121 &lt;&gt; """", GOOGLETRANSLATE(A2121, ""auto"", ""en""), """")"),"smalltalk.greetings.bye")</f>
        <v>smalltalk.greetings.bye</v>
      </c>
      <c r="G2121" s="49" t="str">
        <f t="shared" ca="1" si="2119"/>
        <v>smalltalk.greetings.bye</v>
      </c>
      <c r="H2121" s="49" t="str">
        <f t="shared" ca="1" si="2119"/>
        <v>smalltalk.greetings.bye</v>
      </c>
      <c r="I2121" s="49" t="str">
        <f t="shared" ca="1" si="2119"/>
        <v>smalltalk.greetings.bye</v>
      </c>
      <c r="J2121" s="49" t="str">
        <f t="shared" ca="1" si="2119"/>
        <v>smalltalk.greetings.bye</v>
      </c>
    </row>
    <row r="2122" spans="1:10" ht="12.75" x14ac:dyDescent="0.2">
      <c r="A2122" s="40"/>
      <c r="B2122" s="41" t="s">
        <v>398</v>
      </c>
      <c r="C2122" s="40"/>
      <c r="D2122" s="40"/>
      <c r="E2122" s="40"/>
      <c r="F2122" s="49" t="str">
        <f t="shared" ref="F2122:J2122" ca="1" si="2120">IFERROR(__xludf.DUMMYFUNCTION("if (A2122 &lt;&gt; """", GOOGLETRANSLATE(A2122, ""auto"", ""en""), """")"),"")</f>
        <v/>
      </c>
      <c r="G2122" s="49" t="str">
        <f t="shared" ca="1" si="2120"/>
        <v/>
      </c>
      <c r="H2122" s="49" t="str">
        <f t="shared" ca="1" si="2120"/>
        <v/>
      </c>
      <c r="I2122" s="49" t="str">
        <f t="shared" ca="1" si="2120"/>
        <v/>
      </c>
      <c r="J2122" s="49" t="str">
        <f t="shared" ca="1" si="2120"/>
        <v/>
      </c>
    </row>
    <row r="2123" spans="1:10" ht="12.75" x14ac:dyDescent="0.2">
      <c r="A2123" s="40"/>
      <c r="B2123" s="41" t="s">
        <v>399</v>
      </c>
      <c r="C2123" s="40"/>
      <c r="D2123" s="40"/>
      <c r="E2123" s="40"/>
      <c r="F2123" s="49" t="str">
        <f t="shared" ref="F2123:J2123" ca="1" si="2121">IFERROR(__xludf.DUMMYFUNCTION("if (A2123 &lt;&gt; """", GOOGLETRANSLATE(A2123, ""auto"", ""en""), """")"),"")</f>
        <v/>
      </c>
      <c r="G2123" s="49" t="str">
        <f t="shared" ca="1" si="2121"/>
        <v/>
      </c>
      <c r="H2123" s="49" t="str">
        <f t="shared" ca="1" si="2121"/>
        <v/>
      </c>
      <c r="I2123" s="49" t="str">
        <f t="shared" ca="1" si="2121"/>
        <v/>
      </c>
      <c r="J2123" s="49" t="str">
        <f t="shared" ca="1" si="2121"/>
        <v/>
      </c>
    </row>
    <row r="2124" spans="1:10" ht="12.75" x14ac:dyDescent="0.2">
      <c r="A2124" s="40"/>
      <c r="B2124" s="41" t="s">
        <v>400</v>
      </c>
      <c r="C2124" s="41" t="s">
        <v>1623</v>
      </c>
      <c r="D2124" s="40"/>
      <c r="E2124" s="40"/>
      <c r="F2124" s="49" t="str">
        <f t="shared" ref="F2124:J2124" ca="1" si="2122">IFERROR(__xludf.DUMMYFUNCTION("if (A2124 &lt;&gt; """", GOOGLETRANSLATE(A2124, ""auto"", ""en""), """")"),"")</f>
        <v/>
      </c>
      <c r="G2124" s="49" t="str">
        <f t="shared" ca="1" si="2122"/>
        <v/>
      </c>
      <c r="H2124" s="49" t="str">
        <f t="shared" ca="1" si="2122"/>
        <v/>
      </c>
      <c r="I2124" s="49" t="str">
        <f t="shared" ca="1" si="2122"/>
        <v/>
      </c>
      <c r="J2124" s="49" t="str">
        <f t="shared" ca="1" si="2122"/>
        <v/>
      </c>
    </row>
    <row r="2125" spans="1:10" ht="12.75" x14ac:dyDescent="0.2">
      <c r="A2125" s="40"/>
      <c r="B2125" s="41" t="s">
        <v>401</v>
      </c>
      <c r="C2125" s="40"/>
      <c r="D2125" s="40"/>
      <c r="E2125" s="40"/>
      <c r="F2125" s="49" t="str">
        <f t="shared" ref="F2125:J2125" ca="1" si="2123">IFERROR(__xludf.DUMMYFUNCTION("if (A2125 &lt;&gt; """", GOOGLETRANSLATE(A2125, ""auto"", ""en""), """")"),"")</f>
        <v/>
      </c>
      <c r="G2125" s="49" t="str">
        <f t="shared" ca="1" si="2123"/>
        <v/>
      </c>
      <c r="H2125" s="49" t="str">
        <f t="shared" ca="1" si="2123"/>
        <v/>
      </c>
      <c r="I2125" s="49" t="str">
        <f t="shared" ca="1" si="2123"/>
        <v/>
      </c>
      <c r="J2125" s="49" t="str">
        <f t="shared" ca="1" si="2123"/>
        <v/>
      </c>
    </row>
    <row r="2126" spans="1:10" ht="12.75" x14ac:dyDescent="0.2">
      <c r="A2126" s="41" t="s">
        <v>168</v>
      </c>
      <c r="B2126" s="41" t="s">
        <v>402</v>
      </c>
      <c r="C2126" s="41" t="s">
        <v>1626</v>
      </c>
      <c r="D2126" s="40"/>
      <c r="E2126" s="40"/>
      <c r="F2126" s="49" t="str">
        <f t="shared" ref="F2126:J2126" ca="1" si="2124">IFERROR(__xludf.DUMMYFUNCTION("if (A2126 &lt;&gt; """", GOOGLETRANSLATE(A2126, ""auto"", ""en""), """")"),"See you")</f>
        <v>See you</v>
      </c>
      <c r="G2126" s="49" t="str">
        <f t="shared" ca="1" si="2124"/>
        <v>See you</v>
      </c>
      <c r="H2126" s="49" t="str">
        <f t="shared" ca="1" si="2124"/>
        <v>See you</v>
      </c>
      <c r="I2126" s="49" t="str">
        <f t="shared" ca="1" si="2124"/>
        <v>See you</v>
      </c>
      <c r="J2126" s="49" t="str">
        <f t="shared" ca="1" si="2124"/>
        <v>See you</v>
      </c>
    </row>
    <row r="2127" spans="1:10" ht="12.75" x14ac:dyDescent="0.2">
      <c r="A2127" s="41" t="s">
        <v>1627</v>
      </c>
      <c r="B2127" s="40"/>
      <c r="C2127" s="40"/>
      <c r="D2127" s="40"/>
      <c r="E2127" s="40"/>
      <c r="F2127" s="49" t="str">
        <f t="shared" ref="F2127:J2127" ca="1" si="2125">IFERROR(__xludf.DUMMYFUNCTION("if (A2127 &lt;&gt; """", GOOGLETRANSLATE(A2127, ""auto"", ""en""), """")"),"Bai")</f>
        <v>Bai</v>
      </c>
      <c r="G2127" s="49" t="str">
        <f t="shared" ca="1" si="2125"/>
        <v>Bai</v>
      </c>
      <c r="H2127" s="49" t="str">
        <f t="shared" ca="1" si="2125"/>
        <v>Bai</v>
      </c>
      <c r="I2127" s="49" t="str">
        <f t="shared" ca="1" si="2125"/>
        <v>Bai</v>
      </c>
      <c r="J2127" s="49" t="str">
        <f t="shared" ca="1" si="2125"/>
        <v>Bai</v>
      </c>
    </row>
    <row r="2128" spans="1:10" ht="12.75" x14ac:dyDescent="0.2">
      <c r="A2128" s="41" t="s">
        <v>175</v>
      </c>
      <c r="B2128" s="40"/>
      <c r="C2128" s="40"/>
      <c r="D2128" s="40"/>
      <c r="E2128" s="40"/>
      <c r="F2128" s="49" t="str">
        <f t="shared" ref="F2128:J2128" ca="1" si="2126">IFERROR(__xludf.DUMMYFUNCTION("if (A2128 &lt;&gt; """", GOOGLETRANSLATE(A2128, ""auto"", ""en""), """")"),"Bye bye")</f>
        <v>Bye bye</v>
      </c>
      <c r="G2128" s="49" t="str">
        <f t="shared" ca="1" si="2126"/>
        <v>Bye bye</v>
      </c>
      <c r="H2128" s="49" t="str">
        <f t="shared" ca="1" si="2126"/>
        <v>Bye bye</v>
      </c>
      <c r="I2128" s="49" t="str">
        <f t="shared" ca="1" si="2126"/>
        <v>Bye bye</v>
      </c>
      <c r="J2128" s="49" t="str">
        <f t="shared" ca="1" si="2126"/>
        <v>Bye bye</v>
      </c>
    </row>
    <row r="2129" spans="1:10" ht="12.75" x14ac:dyDescent="0.2">
      <c r="A2129" s="41" t="s">
        <v>161</v>
      </c>
      <c r="B2129" s="40"/>
      <c r="C2129" s="40"/>
      <c r="D2129" s="40"/>
      <c r="E2129" s="40"/>
      <c r="F2129" s="49" t="str">
        <f t="shared" ref="F2129:J2129" ca="1" si="2127">IFERROR(__xludf.DUMMYFUNCTION("if (A2129 &lt;&gt; """", GOOGLETRANSLATE(A2129, ""auto"", ""en""), """")"),"goodbye")</f>
        <v>goodbye</v>
      </c>
      <c r="G2129" s="49" t="str">
        <f t="shared" ca="1" si="2127"/>
        <v>goodbye</v>
      </c>
      <c r="H2129" s="49" t="str">
        <f t="shared" ca="1" si="2127"/>
        <v>goodbye</v>
      </c>
      <c r="I2129" s="49" t="str">
        <f t="shared" ca="1" si="2127"/>
        <v>goodbye</v>
      </c>
      <c r="J2129" s="49" t="str">
        <f t="shared" ca="1" si="2127"/>
        <v>goodbye</v>
      </c>
    </row>
    <row r="2130" spans="1:10" ht="25.5" x14ac:dyDescent="0.2">
      <c r="A2130" s="41" t="s">
        <v>1628</v>
      </c>
      <c r="B2130" s="40"/>
      <c r="C2130" s="40"/>
      <c r="D2130" s="40"/>
      <c r="E2130" s="40"/>
      <c r="F2130" s="49" t="str">
        <f t="shared" ref="F2130:J2130" ca="1" si="2128">IFERROR(__xludf.DUMMYFUNCTION("if (A2130 &lt;&gt; """", GOOGLETRANSLATE(A2130, ""auto"", ""en""), """")"),"See you next time")</f>
        <v>See you next time</v>
      </c>
      <c r="G2130" s="49" t="str">
        <f t="shared" ca="1" si="2128"/>
        <v>See you next time</v>
      </c>
      <c r="H2130" s="49" t="str">
        <f t="shared" ca="1" si="2128"/>
        <v>See you next time</v>
      </c>
      <c r="I2130" s="49" t="str">
        <f t="shared" ca="1" si="2128"/>
        <v>See you next time</v>
      </c>
      <c r="J2130" s="49" t="str">
        <f t="shared" ca="1" si="2128"/>
        <v>See you next time</v>
      </c>
    </row>
    <row r="2131" spans="1:10" ht="25.5" x14ac:dyDescent="0.2">
      <c r="A2131" s="41" t="s">
        <v>1629</v>
      </c>
      <c r="B2131" s="40"/>
      <c r="C2131" s="40"/>
      <c r="D2131" s="40"/>
      <c r="E2131" s="40"/>
      <c r="F2131" s="49" t="str">
        <f t="shared" ref="F2131:J2131" ca="1" si="2129">IFERROR(__xludf.DUMMYFUNCTION("if (A2131 &lt;&gt; """", GOOGLETRANSLATE(A2131, ""auto"", ""en""), """")"),"In addition this time")</f>
        <v>In addition this time</v>
      </c>
      <c r="G2131" s="49" t="str">
        <f t="shared" ca="1" si="2129"/>
        <v>In addition this time</v>
      </c>
      <c r="H2131" s="49" t="str">
        <f t="shared" ca="1" si="2129"/>
        <v>In addition this time</v>
      </c>
      <c r="I2131" s="49" t="str">
        <f t="shared" ca="1" si="2129"/>
        <v>In addition this time</v>
      </c>
      <c r="J2131" s="49" t="str">
        <f t="shared" ca="1" si="2129"/>
        <v>In addition this time</v>
      </c>
    </row>
    <row r="2132" spans="1:10" ht="25.5" x14ac:dyDescent="0.2">
      <c r="A2132" s="41" t="s">
        <v>1630</v>
      </c>
      <c r="B2132" s="40"/>
      <c r="C2132" s="40"/>
      <c r="D2132" s="40"/>
      <c r="E2132" s="40"/>
      <c r="F2132" s="49" t="str">
        <f t="shared" ref="F2132:J2132" ca="1" si="2130">IFERROR(__xludf.DUMMYFUNCTION("if (A2132 &lt;&gt; """", GOOGLETRANSLATE(A2132, ""auto"", ""en""), """")"),"The best regards Now")</f>
        <v>The best regards Now</v>
      </c>
      <c r="G2132" s="49" t="str">
        <f t="shared" ca="1" si="2130"/>
        <v>The best regards Now</v>
      </c>
      <c r="H2132" s="49" t="str">
        <f t="shared" ca="1" si="2130"/>
        <v>The best regards Now</v>
      </c>
      <c r="I2132" s="49" t="str">
        <f t="shared" ca="1" si="2130"/>
        <v>The best regards Now</v>
      </c>
      <c r="J2132" s="49" t="str">
        <f t="shared" ca="1" si="2130"/>
        <v>The best regards Now</v>
      </c>
    </row>
    <row r="2133" spans="1:10" ht="12.75" x14ac:dyDescent="0.2">
      <c r="A2133" s="41" t="s">
        <v>1631</v>
      </c>
      <c r="B2133" s="40"/>
      <c r="C2133" s="40"/>
      <c r="D2133" s="40"/>
      <c r="E2133" s="40"/>
      <c r="F2133" s="49" t="str">
        <f t="shared" ref="F2133:J2133" ca="1" si="2131">IFERROR(__xludf.DUMMYFUNCTION("if (A2133 &lt;&gt; """", GOOGLETRANSLATE(A2133, ""auto"", ""en""), """")"),"see you")</f>
        <v>see you</v>
      </c>
      <c r="G2133" s="49" t="str">
        <f t="shared" ca="1" si="2131"/>
        <v>see you</v>
      </c>
      <c r="H2133" s="49" t="str">
        <f t="shared" ca="1" si="2131"/>
        <v>see you</v>
      </c>
      <c r="I2133" s="49" t="str">
        <f t="shared" ca="1" si="2131"/>
        <v>see you</v>
      </c>
      <c r="J2133" s="49" t="str">
        <f t="shared" ca="1" si="2131"/>
        <v>see you</v>
      </c>
    </row>
    <row r="2134" spans="1:10" ht="12.75" x14ac:dyDescent="0.2">
      <c r="A2134" s="41" t="s">
        <v>1633</v>
      </c>
      <c r="B2134" s="40"/>
      <c r="C2134" s="40"/>
      <c r="D2134" s="40"/>
      <c r="E2134" s="40"/>
      <c r="F2134" s="49" t="str">
        <f t="shared" ref="F2134:J2134" ca="1" si="2132">IFERROR(__xludf.DUMMYFUNCTION("if (A2134 &lt;&gt; """", GOOGLETRANSLATE(A2134, ""auto"", ""en""), """")"),"See you")</f>
        <v>See you</v>
      </c>
      <c r="G2134" s="49" t="str">
        <f t="shared" ca="1" si="2132"/>
        <v>See you</v>
      </c>
      <c r="H2134" s="49" t="str">
        <f t="shared" ca="1" si="2132"/>
        <v>See you</v>
      </c>
      <c r="I2134" s="49" t="str">
        <f t="shared" ca="1" si="2132"/>
        <v>See you</v>
      </c>
      <c r="J2134" s="49" t="str">
        <f t="shared" ca="1" si="2132"/>
        <v>See you</v>
      </c>
    </row>
    <row r="2135" spans="1:10" ht="12.75" x14ac:dyDescent="0.2">
      <c r="A2135" s="40"/>
      <c r="B2135" s="40"/>
      <c r="C2135" s="40"/>
      <c r="D2135" s="40"/>
      <c r="E2135" s="40"/>
      <c r="F2135" s="49" t="str">
        <f t="shared" ref="F2135:J2135" ca="1" si="2133">IFERROR(__xludf.DUMMYFUNCTION("if (A2135 &lt;&gt; """", GOOGLETRANSLATE(A2135, ""auto"", ""en""), """")"),"")</f>
        <v/>
      </c>
      <c r="G2135" s="49" t="str">
        <f t="shared" ca="1" si="2133"/>
        <v/>
      </c>
      <c r="H2135" s="49" t="str">
        <f t="shared" ca="1" si="2133"/>
        <v/>
      </c>
      <c r="I2135" s="49" t="str">
        <f t="shared" ca="1" si="2133"/>
        <v/>
      </c>
      <c r="J2135" s="49" t="str">
        <f t="shared" ca="1" si="2133"/>
        <v/>
      </c>
    </row>
    <row r="2136" spans="1:10" ht="38.25" x14ac:dyDescent="0.2">
      <c r="A2136" s="41" t="s">
        <v>1638</v>
      </c>
      <c r="B2136" s="40"/>
      <c r="C2136" s="40"/>
      <c r="D2136" s="40"/>
      <c r="E2136" s="40"/>
      <c r="F2136" s="49" t="str">
        <f t="shared" ref="F2136:J2136" ca="1" si="2134">IFERROR(__xludf.DUMMYFUNCTION("if (A2136 &lt;&gt; """", GOOGLETRANSLATE(A2136, ""auto"", ""en""), """")"),"smalltalk.greetings.goodevening")</f>
        <v>smalltalk.greetings.goodevening</v>
      </c>
      <c r="G2136" s="49" t="str">
        <f t="shared" ca="1" si="2134"/>
        <v>smalltalk.greetings.goodevening</v>
      </c>
      <c r="H2136" s="49" t="str">
        <f t="shared" ca="1" si="2134"/>
        <v>smalltalk.greetings.goodevening</v>
      </c>
      <c r="I2136" s="49" t="str">
        <f t="shared" ca="1" si="2134"/>
        <v>smalltalk.greetings.goodevening</v>
      </c>
      <c r="J2136" s="49" t="str">
        <f t="shared" ca="1" si="2134"/>
        <v>smalltalk.greetings.goodevening</v>
      </c>
    </row>
    <row r="2137" spans="1:10" ht="12.75" x14ac:dyDescent="0.2">
      <c r="A2137" s="40"/>
      <c r="B2137" s="41" t="s">
        <v>398</v>
      </c>
      <c r="C2137" s="40"/>
      <c r="D2137" s="40"/>
      <c r="E2137" s="40"/>
      <c r="F2137" s="49" t="str">
        <f t="shared" ref="F2137:J2137" ca="1" si="2135">IFERROR(__xludf.DUMMYFUNCTION("if (A2137 &lt;&gt; """", GOOGLETRANSLATE(A2137, ""auto"", ""en""), """")"),"")</f>
        <v/>
      </c>
      <c r="G2137" s="49" t="str">
        <f t="shared" ca="1" si="2135"/>
        <v/>
      </c>
      <c r="H2137" s="49" t="str">
        <f t="shared" ca="1" si="2135"/>
        <v/>
      </c>
      <c r="I2137" s="49" t="str">
        <f t="shared" ca="1" si="2135"/>
        <v/>
      </c>
      <c r="J2137" s="49" t="str">
        <f t="shared" ca="1" si="2135"/>
        <v/>
      </c>
    </row>
    <row r="2138" spans="1:10" ht="12.75" x14ac:dyDescent="0.2">
      <c r="A2138" s="40"/>
      <c r="B2138" s="41" t="s">
        <v>399</v>
      </c>
      <c r="C2138" s="40"/>
      <c r="D2138" s="40"/>
      <c r="E2138" s="40"/>
      <c r="F2138" s="49" t="str">
        <f t="shared" ref="F2138:J2138" ca="1" si="2136">IFERROR(__xludf.DUMMYFUNCTION("if (A2138 &lt;&gt; """", GOOGLETRANSLATE(A2138, ""auto"", ""en""), """")"),"")</f>
        <v/>
      </c>
      <c r="G2138" s="49" t="str">
        <f t="shared" ca="1" si="2136"/>
        <v/>
      </c>
      <c r="H2138" s="49" t="str">
        <f t="shared" ca="1" si="2136"/>
        <v/>
      </c>
      <c r="I2138" s="49" t="str">
        <f t="shared" ca="1" si="2136"/>
        <v/>
      </c>
      <c r="J2138" s="49" t="str">
        <f t="shared" ca="1" si="2136"/>
        <v/>
      </c>
    </row>
    <row r="2139" spans="1:10" ht="12.75" x14ac:dyDescent="0.2">
      <c r="A2139" s="40"/>
      <c r="B2139" s="41" t="s">
        <v>400</v>
      </c>
      <c r="C2139" s="41" t="s">
        <v>1638</v>
      </c>
      <c r="D2139" s="40"/>
      <c r="E2139" s="40"/>
      <c r="F2139" s="49" t="str">
        <f t="shared" ref="F2139:J2139" ca="1" si="2137">IFERROR(__xludf.DUMMYFUNCTION("if (A2139 &lt;&gt; """", GOOGLETRANSLATE(A2139, ""auto"", ""en""), """")"),"")</f>
        <v/>
      </c>
      <c r="G2139" s="49" t="str">
        <f t="shared" ca="1" si="2137"/>
        <v/>
      </c>
      <c r="H2139" s="49" t="str">
        <f t="shared" ca="1" si="2137"/>
        <v/>
      </c>
      <c r="I2139" s="49" t="str">
        <f t="shared" ca="1" si="2137"/>
        <v/>
      </c>
      <c r="J2139" s="49" t="str">
        <f t="shared" ca="1" si="2137"/>
        <v/>
      </c>
    </row>
    <row r="2140" spans="1:10" ht="12.75" x14ac:dyDescent="0.2">
      <c r="A2140" s="40"/>
      <c r="B2140" s="41" t="s">
        <v>401</v>
      </c>
      <c r="C2140" s="40"/>
      <c r="D2140" s="40"/>
      <c r="E2140" s="40"/>
      <c r="F2140" s="49" t="str">
        <f t="shared" ref="F2140:J2140" ca="1" si="2138">IFERROR(__xludf.DUMMYFUNCTION("if (A2140 &lt;&gt; """", GOOGLETRANSLATE(A2140, ""auto"", ""en""), """")"),"")</f>
        <v/>
      </c>
      <c r="G2140" s="49" t="str">
        <f t="shared" ca="1" si="2138"/>
        <v/>
      </c>
      <c r="H2140" s="49" t="str">
        <f t="shared" ca="1" si="2138"/>
        <v/>
      </c>
      <c r="I2140" s="49" t="str">
        <f t="shared" ca="1" si="2138"/>
        <v/>
      </c>
      <c r="J2140" s="49" t="str">
        <f t="shared" ca="1" si="2138"/>
        <v/>
      </c>
    </row>
    <row r="2141" spans="1:10" ht="12.75" x14ac:dyDescent="0.2">
      <c r="A2141" s="41" t="s">
        <v>184</v>
      </c>
      <c r="B2141" s="41" t="s">
        <v>402</v>
      </c>
      <c r="C2141" s="41" t="s">
        <v>1644</v>
      </c>
      <c r="D2141" s="40"/>
      <c r="E2141" s="40"/>
      <c r="F2141" s="49" t="str">
        <f t="shared" ref="F2141:J2141" ca="1" si="2139">IFERROR(__xludf.DUMMYFUNCTION("if (A2141 &lt;&gt; """", GOOGLETRANSLATE(A2141, ""auto"", ""en""), """")"),"Good evening")</f>
        <v>Good evening</v>
      </c>
      <c r="G2141" s="49" t="str">
        <f t="shared" ca="1" si="2139"/>
        <v>Good evening</v>
      </c>
      <c r="H2141" s="49" t="str">
        <f t="shared" ca="1" si="2139"/>
        <v>Good evening</v>
      </c>
      <c r="I2141" s="49" t="str">
        <f t="shared" ca="1" si="2139"/>
        <v>Good evening</v>
      </c>
      <c r="J2141" s="49" t="str">
        <f t="shared" ca="1" si="2139"/>
        <v>Good evening</v>
      </c>
    </row>
    <row r="2142" spans="1:10" ht="25.5" x14ac:dyDescent="0.2">
      <c r="A2142" s="41" t="s">
        <v>1648</v>
      </c>
      <c r="B2142" s="40"/>
      <c r="C2142" s="40"/>
      <c r="D2142" s="40"/>
      <c r="E2142" s="40"/>
      <c r="F2142" s="49" t="str">
        <f t="shared" ref="F2142:J2142" ca="1" si="2140">IFERROR(__xludf.DUMMYFUNCTION("if (A2142 &lt;&gt; """", GOOGLETRANSLATE(A2142, ""auto"", ""en""), """")"),"good evening everyone")</f>
        <v>good evening everyone</v>
      </c>
      <c r="G2142" s="49" t="str">
        <f t="shared" ca="1" si="2140"/>
        <v>good evening everyone</v>
      </c>
      <c r="H2142" s="49" t="str">
        <f t="shared" ca="1" si="2140"/>
        <v>good evening everyone</v>
      </c>
      <c r="I2142" s="49" t="str">
        <f t="shared" ca="1" si="2140"/>
        <v>good evening everyone</v>
      </c>
      <c r="J2142" s="49" t="str">
        <f t="shared" ca="1" si="2140"/>
        <v>good evening everyone</v>
      </c>
    </row>
    <row r="2143" spans="1:10" ht="25.5" x14ac:dyDescent="0.2">
      <c r="A2143" s="41" t="s">
        <v>1652</v>
      </c>
      <c r="B2143" s="40"/>
      <c r="C2143" s="40"/>
      <c r="D2143" s="40"/>
      <c r="E2143" s="40"/>
      <c r="F2143" s="49" t="str">
        <f t="shared" ref="F2143:J2143" ca="1" si="2141">IFERROR(__xludf.DUMMYFUNCTION("if (A2143 &lt;&gt; """", GOOGLETRANSLATE(A2143, ""auto"", ""en""), """")"),"Hi, good evening")</f>
        <v>Hi, good evening</v>
      </c>
      <c r="G2143" s="49" t="str">
        <f t="shared" ca="1" si="2141"/>
        <v>Hi, good evening</v>
      </c>
      <c r="H2143" s="49" t="str">
        <f t="shared" ca="1" si="2141"/>
        <v>Hi, good evening</v>
      </c>
      <c r="I2143" s="49" t="str">
        <f t="shared" ca="1" si="2141"/>
        <v>Hi, good evening</v>
      </c>
      <c r="J2143" s="49" t="str">
        <f t="shared" ca="1" si="2141"/>
        <v>Hi, good evening</v>
      </c>
    </row>
    <row r="2144" spans="1:10" ht="12.75" x14ac:dyDescent="0.2">
      <c r="A2144" s="41" t="s">
        <v>1657</v>
      </c>
      <c r="B2144" s="40"/>
      <c r="C2144" s="40"/>
      <c r="D2144" s="40"/>
      <c r="E2144" s="40"/>
      <c r="F2144" s="49" t="str">
        <f t="shared" ref="F2144:J2144" ca="1" si="2142">IFERROR(__xludf.DUMMYFUNCTION("if (A2144 &lt;&gt; """", GOOGLETRANSLATE(A2144, ""auto"", ""en""), """")"),"Good evening")</f>
        <v>Good evening</v>
      </c>
      <c r="G2144" s="49" t="str">
        <f t="shared" ca="1" si="2142"/>
        <v>Good evening</v>
      </c>
      <c r="H2144" s="49" t="str">
        <f t="shared" ca="1" si="2142"/>
        <v>Good evening</v>
      </c>
      <c r="I2144" s="49" t="str">
        <f t="shared" ca="1" si="2142"/>
        <v>Good evening</v>
      </c>
      <c r="J2144" s="49" t="str">
        <f t="shared" ca="1" si="2142"/>
        <v>Good evening</v>
      </c>
    </row>
    <row r="2145" spans="1:10" ht="12.75" x14ac:dyDescent="0.2">
      <c r="A2145" s="41" t="s">
        <v>1663</v>
      </c>
      <c r="B2145" s="40"/>
      <c r="C2145" s="40"/>
      <c r="D2145" s="40"/>
      <c r="E2145" s="40"/>
      <c r="F2145" s="49" t="str">
        <f t="shared" ref="F2145:J2145" ca="1" si="2143">IFERROR(__xludf.DUMMYFUNCTION("if (A2145 &lt;&gt; """", GOOGLETRANSLATE(A2145, ""auto"", ""en""), """")"),"tonight")</f>
        <v>tonight</v>
      </c>
      <c r="G2145" s="49" t="str">
        <f t="shared" ca="1" si="2143"/>
        <v>tonight</v>
      </c>
      <c r="H2145" s="49" t="str">
        <f t="shared" ca="1" si="2143"/>
        <v>tonight</v>
      </c>
      <c r="I2145" s="49" t="str">
        <f t="shared" ca="1" si="2143"/>
        <v>tonight</v>
      </c>
      <c r="J2145" s="49" t="str">
        <f t="shared" ca="1" si="2143"/>
        <v>tonight</v>
      </c>
    </row>
    <row r="2146" spans="1:10" ht="12.75" x14ac:dyDescent="0.2">
      <c r="A2146" s="41" t="s">
        <v>1667</v>
      </c>
      <c r="B2146" s="40"/>
      <c r="C2146" s="40"/>
      <c r="D2146" s="40"/>
      <c r="E2146" s="40"/>
      <c r="F2146" s="49" t="str">
        <f t="shared" ref="F2146:J2146" ca="1" si="2144">IFERROR(__xludf.DUMMYFUNCTION("if (A2146 &lt;&gt; """", GOOGLETRANSLATE(A2146, ""auto"", ""en""), """")"),"Hey, tonight")</f>
        <v>Hey, tonight</v>
      </c>
      <c r="G2146" s="49" t="str">
        <f t="shared" ca="1" si="2144"/>
        <v>Hey, tonight</v>
      </c>
      <c r="H2146" s="49" t="str">
        <f t="shared" ca="1" si="2144"/>
        <v>Hey, tonight</v>
      </c>
      <c r="I2146" s="49" t="str">
        <f t="shared" ca="1" si="2144"/>
        <v>Hey, tonight</v>
      </c>
      <c r="J2146" s="49" t="str">
        <f t="shared" ca="1" si="2144"/>
        <v>Hey, tonight</v>
      </c>
    </row>
    <row r="2147" spans="1:10" ht="12.75" x14ac:dyDescent="0.2">
      <c r="A2147" s="40"/>
      <c r="B2147" s="40"/>
      <c r="C2147" s="40"/>
      <c r="D2147" s="40"/>
      <c r="E2147" s="40"/>
      <c r="F2147" s="49" t="str">
        <f t="shared" ref="F2147:J2147" ca="1" si="2145">IFERROR(__xludf.DUMMYFUNCTION("if (A2147 &lt;&gt; """", GOOGLETRANSLATE(A2147, ""auto"", ""en""), """")"),"")</f>
        <v/>
      </c>
      <c r="G2147" s="49" t="str">
        <f t="shared" ca="1" si="2145"/>
        <v/>
      </c>
      <c r="H2147" s="49" t="str">
        <f t="shared" ca="1" si="2145"/>
        <v/>
      </c>
      <c r="I2147" s="49" t="str">
        <f t="shared" ca="1" si="2145"/>
        <v/>
      </c>
      <c r="J2147" s="49" t="str">
        <f t="shared" ca="1" si="2145"/>
        <v/>
      </c>
    </row>
    <row r="2148" spans="1:10" ht="38.25" x14ac:dyDescent="0.2">
      <c r="A2148" s="41" t="s">
        <v>1671</v>
      </c>
      <c r="B2148" s="40"/>
      <c r="C2148" s="40"/>
      <c r="D2148" s="40"/>
      <c r="E2148" s="40"/>
      <c r="F2148" s="49" t="str">
        <f t="shared" ref="F2148:J2148" ca="1" si="2146">IFERROR(__xludf.DUMMYFUNCTION("if (A2148 &lt;&gt; """", GOOGLETRANSLATE(A2148, ""auto"", ""en""), """")"),"smalltalk.greetings.goodmorning")</f>
        <v>smalltalk.greetings.goodmorning</v>
      </c>
      <c r="G2148" s="49" t="str">
        <f t="shared" ca="1" si="2146"/>
        <v>smalltalk.greetings.goodmorning</v>
      </c>
      <c r="H2148" s="49" t="str">
        <f t="shared" ca="1" si="2146"/>
        <v>smalltalk.greetings.goodmorning</v>
      </c>
      <c r="I2148" s="49" t="str">
        <f t="shared" ca="1" si="2146"/>
        <v>smalltalk.greetings.goodmorning</v>
      </c>
      <c r="J2148" s="49" t="str">
        <f t="shared" ca="1" si="2146"/>
        <v>smalltalk.greetings.goodmorning</v>
      </c>
    </row>
    <row r="2149" spans="1:10" ht="12.75" x14ac:dyDescent="0.2">
      <c r="A2149" s="40"/>
      <c r="B2149" s="41" t="s">
        <v>398</v>
      </c>
      <c r="C2149" s="40"/>
      <c r="D2149" s="40"/>
      <c r="E2149" s="40"/>
      <c r="F2149" s="49" t="str">
        <f t="shared" ref="F2149:J2149" ca="1" si="2147">IFERROR(__xludf.DUMMYFUNCTION("if (A2149 &lt;&gt; """", GOOGLETRANSLATE(A2149, ""auto"", ""en""), """")"),"")</f>
        <v/>
      </c>
      <c r="G2149" s="49" t="str">
        <f t="shared" ca="1" si="2147"/>
        <v/>
      </c>
      <c r="H2149" s="49" t="str">
        <f t="shared" ca="1" si="2147"/>
        <v/>
      </c>
      <c r="I2149" s="49" t="str">
        <f t="shared" ca="1" si="2147"/>
        <v/>
      </c>
      <c r="J2149" s="49" t="str">
        <f t="shared" ca="1" si="2147"/>
        <v/>
      </c>
    </row>
    <row r="2150" spans="1:10" ht="12.75" x14ac:dyDescent="0.2">
      <c r="A2150" s="40"/>
      <c r="B2150" s="41" t="s">
        <v>399</v>
      </c>
      <c r="C2150" s="40"/>
      <c r="D2150" s="40"/>
      <c r="E2150" s="40"/>
      <c r="F2150" s="49" t="str">
        <f t="shared" ref="F2150:J2150" ca="1" si="2148">IFERROR(__xludf.DUMMYFUNCTION("if (A2150 &lt;&gt; """", GOOGLETRANSLATE(A2150, ""auto"", ""en""), """")"),"")</f>
        <v/>
      </c>
      <c r="G2150" s="49" t="str">
        <f t="shared" ca="1" si="2148"/>
        <v/>
      </c>
      <c r="H2150" s="49" t="str">
        <f t="shared" ca="1" si="2148"/>
        <v/>
      </c>
      <c r="I2150" s="49" t="str">
        <f t="shared" ca="1" si="2148"/>
        <v/>
      </c>
      <c r="J2150" s="49" t="str">
        <f t="shared" ca="1" si="2148"/>
        <v/>
      </c>
    </row>
    <row r="2151" spans="1:10" ht="12.75" x14ac:dyDescent="0.2">
      <c r="A2151" s="40"/>
      <c r="B2151" s="41" t="s">
        <v>400</v>
      </c>
      <c r="C2151" s="41" t="s">
        <v>1671</v>
      </c>
      <c r="D2151" s="40"/>
      <c r="E2151" s="40"/>
      <c r="F2151" s="49" t="str">
        <f t="shared" ref="F2151:J2151" ca="1" si="2149">IFERROR(__xludf.DUMMYFUNCTION("if (A2151 &lt;&gt; """", GOOGLETRANSLATE(A2151, ""auto"", ""en""), """")"),"")</f>
        <v/>
      </c>
      <c r="G2151" s="49" t="str">
        <f t="shared" ca="1" si="2149"/>
        <v/>
      </c>
      <c r="H2151" s="49" t="str">
        <f t="shared" ca="1" si="2149"/>
        <v/>
      </c>
      <c r="I2151" s="49" t="str">
        <f t="shared" ca="1" si="2149"/>
        <v/>
      </c>
      <c r="J2151" s="49" t="str">
        <f t="shared" ca="1" si="2149"/>
        <v/>
      </c>
    </row>
    <row r="2152" spans="1:10" ht="12.75" x14ac:dyDescent="0.2">
      <c r="A2152" s="40"/>
      <c r="B2152" s="41" t="s">
        <v>401</v>
      </c>
      <c r="C2152" s="40"/>
      <c r="D2152" s="40"/>
      <c r="E2152" s="40"/>
      <c r="F2152" s="49" t="str">
        <f t="shared" ref="F2152:J2152" ca="1" si="2150">IFERROR(__xludf.DUMMYFUNCTION("if (A2152 &lt;&gt; """", GOOGLETRANSLATE(A2152, ""auto"", ""en""), """")"),"")</f>
        <v/>
      </c>
      <c r="G2152" s="49" t="str">
        <f t="shared" ca="1" si="2150"/>
        <v/>
      </c>
      <c r="H2152" s="49" t="str">
        <f t="shared" ca="1" si="2150"/>
        <v/>
      </c>
      <c r="I2152" s="49" t="str">
        <f t="shared" ca="1" si="2150"/>
        <v/>
      </c>
      <c r="J2152" s="49" t="str">
        <f t="shared" ca="1" si="2150"/>
        <v/>
      </c>
    </row>
    <row r="2153" spans="1:10" ht="12.75" x14ac:dyDescent="0.2">
      <c r="A2153" s="41" t="s">
        <v>186</v>
      </c>
      <c r="B2153" s="41" t="s">
        <v>402</v>
      </c>
      <c r="C2153" s="41" t="s">
        <v>1677</v>
      </c>
      <c r="D2153" s="40"/>
      <c r="E2153" s="40"/>
      <c r="F2153" s="49" t="str">
        <f t="shared" ref="F2153:J2153" ca="1" si="2151">IFERROR(__xludf.DUMMYFUNCTION("if (A2153 &lt;&gt; """", GOOGLETRANSLATE(A2153, ""auto"", ""en""), """")"),"Good morning")</f>
        <v>Good morning</v>
      </c>
      <c r="G2153" s="49" t="str">
        <f t="shared" ca="1" si="2151"/>
        <v>Good morning</v>
      </c>
      <c r="H2153" s="49" t="str">
        <f t="shared" ca="1" si="2151"/>
        <v>Good morning</v>
      </c>
      <c r="I2153" s="49" t="str">
        <f t="shared" ca="1" si="2151"/>
        <v>Good morning</v>
      </c>
      <c r="J2153" s="49" t="str">
        <f t="shared" ca="1" si="2151"/>
        <v>Good morning</v>
      </c>
    </row>
    <row r="2154" spans="1:10" ht="25.5" x14ac:dyDescent="0.2">
      <c r="A2154" s="41" t="s">
        <v>1680</v>
      </c>
      <c r="B2154" s="40"/>
      <c r="C2154" s="40"/>
      <c r="D2154" s="40"/>
      <c r="E2154" s="40"/>
      <c r="F2154" s="49" t="str">
        <f t="shared" ref="F2154:J2154" ca="1" si="2152">IFERROR(__xludf.DUMMYFUNCTION("if (A2154 &lt;&gt; """", GOOGLETRANSLATE(A2154, ""auto"", ""en""), """")"),"Everyone good morning")</f>
        <v>Everyone good morning</v>
      </c>
      <c r="G2154" s="49" t="str">
        <f t="shared" ca="1" si="2152"/>
        <v>Everyone good morning</v>
      </c>
      <c r="H2154" s="49" t="str">
        <f t="shared" ca="1" si="2152"/>
        <v>Everyone good morning</v>
      </c>
      <c r="I2154" s="49" t="str">
        <f t="shared" ca="1" si="2152"/>
        <v>Everyone good morning</v>
      </c>
      <c r="J2154" s="49" t="str">
        <f t="shared" ca="1" si="2152"/>
        <v>Everyone good morning</v>
      </c>
    </row>
    <row r="2155" spans="1:10" ht="12.75" x14ac:dyDescent="0.2">
      <c r="A2155" s="41" t="s">
        <v>187</v>
      </c>
      <c r="B2155" s="40"/>
      <c r="C2155" s="40"/>
      <c r="D2155" s="40"/>
      <c r="E2155" s="40"/>
      <c r="F2155" s="49" t="str">
        <f t="shared" ref="F2155:J2155" ca="1" si="2153">IFERROR(__xludf.DUMMYFUNCTION("if (A2155 &lt;&gt; """", GOOGLETRANSLATE(A2155, ""auto"", ""en""), """")"),"Good morning")</f>
        <v>Good morning</v>
      </c>
      <c r="G2155" s="49" t="str">
        <f t="shared" ca="1" si="2153"/>
        <v>Good morning</v>
      </c>
      <c r="H2155" s="49" t="str">
        <f t="shared" ca="1" si="2153"/>
        <v>Good morning</v>
      </c>
      <c r="I2155" s="49" t="str">
        <f t="shared" ca="1" si="2153"/>
        <v>Good morning</v>
      </c>
      <c r="J2155" s="49" t="str">
        <f t="shared" ca="1" si="2153"/>
        <v>Good morning</v>
      </c>
    </row>
    <row r="2156" spans="1:10" ht="12.75" x14ac:dyDescent="0.2">
      <c r="A2156" s="41" t="s">
        <v>188</v>
      </c>
      <c r="B2156" s="40"/>
      <c r="C2156" s="40"/>
      <c r="D2156" s="40"/>
      <c r="E2156" s="40"/>
      <c r="F2156" s="49" t="str">
        <f t="shared" ref="F2156:J2156" ca="1" si="2154">IFERROR(__xludf.DUMMYFUNCTION("if (A2156 &lt;&gt; """", GOOGLETRANSLATE(A2156, ""auto"", ""en""), """")"),"good morning")</f>
        <v>good morning</v>
      </c>
      <c r="G2156" s="49" t="str">
        <f t="shared" ca="1" si="2154"/>
        <v>good morning</v>
      </c>
      <c r="H2156" s="49" t="str">
        <f t="shared" ca="1" si="2154"/>
        <v>good morning</v>
      </c>
      <c r="I2156" s="49" t="str">
        <f t="shared" ca="1" si="2154"/>
        <v>good morning</v>
      </c>
      <c r="J2156" s="49" t="str">
        <f t="shared" ca="1" si="2154"/>
        <v>good morning</v>
      </c>
    </row>
    <row r="2157" spans="1:10" ht="25.5" x14ac:dyDescent="0.2">
      <c r="A2157" s="41" t="s">
        <v>1683</v>
      </c>
      <c r="B2157" s="40"/>
      <c r="C2157" s="40"/>
      <c r="D2157" s="40"/>
      <c r="E2157" s="40"/>
      <c r="F2157" s="49" t="str">
        <f t="shared" ref="F2157:J2157" ca="1" si="2155">IFERROR(__xludf.DUMMYFUNCTION("if (A2157 &lt;&gt; """", GOOGLETRANSLATE(A2157, ""auto"", ""en""), """")"),"Hi, good morning")</f>
        <v>Hi, good morning</v>
      </c>
      <c r="G2157" s="49" t="str">
        <f t="shared" ca="1" si="2155"/>
        <v>Hi, good morning</v>
      </c>
      <c r="H2157" s="49" t="str">
        <f t="shared" ca="1" si="2155"/>
        <v>Hi, good morning</v>
      </c>
      <c r="I2157" s="49" t="str">
        <f t="shared" ca="1" si="2155"/>
        <v>Hi, good morning</v>
      </c>
      <c r="J2157" s="49" t="str">
        <f t="shared" ca="1" si="2155"/>
        <v>Hi, good morning</v>
      </c>
    </row>
    <row r="2158" spans="1:10" ht="38.25" x14ac:dyDescent="0.2">
      <c r="A2158" s="41" t="s">
        <v>1684</v>
      </c>
      <c r="B2158" s="40"/>
      <c r="C2158" s="40"/>
      <c r="D2158" s="40"/>
      <c r="E2158" s="40"/>
      <c r="F2158" s="49" t="str">
        <f t="shared" ref="F2158:J2158" ca="1" si="2156">IFERROR(__xludf.DUMMYFUNCTION("if (A2158 &lt;&gt; """", GOOGLETRANSLATE(A2158, ""auto"", ""en""), """")"),"Ladies and gentlemen, good morning")</f>
        <v>Ladies and gentlemen, good morning</v>
      </c>
      <c r="G2158" s="49" t="str">
        <f t="shared" ca="1" si="2156"/>
        <v>Ladies and gentlemen, good morning</v>
      </c>
      <c r="H2158" s="49" t="str">
        <f t="shared" ca="1" si="2156"/>
        <v>Ladies and gentlemen, good morning</v>
      </c>
      <c r="I2158" s="49" t="str">
        <f t="shared" ca="1" si="2156"/>
        <v>Ladies and gentlemen, good morning</v>
      </c>
      <c r="J2158" s="49" t="str">
        <f t="shared" ca="1" si="2156"/>
        <v>Ladies and gentlemen, good morning</v>
      </c>
    </row>
    <row r="2159" spans="1:10" ht="12.75" x14ac:dyDescent="0.2">
      <c r="A2159" s="40"/>
      <c r="B2159" s="40"/>
      <c r="C2159" s="40"/>
      <c r="D2159" s="40"/>
      <c r="E2159" s="40"/>
      <c r="F2159" s="49" t="str">
        <f t="shared" ref="F2159:J2159" ca="1" si="2157">IFERROR(__xludf.DUMMYFUNCTION("if (A2159 &lt;&gt; """", GOOGLETRANSLATE(A2159, ""auto"", ""en""), """")"),"")</f>
        <v/>
      </c>
      <c r="G2159" s="49" t="str">
        <f t="shared" ca="1" si="2157"/>
        <v/>
      </c>
      <c r="H2159" s="49" t="str">
        <f t="shared" ca="1" si="2157"/>
        <v/>
      </c>
      <c r="I2159" s="49" t="str">
        <f t="shared" ca="1" si="2157"/>
        <v/>
      </c>
      <c r="J2159" s="49" t="str">
        <f t="shared" ca="1" si="2157"/>
        <v/>
      </c>
    </row>
    <row r="2160" spans="1:10" ht="38.25" x14ac:dyDescent="0.2">
      <c r="A2160" s="41" t="s">
        <v>1685</v>
      </c>
      <c r="B2160" s="40"/>
      <c r="C2160" s="40"/>
      <c r="D2160" s="40"/>
      <c r="E2160" s="40"/>
      <c r="F2160" s="49" t="str">
        <f t="shared" ref="F2160:J2160" ca="1" si="2158">IFERROR(__xludf.DUMMYFUNCTION("if (A2160 &lt;&gt; """", GOOGLETRANSLATE(A2160, ""auto"", ""en""), """")"),"smalltalk.greetings.goodnight")</f>
        <v>smalltalk.greetings.goodnight</v>
      </c>
      <c r="G2160" s="49" t="str">
        <f t="shared" ca="1" si="2158"/>
        <v>smalltalk.greetings.goodnight</v>
      </c>
      <c r="H2160" s="49" t="str">
        <f t="shared" ca="1" si="2158"/>
        <v>smalltalk.greetings.goodnight</v>
      </c>
      <c r="I2160" s="49" t="str">
        <f t="shared" ca="1" si="2158"/>
        <v>smalltalk.greetings.goodnight</v>
      </c>
      <c r="J2160" s="49" t="str">
        <f t="shared" ca="1" si="2158"/>
        <v>smalltalk.greetings.goodnight</v>
      </c>
    </row>
    <row r="2161" spans="1:10" ht="12.75" x14ac:dyDescent="0.2">
      <c r="A2161" s="40"/>
      <c r="B2161" s="41" t="s">
        <v>398</v>
      </c>
      <c r="C2161" s="40"/>
      <c r="D2161" s="40"/>
      <c r="E2161" s="40"/>
      <c r="F2161" s="49" t="str">
        <f t="shared" ref="F2161:J2161" ca="1" si="2159">IFERROR(__xludf.DUMMYFUNCTION("if (A2161 &lt;&gt; """", GOOGLETRANSLATE(A2161, ""auto"", ""en""), """")"),"")</f>
        <v/>
      </c>
      <c r="G2161" s="49" t="str">
        <f t="shared" ca="1" si="2159"/>
        <v/>
      </c>
      <c r="H2161" s="49" t="str">
        <f t="shared" ca="1" si="2159"/>
        <v/>
      </c>
      <c r="I2161" s="49" t="str">
        <f t="shared" ca="1" si="2159"/>
        <v/>
      </c>
      <c r="J2161" s="49" t="str">
        <f t="shared" ca="1" si="2159"/>
        <v/>
      </c>
    </row>
    <row r="2162" spans="1:10" ht="12.75" x14ac:dyDescent="0.2">
      <c r="A2162" s="40"/>
      <c r="B2162" s="41" t="s">
        <v>399</v>
      </c>
      <c r="C2162" s="40"/>
      <c r="D2162" s="40"/>
      <c r="E2162" s="40"/>
      <c r="F2162" s="49" t="str">
        <f t="shared" ref="F2162:J2162" ca="1" si="2160">IFERROR(__xludf.DUMMYFUNCTION("if (A2162 &lt;&gt; """", GOOGLETRANSLATE(A2162, ""auto"", ""en""), """")"),"")</f>
        <v/>
      </c>
      <c r="G2162" s="49" t="str">
        <f t="shared" ca="1" si="2160"/>
        <v/>
      </c>
      <c r="H2162" s="49" t="str">
        <f t="shared" ca="1" si="2160"/>
        <v/>
      </c>
      <c r="I2162" s="49" t="str">
        <f t="shared" ca="1" si="2160"/>
        <v/>
      </c>
      <c r="J2162" s="49" t="str">
        <f t="shared" ca="1" si="2160"/>
        <v/>
      </c>
    </row>
    <row r="2163" spans="1:10" ht="12.75" x14ac:dyDescent="0.2">
      <c r="A2163" s="40"/>
      <c r="B2163" s="41" t="s">
        <v>400</v>
      </c>
      <c r="C2163" s="41" t="s">
        <v>1685</v>
      </c>
      <c r="D2163" s="40"/>
      <c r="E2163" s="40"/>
      <c r="F2163" s="49" t="str">
        <f t="shared" ref="F2163:J2163" ca="1" si="2161">IFERROR(__xludf.DUMMYFUNCTION("if (A2163 &lt;&gt; """", GOOGLETRANSLATE(A2163, ""auto"", ""en""), """")"),"")</f>
        <v/>
      </c>
      <c r="G2163" s="49" t="str">
        <f t="shared" ca="1" si="2161"/>
        <v/>
      </c>
      <c r="H2163" s="49" t="str">
        <f t="shared" ca="1" si="2161"/>
        <v/>
      </c>
      <c r="I2163" s="49" t="str">
        <f t="shared" ca="1" si="2161"/>
        <v/>
      </c>
      <c r="J2163" s="49" t="str">
        <f t="shared" ca="1" si="2161"/>
        <v/>
      </c>
    </row>
    <row r="2164" spans="1:10" ht="12.75" x14ac:dyDescent="0.2">
      <c r="A2164" s="40"/>
      <c r="B2164" s="41" t="s">
        <v>401</v>
      </c>
      <c r="C2164" s="40"/>
      <c r="D2164" s="40"/>
      <c r="E2164" s="40"/>
      <c r="F2164" s="49" t="str">
        <f t="shared" ref="F2164:J2164" ca="1" si="2162">IFERROR(__xludf.DUMMYFUNCTION("if (A2164 &lt;&gt; """", GOOGLETRANSLATE(A2164, ""auto"", ""en""), """")"),"")</f>
        <v/>
      </c>
      <c r="G2164" s="49" t="str">
        <f t="shared" ca="1" si="2162"/>
        <v/>
      </c>
      <c r="H2164" s="49" t="str">
        <f t="shared" ca="1" si="2162"/>
        <v/>
      </c>
      <c r="I2164" s="49" t="str">
        <f t="shared" ca="1" si="2162"/>
        <v/>
      </c>
      <c r="J2164" s="49" t="str">
        <f t="shared" ca="1" si="2162"/>
        <v/>
      </c>
    </row>
    <row r="2165" spans="1:10" ht="12.75" x14ac:dyDescent="0.2">
      <c r="A2165" s="41" t="s">
        <v>1686</v>
      </c>
      <c r="B2165" s="41" t="s">
        <v>402</v>
      </c>
      <c r="C2165" s="41" t="s">
        <v>1687</v>
      </c>
      <c r="D2165" s="40"/>
      <c r="E2165" s="40"/>
      <c r="F2165" s="49" t="str">
        <f t="shared" ref="F2165:J2165" ca="1" si="2163">IFERROR(__xludf.DUMMYFUNCTION("if (A2165 &lt;&gt; """", GOOGLETRANSLATE(A2165, ""auto"", ""en""), """")"),"Sweet dream")</f>
        <v>Sweet dream</v>
      </c>
      <c r="G2165" s="49" t="str">
        <f t="shared" ca="1" si="2163"/>
        <v>Sweet dream</v>
      </c>
      <c r="H2165" s="49" t="str">
        <f t="shared" ca="1" si="2163"/>
        <v>Sweet dream</v>
      </c>
      <c r="I2165" s="49" t="str">
        <f t="shared" ca="1" si="2163"/>
        <v>Sweet dream</v>
      </c>
      <c r="J2165" s="49" t="str">
        <f t="shared" ca="1" si="2163"/>
        <v>Sweet dream</v>
      </c>
    </row>
    <row r="2166" spans="1:10" ht="12.75" x14ac:dyDescent="0.2">
      <c r="A2166" s="41" t="s">
        <v>1688</v>
      </c>
      <c r="B2166" s="40"/>
      <c r="C2166" s="40"/>
      <c r="D2166" s="40"/>
      <c r="E2166" s="40"/>
      <c r="F2166" s="49" t="str">
        <f t="shared" ref="F2166:J2166" ca="1" si="2164">IFERROR(__xludf.DUMMYFUNCTION("if (A2166 &lt;&gt; """", GOOGLETRANSLATE(A2166, ""auto"", ""en""), """")"),"Good night")</f>
        <v>Good night</v>
      </c>
      <c r="G2166" s="49" t="str">
        <f t="shared" ca="1" si="2164"/>
        <v>Good night</v>
      </c>
      <c r="H2166" s="49" t="str">
        <f t="shared" ca="1" si="2164"/>
        <v>Good night</v>
      </c>
      <c r="I2166" s="49" t="str">
        <f t="shared" ca="1" si="2164"/>
        <v>Good night</v>
      </c>
      <c r="J2166" s="49" t="str">
        <f t="shared" ca="1" si="2164"/>
        <v>Good night</v>
      </c>
    </row>
    <row r="2167" spans="1:10" ht="25.5" x14ac:dyDescent="0.2">
      <c r="A2167" s="41" t="s">
        <v>1689</v>
      </c>
      <c r="B2167" s="40"/>
      <c r="C2167" s="40"/>
      <c r="D2167" s="40"/>
      <c r="E2167" s="40"/>
      <c r="F2167" s="49" t="str">
        <f t="shared" ref="F2167:J2167" ca="1" si="2165">IFERROR(__xludf.DUMMYFUNCTION("if (A2167 &lt;&gt; """", GOOGLETRANSLATE(A2167, ""auto"", ""en""), """")"),"Slowly Good night")</f>
        <v>Slowly Good night</v>
      </c>
      <c r="G2167" s="49" t="str">
        <f t="shared" ca="1" si="2165"/>
        <v>Slowly Good night</v>
      </c>
      <c r="H2167" s="49" t="str">
        <f t="shared" ca="1" si="2165"/>
        <v>Slowly Good night</v>
      </c>
      <c r="I2167" s="49" t="str">
        <f t="shared" ca="1" si="2165"/>
        <v>Slowly Good night</v>
      </c>
      <c r="J2167" s="49" t="str">
        <f t="shared" ca="1" si="2165"/>
        <v>Slowly Good night</v>
      </c>
    </row>
    <row r="2168" spans="1:10" ht="12.75" x14ac:dyDescent="0.2">
      <c r="A2168" s="41" t="s">
        <v>1690</v>
      </c>
      <c r="B2168" s="40"/>
      <c r="C2168" s="40"/>
      <c r="D2168" s="40"/>
      <c r="E2168" s="40"/>
      <c r="F2168" s="49" t="str">
        <f t="shared" ref="F2168:J2168" ca="1" si="2166">IFERROR(__xludf.DUMMYFUNCTION("if (A2168 &lt;&gt; """", GOOGLETRANSLATE(A2168, ""auto"", ""en""), """")"),"good night")</f>
        <v>good night</v>
      </c>
      <c r="G2168" s="49" t="str">
        <f t="shared" ca="1" si="2166"/>
        <v>good night</v>
      </c>
      <c r="H2168" s="49" t="str">
        <f t="shared" ca="1" si="2166"/>
        <v>good night</v>
      </c>
      <c r="I2168" s="49" t="str">
        <f t="shared" ca="1" si="2166"/>
        <v>good night</v>
      </c>
      <c r="J2168" s="49" t="str">
        <f t="shared" ca="1" si="2166"/>
        <v>good night</v>
      </c>
    </row>
    <row r="2169" spans="1:10" ht="25.5" x14ac:dyDescent="0.2">
      <c r="A2169" s="41" t="s">
        <v>1691</v>
      </c>
      <c r="B2169" s="40"/>
      <c r="C2169" s="40"/>
      <c r="D2169" s="40"/>
      <c r="E2169" s="40"/>
      <c r="F2169" s="49" t="str">
        <f t="shared" ref="F2169:J2169" ca="1" si="2167">IFERROR(__xludf.DUMMYFUNCTION("if (A2169 &lt;&gt; """", GOOGLETRANSLATE(A2169, ""auto"", ""en""), """")"),"Thank you, good night")</f>
        <v>Thank you, good night</v>
      </c>
      <c r="G2169" s="49" t="str">
        <f t="shared" ca="1" si="2167"/>
        <v>Thank you, good night</v>
      </c>
      <c r="H2169" s="49" t="str">
        <f t="shared" ca="1" si="2167"/>
        <v>Thank you, good night</v>
      </c>
      <c r="I2169" s="49" t="str">
        <f t="shared" ca="1" si="2167"/>
        <v>Thank you, good night</v>
      </c>
      <c r="J2169" s="49" t="str">
        <f t="shared" ca="1" si="2167"/>
        <v>Thank you, good night</v>
      </c>
    </row>
    <row r="2170" spans="1:10" ht="25.5" x14ac:dyDescent="0.2">
      <c r="A2170" s="41" t="s">
        <v>1692</v>
      </c>
      <c r="B2170" s="40"/>
      <c r="C2170" s="40"/>
      <c r="D2170" s="40"/>
      <c r="E2170" s="40"/>
      <c r="F2170" s="49" t="str">
        <f t="shared" ref="F2170:J2170" ca="1" si="2168">IFERROR(__xludf.DUMMYFUNCTION("if (A2170 &lt;&gt; """", GOOGLETRANSLATE(A2170, ""auto"", ""en""), """")"),"Goodbye, Goodnight")</f>
        <v>Goodbye, Goodnight</v>
      </c>
      <c r="G2170" s="49" t="str">
        <f t="shared" ca="1" si="2168"/>
        <v>Goodbye, Goodnight</v>
      </c>
      <c r="H2170" s="49" t="str">
        <f t="shared" ca="1" si="2168"/>
        <v>Goodbye, Goodnight</v>
      </c>
      <c r="I2170" s="49" t="str">
        <f t="shared" ca="1" si="2168"/>
        <v>Goodbye, Goodnight</v>
      </c>
      <c r="J2170" s="49" t="str">
        <f t="shared" ca="1" si="2168"/>
        <v>Goodbye, Goodnight</v>
      </c>
    </row>
    <row r="2171" spans="1:10" ht="25.5" x14ac:dyDescent="0.2">
      <c r="A2171" s="41" t="s">
        <v>1696</v>
      </c>
      <c r="B2171" s="40"/>
      <c r="C2171" s="40"/>
      <c r="D2171" s="40"/>
      <c r="E2171" s="40"/>
      <c r="F2171" s="49" t="str">
        <f t="shared" ref="F2171:J2171" ca="1" si="2169">IFERROR(__xludf.DUMMYFUNCTION("if (A2171 &lt;&gt; """", GOOGLETRANSLATE(A2171, ""auto"", ""en""), """")"),"Good night, good-bye")</f>
        <v>Good night, good-bye</v>
      </c>
      <c r="G2171" s="49" t="str">
        <f t="shared" ca="1" si="2169"/>
        <v>Good night, good-bye</v>
      </c>
      <c r="H2171" s="49" t="str">
        <f t="shared" ca="1" si="2169"/>
        <v>Good night, good-bye</v>
      </c>
      <c r="I2171" s="49" t="str">
        <f t="shared" ca="1" si="2169"/>
        <v>Good night, good-bye</v>
      </c>
      <c r="J2171" s="49" t="str">
        <f t="shared" ca="1" si="2169"/>
        <v>Good night, good-bye</v>
      </c>
    </row>
    <row r="2172" spans="1:10" ht="25.5" x14ac:dyDescent="0.2">
      <c r="A2172" s="41" t="s">
        <v>1698</v>
      </c>
      <c r="B2172" s="40"/>
      <c r="C2172" s="40"/>
      <c r="D2172" s="40"/>
      <c r="E2172" s="40"/>
      <c r="F2172" s="49" t="str">
        <f t="shared" ref="F2172:J2172" ca="1" si="2170">IFERROR(__xludf.DUMMYFUNCTION("if (A2172 &lt;&gt; """", GOOGLETRANSLATE(A2172, ""auto"", ""en""), """")"),"Bye bye, good night")</f>
        <v>Bye bye, good night</v>
      </c>
      <c r="G2172" s="49" t="str">
        <f t="shared" ca="1" si="2170"/>
        <v>Bye bye, good night</v>
      </c>
      <c r="H2172" s="49" t="str">
        <f t="shared" ca="1" si="2170"/>
        <v>Bye bye, good night</v>
      </c>
      <c r="I2172" s="49" t="str">
        <f t="shared" ca="1" si="2170"/>
        <v>Bye bye, good night</v>
      </c>
      <c r="J2172" s="49" t="str">
        <f t="shared" ca="1" si="2170"/>
        <v>Bye bye, good night</v>
      </c>
    </row>
    <row r="2173" spans="1:10" ht="25.5" x14ac:dyDescent="0.2">
      <c r="A2173" s="41" t="s">
        <v>1701</v>
      </c>
      <c r="B2173" s="40"/>
      <c r="C2173" s="40"/>
      <c r="D2173" s="40"/>
      <c r="E2173" s="40"/>
      <c r="F2173" s="49" t="str">
        <f t="shared" ref="F2173:J2173" ca="1" si="2171">IFERROR(__xludf.DUMMYFUNCTION("if (A2173 &lt;&gt; """", GOOGLETRANSLATE(A2173, ""auto"", ""en""), """")"),"Good night slowly")</f>
        <v>Good night slowly</v>
      </c>
      <c r="G2173" s="49" t="str">
        <f t="shared" ca="1" si="2171"/>
        <v>Good night slowly</v>
      </c>
      <c r="H2173" s="49" t="str">
        <f t="shared" ca="1" si="2171"/>
        <v>Good night slowly</v>
      </c>
      <c r="I2173" s="49" t="str">
        <f t="shared" ca="1" si="2171"/>
        <v>Good night slowly</v>
      </c>
      <c r="J2173" s="49" t="str">
        <f t="shared" ca="1" si="2171"/>
        <v>Good night slowly</v>
      </c>
    </row>
    <row r="2174" spans="1:10" ht="25.5" x14ac:dyDescent="0.2">
      <c r="A2174" s="41" t="s">
        <v>1704</v>
      </c>
      <c r="B2174" s="40"/>
      <c r="C2174" s="40"/>
      <c r="D2174" s="40"/>
      <c r="E2174" s="40"/>
      <c r="F2174" s="49" t="str">
        <f t="shared" ref="F2174:J2174" ca="1" si="2172">IFERROR(__xludf.DUMMYFUNCTION("if (A2174 &lt;&gt; """", GOOGLETRANSLATE(A2174, ""auto"", ""en""), """")"),"So, good night")</f>
        <v>So, good night</v>
      </c>
      <c r="G2174" s="49" t="str">
        <f t="shared" ca="1" si="2172"/>
        <v>So, good night</v>
      </c>
      <c r="H2174" s="49" t="str">
        <f t="shared" ca="1" si="2172"/>
        <v>So, good night</v>
      </c>
      <c r="I2174" s="49" t="str">
        <f t="shared" ca="1" si="2172"/>
        <v>So, good night</v>
      </c>
      <c r="J2174" s="49" t="str">
        <f t="shared" ca="1" si="2172"/>
        <v>So, good night</v>
      </c>
    </row>
    <row r="2175" spans="1:10" ht="12.75" x14ac:dyDescent="0.2">
      <c r="A2175" s="40"/>
      <c r="B2175" s="40"/>
      <c r="C2175" s="40"/>
      <c r="D2175" s="40"/>
      <c r="E2175" s="40"/>
      <c r="F2175" s="49" t="str">
        <f t="shared" ref="F2175:J2175" ca="1" si="2173">IFERROR(__xludf.DUMMYFUNCTION("if (A2175 &lt;&gt; """", GOOGLETRANSLATE(A2175, ""auto"", ""en""), """")"),"")</f>
        <v/>
      </c>
      <c r="G2175" s="49" t="str">
        <f t="shared" ca="1" si="2173"/>
        <v/>
      </c>
      <c r="H2175" s="49" t="str">
        <f t="shared" ca="1" si="2173"/>
        <v/>
      </c>
      <c r="I2175" s="49" t="str">
        <f t="shared" ca="1" si="2173"/>
        <v/>
      </c>
      <c r="J2175" s="49" t="str">
        <f t="shared" ca="1" si="2173"/>
        <v/>
      </c>
    </row>
    <row r="2176" spans="1:10" ht="25.5" x14ac:dyDescent="0.2">
      <c r="A2176" s="41" t="s">
        <v>1707</v>
      </c>
      <c r="B2176" s="40"/>
      <c r="C2176" s="40"/>
      <c r="D2176" s="40"/>
      <c r="E2176" s="40"/>
      <c r="F2176" s="49" t="str">
        <f t="shared" ref="F2176:J2176" ca="1" si="2174">IFERROR(__xludf.DUMMYFUNCTION("if (A2176 &lt;&gt; """", GOOGLETRANSLATE(A2176, ""auto"", ""en""), """")"),"smalltalk.greetings.hello")</f>
        <v>smalltalk.greetings.hello</v>
      </c>
      <c r="G2176" s="49" t="str">
        <f t="shared" ca="1" si="2174"/>
        <v>smalltalk.greetings.hello</v>
      </c>
      <c r="H2176" s="49" t="str">
        <f t="shared" ca="1" si="2174"/>
        <v>smalltalk.greetings.hello</v>
      </c>
      <c r="I2176" s="49" t="str">
        <f t="shared" ca="1" si="2174"/>
        <v>smalltalk.greetings.hello</v>
      </c>
      <c r="J2176" s="49" t="str">
        <f t="shared" ca="1" si="2174"/>
        <v>smalltalk.greetings.hello</v>
      </c>
    </row>
    <row r="2177" spans="1:10" ht="12.75" x14ac:dyDescent="0.2">
      <c r="A2177" s="40"/>
      <c r="B2177" s="41" t="s">
        <v>398</v>
      </c>
      <c r="C2177" s="40"/>
      <c r="D2177" s="40"/>
      <c r="E2177" s="40"/>
      <c r="F2177" s="49" t="str">
        <f t="shared" ref="F2177:J2177" ca="1" si="2175">IFERROR(__xludf.DUMMYFUNCTION("if (A2177 &lt;&gt; """", GOOGLETRANSLATE(A2177, ""auto"", ""en""), """")"),"")</f>
        <v/>
      </c>
      <c r="G2177" s="49" t="str">
        <f t="shared" ca="1" si="2175"/>
        <v/>
      </c>
      <c r="H2177" s="49" t="str">
        <f t="shared" ca="1" si="2175"/>
        <v/>
      </c>
      <c r="I2177" s="49" t="str">
        <f t="shared" ca="1" si="2175"/>
        <v/>
      </c>
      <c r="J2177" s="49" t="str">
        <f t="shared" ca="1" si="2175"/>
        <v/>
      </c>
    </row>
    <row r="2178" spans="1:10" ht="12.75" x14ac:dyDescent="0.2">
      <c r="A2178" s="40"/>
      <c r="B2178" s="41" t="s">
        <v>399</v>
      </c>
      <c r="C2178" s="40"/>
      <c r="D2178" s="40"/>
      <c r="E2178" s="40"/>
      <c r="F2178" s="49" t="str">
        <f t="shared" ref="F2178:J2178" ca="1" si="2176">IFERROR(__xludf.DUMMYFUNCTION("if (A2178 &lt;&gt; """", GOOGLETRANSLATE(A2178, ""auto"", ""en""), """")"),"")</f>
        <v/>
      </c>
      <c r="G2178" s="49" t="str">
        <f t="shared" ca="1" si="2176"/>
        <v/>
      </c>
      <c r="H2178" s="49" t="str">
        <f t="shared" ca="1" si="2176"/>
        <v/>
      </c>
      <c r="I2178" s="49" t="str">
        <f t="shared" ca="1" si="2176"/>
        <v/>
      </c>
      <c r="J2178" s="49" t="str">
        <f t="shared" ca="1" si="2176"/>
        <v/>
      </c>
    </row>
    <row r="2179" spans="1:10" ht="12.75" x14ac:dyDescent="0.2">
      <c r="A2179" s="40"/>
      <c r="B2179" s="41" t="s">
        <v>400</v>
      </c>
      <c r="C2179" s="41" t="s">
        <v>1707</v>
      </c>
      <c r="D2179" s="40"/>
      <c r="E2179" s="40"/>
      <c r="F2179" s="49" t="str">
        <f t="shared" ref="F2179:J2179" ca="1" si="2177">IFERROR(__xludf.DUMMYFUNCTION("if (A2179 &lt;&gt; """", GOOGLETRANSLATE(A2179, ""auto"", ""en""), """")"),"")</f>
        <v/>
      </c>
      <c r="G2179" s="49" t="str">
        <f t="shared" ca="1" si="2177"/>
        <v/>
      </c>
      <c r="H2179" s="49" t="str">
        <f t="shared" ca="1" si="2177"/>
        <v/>
      </c>
      <c r="I2179" s="49" t="str">
        <f t="shared" ca="1" si="2177"/>
        <v/>
      </c>
      <c r="J2179" s="49" t="str">
        <f t="shared" ca="1" si="2177"/>
        <v/>
      </c>
    </row>
    <row r="2180" spans="1:10" ht="12.75" x14ac:dyDescent="0.2">
      <c r="A2180" s="40"/>
      <c r="B2180" s="41" t="s">
        <v>401</v>
      </c>
      <c r="C2180" s="40"/>
      <c r="D2180" s="40"/>
      <c r="E2180" s="40"/>
      <c r="F2180" s="49" t="str">
        <f t="shared" ref="F2180:J2180" ca="1" si="2178">IFERROR(__xludf.DUMMYFUNCTION("if (A2180 &lt;&gt; """", GOOGLETRANSLATE(A2180, ""auto"", ""en""), """")"),"")</f>
        <v/>
      </c>
      <c r="G2180" s="49" t="str">
        <f t="shared" ca="1" si="2178"/>
        <v/>
      </c>
      <c r="H2180" s="49" t="str">
        <f t="shared" ca="1" si="2178"/>
        <v/>
      </c>
      <c r="I2180" s="49" t="str">
        <f t="shared" ca="1" si="2178"/>
        <v/>
      </c>
      <c r="J2180" s="49" t="str">
        <f t="shared" ca="1" si="2178"/>
        <v/>
      </c>
    </row>
    <row r="2181" spans="1:10" ht="25.5" x14ac:dyDescent="0.2">
      <c r="A2181" s="41" t="s">
        <v>1710</v>
      </c>
      <c r="B2181" s="41" t="s">
        <v>402</v>
      </c>
      <c r="C2181" s="41" t="s">
        <v>1712</v>
      </c>
      <c r="D2181" s="40"/>
      <c r="E2181" s="40"/>
      <c r="F2181" s="49" t="str">
        <f t="shared" ref="F2181:J2181" ca="1" si="2179">IFERROR(__xludf.DUMMYFUNCTION("if (A2181 &lt;&gt; """", GOOGLETRANSLATE(A2181, ""auto"", ""en""), """")"),"long time no see")</f>
        <v>long time no see</v>
      </c>
      <c r="G2181" s="49" t="str">
        <f t="shared" ca="1" si="2179"/>
        <v>long time no see</v>
      </c>
      <c r="H2181" s="49" t="str">
        <f t="shared" ca="1" si="2179"/>
        <v>long time no see</v>
      </c>
      <c r="I2181" s="49" t="str">
        <f t="shared" ca="1" si="2179"/>
        <v>long time no see</v>
      </c>
      <c r="J2181" s="49" t="str">
        <f t="shared" ca="1" si="2179"/>
        <v>long time no see</v>
      </c>
    </row>
    <row r="2182" spans="1:10" ht="12.75" x14ac:dyDescent="0.2">
      <c r="A2182" s="41" t="s">
        <v>1716</v>
      </c>
      <c r="B2182" s="40"/>
      <c r="C2182" s="40"/>
      <c r="D2182" s="40"/>
      <c r="E2182" s="40"/>
      <c r="F2182" s="49" t="str">
        <f t="shared" ref="F2182:J2182" ca="1" si="2180">IFERROR(__xludf.DUMMYFUNCTION("if (A2182 &lt;&gt; """", GOOGLETRANSLATE(A2182, ""auto"", ""en""), """")"),"today")</f>
        <v>today</v>
      </c>
      <c r="G2182" s="49" t="str">
        <f t="shared" ca="1" si="2180"/>
        <v>today</v>
      </c>
      <c r="H2182" s="49" t="str">
        <f t="shared" ca="1" si="2180"/>
        <v>today</v>
      </c>
      <c r="I2182" s="49" t="str">
        <f t="shared" ca="1" si="2180"/>
        <v>today</v>
      </c>
      <c r="J2182" s="49" t="str">
        <f t="shared" ca="1" si="2180"/>
        <v>today</v>
      </c>
    </row>
    <row r="2183" spans="1:10" ht="12.75" x14ac:dyDescent="0.2">
      <c r="A2183" s="41" t="s">
        <v>190</v>
      </c>
      <c r="B2183" s="40"/>
      <c r="C2183" s="40"/>
      <c r="D2183" s="40"/>
      <c r="E2183" s="40"/>
      <c r="F2183" s="49" t="str">
        <f t="shared" ref="F2183:J2183" ca="1" si="2181">IFERROR(__xludf.DUMMYFUNCTION("if (A2183 &lt;&gt; """", GOOGLETRANSLATE(A2183, ""auto"", ""en""), """")"),"Hello")</f>
        <v>Hello</v>
      </c>
      <c r="G2183" s="49" t="str">
        <f t="shared" ca="1" si="2181"/>
        <v>Hello</v>
      </c>
      <c r="H2183" s="49" t="str">
        <f t="shared" ca="1" si="2181"/>
        <v>Hello</v>
      </c>
      <c r="I2183" s="49" t="str">
        <f t="shared" ca="1" si="2181"/>
        <v>Hello</v>
      </c>
      <c r="J2183" s="49" t="str">
        <f t="shared" ca="1" si="2181"/>
        <v>Hello</v>
      </c>
    </row>
    <row r="2184" spans="1:10" ht="12.75" x14ac:dyDescent="0.2">
      <c r="A2184" s="41" t="s">
        <v>328</v>
      </c>
      <c r="B2184" s="40"/>
      <c r="C2184" s="40"/>
      <c r="D2184" s="40"/>
      <c r="E2184" s="40"/>
      <c r="F2184" s="49" t="str">
        <f t="shared" ref="F2184:J2184" ca="1" si="2182">IFERROR(__xludf.DUMMYFUNCTION("if (A2184 &lt;&gt; """", GOOGLETRANSLATE(A2184, ""auto"", ""en""), """")"),"Thanks")</f>
        <v>Thanks</v>
      </c>
      <c r="G2184" s="49" t="str">
        <f t="shared" ca="1" si="2182"/>
        <v>Thanks</v>
      </c>
      <c r="H2184" s="49" t="str">
        <f t="shared" ca="1" si="2182"/>
        <v>Thanks</v>
      </c>
      <c r="I2184" s="49" t="str">
        <f t="shared" ca="1" si="2182"/>
        <v>Thanks</v>
      </c>
      <c r="J2184" s="49" t="str">
        <f t="shared" ca="1" si="2182"/>
        <v>Thanks</v>
      </c>
    </row>
    <row r="2185" spans="1:10" ht="12.75" x14ac:dyDescent="0.2">
      <c r="A2185" s="41" t="s">
        <v>1721</v>
      </c>
      <c r="B2185" s="40"/>
      <c r="C2185" s="40"/>
      <c r="D2185" s="40"/>
      <c r="E2185" s="40"/>
      <c r="F2185" s="49" t="str">
        <f t="shared" ref="F2185:J2185" ca="1" si="2183">IFERROR(__xludf.DUMMYFUNCTION("if (A2185 &lt;&gt; """", GOOGLETRANSLATE(A2185, ""auto"", ""en""), """")"),"Hey, you")</f>
        <v>Hey, you</v>
      </c>
      <c r="G2185" s="49" t="str">
        <f t="shared" ca="1" si="2183"/>
        <v>Hey, you</v>
      </c>
      <c r="H2185" s="49" t="str">
        <f t="shared" ca="1" si="2183"/>
        <v>Hey, you</v>
      </c>
      <c r="I2185" s="49" t="str">
        <f t="shared" ca="1" si="2183"/>
        <v>Hey, you</v>
      </c>
      <c r="J2185" s="49" t="str">
        <f t="shared" ca="1" si="2183"/>
        <v>Hey, you</v>
      </c>
    </row>
    <row r="2186" spans="1:10" ht="12.75" x14ac:dyDescent="0.2">
      <c r="A2186" s="41" t="s">
        <v>1722</v>
      </c>
      <c r="B2186" s="40"/>
      <c r="C2186" s="40"/>
      <c r="D2186" s="40"/>
      <c r="E2186" s="40"/>
      <c r="F2186" s="49" t="str">
        <f t="shared" ref="F2186:J2186" ca="1" si="2184">IFERROR(__xludf.DUMMYFUNCTION("if (A2186 &lt;&gt; """", GOOGLETRANSLATE(A2186, ""auto"", ""en""), """")"),"Hi there")</f>
        <v>Hi there</v>
      </c>
      <c r="G2186" s="49" t="str">
        <f t="shared" ca="1" si="2184"/>
        <v>Hi there</v>
      </c>
      <c r="H2186" s="49" t="str">
        <f t="shared" ca="1" si="2184"/>
        <v>Hi there</v>
      </c>
      <c r="I2186" s="49" t="str">
        <f t="shared" ca="1" si="2184"/>
        <v>Hi there</v>
      </c>
      <c r="J2186" s="49" t="str">
        <f t="shared" ca="1" si="2184"/>
        <v>Hi there</v>
      </c>
    </row>
    <row r="2187" spans="1:10" ht="12.75" x14ac:dyDescent="0.2">
      <c r="A2187" s="41" t="s">
        <v>1724</v>
      </c>
      <c r="B2187" s="40"/>
      <c r="C2187" s="40"/>
      <c r="D2187" s="40"/>
      <c r="E2187" s="40"/>
      <c r="F2187" s="49" t="str">
        <f t="shared" ref="F2187:J2187" ca="1" si="2185">IFERROR(__xludf.DUMMYFUNCTION("if (A2187 &lt;&gt; """", GOOGLETRANSLATE(A2187, ""auto"", ""en""), """")"),"And Greetings")</f>
        <v>And Greetings</v>
      </c>
      <c r="G2187" s="49" t="str">
        <f t="shared" ca="1" si="2185"/>
        <v>And Greetings</v>
      </c>
      <c r="H2187" s="49" t="str">
        <f t="shared" ca="1" si="2185"/>
        <v>And Greetings</v>
      </c>
      <c r="I2187" s="49" t="str">
        <f t="shared" ca="1" si="2185"/>
        <v>And Greetings</v>
      </c>
      <c r="J2187" s="49" t="str">
        <f t="shared" ca="1" si="2185"/>
        <v>And Greetings</v>
      </c>
    </row>
    <row r="2188" spans="1:10" ht="12.75" x14ac:dyDescent="0.2">
      <c r="A2188" s="41" t="s">
        <v>1728</v>
      </c>
      <c r="B2188" s="40"/>
      <c r="C2188" s="40"/>
      <c r="D2188" s="40"/>
      <c r="E2188" s="40"/>
      <c r="F2188" s="49" t="str">
        <f t="shared" ref="F2188:J2188" ca="1" si="2186">IFERROR(__xludf.DUMMYFUNCTION("if (A2188 &lt;&gt; """", GOOGLETRANSLATE(A2188, ""auto"", ""en""), """")"),"Hi hello")</f>
        <v>Hi hello</v>
      </c>
      <c r="G2188" s="49" t="str">
        <f t="shared" ca="1" si="2186"/>
        <v>Hi hello</v>
      </c>
      <c r="H2188" s="49" t="str">
        <f t="shared" ca="1" si="2186"/>
        <v>Hi hello</v>
      </c>
      <c r="I2188" s="49" t="str">
        <f t="shared" ca="1" si="2186"/>
        <v>Hi hello</v>
      </c>
      <c r="J2188" s="49" t="str">
        <f t="shared" ca="1" si="2186"/>
        <v>Hi hello</v>
      </c>
    </row>
    <row r="2189" spans="1:10" ht="25.5" x14ac:dyDescent="0.2">
      <c r="A2189" s="41" t="s">
        <v>1731</v>
      </c>
      <c r="B2189" s="40"/>
      <c r="C2189" s="40"/>
      <c r="D2189" s="40"/>
      <c r="E2189" s="40"/>
      <c r="F2189" s="49" t="str">
        <f t="shared" ref="F2189:J2189" ca="1" si="2187">IFERROR(__xludf.DUMMYFUNCTION("if (A2189 &lt;&gt; """", GOOGLETRANSLATE(A2189, ""auto"", ""en""), """")"),"Hello everyone")</f>
        <v>Hello everyone</v>
      </c>
      <c r="G2189" s="49" t="str">
        <f t="shared" ca="1" si="2187"/>
        <v>Hello everyone</v>
      </c>
      <c r="H2189" s="49" t="str">
        <f t="shared" ca="1" si="2187"/>
        <v>Hello everyone</v>
      </c>
      <c r="I2189" s="49" t="str">
        <f t="shared" ca="1" si="2187"/>
        <v>Hello everyone</v>
      </c>
      <c r="J2189" s="49" t="str">
        <f t="shared" ca="1" si="2187"/>
        <v>Hello everyone</v>
      </c>
    </row>
    <row r="2190" spans="1:10" ht="12.75" x14ac:dyDescent="0.2">
      <c r="A2190" s="40"/>
      <c r="B2190" s="41" t="s">
        <v>403</v>
      </c>
      <c r="C2190" s="41" t="s">
        <v>25</v>
      </c>
      <c r="D2190" s="41" t="s">
        <v>27</v>
      </c>
      <c r="E2190" s="40"/>
      <c r="F2190" s="49" t="str">
        <f t="shared" ref="F2190:J2190" ca="1" si="2188">IFERROR(__xludf.DUMMYFUNCTION("if (A2190 &lt;&gt; """", GOOGLETRANSLATE(A2190, ""auto"", ""en""), """")"),"")</f>
        <v/>
      </c>
      <c r="G2190" s="49" t="str">
        <f t="shared" ca="1" si="2188"/>
        <v/>
      </c>
      <c r="H2190" s="49" t="str">
        <f t="shared" ca="1" si="2188"/>
        <v/>
      </c>
      <c r="I2190" s="49" t="str">
        <f t="shared" ca="1" si="2188"/>
        <v/>
      </c>
      <c r="J2190" s="49" t="str">
        <f t="shared" ca="1" si="2188"/>
        <v/>
      </c>
    </row>
    <row r="2191" spans="1:10" ht="12.75" x14ac:dyDescent="0.2">
      <c r="A2191" s="40"/>
      <c r="B2191" s="41" t="s">
        <v>403</v>
      </c>
      <c r="C2191" s="41" t="s">
        <v>30</v>
      </c>
      <c r="D2191" s="41" t="s">
        <v>31</v>
      </c>
      <c r="E2191" s="40"/>
      <c r="F2191" s="49" t="str">
        <f t="shared" ref="F2191:J2191" ca="1" si="2189">IFERROR(__xludf.DUMMYFUNCTION("if (A2191 &lt;&gt; """", GOOGLETRANSLATE(A2191, ""auto"", ""en""), """")"),"")</f>
        <v/>
      </c>
      <c r="G2191" s="49" t="str">
        <f t="shared" ca="1" si="2189"/>
        <v/>
      </c>
      <c r="H2191" s="49" t="str">
        <f t="shared" ca="1" si="2189"/>
        <v/>
      </c>
      <c r="I2191" s="49" t="str">
        <f t="shared" ca="1" si="2189"/>
        <v/>
      </c>
      <c r="J2191" s="49" t="str">
        <f t="shared" ca="1" si="2189"/>
        <v/>
      </c>
    </row>
    <row r="2192" spans="1:10" ht="12.75" x14ac:dyDescent="0.2">
      <c r="A2192" s="40"/>
      <c r="B2192" s="41" t="s">
        <v>403</v>
      </c>
      <c r="C2192" s="41" t="s">
        <v>41</v>
      </c>
      <c r="D2192" s="41" t="s">
        <v>10</v>
      </c>
      <c r="E2192" s="40"/>
      <c r="F2192" s="49" t="str">
        <f t="shared" ref="F2192:J2192" ca="1" si="2190">IFERROR(__xludf.DUMMYFUNCTION("if (A2192 &lt;&gt; """", GOOGLETRANSLATE(A2192, ""auto"", ""en""), """")"),"")</f>
        <v/>
      </c>
      <c r="G2192" s="49" t="str">
        <f t="shared" ca="1" si="2190"/>
        <v/>
      </c>
      <c r="H2192" s="49" t="str">
        <f t="shared" ca="1" si="2190"/>
        <v/>
      </c>
      <c r="I2192" s="49" t="str">
        <f t="shared" ca="1" si="2190"/>
        <v/>
      </c>
      <c r="J2192" s="49" t="str">
        <f t="shared" ca="1" si="2190"/>
        <v/>
      </c>
    </row>
    <row r="2193" spans="1:10" ht="12.75" x14ac:dyDescent="0.2">
      <c r="A2193" s="40"/>
      <c r="B2193" s="40"/>
      <c r="C2193" s="40"/>
      <c r="D2193" s="40"/>
      <c r="E2193" s="40"/>
      <c r="F2193" s="49" t="str">
        <f t="shared" ref="F2193:J2193" ca="1" si="2191">IFERROR(__xludf.DUMMYFUNCTION("if (A2193 &lt;&gt; """", GOOGLETRANSLATE(A2193, ""auto"", ""en""), """")"),"")</f>
        <v/>
      </c>
      <c r="G2193" s="49" t="str">
        <f t="shared" ca="1" si="2191"/>
        <v/>
      </c>
      <c r="H2193" s="49" t="str">
        <f t="shared" ca="1" si="2191"/>
        <v/>
      </c>
      <c r="I2193" s="49" t="str">
        <f t="shared" ca="1" si="2191"/>
        <v/>
      </c>
      <c r="J2193" s="49" t="str">
        <f t="shared" ca="1" si="2191"/>
        <v/>
      </c>
    </row>
    <row r="2194" spans="1:10" ht="38.25" x14ac:dyDescent="0.2">
      <c r="A2194" s="41" t="s">
        <v>1746</v>
      </c>
      <c r="B2194" s="40"/>
      <c r="C2194" s="40"/>
      <c r="D2194" s="40"/>
      <c r="E2194" s="40"/>
      <c r="F2194" s="49" t="str">
        <f t="shared" ref="F2194:J2194" ca="1" si="2192">IFERROR(__xludf.DUMMYFUNCTION("if (A2194 &lt;&gt; """", GOOGLETRANSLATE(A2194, ""auto"", ""en""), """")"),"smalltalk.greetings.how_are_you")</f>
        <v>smalltalk.greetings.how_are_you</v>
      </c>
      <c r="G2194" s="49" t="str">
        <f t="shared" ca="1" si="2192"/>
        <v>smalltalk.greetings.how_are_you</v>
      </c>
      <c r="H2194" s="49" t="str">
        <f t="shared" ca="1" si="2192"/>
        <v>smalltalk.greetings.how_are_you</v>
      </c>
      <c r="I2194" s="49" t="str">
        <f t="shared" ca="1" si="2192"/>
        <v>smalltalk.greetings.how_are_you</v>
      </c>
      <c r="J2194" s="49" t="str">
        <f t="shared" ca="1" si="2192"/>
        <v>smalltalk.greetings.how_are_you</v>
      </c>
    </row>
    <row r="2195" spans="1:10" ht="12.75" x14ac:dyDescent="0.2">
      <c r="A2195" s="40"/>
      <c r="B2195" s="41" t="s">
        <v>398</v>
      </c>
      <c r="C2195" s="40"/>
      <c r="D2195" s="40"/>
      <c r="E2195" s="40"/>
      <c r="F2195" s="49" t="str">
        <f t="shared" ref="F2195:J2195" ca="1" si="2193">IFERROR(__xludf.DUMMYFUNCTION("if (A2195 &lt;&gt; """", GOOGLETRANSLATE(A2195, ""auto"", ""en""), """")"),"")</f>
        <v/>
      </c>
      <c r="G2195" s="49" t="str">
        <f t="shared" ca="1" si="2193"/>
        <v/>
      </c>
      <c r="H2195" s="49" t="str">
        <f t="shared" ca="1" si="2193"/>
        <v/>
      </c>
      <c r="I2195" s="49" t="str">
        <f t="shared" ca="1" si="2193"/>
        <v/>
      </c>
      <c r="J2195" s="49" t="str">
        <f t="shared" ca="1" si="2193"/>
        <v/>
      </c>
    </row>
    <row r="2196" spans="1:10" ht="12.75" x14ac:dyDescent="0.2">
      <c r="A2196" s="40"/>
      <c r="B2196" s="41" t="s">
        <v>399</v>
      </c>
      <c r="C2196" s="40"/>
      <c r="D2196" s="40"/>
      <c r="E2196" s="40"/>
      <c r="F2196" s="49" t="str">
        <f t="shared" ref="F2196:J2196" ca="1" si="2194">IFERROR(__xludf.DUMMYFUNCTION("if (A2196 &lt;&gt; """", GOOGLETRANSLATE(A2196, ""auto"", ""en""), """")"),"")</f>
        <v/>
      </c>
      <c r="G2196" s="49" t="str">
        <f t="shared" ca="1" si="2194"/>
        <v/>
      </c>
      <c r="H2196" s="49" t="str">
        <f t="shared" ca="1" si="2194"/>
        <v/>
      </c>
      <c r="I2196" s="49" t="str">
        <f t="shared" ca="1" si="2194"/>
        <v/>
      </c>
      <c r="J2196" s="49" t="str">
        <f t="shared" ca="1" si="2194"/>
        <v/>
      </c>
    </row>
    <row r="2197" spans="1:10" ht="12.75" x14ac:dyDescent="0.2">
      <c r="A2197" s="40"/>
      <c r="B2197" s="41" t="s">
        <v>400</v>
      </c>
      <c r="C2197" s="41" t="s">
        <v>1746</v>
      </c>
      <c r="D2197" s="40"/>
      <c r="E2197" s="40"/>
      <c r="F2197" s="49" t="str">
        <f t="shared" ref="F2197:J2197" ca="1" si="2195">IFERROR(__xludf.DUMMYFUNCTION("if (A2197 &lt;&gt; """", GOOGLETRANSLATE(A2197, ""auto"", ""en""), """")"),"")</f>
        <v/>
      </c>
      <c r="G2197" s="49" t="str">
        <f t="shared" ca="1" si="2195"/>
        <v/>
      </c>
      <c r="H2197" s="49" t="str">
        <f t="shared" ca="1" si="2195"/>
        <v/>
      </c>
      <c r="I2197" s="49" t="str">
        <f t="shared" ca="1" si="2195"/>
        <v/>
      </c>
      <c r="J2197" s="49" t="str">
        <f t="shared" ca="1" si="2195"/>
        <v/>
      </c>
    </row>
    <row r="2198" spans="1:10" ht="12.75" x14ac:dyDescent="0.2">
      <c r="A2198" s="40"/>
      <c r="B2198" s="41" t="s">
        <v>401</v>
      </c>
      <c r="C2198" s="40"/>
      <c r="D2198" s="40"/>
      <c r="E2198" s="40"/>
      <c r="F2198" s="49" t="str">
        <f t="shared" ref="F2198:J2198" ca="1" si="2196">IFERROR(__xludf.DUMMYFUNCTION("if (A2198 &lt;&gt; """", GOOGLETRANSLATE(A2198, ""auto"", ""en""), """")"),"")</f>
        <v/>
      </c>
      <c r="G2198" s="49" t="str">
        <f t="shared" ca="1" si="2196"/>
        <v/>
      </c>
      <c r="H2198" s="49" t="str">
        <f t="shared" ca="1" si="2196"/>
        <v/>
      </c>
      <c r="I2198" s="49" t="str">
        <f t="shared" ca="1" si="2196"/>
        <v/>
      </c>
      <c r="J2198" s="49" t="str">
        <f t="shared" ca="1" si="2196"/>
        <v/>
      </c>
    </row>
    <row r="2199" spans="1:10" ht="12.75" x14ac:dyDescent="0.2">
      <c r="A2199" s="41" t="s">
        <v>1391</v>
      </c>
      <c r="B2199" s="41" t="s">
        <v>402</v>
      </c>
      <c r="C2199" s="41" t="s">
        <v>1752</v>
      </c>
      <c r="D2199" s="40"/>
      <c r="E2199" s="40"/>
      <c r="F2199" s="49" t="str">
        <f t="shared" ref="F2199:J2199" ca="1" si="2197">IFERROR(__xludf.DUMMYFUNCTION("if (A2199 &lt;&gt; """", GOOGLETRANSLATE(A2199, ""auto"", ""en""), """")"),"All right")</f>
        <v>All right</v>
      </c>
      <c r="G2199" s="49" t="str">
        <f t="shared" ca="1" si="2197"/>
        <v>All right</v>
      </c>
      <c r="H2199" s="49" t="str">
        <f t="shared" ca="1" si="2197"/>
        <v>All right</v>
      </c>
      <c r="I2199" s="49" t="str">
        <f t="shared" ca="1" si="2197"/>
        <v>All right</v>
      </c>
      <c r="J2199" s="49" t="str">
        <f t="shared" ca="1" si="2197"/>
        <v>All right</v>
      </c>
    </row>
    <row r="2200" spans="1:10" ht="12.75" x14ac:dyDescent="0.2">
      <c r="A2200" s="41" t="s">
        <v>1754</v>
      </c>
      <c r="B2200" s="40"/>
      <c r="C2200" s="40"/>
      <c r="D2200" s="40"/>
      <c r="E2200" s="40"/>
      <c r="F2200" s="49" t="str">
        <f t="shared" ref="F2200:J2200" ca="1" si="2198">IFERROR(__xludf.DUMMYFUNCTION("if (A2200 &lt;&gt; """", GOOGLETRANSLATE(A2200, ""auto"", ""en""), """")"),"How are you")</f>
        <v>How are you</v>
      </c>
      <c r="G2200" s="49" t="str">
        <f t="shared" ca="1" si="2198"/>
        <v>How are you</v>
      </c>
      <c r="H2200" s="49" t="str">
        <f t="shared" ca="1" si="2198"/>
        <v>How are you</v>
      </c>
      <c r="I2200" s="49" t="str">
        <f t="shared" ca="1" si="2198"/>
        <v>How are you</v>
      </c>
      <c r="J2200" s="49" t="str">
        <f t="shared" ca="1" si="2198"/>
        <v>How are you</v>
      </c>
    </row>
    <row r="2201" spans="1:10" ht="12.75" x14ac:dyDescent="0.2">
      <c r="A2201" s="41" t="s">
        <v>1757</v>
      </c>
      <c r="B2201" s="40"/>
      <c r="C2201" s="40"/>
      <c r="D2201" s="40"/>
      <c r="E2201" s="40"/>
      <c r="F2201" s="49" t="str">
        <f t="shared" ref="F2201:J2201" ca="1" si="2199">IFERROR(__xludf.DUMMYFUNCTION("if (A2201 &lt;&gt; """", GOOGLETRANSLATE(A2201, ""auto"", ""en""), """")"),"How are you")</f>
        <v>How are you</v>
      </c>
      <c r="G2201" s="49" t="str">
        <f t="shared" ca="1" si="2199"/>
        <v>How are you</v>
      </c>
      <c r="H2201" s="49" t="str">
        <f t="shared" ca="1" si="2199"/>
        <v>How are you</v>
      </c>
      <c r="I2201" s="49" t="str">
        <f t="shared" ca="1" si="2199"/>
        <v>How are you</v>
      </c>
      <c r="J2201" s="49" t="str">
        <f t="shared" ca="1" si="2199"/>
        <v>How are you</v>
      </c>
    </row>
    <row r="2202" spans="1:10" ht="12.75" x14ac:dyDescent="0.2">
      <c r="A2202" s="41" t="s">
        <v>1760</v>
      </c>
      <c r="B2202" s="40"/>
      <c r="C2202" s="40"/>
      <c r="D2202" s="40"/>
      <c r="E2202" s="40"/>
      <c r="F2202" s="49" t="str">
        <f t="shared" ref="F2202:J2202" ca="1" si="2200">IFERROR(__xludf.DUMMYFUNCTION("if (A2202 &lt;&gt; """", GOOGLETRANSLATE(A2202, ""auto"", ""en""), """")"),"Are you okay")</f>
        <v>Are you okay</v>
      </c>
      <c r="G2202" s="49" t="str">
        <f t="shared" ca="1" si="2200"/>
        <v>Are you okay</v>
      </c>
      <c r="H2202" s="49" t="str">
        <f t="shared" ca="1" si="2200"/>
        <v>Are you okay</v>
      </c>
      <c r="I2202" s="49" t="str">
        <f t="shared" ca="1" si="2200"/>
        <v>Are you okay</v>
      </c>
      <c r="J2202" s="49" t="str">
        <f t="shared" ca="1" si="2200"/>
        <v>Are you okay</v>
      </c>
    </row>
    <row r="2203" spans="1:10" ht="12.75" x14ac:dyDescent="0.2">
      <c r="A2203" s="41" t="s">
        <v>1762</v>
      </c>
      <c r="B2203" s="40"/>
      <c r="C2203" s="40"/>
      <c r="D2203" s="40"/>
      <c r="E2203" s="40"/>
      <c r="F2203" s="49" t="str">
        <f t="shared" ref="F2203:J2203" ca="1" si="2201">IFERROR(__xludf.DUMMYFUNCTION("if (A2203 &lt;&gt; """", GOOGLETRANSLATE(A2203, ""auto"", ""en""), """")"),"What's up")</f>
        <v>What's up</v>
      </c>
      <c r="G2203" s="49" t="str">
        <f t="shared" ca="1" si="2201"/>
        <v>What's up</v>
      </c>
      <c r="H2203" s="49" t="str">
        <f t="shared" ca="1" si="2201"/>
        <v>What's up</v>
      </c>
      <c r="I2203" s="49" t="str">
        <f t="shared" ca="1" si="2201"/>
        <v>What's up</v>
      </c>
      <c r="J2203" s="49" t="str">
        <f t="shared" ca="1" si="2201"/>
        <v>What's up</v>
      </c>
    </row>
    <row r="2204" spans="1:10" ht="12.75" x14ac:dyDescent="0.2">
      <c r="A2204" s="41" t="s">
        <v>1764</v>
      </c>
      <c r="B2204" s="40"/>
      <c r="C2204" s="40"/>
      <c r="D2204" s="40"/>
      <c r="E2204" s="40"/>
      <c r="F2204" s="49" t="str">
        <f t="shared" ref="F2204:J2204" ca="1" si="2202">IFERROR(__xludf.DUMMYFUNCTION("if (A2204 &lt;&gt; """", GOOGLETRANSLATE(A2204, ""auto"", ""en""), """")"),"How are you")</f>
        <v>How are you</v>
      </c>
      <c r="G2204" s="49" t="str">
        <f t="shared" ca="1" si="2202"/>
        <v>How are you</v>
      </c>
      <c r="H2204" s="49" t="str">
        <f t="shared" ca="1" si="2202"/>
        <v>How are you</v>
      </c>
      <c r="I2204" s="49" t="str">
        <f t="shared" ca="1" si="2202"/>
        <v>How are you</v>
      </c>
      <c r="J2204" s="49" t="str">
        <f t="shared" ca="1" si="2202"/>
        <v>How are you</v>
      </c>
    </row>
    <row r="2205" spans="1:10" ht="12.75" x14ac:dyDescent="0.2">
      <c r="A2205" s="41" t="s">
        <v>1766</v>
      </c>
      <c r="B2205" s="40"/>
      <c r="C2205" s="40"/>
      <c r="D2205" s="40"/>
      <c r="E2205" s="40"/>
      <c r="F2205" s="49" t="str">
        <f t="shared" ref="F2205:J2205" ca="1" si="2203">IFERROR(__xludf.DUMMYFUNCTION("if (A2205 &lt;&gt; """", GOOGLETRANSLATE(A2205, ""auto"", ""en""), """")"),"How's it going")</f>
        <v>How's it going</v>
      </c>
      <c r="G2205" s="49" t="str">
        <f t="shared" ca="1" si="2203"/>
        <v>How's it going</v>
      </c>
      <c r="H2205" s="49" t="str">
        <f t="shared" ca="1" si="2203"/>
        <v>How's it going</v>
      </c>
      <c r="I2205" s="49" t="str">
        <f t="shared" ca="1" si="2203"/>
        <v>How's it going</v>
      </c>
      <c r="J2205" s="49" t="str">
        <f t="shared" ca="1" si="2203"/>
        <v>How's it going</v>
      </c>
    </row>
    <row r="2206" spans="1:10" ht="25.5" x14ac:dyDescent="0.2">
      <c r="A2206" s="41" t="s">
        <v>1768</v>
      </c>
      <c r="B2206" s="40"/>
      <c r="C2206" s="40"/>
      <c r="D2206" s="40"/>
      <c r="E2206" s="40"/>
      <c r="F2206" s="49" t="str">
        <f t="shared" ref="F2206:J2206" ca="1" si="2204">IFERROR(__xludf.DUMMYFUNCTION("if (A2206 &lt;&gt; """", GOOGLETRANSLATE(A2206, ""auto"", ""en""), """")"),"What tone today")</f>
        <v>What tone today</v>
      </c>
      <c r="G2206" s="49" t="str">
        <f t="shared" ca="1" si="2204"/>
        <v>What tone today</v>
      </c>
      <c r="H2206" s="49" t="str">
        <f t="shared" ca="1" si="2204"/>
        <v>What tone today</v>
      </c>
      <c r="I2206" s="49" t="str">
        <f t="shared" ca="1" si="2204"/>
        <v>What tone today</v>
      </c>
      <c r="J2206" s="49" t="str">
        <f t="shared" ca="1" si="2204"/>
        <v>What tone today</v>
      </c>
    </row>
    <row r="2207" spans="1:10" ht="12.75" x14ac:dyDescent="0.2">
      <c r="A2207" s="40"/>
      <c r="B2207" s="40"/>
      <c r="C2207" s="40"/>
      <c r="D2207" s="40"/>
      <c r="E2207" s="40"/>
      <c r="F2207" s="49" t="str">
        <f t="shared" ref="F2207:J2207" ca="1" si="2205">IFERROR(__xludf.DUMMYFUNCTION("if (A2207 &lt;&gt; """", GOOGLETRANSLATE(A2207, ""auto"", ""en""), """")"),"")</f>
        <v/>
      </c>
      <c r="G2207" s="49" t="str">
        <f t="shared" ca="1" si="2205"/>
        <v/>
      </c>
      <c r="H2207" s="49" t="str">
        <f t="shared" ca="1" si="2205"/>
        <v/>
      </c>
      <c r="I2207" s="49" t="str">
        <f t="shared" ca="1" si="2205"/>
        <v/>
      </c>
      <c r="J2207" s="49" t="str">
        <f t="shared" ca="1" si="2205"/>
        <v/>
      </c>
    </row>
    <row r="2208" spans="1:10" ht="38.25" x14ac:dyDescent="0.2">
      <c r="A2208" s="41" t="s">
        <v>1773</v>
      </c>
      <c r="B2208" s="40"/>
      <c r="C2208" s="40"/>
      <c r="D2208" s="40"/>
      <c r="E2208" s="40"/>
      <c r="F2208" s="49" t="str">
        <f t="shared" ref="F2208:J2208" ca="1" si="2206">IFERROR(__xludf.DUMMYFUNCTION("if (A2208 &lt;&gt; """", GOOGLETRANSLATE(A2208, ""auto"", ""en""), """")"),"smalltalk.greetings.nice_to_meet_you")</f>
        <v>smalltalk.greetings.nice_to_meet_you</v>
      </c>
      <c r="G2208" s="49" t="str">
        <f t="shared" ca="1" si="2206"/>
        <v>smalltalk.greetings.nice_to_meet_you</v>
      </c>
      <c r="H2208" s="49" t="str">
        <f t="shared" ca="1" si="2206"/>
        <v>smalltalk.greetings.nice_to_meet_you</v>
      </c>
      <c r="I2208" s="49" t="str">
        <f t="shared" ca="1" si="2206"/>
        <v>smalltalk.greetings.nice_to_meet_you</v>
      </c>
      <c r="J2208" s="49" t="str">
        <f t="shared" ca="1" si="2206"/>
        <v>smalltalk.greetings.nice_to_meet_you</v>
      </c>
    </row>
    <row r="2209" spans="1:10" ht="12.75" x14ac:dyDescent="0.2">
      <c r="A2209" s="40"/>
      <c r="B2209" s="41" t="s">
        <v>398</v>
      </c>
      <c r="C2209" s="40"/>
      <c r="D2209" s="40"/>
      <c r="E2209" s="40"/>
      <c r="F2209" s="49" t="str">
        <f t="shared" ref="F2209:J2209" ca="1" si="2207">IFERROR(__xludf.DUMMYFUNCTION("if (A2209 &lt;&gt; """", GOOGLETRANSLATE(A2209, ""auto"", ""en""), """")"),"")</f>
        <v/>
      </c>
      <c r="G2209" s="49" t="str">
        <f t="shared" ca="1" si="2207"/>
        <v/>
      </c>
      <c r="H2209" s="49" t="str">
        <f t="shared" ca="1" si="2207"/>
        <v/>
      </c>
      <c r="I2209" s="49" t="str">
        <f t="shared" ca="1" si="2207"/>
        <v/>
      </c>
      <c r="J2209" s="49" t="str">
        <f t="shared" ca="1" si="2207"/>
        <v/>
      </c>
    </row>
    <row r="2210" spans="1:10" ht="12.75" x14ac:dyDescent="0.2">
      <c r="A2210" s="40"/>
      <c r="B2210" s="41" t="s">
        <v>399</v>
      </c>
      <c r="C2210" s="40"/>
      <c r="D2210" s="40"/>
      <c r="E2210" s="40"/>
      <c r="F2210" s="49" t="str">
        <f t="shared" ref="F2210:J2210" ca="1" si="2208">IFERROR(__xludf.DUMMYFUNCTION("if (A2210 &lt;&gt; """", GOOGLETRANSLATE(A2210, ""auto"", ""en""), """")"),"")</f>
        <v/>
      </c>
      <c r="G2210" s="49" t="str">
        <f t="shared" ca="1" si="2208"/>
        <v/>
      </c>
      <c r="H2210" s="49" t="str">
        <f t="shared" ca="1" si="2208"/>
        <v/>
      </c>
      <c r="I2210" s="49" t="str">
        <f t="shared" ca="1" si="2208"/>
        <v/>
      </c>
      <c r="J2210" s="49" t="str">
        <f t="shared" ca="1" si="2208"/>
        <v/>
      </c>
    </row>
    <row r="2211" spans="1:10" ht="12.75" x14ac:dyDescent="0.2">
      <c r="A2211" s="40"/>
      <c r="B2211" s="41" t="s">
        <v>400</v>
      </c>
      <c r="C2211" s="41" t="s">
        <v>1773</v>
      </c>
      <c r="D2211" s="40"/>
      <c r="E2211" s="40"/>
      <c r="F2211" s="49" t="str">
        <f t="shared" ref="F2211:J2211" ca="1" si="2209">IFERROR(__xludf.DUMMYFUNCTION("if (A2211 &lt;&gt; """", GOOGLETRANSLATE(A2211, ""auto"", ""en""), """")"),"")</f>
        <v/>
      </c>
      <c r="G2211" s="49" t="str">
        <f t="shared" ca="1" si="2209"/>
        <v/>
      </c>
      <c r="H2211" s="49" t="str">
        <f t="shared" ca="1" si="2209"/>
        <v/>
      </c>
      <c r="I2211" s="49" t="str">
        <f t="shared" ca="1" si="2209"/>
        <v/>
      </c>
      <c r="J2211" s="49" t="str">
        <f t="shared" ca="1" si="2209"/>
        <v/>
      </c>
    </row>
    <row r="2212" spans="1:10" ht="12.75" x14ac:dyDescent="0.2">
      <c r="A2212" s="40"/>
      <c r="B2212" s="41" t="s">
        <v>401</v>
      </c>
      <c r="C2212" s="40"/>
      <c r="D2212" s="40"/>
      <c r="E2212" s="40"/>
      <c r="F2212" s="49" t="str">
        <f t="shared" ref="F2212:J2212" ca="1" si="2210">IFERROR(__xludf.DUMMYFUNCTION("if (A2212 &lt;&gt; """", GOOGLETRANSLATE(A2212, ""auto"", ""en""), """")"),"")</f>
        <v/>
      </c>
      <c r="G2212" s="49" t="str">
        <f t="shared" ca="1" si="2210"/>
        <v/>
      </c>
      <c r="H2212" s="49" t="str">
        <f t="shared" ca="1" si="2210"/>
        <v/>
      </c>
      <c r="I2212" s="49" t="str">
        <f t="shared" ca="1" si="2210"/>
        <v/>
      </c>
      <c r="J2212" s="49" t="str">
        <f t="shared" ca="1" si="2210"/>
        <v/>
      </c>
    </row>
    <row r="2213" spans="1:10" ht="38.25" x14ac:dyDescent="0.2">
      <c r="A2213" s="41" t="s">
        <v>193</v>
      </c>
      <c r="B2213" s="41" t="s">
        <v>402</v>
      </c>
      <c r="C2213" s="41" t="s">
        <v>1776</v>
      </c>
      <c r="D2213" s="40"/>
      <c r="E2213" s="40"/>
      <c r="F2213" s="49" t="str">
        <f t="shared" ref="F2213:J2213" ca="1" si="2211">IFERROR(__xludf.DUMMYFUNCTION("if (A2213 &lt;&gt; """", GOOGLETRANSLATE(A2213, ""auto"", ""en""), """")"),"Nice to meet you")</f>
        <v>Nice to meet you</v>
      </c>
      <c r="G2213" s="49" t="str">
        <f t="shared" ca="1" si="2211"/>
        <v>Nice to meet you</v>
      </c>
      <c r="H2213" s="49" t="str">
        <f t="shared" ca="1" si="2211"/>
        <v>Nice to meet you</v>
      </c>
      <c r="I2213" s="49" t="str">
        <f t="shared" ca="1" si="2211"/>
        <v>Nice to meet you</v>
      </c>
      <c r="J2213" s="49" t="str">
        <f t="shared" ca="1" si="2211"/>
        <v>Nice to meet you</v>
      </c>
    </row>
    <row r="2214" spans="1:10" ht="51" x14ac:dyDescent="0.2">
      <c r="A2214" s="41" t="s">
        <v>1777</v>
      </c>
      <c r="B2214" s="40"/>
      <c r="C2214" s="40"/>
      <c r="D2214" s="40"/>
      <c r="E2214" s="40"/>
      <c r="F2214" s="49" t="str">
        <f t="shared" ref="F2214:J2214" ca="1" si="2212">IFERROR(__xludf.DUMMYFUNCTION("if (A2214 &lt;&gt; """", GOOGLETRANSLATE(A2214, ""auto"", ""en""), """")"),"It was good accustomed to someone you know")</f>
        <v>It was good accustomed to someone you know</v>
      </c>
      <c r="G2214" s="49" t="str">
        <f t="shared" ca="1" si="2212"/>
        <v>It was good accustomed to someone you know</v>
      </c>
      <c r="H2214" s="49" t="str">
        <f t="shared" ca="1" si="2212"/>
        <v>It was good accustomed to someone you know</v>
      </c>
      <c r="I2214" s="49" t="str">
        <f t="shared" ca="1" si="2212"/>
        <v>It was good accustomed to someone you know</v>
      </c>
      <c r="J2214" s="49" t="str">
        <f t="shared" ca="1" si="2212"/>
        <v>It was good accustomed to someone you know</v>
      </c>
    </row>
    <row r="2215" spans="1:10" ht="38.25" x14ac:dyDescent="0.2">
      <c r="A2215" s="41" t="s">
        <v>1779</v>
      </c>
      <c r="B2215" s="40"/>
      <c r="C2215" s="40"/>
      <c r="D2215" s="40"/>
      <c r="E2215" s="40"/>
      <c r="F2215" s="49" t="str">
        <f t="shared" ref="F2215:J2215" ca="1" si="2213">IFERROR(__xludf.DUMMYFUNCTION("if (A2215 &lt;&gt; """", GOOGLETRANSLATE(A2215, ""auto"", ""en""), """")"),"It was very good to get to know")</f>
        <v>It was very good to get to know</v>
      </c>
      <c r="G2215" s="49" t="str">
        <f t="shared" ca="1" si="2213"/>
        <v>It was very good to get to know</v>
      </c>
      <c r="H2215" s="49" t="str">
        <f t="shared" ca="1" si="2213"/>
        <v>It was very good to get to know</v>
      </c>
      <c r="I2215" s="49" t="str">
        <f t="shared" ca="1" si="2213"/>
        <v>It was very good to get to know</v>
      </c>
      <c r="J2215" s="49" t="str">
        <f t="shared" ca="1" si="2213"/>
        <v>It was very good to get to know</v>
      </c>
    </row>
    <row r="2216" spans="1:10" ht="25.5" x14ac:dyDescent="0.2">
      <c r="A2216" s="41" t="s">
        <v>1781</v>
      </c>
      <c r="B2216" s="40"/>
      <c r="C2216" s="40"/>
      <c r="D2216" s="40"/>
      <c r="E2216" s="40"/>
      <c r="F2216" s="49" t="str">
        <f t="shared" ref="F2216:J2216" ca="1" si="2214">IFERROR(__xludf.DUMMYFUNCTION("if (A2216 &lt;&gt; """", GOOGLETRANSLATE(A2216, ""auto"", ""en""), """")"),"It was good to get to know")</f>
        <v>It was good to get to know</v>
      </c>
      <c r="G2216" s="49" t="str">
        <f t="shared" ca="1" si="2214"/>
        <v>It was good to get to know</v>
      </c>
      <c r="H2216" s="49" t="str">
        <f t="shared" ca="1" si="2214"/>
        <v>It was good to get to know</v>
      </c>
      <c r="I2216" s="49" t="str">
        <f t="shared" ca="1" si="2214"/>
        <v>It was good to get to know</v>
      </c>
      <c r="J2216" s="49" t="str">
        <f t="shared" ca="1" si="2214"/>
        <v>It was good to get to know</v>
      </c>
    </row>
    <row r="2217" spans="1:10" ht="25.5" x14ac:dyDescent="0.2">
      <c r="A2217" s="41" t="s">
        <v>1782</v>
      </c>
      <c r="B2217" s="40"/>
      <c r="C2217" s="40"/>
      <c r="D2217" s="40"/>
      <c r="E2217" s="40"/>
      <c r="F2217" s="49" t="str">
        <f t="shared" ref="F2217:J2217" ca="1" si="2215">IFERROR(__xludf.DUMMYFUNCTION("if (A2217 &lt;&gt; """", GOOGLETRANSLATE(A2217, ""auto"", ""en""), """")"),"I'm glad to meet you")</f>
        <v>I'm glad to meet you</v>
      </c>
      <c r="G2217" s="49" t="str">
        <f t="shared" ca="1" si="2215"/>
        <v>I'm glad to meet you</v>
      </c>
      <c r="H2217" s="49" t="str">
        <f t="shared" ca="1" si="2215"/>
        <v>I'm glad to meet you</v>
      </c>
      <c r="I2217" s="49" t="str">
        <f t="shared" ca="1" si="2215"/>
        <v>I'm glad to meet you</v>
      </c>
      <c r="J2217" s="49" t="str">
        <f t="shared" ca="1" si="2215"/>
        <v>I'm glad to meet you</v>
      </c>
    </row>
    <row r="2218" spans="1:10" ht="38.25" x14ac:dyDescent="0.2">
      <c r="A2218" s="41" t="s">
        <v>1784</v>
      </c>
      <c r="B2218" s="40"/>
      <c r="C2218" s="40"/>
      <c r="D2218" s="40"/>
      <c r="E2218" s="40"/>
      <c r="F2218" s="49" t="str">
        <f t="shared" ref="F2218:J2218" ca="1" si="2216">IFERROR(__xludf.DUMMYFUNCTION("if (A2218 &lt;&gt; """", GOOGLETRANSLATE(A2218, ""auto"", ""en""), """")"),"Click here for what was nice to meet you")</f>
        <v>Click here for what was nice to meet you</v>
      </c>
      <c r="G2218" s="49" t="str">
        <f t="shared" ca="1" si="2216"/>
        <v>Click here for what was nice to meet you</v>
      </c>
      <c r="H2218" s="49" t="str">
        <f t="shared" ca="1" si="2216"/>
        <v>Click here for what was nice to meet you</v>
      </c>
      <c r="I2218" s="49" t="str">
        <f t="shared" ca="1" si="2216"/>
        <v>Click here for what was nice to meet you</v>
      </c>
      <c r="J2218" s="49" t="str">
        <f t="shared" ca="1" si="2216"/>
        <v>Click here for what was nice to meet you</v>
      </c>
    </row>
    <row r="2219" spans="1:10" ht="25.5" x14ac:dyDescent="0.2">
      <c r="A2219" s="41" t="s">
        <v>1787</v>
      </c>
      <c r="B2219" s="40"/>
      <c r="C2219" s="40"/>
      <c r="D2219" s="40"/>
      <c r="E2219" s="40"/>
      <c r="F2219" s="49" t="str">
        <f t="shared" ref="F2219:J2219" ca="1" si="2217">IFERROR(__xludf.DUMMYFUNCTION("if (A2219 &lt;&gt; """", GOOGLETRANSLATE(A2219, ""auto"", ""en""), """")"),"It was nice to meet you")</f>
        <v>It was nice to meet you</v>
      </c>
      <c r="G2219" s="49" t="str">
        <f t="shared" ca="1" si="2217"/>
        <v>It was nice to meet you</v>
      </c>
      <c r="H2219" s="49" t="str">
        <f t="shared" ca="1" si="2217"/>
        <v>It was nice to meet you</v>
      </c>
      <c r="I2219" s="49" t="str">
        <f t="shared" ca="1" si="2217"/>
        <v>It was nice to meet you</v>
      </c>
      <c r="J2219" s="49" t="str">
        <f t="shared" ca="1" si="2217"/>
        <v>It was nice to meet you</v>
      </c>
    </row>
    <row r="2220" spans="1:10" ht="25.5" x14ac:dyDescent="0.2">
      <c r="A2220" s="41" t="s">
        <v>1789</v>
      </c>
      <c r="B2220" s="40"/>
      <c r="C2220" s="40"/>
      <c r="D2220" s="40"/>
      <c r="E2220" s="40"/>
      <c r="F2220" s="49" t="str">
        <f t="shared" ref="F2220:J2220" ca="1" si="2218">IFERROR(__xludf.DUMMYFUNCTION("if (A2220 &lt;&gt; """", GOOGLETRANSLATE(A2220, ""auto"", ""en""), """")"),"It is an honor to meet you")</f>
        <v>It is an honor to meet you</v>
      </c>
      <c r="G2220" s="49" t="str">
        <f t="shared" ca="1" si="2218"/>
        <v>It is an honor to meet you</v>
      </c>
      <c r="H2220" s="49" t="str">
        <f t="shared" ca="1" si="2218"/>
        <v>It is an honor to meet you</v>
      </c>
      <c r="I2220" s="49" t="str">
        <f t="shared" ca="1" si="2218"/>
        <v>It is an honor to meet you</v>
      </c>
      <c r="J2220" s="49" t="str">
        <f t="shared" ca="1" si="2218"/>
        <v>It is an honor to meet you</v>
      </c>
    </row>
    <row r="2221" spans="1:10" ht="38.25" x14ac:dyDescent="0.2">
      <c r="A2221" s="41" t="s">
        <v>1791</v>
      </c>
      <c r="B2221" s="40"/>
      <c r="C2221" s="40"/>
      <c r="D2221" s="40"/>
      <c r="E2221" s="40"/>
      <c r="F2221" s="49" t="str">
        <f t="shared" ref="F2221:J2221" ca="1" si="2219">IFERROR(__xludf.DUMMYFUNCTION("if (A2221 &lt;&gt; """", GOOGLETRANSLATE(A2221, ""auto"", ""en""), """")"),"Click here for what is an honor")</f>
        <v>Click here for what is an honor</v>
      </c>
      <c r="G2221" s="49" t="str">
        <f t="shared" ca="1" si="2219"/>
        <v>Click here for what is an honor</v>
      </c>
      <c r="H2221" s="49" t="str">
        <f t="shared" ca="1" si="2219"/>
        <v>Click here for what is an honor</v>
      </c>
      <c r="I2221" s="49" t="str">
        <f t="shared" ca="1" si="2219"/>
        <v>Click here for what is an honor</v>
      </c>
      <c r="J2221" s="49" t="str">
        <f t="shared" ca="1" si="2219"/>
        <v>Click here for what is an honor</v>
      </c>
    </row>
    <row r="2222" spans="1:10" ht="12.75" x14ac:dyDescent="0.2">
      <c r="A2222" s="40"/>
      <c r="B2222" s="41" t="s">
        <v>403</v>
      </c>
      <c r="C2222" s="41" t="s">
        <v>25</v>
      </c>
      <c r="D2222" s="41" t="s">
        <v>27</v>
      </c>
      <c r="E2222" s="40"/>
      <c r="F2222" s="49" t="str">
        <f t="shared" ref="F2222:J2222" ca="1" si="2220">IFERROR(__xludf.DUMMYFUNCTION("if (A2222 &lt;&gt; """", GOOGLETRANSLATE(A2222, ""auto"", ""en""), """")"),"")</f>
        <v/>
      </c>
      <c r="G2222" s="49" t="str">
        <f t="shared" ca="1" si="2220"/>
        <v/>
      </c>
      <c r="H2222" s="49" t="str">
        <f t="shared" ca="1" si="2220"/>
        <v/>
      </c>
      <c r="I2222" s="49" t="str">
        <f t="shared" ca="1" si="2220"/>
        <v/>
      </c>
      <c r="J2222" s="49" t="str">
        <f t="shared" ca="1" si="2220"/>
        <v/>
      </c>
    </row>
    <row r="2223" spans="1:10" ht="12.75" x14ac:dyDescent="0.2">
      <c r="A2223" s="40"/>
      <c r="B2223" s="41" t="s">
        <v>403</v>
      </c>
      <c r="C2223" s="41" t="s">
        <v>30</v>
      </c>
      <c r="D2223" s="41" t="s">
        <v>31</v>
      </c>
      <c r="E2223" s="40"/>
      <c r="F2223" s="49" t="str">
        <f t="shared" ref="F2223:J2223" ca="1" si="2221">IFERROR(__xludf.DUMMYFUNCTION("if (A2223 &lt;&gt; """", GOOGLETRANSLATE(A2223, ""auto"", ""en""), """")"),"")</f>
        <v/>
      </c>
      <c r="G2223" s="49" t="str">
        <f t="shared" ca="1" si="2221"/>
        <v/>
      </c>
      <c r="H2223" s="49" t="str">
        <f t="shared" ca="1" si="2221"/>
        <v/>
      </c>
      <c r="I2223" s="49" t="str">
        <f t="shared" ca="1" si="2221"/>
        <v/>
      </c>
      <c r="J2223" s="49" t="str">
        <f t="shared" ca="1" si="2221"/>
        <v/>
      </c>
    </row>
    <row r="2224" spans="1:10" ht="12.75" x14ac:dyDescent="0.2">
      <c r="A2224" s="40"/>
      <c r="B2224" s="41" t="s">
        <v>403</v>
      </c>
      <c r="C2224" s="41" t="s">
        <v>41</v>
      </c>
      <c r="D2224" s="41" t="s">
        <v>10</v>
      </c>
      <c r="E2224" s="40"/>
      <c r="F2224" s="49" t="str">
        <f t="shared" ref="F2224:J2224" ca="1" si="2222">IFERROR(__xludf.DUMMYFUNCTION("if (A2224 &lt;&gt; """", GOOGLETRANSLATE(A2224, ""auto"", ""en""), """")"),"")</f>
        <v/>
      </c>
      <c r="G2224" s="49" t="str">
        <f t="shared" ca="1" si="2222"/>
        <v/>
      </c>
      <c r="H2224" s="49" t="str">
        <f t="shared" ca="1" si="2222"/>
        <v/>
      </c>
      <c r="I2224" s="49" t="str">
        <f t="shared" ca="1" si="2222"/>
        <v/>
      </c>
      <c r="J2224" s="49" t="str">
        <f t="shared" ca="1" si="2222"/>
        <v/>
      </c>
    </row>
    <row r="2225" spans="1:10" ht="12.75" x14ac:dyDescent="0.2">
      <c r="A2225" s="40"/>
      <c r="B2225" s="40"/>
      <c r="C2225" s="40"/>
      <c r="D2225" s="40"/>
      <c r="E2225" s="40"/>
      <c r="F2225" s="49" t="str">
        <f t="shared" ref="F2225:J2225" ca="1" si="2223">IFERROR(__xludf.DUMMYFUNCTION("if (A2225 &lt;&gt; """", GOOGLETRANSLATE(A2225, ""auto"", ""en""), """")"),"")</f>
        <v/>
      </c>
      <c r="G2225" s="49" t="str">
        <f t="shared" ca="1" si="2223"/>
        <v/>
      </c>
      <c r="H2225" s="49" t="str">
        <f t="shared" ca="1" si="2223"/>
        <v/>
      </c>
      <c r="I2225" s="49" t="str">
        <f t="shared" ca="1" si="2223"/>
        <v/>
      </c>
      <c r="J2225" s="49" t="str">
        <f t="shared" ca="1" si="2223"/>
        <v/>
      </c>
    </row>
    <row r="2226" spans="1:10" ht="38.25" x14ac:dyDescent="0.2">
      <c r="A2226" s="41" t="s">
        <v>1806</v>
      </c>
      <c r="B2226" s="40"/>
      <c r="C2226" s="40"/>
      <c r="D2226" s="40"/>
      <c r="E2226" s="40"/>
      <c r="F2226" s="49" t="str">
        <f t="shared" ref="F2226:J2226" ca="1" si="2224">IFERROR(__xludf.DUMMYFUNCTION("if (A2226 &lt;&gt; """", GOOGLETRANSLATE(A2226, ""auto"", ""en""), """")"),"smalltalk.greetings.nice_to_see_you")</f>
        <v>smalltalk.greetings.nice_to_see_you</v>
      </c>
      <c r="G2226" s="49" t="str">
        <f t="shared" ca="1" si="2224"/>
        <v>smalltalk.greetings.nice_to_see_you</v>
      </c>
      <c r="H2226" s="49" t="str">
        <f t="shared" ca="1" si="2224"/>
        <v>smalltalk.greetings.nice_to_see_you</v>
      </c>
      <c r="I2226" s="49" t="str">
        <f t="shared" ca="1" si="2224"/>
        <v>smalltalk.greetings.nice_to_see_you</v>
      </c>
      <c r="J2226" s="49" t="str">
        <f t="shared" ca="1" si="2224"/>
        <v>smalltalk.greetings.nice_to_see_you</v>
      </c>
    </row>
    <row r="2227" spans="1:10" ht="12.75" x14ac:dyDescent="0.2">
      <c r="A2227" s="40"/>
      <c r="B2227" s="41" t="s">
        <v>398</v>
      </c>
      <c r="C2227" s="40"/>
      <c r="D2227" s="40"/>
      <c r="E2227" s="40"/>
      <c r="F2227" s="49" t="str">
        <f t="shared" ref="F2227:J2227" ca="1" si="2225">IFERROR(__xludf.DUMMYFUNCTION("if (A2227 &lt;&gt; """", GOOGLETRANSLATE(A2227, ""auto"", ""en""), """")"),"")</f>
        <v/>
      </c>
      <c r="G2227" s="49" t="str">
        <f t="shared" ca="1" si="2225"/>
        <v/>
      </c>
      <c r="H2227" s="49" t="str">
        <f t="shared" ca="1" si="2225"/>
        <v/>
      </c>
      <c r="I2227" s="49" t="str">
        <f t="shared" ca="1" si="2225"/>
        <v/>
      </c>
      <c r="J2227" s="49" t="str">
        <f t="shared" ca="1" si="2225"/>
        <v/>
      </c>
    </row>
    <row r="2228" spans="1:10" ht="12.75" x14ac:dyDescent="0.2">
      <c r="A2228" s="40"/>
      <c r="B2228" s="41" t="s">
        <v>399</v>
      </c>
      <c r="C2228" s="40"/>
      <c r="D2228" s="40"/>
      <c r="E2228" s="40"/>
      <c r="F2228" s="49" t="str">
        <f t="shared" ref="F2228:J2228" ca="1" si="2226">IFERROR(__xludf.DUMMYFUNCTION("if (A2228 &lt;&gt; """", GOOGLETRANSLATE(A2228, ""auto"", ""en""), """")"),"")</f>
        <v/>
      </c>
      <c r="G2228" s="49" t="str">
        <f t="shared" ca="1" si="2226"/>
        <v/>
      </c>
      <c r="H2228" s="49" t="str">
        <f t="shared" ca="1" si="2226"/>
        <v/>
      </c>
      <c r="I2228" s="49" t="str">
        <f t="shared" ca="1" si="2226"/>
        <v/>
      </c>
      <c r="J2228" s="49" t="str">
        <f t="shared" ca="1" si="2226"/>
        <v/>
      </c>
    </row>
    <row r="2229" spans="1:10" ht="12.75" x14ac:dyDescent="0.2">
      <c r="A2229" s="40"/>
      <c r="B2229" s="41" t="s">
        <v>400</v>
      </c>
      <c r="C2229" s="41" t="s">
        <v>1806</v>
      </c>
      <c r="D2229" s="40"/>
      <c r="E2229" s="40"/>
      <c r="F2229" s="49" t="str">
        <f t="shared" ref="F2229:J2229" ca="1" si="2227">IFERROR(__xludf.DUMMYFUNCTION("if (A2229 &lt;&gt; """", GOOGLETRANSLATE(A2229, ""auto"", ""en""), """")"),"")</f>
        <v/>
      </c>
      <c r="G2229" s="49" t="str">
        <f t="shared" ca="1" si="2227"/>
        <v/>
      </c>
      <c r="H2229" s="49" t="str">
        <f t="shared" ca="1" si="2227"/>
        <v/>
      </c>
      <c r="I2229" s="49" t="str">
        <f t="shared" ca="1" si="2227"/>
        <v/>
      </c>
      <c r="J2229" s="49" t="str">
        <f t="shared" ca="1" si="2227"/>
        <v/>
      </c>
    </row>
    <row r="2230" spans="1:10" ht="12.75" x14ac:dyDescent="0.2">
      <c r="A2230" s="40"/>
      <c r="B2230" s="41" t="s">
        <v>401</v>
      </c>
      <c r="C2230" s="40"/>
      <c r="D2230" s="40"/>
      <c r="E2230" s="40"/>
      <c r="F2230" s="49" t="str">
        <f t="shared" ref="F2230:J2230" ca="1" si="2228">IFERROR(__xludf.DUMMYFUNCTION("if (A2230 &lt;&gt; """", GOOGLETRANSLATE(A2230, ""auto"", ""en""), """")"),"")</f>
        <v/>
      </c>
      <c r="G2230" s="49" t="str">
        <f t="shared" ca="1" si="2228"/>
        <v/>
      </c>
      <c r="H2230" s="49" t="str">
        <f t="shared" ca="1" si="2228"/>
        <v/>
      </c>
      <c r="I2230" s="49" t="str">
        <f t="shared" ca="1" si="2228"/>
        <v/>
      </c>
      <c r="J2230" s="49" t="str">
        <f t="shared" ca="1" si="2228"/>
        <v/>
      </c>
    </row>
    <row r="2231" spans="1:10" ht="25.5" x14ac:dyDescent="0.2">
      <c r="A2231" s="41" t="s">
        <v>1809</v>
      </c>
      <c r="B2231" s="41" t="s">
        <v>402</v>
      </c>
      <c r="C2231" s="41" t="s">
        <v>1812</v>
      </c>
      <c r="D2231" s="40"/>
      <c r="E2231" s="40"/>
      <c r="F2231" s="49" t="str">
        <f t="shared" ref="F2231:J2231" ca="1" si="2229">IFERROR(__xludf.DUMMYFUNCTION("if (A2231 &lt;&gt; """", GOOGLETRANSLATE(A2231, ""auto"", ""en""), """")"),"It's nice meeting you")</f>
        <v>It's nice meeting you</v>
      </c>
      <c r="G2231" s="49" t="str">
        <f t="shared" ca="1" si="2229"/>
        <v>It's nice meeting you</v>
      </c>
      <c r="H2231" s="49" t="str">
        <f t="shared" ca="1" si="2229"/>
        <v>It's nice meeting you</v>
      </c>
      <c r="I2231" s="49" t="str">
        <f t="shared" ca="1" si="2229"/>
        <v>It's nice meeting you</v>
      </c>
      <c r="J2231" s="49" t="str">
        <f t="shared" ca="1" si="2229"/>
        <v>It's nice meeting you</v>
      </c>
    </row>
    <row r="2232" spans="1:10" ht="25.5" x14ac:dyDescent="0.2">
      <c r="A2232" s="41" t="s">
        <v>1814</v>
      </c>
      <c r="B2232" s="40"/>
      <c r="C2232" s="40"/>
      <c r="D2232" s="40"/>
      <c r="E2232" s="40"/>
      <c r="F2232" s="49" t="str">
        <f t="shared" ref="F2232:J2232" ca="1" si="2230">IFERROR(__xludf.DUMMYFUNCTION("if (A2232 &lt;&gt; """", GOOGLETRANSLATE(A2232, ""auto"", ""en""), """")"),"I'm glad to meet you")</f>
        <v>I'm glad to meet you</v>
      </c>
      <c r="G2232" s="49" t="str">
        <f t="shared" ca="1" si="2230"/>
        <v>I'm glad to meet you</v>
      </c>
      <c r="H2232" s="49" t="str">
        <f t="shared" ca="1" si="2230"/>
        <v>I'm glad to meet you</v>
      </c>
      <c r="I2232" s="49" t="str">
        <f t="shared" ca="1" si="2230"/>
        <v>I'm glad to meet you</v>
      </c>
      <c r="J2232" s="49" t="str">
        <f t="shared" ca="1" si="2230"/>
        <v>I'm glad to meet you</v>
      </c>
    </row>
    <row r="2233" spans="1:10" ht="25.5" x14ac:dyDescent="0.2">
      <c r="A2233" s="41" t="s">
        <v>1816</v>
      </c>
      <c r="B2233" s="40"/>
      <c r="C2233" s="40"/>
      <c r="D2233" s="40"/>
      <c r="E2233" s="40"/>
      <c r="F2233" s="49" t="str">
        <f t="shared" ref="F2233:J2233" ca="1" si="2231">IFERROR(__xludf.DUMMYFUNCTION("if (A2233 &lt;&gt; """", GOOGLETRANSLATE(A2233, ""auto"", ""en""), """")"),"It was good to meet you")</f>
        <v>It was good to meet you</v>
      </c>
      <c r="G2233" s="49" t="str">
        <f t="shared" ca="1" si="2231"/>
        <v>It was good to meet you</v>
      </c>
      <c r="H2233" s="49" t="str">
        <f t="shared" ca="1" si="2231"/>
        <v>It was good to meet you</v>
      </c>
      <c r="I2233" s="49" t="str">
        <f t="shared" ca="1" si="2231"/>
        <v>It was good to meet you</v>
      </c>
      <c r="J2233" s="49" t="str">
        <f t="shared" ca="1" si="2231"/>
        <v>It was good to meet you</v>
      </c>
    </row>
    <row r="2234" spans="1:10" ht="25.5" x14ac:dyDescent="0.2">
      <c r="A2234" s="41" t="s">
        <v>1782</v>
      </c>
      <c r="B2234" s="40"/>
      <c r="C2234" s="40"/>
      <c r="D2234" s="40"/>
      <c r="E2234" s="40"/>
      <c r="F2234" s="49" t="str">
        <f t="shared" ref="F2234:J2234" ca="1" si="2232">IFERROR(__xludf.DUMMYFUNCTION("if (A2234 &lt;&gt; """", GOOGLETRANSLATE(A2234, ""auto"", ""en""), """")"),"I'm glad to meet you")</f>
        <v>I'm glad to meet you</v>
      </c>
      <c r="G2234" s="49" t="str">
        <f t="shared" ca="1" si="2232"/>
        <v>I'm glad to meet you</v>
      </c>
      <c r="H2234" s="49" t="str">
        <f t="shared" ca="1" si="2232"/>
        <v>I'm glad to meet you</v>
      </c>
      <c r="I2234" s="49" t="str">
        <f t="shared" ca="1" si="2232"/>
        <v>I'm glad to meet you</v>
      </c>
      <c r="J2234" s="49" t="str">
        <f t="shared" ca="1" si="2232"/>
        <v>I'm glad to meet you</v>
      </c>
    </row>
    <row r="2235" spans="1:10" ht="38.25" x14ac:dyDescent="0.2">
      <c r="A2235" s="41" t="s">
        <v>1819</v>
      </c>
      <c r="B2235" s="40"/>
      <c r="C2235" s="40"/>
      <c r="D2235" s="40"/>
      <c r="E2235" s="40"/>
      <c r="F2235" s="49" t="str">
        <f t="shared" ref="F2235:J2235" ca="1" si="2233">IFERROR(__xludf.DUMMYFUNCTION("if (A2235 &lt;&gt; """", GOOGLETRANSLATE(A2235, ""auto"", ""en""), """")"),"I'm glad the thought of seeing you")</f>
        <v>I'm glad the thought of seeing you</v>
      </c>
      <c r="G2235" s="49" t="str">
        <f t="shared" ca="1" si="2233"/>
        <v>I'm glad the thought of seeing you</v>
      </c>
      <c r="H2235" s="49" t="str">
        <f t="shared" ca="1" si="2233"/>
        <v>I'm glad the thought of seeing you</v>
      </c>
      <c r="I2235" s="49" t="str">
        <f t="shared" ca="1" si="2233"/>
        <v>I'm glad the thought of seeing you</v>
      </c>
      <c r="J2235" s="49" t="str">
        <f t="shared" ca="1" si="2233"/>
        <v>I'm glad the thought of seeing you</v>
      </c>
    </row>
    <row r="2236" spans="1:10" ht="25.5" x14ac:dyDescent="0.2">
      <c r="A2236" s="41" t="s">
        <v>1821</v>
      </c>
      <c r="B2236" s="40"/>
      <c r="C2236" s="40"/>
      <c r="D2236" s="40"/>
      <c r="E2236" s="40"/>
      <c r="F2236" s="49" t="str">
        <f t="shared" ref="F2236:J2236" ca="1" si="2234">IFERROR(__xludf.DUMMYFUNCTION("if (A2236 &lt;&gt; """", GOOGLETRANSLATE(A2236, ""auto"", ""en""), """")"),"I'm glad to meet you")</f>
        <v>I'm glad to meet you</v>
      </c>
      <c r="G2236" s="49" t="str">
        <f t="shared" ca="1" si="2234"/>
        <v>I'm glad to meet you</v>
      </c>
      <c r="H2236" s="49" t="str">
        <f t="shared" ca="1" si="2234"/>
        <v>I'm glad to meet you</v>
      </c>
      <c r="I2236" s="49" t="str">
        <f t="shared" ca="1" si="2234"/>
        <v>I'm glad to meet you</v>
      </c>
      <c r="J2236" s="49" t="str">
        <f t="shared" ca="1" si="2234"/>
        <v>I'm glad to meet you</v>
      </c>
    </row>
    <row r="2237" spans="1:10" ht="38.25" x14ac:dyDescent="0.2">
      <c r="A2237" s="41" t="s">
        <v>1822</v>
      </c>
      <c r="B2237" s="40"/>
      <c r="C2237" s="40"/>
      <c r="D2237" s="40"/>
      <c r="E2237" s="40"/>
      <c r="F2237" s="49" t="str">
        <f t="shared" ref="F2237:J2237" ca="1" si="2235">IFERROR(__xludf.DUMMYFUNCTION("if (A2237 &lt;&gt; """", GOOGLETRANSLATE(A2237, ""auto"", ""en""), """")"),"I'm happy Nante seeing you")</f>
        <v>I'm happy Nante seeing you</v>
      </c>
      <c r="G2237" s="49" t="str">
        <f t="shared" ca="1" si="2235"/>
        <v>I'm happy Nante seeing you</v>
      </c>
      <c r="H2237" s="49" t="str">
        <f t="shared" ca="1" si="2235"/>
        <v>I'm happy Nante seeing you</v>
      </c>
      <c r="I2237" s="49" t="str">
        <f t="shared" ca="1" si="2235"/>
        <v>I'm happy Nante seeing you</v>
      </c>
      <c r="J2237" s="49" t="str">
        <f t="shared" ca="1" si="2235"/>
        <v>I'm happy Nante seeing you</v>
      </c>
    </row>
    <row r="2238" spans="1:10" ht="25.5" x14ac:dyDescent="0.2">
      <c r="A2238" s="41" t="s">
        <v>1824</v>
      </c>
      <c r="B2238" s="40"/>
      <c r="C2238" s="40"/>
      <c r="D2238" s="40"/>
      <c r="E2238" s="40"/>
      <c r="F2238" s="49" t="str">
        <f t="shared" ref="F2238:J2238" ca="1" si="2236">IFERROR(__xludf.DUMMYFUNCTION("if (A2238 &lt;&gt; """", GOOGLETRANSLATE(A2238, ""auto"", ""en""), """")"),"Seeing you always happy")</f>
        <v>Seeing you always happy</v>
      </c>
      <c r="G2238" s="49" t="str">
        <f t="shared" ca="1" si="2236"/>
        <v>Seeing you always happy</v>
      </c>
      <c r="H2238" s="49" t="str">
        <f t="shared" ca="1" si="2236"/>
        <v>Seeing you always happy</v>
      </c>
      <c r="I2238" s="49" t="str">
        <f t="shared" ca="1" si="2236"/>
        <v>Seeing you always happy</v>
      </c>
      <c r="J2238" s="49" t="str">
        <f t="shared" ca="1" si="2236"/>
        <v>Seeing you always happy</v>
      </c>
    </row>
    <row r="2239" spans="1:10" ht="25.5" x14ac:dyDescent="0.2">
      <c r="A2239" s="41" t="s">
        <v>1826</v>
      </c>
      <c r="B2239" s="40"/>
      <c r="C2239" s="40"/>
      <c r="D2239" s="40"/>
      <c r="E2239" s="40"/>
      <c r="F2239" s="49" t="str">
        <f t="shared" ref="F2239:J2239" ca="1" si="2237">IFERROR(__xludf.DUMMYFUNCTION("if (A2239 &lt;&gt; """", GOOGLETRANSLATE(A2239, ""auto"", ""en""), """")"),"Pleased to meet you also")</f>
        <v>Pleased to meet you also</v>
      </c>
      <c r="G2239" s="49" t="str">
        <f t="shared" ca="1" si="2237"/>
        <v>Pleased to meet you also</v>
      </c>
      <c r="H2239" s="49" t="str">
        <f t="shared" ca="1" si="2237"/>
        <v>Pleased to meet you also</v>
      </c>
      <c r="I2239" s="49" t="str">
        <f t="shared" ca="1" si="2237"/>
        <v>Pleased to meet you also</v>
      </c>
      <c r="J2239" s="49" t="str">
        <f t="shared" ca="1" si="2237"/>
        <v>Pleased to meet you also</v>
      </c>
    </row>
    <row r="2240" spans="1:10" ht="25.5" x14ac:dyDescent="0.2">
      <c r="A2240" s="41" t="s">
        <v>1828</v>
      </c>
      <c r="B2240" s="40"/>
      <c r="C2240" s="40"/>
      <c r="D2240" s="40"/>
      <c r="E2240" s="40"/>
      <c r="F2240" s="49" t="str">
        <f t="shared" ref="F2240:J2240" ca="1" si="2238">IFERROR(__xludf.DUMMYFUNCTION("if (A2240 &lt;&gt; """", GOOGLETRANSLATE(A2240, ""auto"", ""en""), """")"),"Also I'm glad to meet you")</f>
        <v>Also I'm glad to meet you</v>
      </c>
      <c r="G2240" s="49" t="str">
        <f t="shared" ca="1" si="2238"/>
        <v>Also I'm glad to meet you</v>
      </c>
      <c r="H2240" s="49" t="str">
        <f t="shared" ca="1" si="2238"/>
        <v>Also I'm glad to meet you</v>
      </c>
      <c r="I2240" s="49" t="str">
        <f t="shared" ca="1" si="2238"/>
        <v>Also I'm glad to meet you</v>
      </c>
      <c r="J2240" s="49" t="str">
        <f t="shared" ca="1" si="2238"/>
        <v>Also I'm glad to meet you</v>
      </c>
    </row>
    <row r="2241" spans="1:10" ht="12.75" x14ac:dyDescent="0.2">
      <c r="A2241" s="40"/>
      <c r="B2241" s="40"/>
      <c r="C2241" s="40"/>
      <c r="D2241" s="40"/>
      <c r="E2241" s="40"/>
      <c r="F2241" s="49" t="str">
        <f t="shared" ref="F2241:J2241" ca="1" si="2239">IFERROR(__xludf.DUMMYFUNCTION("if (A2241 &lt;&gt; """", GOOGLETRANSLATE(A2241, ""auto"", ""en""), """")"),"")</f>
        <v/>
      </c>
      <c r="G2241" s="49" t="str">
        <f t="shared" ca="1" si="2239"/>
        <v/>
      </c>
      <c r="H2241" s="49" t="str">
        <f t="shared" ca="1" si="2239"/>
        <v/>
      </c>
      <c r="I2241" s="49" t="str">
        <f t="shared" ca="1" si="2239"/>
        <v/>
      </c>
      <c r="J2241" s="49" t="str">
        <f t="shared" ca="1" si="2239"/>
        <v/>
      </c>
    </row>
    <row r="2242" spans="1:10" ht="38.25" x14ac:dyDescent="0.2">
      <c r="A2242" s="41" t="s">
        <v>1832</v>
      </c>
      <c r="B2242" s="40"/>
      <c r="C2242" s="40"/>
      <c r="D2242" s="40"/>
      <c r="E2242" s="40"/>
      <c r="F2242" s="49" t="str">
        <f t="shared" ref="F2242:J2242" ca="1" si="2240">IFERROR(__xludf.DUMMYFUNCTION("if (A2242 &lt;&gt; """", GOOGLETRANSLATE(A2242, ""auto"", ""en""), """")"),"smalltalk.greetings.nice_to_talk_to_you")</f>
        <v>smalltalk.greetings.nice_to_talk_to_you</v>
      </c>
      <c r="G2242" s="49" t="str">
        <f t="shared" ca="1" si="2240"/>
        <v>smalltalk.greetings.nice_to_talk_to_you</v>
      </c>
      <c r="H2242" s="49" t="str">
        <f t="shared" ca="1" si="2240"/>
        <v>smalltalk.greetings.nice_to_talk_to_you</v>
      </c>
      <c r="I2242" s="49" t="str">
        <f t="shared" ca="1" si="2240"/>
        <v>smalltalk.greetings.nice_to_talk_to_you</v>
      </c>
      <c r="J2242" s="49" t="str">
        <f t="shared" ca="1" si="2240"/>
        <v>smalltalk.greetings.nice_to_talk_to_you</v>
      </c>
    </row>
    <row r="2243" spans="1:10" ht="12.75" x14ac:dyDescent="0.2">
      <c r="A2243" s="40"/>
      <c r="B2243" s="41" t="s">
        <v>398</v>
      </c>
      <c r="C2243" s="40"/>
      <c r="D2243" s="40"/>
      <c r="E2243" s="40"/>
      <c r="F2243" s="49" t="str">
        <f t="shared" ref="F2243:J2243" ca="1" si="2241">IFERROR(__xludf.DUMMYFUNCTION("if (A2243 &lt;&gt; """", GOOGLETRANSLATE(A2243, ""auto"", ""en""), """")"),"")</f>
        <v/>
      </c>
      <c r="G2243" s="49" t="str">
        <f t="shared" ca="1" si="2241"/>
        <v/>
      </c>
      <c r="H2243" s="49" t="str">
        <f t="shared" ca="1" si="2241"/>
        <v/>
      </c>
      <c r="I2243" s="49" t="str">
        <f t="shared" ca="1" si="2241"/>
        <v/>
      </c>
      <c r="J2243" s="49" t="str">
        <f t="shared" ca="1" si="2241"/>
        <v/>
      </c>
    </row>
    <row r="2244" spans="1:10" ht="12.75" x14ac:dyDescent="0.2">
      <c r="A2244" s="40"/>
      <c r="B2244" s="41" t="s">
        <v>399</v>
      </c>
      <c r="C2244" s="40"/>
      <c r="D2244" s="40"/>
      <c r="E2244" s="40"/>
      <c r="F2244" s="49" t="str">
        <f t="shared" ref="F2244:J2244" ca="1" si="2242">IFERROR(__xludf.DUMMYFUNCTION("if (A2244 &lt;&gt; """", GOOGLETRANSLATE(A2244, ""auto"", ""en""), """")"),"")</f>
        <v/>
      </c>
      <c r="G2244" s="49" t="str">
        <f t="shared" ca="1" si="2242"/>
        <v/>
      </c>
      <c r="H2244" s="49" t="str">
        <f t="shared" ca="1" si="2242"/>
        <v/>
      </c>
      <c r="I2244" s="49" t="str">
        <f t="shared" ca="1" si="2242"/>
        <v/>
      </c>
      <c r="J2244" s="49" t="str">
        <f t="shared" ca="1" si="2242"/>
        <v/>
      </c>
    </row>
    <row r="2245" spans="1:10" ht="25.5" x14ac:dyDescent="0.2">
      <c r="A2245" s="40"/>
      <c r="B2245" s="41" t="s">
        <v>400</v>
      </c>
      <c r="C2245" s="41" t="s">
        <v>1832</v>
      </c>
      <c r="D2245" s="40"/>
      <c r="E2245" s="40"/>
      <c r="F2245" s="49" t="str">
        <f t="shared" ref="F2245:J2245" ca="1" si="2243">IFERROR(__xludf.DUMMYFUNCTION("if (A2245 &lt;&gt; """", GOOGLETRANSLATE(A2245, ""auto"", ""en""), """")"),"")</f>
        <v/>
      </c>
      <c r="G2245" s="49" t="str">
        <f t="shared" ca="1" si="2243"/>
        <v/>
      </c>
      <c r="H2245" s="49" t="str">
        <f t="shared" ca="1" si="2243"/>
        <v/>
      </c>
      <c r="I2245" s="49" t="str">
        <f t="shared" ca="1" si="2243"/>
        <v/>
      </c>
      <c r="J2245" s="49" t="str">
        <f t="shared" ca="1" si="2243"/>
        <v/>
      </c>
    </row>
    <row r="2246" spans="1:10" ht="12.75" x14ac:dyDescent="0.2">
      <c r="A2246" s="40"/>
      <c r="B2246" s="41" t="s">
        <v>401</v>
      </c>
      <c r="C2246" s="40"/>
      <c r="D2246" s="40"/>
      <c r="E2246" s="40"/>
      <c r="F2246" s="49" t="str">
        <f t="shared" ref="F2246:J2246" ca="1" si="2244">IFERROR(__xludf.DUMMYFUNCTION("if (A2246 &lt;&gt; """", GOOGLETRANSLATE(A2246, ""auto"", ""en""), """")"),"")</f>
        <v/>
      </c>
      <c r="G2246" s="49" t="str">
        <f t="shared" ca="1" si="2244"/>
        <v/>
      </c>
      <c r="H2246" s="49" t="str">
        <f t="shared" ca="1" si="2244"/>
        <v/>
      </c>
      <c r="I2246" s="49" t="str">
        <f t="shared" ca="1" si="2244"/>
        <v/>
      </c>
      <c r="J2246" s="49" t="str">
        <f t="shared" ca="1" si="2244"/>
        <v/>
      </c>
    </row>
    <row r="2247" spans="1:10" ht="25.5" x14ac:dyDescent="0.2">
      <c r="A2247" s="41" t="s">
        <v>1834</v>
      </c>
      <c r="B2247" s="41" t="s">
        <v>402</v>
      </c>
      <c r="C2247" s="41" t="s">
        <v>1836</v>
      </c>
      <c r="D2247" s="40"/>
      <c r="E2247" s="40"/>
      <c r="F2247" s="49" t="str">
        <f t="shared" ref="F2247:J2247" ca="1" si="2245">IFERROR(__xludf.DUMMYFUNCTION("if (A2247 &lt;&gt; """", GOOGLETRANSLATE(A2247, ""auto"", ""en""), """")"),"It was good to speak")</f>
        <v>It was good to speak</v>
      </c>
      <c r="G2247" s="49" t="str">
        <f t="shared" ca="1" si="2245"/>
        <v>It was good to speak</v>
      </c>
      <c r="H2247" s="49" t="str">
        <f t="shared" ca="1" si="2245"/>
        <v>It was good to speak</v>
      </c>
      <c r="I2247" s="49" t="str">
        <f t="shared" ca="1" si="2245"/>
        <v>It was good to speak</v>
      </c>
      <c r="J2247" s="49" t="str">
        <f t="shared" ca="1" si="2245"/>
        <v>It was good to speak</v>
      </c>
    </row>
    <row r="2248" spans="1:10" ht="25.5" x14ac:dyDescent="0.2">
      <c r="A2248" s="41" t="s">
        <v>1838</v>
      </c>
      <c r="B2248" s="40"/>
      <c r="C2248" s="40"/>
      <c r="D2248" s="40"/>
      <c r="E2248" s="40"/>
      <c r="F2248" s="49" t="str">
        <f t="shared" ref="F2248:J2248" ca="1" si="2246">IFERROR(__xludf.DUMMYFUNCTION("if (A2248 &lt;&gt; """", GOOGLETRANSLATE(A2248, ""auto"", ""en""), """")"),"It was nice to talk")</f>
        <v>It was nice to talk</v>
      </c>
      <c r="G2248" s="49" t="str">
        <f t="shared" ca="1" si="2246"/>
        <v>It was nice to talk</v>
      </c>
      <c r="H2248" s="49" t="str">
        <f t="shared" ca="1" si="2246"/>
        <v>It was nice to talk</v>
      </c>
      <c r="I2248" s="49" t="str">
        <f t="shared" ca="1" si="2246"/>
        <v>It was nice to talk</v>
      </c>
      <c r="J2248" s="49" t="str">
        <f t="shared" ca="1" si="2246"/>
        <v>It was nice to talk</v>
      </c>
    </row>
    <row r="2249" spans="1:10" ht="25.5" x14ac:dyDescent="0.2">
      <c r="A2249" s="41" t="s">
        <v>1840</v>
      </c>
      <c r="B2249" s="40"/>
      <c r="C2249" s="40"/>
      <c r="D2249" s="40"/>
      <c r="E2249" s="40"/>
      <c r="F2249" s="49" t="str">
        <f t="shared" ref="F2249:J2249" ca="1" si="2247">IFERROR(__xludf.DUMMYFUNCTION("if (A2249 &lt;&gt; """", GOOGLETRANSLATE(A2249, ""auto"", ""en""), """")"),"Talk was fun to be")</f>
        <v>Talk was fun to be</v>
      </c>
      <c r="G2249" s="49" t="str">
        <f t="shared" ca="1" si="2247"/>
        <v>Talk was fun to be</v>
      </c>
      <c r="H2249" s="49" t="str">
        <f t="shared" ca="1" si="2247"/>
        <v>Talk was fun to be</v>
      </c>
      <c r="I2249" s="49" t="str">
        <f t="shared" ca="1" si="2247"/>
        <v>Talk was fun to be</v>
      </c>
      <c r="J2249" s="49" t="str">
        <f t="shared" ca="1" si="2247"/>
        <v>Talk was fun to be</v>
      </c>
    </row>
    <row r="2250" spans="1:10" ht="25.5" x14ac:dyDescent="0.2">
      <c r="A2250" s="41" t="s">
        <v>1842</v>
      </c>
      <c r="B2250" s="40"/>
      <c r="C2250" s="40"/>
      <c r="D2250" s="40"/>
      <c r="E2250" s="40"/>
      <c r="F2250" s="49" t="str">
        <f t="shared" ref="F2250:J2250" ca="1" si="2248">IFERROR(__xludf.DUMMYFUNCTION("if (A2250 &lt;&gt; """", GOOGLETRANSLATE(A2250, ""auto"", ""en""), """")"),"It is nice to talk")</f>
        <v>It is nice to talk</v>
      </c>
      <c r="G2250" s="49" t="str">
        <f t="shared" ca="1" si="2248"/>
        <v>It is nice to talk</v>
      </c>
      <c r="H2250" s="49" t="str">
        <f t="shared" ca="1" si="2248"/>
        <v>It is nice to talk</v>
      </c>
      <c r="I2250" s="49" t="str">
        <f t="shared" ca="1" si="2248"/>
        <v>It is nice to talk</v>
      </c>
      <c r="J2250" s="49" t="str">
        <f t="shared" ca="1" si="2248"/>
        <v>It is nice to talk</v>
      </c>
    </row>
    <row r="2251" spans="1:10" ht="12.75" x14ac:dyDescent="0.2">
      <c r="A2251" s="41" t="s">
        <v>1844</v>
      </c>
      <c r="B2251" s="40"/>
      <c r="C2251" s="40"/>
      <c r="D2251" s="40"/>
      <c r="E2251" s="40"/>
      <c r="F2251" s="49" t="str">
        <f t="shared" ref="F2251:J2251" ca="1" si="2249">IFERROR(__xludf.DUMMYFUNCTION("if (A2251 &lt;&gt; """", GOOGLETRANSLATE(A2251, ""auto"", ""en""), """")"),"Nice to talk")</f>
        <v>Nice to talk</v>
      </c>
      <c r="G2251" s="49" t="str">
        <f t="shared" ca="1" si="2249"/>
        <v>Nice to talk</v>
      </c>
      <c r="H2251" s="49" t="str">
        <f t="shared" ca="1" si="2249"/>
        <v>Nice to talk</v>
      </c>
      <c r="I2251" s="49" t="str">
        <f t="shared" ca="1" si="2249"/>
        <v>Nice to talk</v>
      </c>
      <c r="J2251" s="49" t="str">
        <f t="shared" ca="1" si="2249"/>
        <v>Nice to talk</v>
      </c>
    </row>
    <row r="2252" spans="1:10" ht="25.5" x14ac:dyDescent="0.2">
      <c r="A2252" s="41" t="s">
        <v>1846</v>
      </c>
      <c r="B2252" s="40"/>
      <c r="C2252" s="40"/>
      <c r="D2252" s="40"/>
      <c r="E2252" s="40"/>
      <c r="F2252" s="49" t="str">
        <f t="shared" ref="F2252:J2252" ca="1" si="2250">IFERROR(__xludf.DUMMYFUNCTION("if (A2252 &lt;&gt; """", GOOGLETRANSLATE(A2252, ""auto"", ""en""), """")"),"We enjoy talking to you")</f>
        <v>We enjoy talking to you</v>
      </c>
      <c r="G2252" s="49" t="str">
        <f t="shared" ca="1" si="2250"/>
        <v>We enjoy talking to you</v>
      </c>
      <c r="H2252" s="49" t="str">
        <f t="shared" ca="1" si="2250"/>
        <v>We enjoy talking to you</v>
      </c>
      <c r="I2252" s="49" t="str">
        <f t="shared" ca="1" si="2250"/>
        <v>We enjoy talking to you</v>
      </c>
      <c r="J2252" s="49" t="str">
        <f t="shared" ca="1" si="2250"/>
        <v>We enjoy talking to you</v>
      </c>
    </row>
    <row r="2253" spans="1:10" ht="38.25" x14ac:dyDescent="0.2">
      <c r="A2253" s="41" t="s">
        <v>1848</v>
      </c>
      <c r="B2253" s="40"/>
      <c r="C2253" s="40"/>
      <c r="D2253" s="40"/>
      <c r="E2253" s="40"/>
      <c r="F2253" s="49" t="str">
        <f t="shared" ref="F2253:J2253" ca="1" si="2251">IFERROR(__xludf.DUMMYFUNCTION("if (A2253 &lt;&gt; """", GOOGLETRANSLATE(A2253, ""auto"", ""en""), """")"),"To talk with you is so much fun")</f>
        <v>To talk with you is so much fun</v>
      </c>
      <c r="G2253" s="49" t="str">
        <f t="shared" ca="1" si="2251"/>
        <v>To talk with you is so much fun</v>
      </c>
      <c r="H2253" s="49" t="str">
        <f t="shared" ca="1" si="2251"/>
        <v>To talk with you is so much fun</v>
      </c>
      <c r="I2253" s="49" t="str">
        <f t="shared" ca="1" si="2251"/>
        <v>To talk with you is so much fun</v>
      </c>
      <c r="J2253" s="49" t="str">
        <f t="shared" ca="1" si="2251"/>
        <v>To talk with you is so much fun</v>
      </c>
    </row>
    <row r="2254" spans="1:10" ht="12.75" x14ac:dyDescent="0.2">
      <c r="A2254" s="40"/>
      <c r="B2254" s="40"/>
      <c r="C2254" s="40"/>
      <c r="D2254" s="40"/>
      <c r="E2254" s="40"/>
      <c r="F2254" s="49" t="str">
        <f t="shared" ref="F2254:J2254" ca="1" si="2252">IFERROR(__xludf.DUMMYFUNCTION("if (A2254 &lt;&gt; """", GOOGLETRANSLATE(A2254, ""auto"", ""en""), """")"),"")</f>
        <v/>
      </c>
      <c r="G2254" s="49" t="str">
        <f t="shared" ca="1" si="2252"/>
        <v/>
      </c>
      <c r="H2254" s="49" t="str">
        <f t="shared" ca="1" si="2252"/>
        <v/>
      </c>
      <c r="I2254" s="49" t="str">
        <f t="shared" ca="1" si="2252"/>
        <v/>
      </c>
      <c r="J2254" s="49" t="str">
        <f t="shared" ca="1" si="2252"/>
        <v/>
      </c>
    </row>
    <row r="2255" spans="1:10" ht="25.5" x14ac:dyDescent="0.2">
      <c r="A2255" s="41" t="s">
        <v>1851</v>
      </c>
      <c r="B2255" s="40"/>
      <c r="C2255" s="40"/>
      <c r="D2255" s="40"/>
      <c r="E2255" s="40"/>
      <c r="F2255" s="49" t="str">
        <f t="shared" ref="F2255:J2255" ca="1" si="2253">IFERROR(__xludf.DUMMYFUNCTION("if (A2255 &lt;&gt; """", GOOGLETRANSLATE(A2255, ""auto"", ""en""), """")"),"smalltalk.greetings.whatsup")</f>
        <v>smalltalk.greetings.whatsup</v>
      </c>
      <c r="G2255" s="49" t="str">
        <f t="shared" ca="1" si="2253"/>
        <v>smalltalk.greetings.whatsup</v>
      </c>
      <c r="H2255" s="49" t="str">
        <f t="shared" ca="1" si="2253"/>
        <v>smalltalk.greetings.whatsup</v>
      </c>
      <c r="I2255" s="49" t="str">
        <f t="shared" ca="1" si="2253"/>
        <v>smalltalk.greetings.whatsup</v>
      </c>
      <c r="J2255" s="49" t="str">
        <f t="shared" ca="1" si="2253"/>
        <v>smalltalk.greetings.whatsup</v>
      </c>
    </row>
    <row r="2256" spans="1:10" ht="12.75" x14ac:dyDescent="0.2">
      <c r="A2256" s="40"/>
      <c r="B2256" s="41" t="s">
        <v>398</v>
      </c>
      <c r="C2256" s="40"/>
      <c r="D2256" s="40"/>
      <c r="E2256" s="40"/>
      <c r="F2256" s="49" t="str">
        <f t="shared" ref="F2256:J2256" ca="1" si="2254">IFERROR(__xludf.DUMMYFUNCTION("if (A2256 &lt;&gt; """", GOOGLETRANSLATE(A2256, ""auto"", ""en""), """")"),"")</f>
        <v/>
      </c>
      <c r="G2256" s="49" t="str">
        <f t="shared" ca="1" si="2254"/>
        <v/>
      </c>
      <c r="H2256" s="49" t="str">
        <f t="shared" ca="1" si="2254"/>
        <v/>
      </c>
      <c r="I2256" s="49" t="str">
        <f t="shared" ca="1" si="2254"/>
        <v/>
      </c>
      <c r="J2256" s="49" t="str">
        <f t="shared" ca="1" si="2254"/>
        <v/>
      </c>
    </row>
    <row r="2257" spans="1:10" ht="12.75" x14ac:dyDescent="0.2">
      <c r="A2257" s="40"/>
      <c r="B2257" s="41" t="s">
        <v>399</v>
      </c>
      <c r="C2257" s="40"/>
      <c r="D2257" s="40"/>
      <c r="E2257" s="40"/>
      <c r="F2257" s="49" t="str">
        <f t="shared" ref="F2257:J2257" ca="1" si="2255">IFERROR(__xludf.DUMMYFUNCTION("if (A2257 &lt;&gt; """", GOOGLETRANSLATE(A2257, ""auto"", ""en""), """")"),"")</f>
        <v/>
      </c>
      <c r="G2257" s="49" t="str">
        <f t="shared" ca="1" si="2255"/>
        <v/>
      </c>
      <c r="H2257" s="49" t="str">
        <f t="shared" ca="1" si="2255"/>
        <v/>
      </c>
      <c r="I2257" s="49" t="str">
        <f t="shared" ca="1" si="2255"/>
        <v/>
      </c>
      <c r="J2257" s="49" t="str">
        <f t="shared" ca="1" si="2255"/>
        <v/>
      </c>
    </row>
    <row r="2258" spans="1:10" ht="12.75" x14ac:dyDescent="0.2">
      <c r="A2258" s="40"/>
      <c r="B2258" s="41" t="s">
        <v>400</v>
      </c>
      <c r="C2258" s="41" t="s">
        <v>1851</v>
      </c>
      <c r="D2258" s="40"/>
      <c r="E2258" s="40"/>
      <c r="F2258" s="49" t="str">
        <f t="shared" ref="F2258:J2258" ca="1" si="2256">IFERROR(__xludf.DUMMYFUNCTION("if (A2258 &lt;&gt; """", GOOGLETRANSLATE(A2258, ""auto"", ""en""), """")"),"")</f>
        <v/>
      </c>
      <c r="G2258" s="49" t="str">
        <f t="shared" ca="1" si="2256"/>
        <v/>
      </c>
      <c r="H2258" s="49" t="str">
        <f t="shared" ca="1" si="2256"/>
        <v/>
      </c>
      <c r="I2258" s="49" t="str">
        <f t="shared" ca="1" si="2256"/>
        <v/>
      </c>
      <c r="J2258" s="49" t="str">
        <f t="shared" ca="1" si="2256"/>
        <v/>
      </c>
    </row>
    <row r="2259" spans="1:10" ht="12.75" x14ac:dyDescent="0.2">
      <c r="A2259" s="40"/>
      <c r="B2259" s="41" t="s">
        <v>401</v>
      </c>
      <c r="C2259" s="40"/>
      <c r="D2259" s="40"/>
      <c r="E2259" s="40"/>
      <c r="F2259" s="49" t="str">
        <f t="shared" ref="F2259:J2259" ca="1" si="2257">IFERROR(__xludf.DUMMYFUNCTION("if (A2259 &lt;&gt; """", GOOGLETRANSLATE(A2259, ""auto"", ""en""), """")"),"")</f>
        <v/>
      </c>
      <c r="G2259" s="49" t="str">
        <f t="shared" ca="1" si="2257"/>
        <v/>
      </c>
      <c r="H2259" s="49" t="str">
        <f t="shared" ca="1" si="2257"/>
        <v/>
      </c>
      <c r="I2259" s="49" t="str">
        <f t="shared" ca="1" si="2257"/>
        <v/>
      </c>
      <c r="J2259" s="49" t="str">
        <f t="shared" ca="1" si="2257"/>
        <v/>
      </c>
    </row>
    <row r="2260" spans="1:10" ht="25.5" x14ac:dyDescent="0.2">
      <c r="A2260" s="41" t="s">
        <v>1853</v>
      </c>
      <c r="B2260" s="41" t="s">
        <v>402</v>
      </c>
      <c r="C2260" s="41" t="s">
        <v>1856</v>
      </c>
      <c r="D2260" s="40"/>
      <c r="E2260" s="40"/>
      <c r="F2260" s="49" t="str">
        <f t="shared" ref="F2260:J2260" ca="1" si="2258">IFERROR(__xludf.DUMMYFUNCTION("if (A2260 &lt;&gt; """", GOOGLETRANSLATE(A2260, ""auto"", ""en""), """")"),"There was something")</f>
        <v>There was something</v>
      </c>
      <c r="G2260" s="49" t="str">
        <f t="shared" ca="1" si="2258"/>
        <v>There was something</v>
      </c>
      <c r="H2260" s="49" t="str">
        <f t="shared" ca="1" si="2258"/>
        <v>There was something</v>
      </c>
      <c r="I2260" s="49" t="str">
        <f t="shared" ca="1" si="2258"/>
        <v>There was something</v>
      </c>
      <c r="J2260" s="49" t="str">
        <f t="shared" ca="1" si="2258"/>
        <v>There was something</v>
      </c>
    </row>
    <row r="2261" spans="1:10" ht="25.5" x14ac:dyDescent="0.2">
      <c r="A2261" s="41" t="s">
        <v>1858</v>
      </c>
      <c r="B2261" s="40"/>
      <c r="C2261" s="40"/>
      <c r="D2261" s="40"/>
      <c r="E2261" s="40"/>
      <c r="F2261" s="49" t="str">
        <f t="shared" ref="F2261:J2261" ca="1" si="2259">IFERROR(__xludf.DUMMYFUNCTION("if (A2261 &lt;&gt; """", GOOGLETRANSLATE(A2261, ""auto"", ""en""), """")"),"Yeah, did you do")</f>
        <v>Yeah, did you do</v>
      </c>
      <c r="G2261" s="49" t="str">
        <f t="shared" ca="1" si="2259"/>
        <v>Yeah, did you do</v>
      </c>
      <c r="H2261" s="49" t="str">
        <f t="shared" ca="1" si="2259"/>
        <v>Yeah, did you do</v>
      </c>
      <c r="I2261" s="49" t="str">
        <f t="shared" ca="1" si="2259"/>
        <v>Yeah, did you do</v>
      </c>
      <c r="J2261" s="49" t="str">
        <f t="shared" ca="1" si="2259"/>
        <v>Yeah, did you do</v>
      </c>
    </row>
    <row r="2262" spans="1:10" ht="12.75" x14ac:dyDescent="0.2">
      <c r="A2262" s="41" t="s">
        <v>1859</v>
      </c>
      <c r="B2262" s="40"/>
      <c r="C2262" s="40"/>
      <c r="D2262" s="40"/>
      <c r="E2262" s="40"/>
      <c r="F2262" s="49" t="str">
        <f t="shared" ref="F2262:J2262" ca="1" si="2260">IFERROR(__xludf.DUMMYFUNCTION("if (A2262 &lt;&gt; """", GOOGLETRANSLATE(A2262, ""auto"", ""en""), """")"),"What's wrong")</f>
        <v>What's wrong</v>
      </c>
      <c r="G2262" s="49" t="str">
        <f t="shared" ca="1" si="2260"/>
        <v>What's wrong</v>
      </c>
      <c r="H2262" s="49" t="str">
        <f t="shared" ca="1" si="2260"/>
        <v>What's wrong</v>
      </c>
      <c r="I2262" s="49" t="str">
        <f t="shared" ca="1" si="2260"/>
        <v>What's wrong</v>
      </c>
      <c r="J2262" s="49" t="str">
        <f t="shared" ca="1" si="2260"/>
        <v>What's wrong</v>
      </c>
    </row>
    <row r="2263" spans="1:10" ht="25.5" x14ac:dyDescent="0.2">
      <c r="A2263" s="41" t="s">
        <v>1860</v>
      </c>
      <c r="B2263" s="40"/>
      <c r="C2263" s="40"/>
      <c r="D2263" s="40"/>
      <c r="E2263" s="40"/>
      <c r="F2263" s="49" t="str">
        <f t="shared" ref="F2263:J2263" ca="1" si="2261">IFERROR(__xludf.DUMMYFUNCTION("if (A2263 &lt;&gt; """", GOOGLETRANSLATE(A2263, ""auto"", ""en""), """")"),"It's what happened")</f>
        <v>It's what happened</v>
      </c>
      <c r="G2263" s="49" t="str">
        <f t="shared" ca="1" si="2261"/>
        <v>It's what happened</v>
      </c>
      <c r="H2263" s="49" t="str">
        <f t="shared" ca="1" si="2261"/>
        <v>It's what happened</v>
      </c>
      <c r="I2263" s="49" t="str">
        <f t="shared" ca="1" si="2261"/>
        <v>It's what happened</v>
      </c>
      <c r="J2263" s="49" t="str">
        <f t="shared" ca="1" si="2261"/>
        <v>It's what happened</v>
      </c>
    </row>
    <row r="2264" spans="1:10" ht="38.25" x14ac:dyDescent="0.2">
      <c r="A2264" s="41" t="s">
        <v>1861</v>
      </c>
      <c r="B2264" s="40"/>
      <c r="C2264" s="40"/>
      <c r="D2264" s="40"/>
      <c r="E2264" s="40"/>
      <c r="F2264" s="49" t="str">
        <f t="shared" ref="F2264:J2264" ca="1" si="2262">IFERROR(__xludf.DUMMYFUNCTION("if (A2264 &lt;&gt; """", GOOGLETRANSLATE(A2264, ""auto"", ""en""), """")"),"Do you have what you think")</f>
        <v>Do you have what you think</v>
      </c>
      <c r="G2264" s="49" t="str">
        <f t="shared" ca="1" si="2262"/>
        <v>Do you have what you think</v>
      </c>
      <c r="H2264" s="49" t="str">
        <f t="shared" ca="1" si="2262"/>
        <v>Do you have what you think</v>
      </c>
      <c r="I2264" s="49" t="str">
        <f t="shared" ca="1" si="2262"/>
        <v>Do you have what you think</v>
      </c>
      <c r="J2264" s="49" t="str">
        <f t="shared" ca="1" si="2262"/>
        <v>Do you have what you think</v>
      </c>
    </row>
    <row r="2265" spans="1:10" ht="12.75" x14ac:dyDescent="0.2">
      <c r="A2265" s="40"/>
      <c r="B2265" s="40"/>
      <c r="C2265" s="40"/>
      <c r="D2265" s="40"/>
      <c r="E2265" s="40"/>
      <c r="F2265" s="49" t="str">
        <f t="shared" ref="F2265:J2265" ca="1" si="2263">IFERROR(__xludf.DUMMYFUNCTION("if (A2265 &lt;&gt; """", GOOGLETRANSLATE(A2265, ""auto"", ""en""), """")"),"")</f>
        <v/>
      </c>
      <c r="G2265" s="49" t="str">
        <f t="shared" ca="1" si="2263"/>
        <v/>
      </c>
      <c r="H2265" s="49" t="str">
        <f t="shared" ca="1" si="2263"/>
        <v/>
      </c>
      <c r="I2265" s="49" t="str">
        <f t="shared" ca="1" si="2263"/>
        <v/>
      </c>
      <c r="J2265" s="49" t="str">
        <f t="shared" ca="1" si="2263"/>
        <v/>
      </c>
    </row>
    <row r="2266" spans="1:10" ht="25.5" x14ac:dyDescent="0.2">
      <c r="A2266" s="41" t="s">
        <v>1862</v>
      </c>
      <c r="B2266" s="40"/>
      <c r="C2266" s="40"/>
      <c r="D2266" s="40"/>
      <c r="E2266" s="40"/>
      <c r="F2266" s="49" t="str">
        <f t="shared" ref="F2266:J2266" ca="1" si="2264">IFERROR(__xludf.DUMMYFUNCTION("if (A2266 &lt;&gt; """", GOOGLETRANSLATE(A2266, ""auto"", ""en""), """")"),"smalltalk.user.age")</f>
        <v>smalltalk.user.age</v>
      </c>
      <c r="G2266" s="49" t="str">
        <f t="shared" ca="1" si="2264"/>
        <v>smalltalk.user.age</v>
      </c>
      <c r="H2266" s="49" t="str">
        <f t="shared" ca="1" si="2264"/>
        <v>smalltalk.user.age</v>
      </c>
      <c r="I2266" s="49" t="str">
        <f t="shared" ca="1" si="2264"/>
        <v>smalltalk.user.age</v>
      </c>
      <c r="J2266" s="49" t="str">
        <f t="shared" ca="1" si="2264"/>
        <v>smalltalk.user.age</v>
      </c>
    </row>
    <row r="2267" spans="1:10" ht="12.75" x14ac:dyDescent="0.2">
      <c r="A2267" s="40"/>
      <c r="B2267" s="41" t="s">
        <v>398</v>
      </c>
      <c r="C2267" s="40"/>
      <c r="D2267" s="40"/>
      <c r="E2267" s="40"/>
      <c r="F2267" s="49" t="str">
        <f t="shared" ref="F2267:J2267" ca="1" si="2265">IFERROR(__xludf.DUMMYFUNCTION("if (A2267 &lt;&gt; """", GOOGLETRANSLATE(A2267, ""auto"", ""en""), """")"),"")</f>
        <v/>
      </c>
      <c r="G2267" s="49" t="str">
        <f t="shared" ca="1" si="2265"/>
        <v/>
      </c>
      <c r="H2267" s="49" t="str">
        <f t="shared" ca="1" si="2265"/>
        <v/>
      </c>
      <c r="I2267" s="49" t="str">
        <f t="shared" ca="1" si="2265"/>
        <v/>
      </c>
      <c r="J2267" s="49" t="str">
        <f t="shared" ca="1" si="2265"/>
        <v/>
      </c>
    </row>
    <row r="2268" spans="1:10" ht="12.75" x14ac:dyDescent="0.2">
      <c r="A2268" s="40"/>
      <c r="B2268" s="41" t="s">
        <v>399</v>
      </c>
      <c r="C2268" s="40"/>
      <c r="D2268" s="40"/>
      <c r="E2268" s="40"/>
      <c r="F2268" s="49" t="str">
        <f t="shared" ref="F2268:J2268" ca="1" si="2266">IFERROR(__xludf.DUMMYFUNCTION("if (A2268 &lt;&gt; """", GOOGLETRANSLATE(A2268, ""auto"", ""en""), """")"),"")</f>
        <v/>
      </c>
      <c r="G2268" s="49" t="str">
        <f t="shared" ca="1" si="2266"/>
        <v/>
      </c>
      <c r="H2268" s="49" t="str">
        <f t="shared" ca="1" si="2266"/>
        <v/>
      </c>
      <c r="I2268" s="49" t="str">
        <f t="shared" ca="1" si="2266"/>
        <v/>
      </c>
      <c r="J2268" s="49" t="str">
        <f t="shared" ca="1" si="2266"/>
        <v/>
      </c>
    </row>
    <row r="2269" spans="1:10" ht="12.75" x14ac:dyDescent="0.2">
      <c r="A2269" s="40"/>
      <c r="B2269" s="41" t="s">
        <v>400</v>
      </c>
      <c r="C2269" s="41" t="s">
        <v>1862</v>
      </c>
      <c r="D2269" s="40"/>
      <c r="E2269" s="40"/>
      <c r="F2269" s="49" t="str">
        <f t="shared" ref="F2269:J2269" ca="1" si="2267">IFERROR(__xludf.DUMMYFUNCTION("if (A2269 &lt;&gt; """", GOOGLETRANSLATE(A2269, ""auto"", ""en""), """")"),"")</f>
        <v/>
      </c>
      <c r="G2269" s="49" t="str">
        <f t="shared" ca="1" si="2267"/>
        <v/>
      </c>
      <c r="H2269" s="49" t="str">
        <f t="shared" ca="1" si="2267"/>
        <v/>
      </c>
      <c r="I2269" s="49" t="str">
        <f t="shared" ca="1" si="2267"/>
        <v/>
      </c>
      <c r="J2269" s="49" t="str">
        <f t="shared" ca="1" si="2267"/>
        <v/>
      </c>
    </row>
    <row r="2270" spans="1:10" ht="12.75" x14ac:dyDescent="0.2">
      <c r="A2270" s="40"/>
      <c r="B2270" s="41" t="s">
        <v>401</v>
      </c>
      <c r="C2270" s="40"/>
      <c r="D2270" s="40"/>
      <c r="E2270" s="40"/>
      <c r="F2270" s="49" t="str">
        <f t="shared" ref="F2270:J2270" ca="1" si="2268">IFERROR(__xludf.DUMMYFUNCTION("if (A2270 &lt;&gt; """", GOOGLETRANSLATE(A2270, ""auto"", ""en""), """")"),"")</f>
        <v/>
      </c>
      <c r="G2270" s="49" t="str">
        <f t="shared" ca="1" si="2268"/>
        <v/>
      </c>
      <c r="H2270" s="49" t="str">
        <f t="shared" ca="1" si="2268"/>
        <v/>
      </c>
      <c r="I2270" s="49" t="str">
        <f t="shared" ca="1" si="2268"/>
        <v/>
      </c>
      <c r="J2270" s="49" t="str">
        <f t="shared" ca="1" si="2268"/>
        <v/>
      </c>
    </row>
    <row r="2271" spans="1:10" ht="25.5" x14ac:dyDescent="0.2">
      <c r="A2271" s="41" t="s">
        <v>1863</v>
      </c>
      <c r="B2271" s="41" t="s">
        <v>402</v>
      </c>
      <c r="C2271" s="41" t="s">
        <v>1864</v>
      </c>
      <c r="D2271" s="40"/>
      <c r="E2271" s="40"/>
      <c r="F2271" s="49" t="str">
        <f t="shared" ref="F2271:J2271" ca="1" si="2269">IFERROR(__xludf.DUMMYFUNCTION("if (A2271 &lt;&gt; """", GOOGLETRANSLATE(A2271, ""auto"", ""en""), """")"),"18 is the age of")</f>
        <v>18 is the age of</v>
      </c>
      <c r="G2271" s="49" t="str">
        <f t="shared" ca="1" si="2269"/>
        <v>18 is the age of</v>
      </c>
      <c r="H2271" s="49" t="str">
        <f t="shared" ca="1" si="2269"/>
        <v>18 is the age of</v>
      </c>
      <c r="I2271" s="49" t="str">
        <f t="shared" ca="1" si="2269"/>
        <v>18 is the age of</v>
      </c>
      <c r="J2271" s="49" t="str">
        <f t="shared" ca="1" si="2269"/>
        <v>18 is the age of</v>
      </c>
    </row>
    <row r="2272" spans="1:10" ht="25.5" x14ac:dyDescent="0.2">
      <c r="A2272" s="41" t="s">
        <v>1865</v>
      </c>
      <c r="B2272" s="40"/>
      <c r="C2272" s="40"/>
      <c r="D2272" s="40"/>
      <c r="E2272" s="40"/>
      <c r="F2272" s="49" t="str">
        <f t="shared" ref="F2272:J2272" ca="1" si="2270">IFERROR(__xludf.DUMMYFUNCTION("if (A2272 &lt;&gt; """", GOOGLETRANSLATE(A2272, ""auto"", ""en""), """")"),"I am ten years old")</f>
        <v>I am ten years old</v>
      </c>
      <c r="G2272" s="49" t="str">
        <f t="shared" ca="1" si="2270"/>
        <v>I am ten years old</v>
      </c>
      <c r="H2272" s="49" t="str">
        <f t="shared" ca="1" si="2270"/>
        <v>I am ten years old</v>
      </c>
      <c r="I2272" s="49" t="str">
        <f t="shared" ca="1" si="2270"/>
        <v>I am ten years old</v>
      </c>
      <c r="J2272" s="49" t="str">
        <f t="shared" ca="1" si="2270"/>
        <v>I am ten years old</v>
      </c>
    </row>
    <row r="2273" spans="1:10" ht="25.5" x14ac:dyDescent="0.2">
      <c r="A2273" s="41" t="s">
        <v>1866</v>
      </c>
      <c r="B2273" s="40"/>
      <c r="C2273" s="40"/>
      <c r="D2273" s="40"/>
      <c r="E2273" s="40"/>
      <c r="F2273" s="49" t="str">
        <f t="shared" ref="F2273:J2273" ca="1" si="2271">IFERROR(__xludf.DUMMYFUNCTION("if (A2273 &lt;&gt; """", GOOGLETRANSLATE(A2273, ""auto"", ""en""), """")"),"Age is 10 years old")</f>
        <v>Age is 10 years old</v>
      </c>
      <c r="G2273" s="49" t="str">
        <f t="shared" ca="1" si="2271"/>
        <v>Age is 10 years old</v>
      </c>
      <c r="H2273" s="49" t="str">
        <f t="shared" ca="1" si="2271"/>
        <v>Age is 10 years old</v>
      </c>
      <c r="I2273" s="49" t="str">
        <f t="shared" ca="1" si="2271"/>
        <v>Age is 10 years old</v>
      </c>
      <c r="J2273" s="49" t="str">
        <f t="shared" ca="1" si="2271"/>
        <v>Age is 10 years old</v>
      </c>
    </row>
    <row r="2274" spans="1:10" ht="25.5" x14ac:dyDescent="0.2">
      <c r="A2274" s="41" t="s">
        <v>1867</v>
      </c>
      <c r="B2274" s="40"/>
      <c r="C2274" s="40"/>
      <c r="D2274" s="40"/>
      <c r="E2274" s="40"/>
      <c r="F2274" s="49" t="str">
        <f t="shared" ref="F2274:J2274" ca="1" si="2272">IFERROR(__xludf.DUMMYFUNCTION("if (A2274 &lt;&gt; """", GOOGLETRANSLATE(A2274, ""auto"", ""en""), """")"),"My age is 20 years old")</f>
        <v>My age is 20 years old</v>
      </c>
      <c r="G2274" s="49" t="str">
        <f t="shared" ca="1" si="2272"/>
        <v>My age is 20 years old</v>
      </c>
      <c r="H2274" s="49" t="str">
        <f t="shared" ca="1" si="2272"/>
        <v>My age is 20 years old</v>
      </c>
      <c r="I2274" s="49" t="str">
        <f t="shared" ca="1" si="2272"/>
        <v>My age is 20 years old</v>
      </c>
      <c r="J2274" s="49" t="str">
        <f t="shared" ca="1" si="2272"/>
        <v>My age is 20 years old</v>
      </c>
    </row>
    <row r="2275" spans="1:10" ht="25.5" x14ac:dyDescent="0.2">
      <c r="A2275" s="41" t="s">
        <v>1868</v>
      </c>
      <c r="B2275" s="40"/>
      <c r="C2275" s="40"/>
      <c r="D2275" s="40"/>
      <c r="E2275" s="40"/>
      <c r="F2275" s="49" t="str">
        <f t="shared" ref="F2275:J2275" ca="1" si="2273">IFERROR(__xludf.DUMMYFUNCTION("if (A2275 &lt;&gt; """", GOOGLETRANSLATE(A2275, ""auto"", ""en""), """")"),"Today now 15-year-old")</f>
        <v>Today now 15-year-old</v>
      </c>
      <c r="G2275" s="49" t="str">
        <f t="shared" ca="1" si="2273"/>
        <v>Today now 15-year-old</v>
      </c>
      <c r="H2275" s="49" t="str">
        <f t="shared" ca="1" si="2273"/>
        <v>Today now 15-year-old</v>
      </c>
      <c r="I2275" s="49" t="str">
        <f t="shared" ca="1" si="2273"/>
        <v>Today now 15-year-old</v>
      </c>
      <c r="J2275" s="49" t="str">
        <f t="shared" ca="1" si="2273"/>
        <v>Today now 15-year-old</v>
      </c>
    </row>
    <row r="2276" spans="1:10" ht="38.25" x14ac:dyDescent="0.2">
      <c r="A2276" s="41" t="s">
        <v>1869</v>
      </c>
      <c r="B2276" s="40"/>
      <c r="C2276" s="40"/>
      <c r="D2276" s="40"/>
      <c r="E2276" s="40"/>
      <c r="F2276" s="49" t="str">
        <f t="shared" ref="F2276:J2276" ca="1" si="2274">IFERROR(__xludf.DUMMYFUNCTION("if (A2276 &lt;&gt; """", GOOGLETRANSLATE(A2276, ""auto"", ""en""), """")"),"This is where to become a 37-year-old")</f>
        <v>This is where to become a 37-year-old</v>
      </c>
      <c r="G2276" s="49" t="str">
        <f t="shared" ca="1" si="2274"/>
        <v>This is where to become a 37-year-old</v>
      </c>
      <c r="H2276" s="49" t="str">
        <f t="shared" ca="1" si="2274"/>
        <v>This is where to become a 37-year-old</v>
      </c>
      <c r="I2276" s="49" t="str">
        <f t="shared" ca="1" si="2274"/>
        <v>This is where to become a 37-year-old</v>
      </c>
      <c r="J2276" s="49" t="str">
        <f t="shared" ca="1" si="2274"/>
        <v>This is where to become a 37-year-old</v>
      </c>
    </row>
    <row r="2277" spans="1:10" ht="12.75" x14ac:dyDescent="0.2">
      <c r="A2277" s="40"/>
      <c r="B2277" s="41" t="s">
        <v>422</v>
      </c>
      <c r="C2277" s="41" t="s">
        <v>1870</v>
      </c>
      <c r="D2277" s="41" t="s">
        <v>489</v>
      </c>
      <c r="E2277" s="40"/>
      <c r="F2277" s="49" t="str">
        <f t="shared" ref="F2277:J2277" ca="1" si="2275">IFERROR(__xludf.DUMMYFUNCTION("if (A2277 &lt;&gt; """", GOOGLETRANSLATE(A2277, ""auto"", ""en""), """")"),"")</f>
        <v/>
      </c>
      <c r="G2277" s="49" t="str">
        <f t="shared" ca="1" si="2275"/>
        <v/>
      </c>
      <c r="H2277" s="49" t="str">
        <f t="shared" ca="1" si="2275"/>
        <v/>
      </c>
      <c r="I2277" s="49" t="str">
        <f t="shared" ca="1" si="2275"/>
        <v/>
      </c>
      <c r="J2277" s="49" t="str">
        <f t="shared" ca="1" si="2275"/>
        <v/>
      </c>
    </row>
    <row r="2278" spans="1:10" ht="12.75" x14ac:dyDescent="0.2">
      <c r="A2278" s="40"/>
      <c r="B2278" s="40"/>
      <c r="C2278" s="40"/>
      <c r="D2278" s="40"/>
      <c r="E2278" s="40"/>
      <c r="F2278" s="49" t="str">
        <f t="shared" ref="F2278:J2278" ca="1" si="2276">IFERROR(__xludf.DUMMYFUNCTION("if (A2278 &lt;&gt; """", GOOGLETRANSLATE(A2278, ""auto"", ""en""), """")"),"")</f>
        <v/>
      </c>
      <c r="G2278" s="49" t="str">
        <f t="shared" ca="1" si="2276"/>
        <v/>
      </c>
      <c r="H2278" s="49" t="str">
        <f t="shared" ca="1" si="2276"/>
        <v/>
      </c>
      <c r="I2278" s="49" t="str">
        <f t="shared" ca="1" si="2276"/>
        <v/>
      </c>
      <c r="J2278" s="49" t="str">
        <f t="shared" ca="1" si="2276"/>
        <v/>
      </c>
    </row>
    <row r="2279" spans="1:10" ht="25.5" x14ac:dyDescent="0.2">
      <c r="A2279" s="41" t="s">
        <v>1871</v>
      </c>
      <c r="B2279" s="40"/>
      <c r="C2279" s="40"/>
      <c r="D2279" s="40"/>
      <c r="E2279" s="40"/>
      <c r="F2279" s="49" t="str">
        <f t="shared" ref="F2279:J2279" ca="1" si="2277">IFERROR(__xludf.DUMMYFUNCTION("if (A2279 &lt;&gt; """", GOOGLETRANSLATE(A2279, ""auto"", ""en""), """")"),"smalltalk.user.angry")</f>
        <v>smalltalk.user.angry</v>
      </c>
      <c r="G2279" s="49" t="str">
        <f t="shared" ca="1" si="2277"/>
        <v>smalltalk.user.angry</v>
      </c>
      <c r="H2279" s="49" t="str">
        <f t="shared" ca="1" si="2277"/>
        <v>smalltalk.user.angry</v>
      </c>
      <c r="I2279" s="49" t="str">
        <f t="shared" ca="1" si="2277"/>
        <v>smalltalk.user.angry</v>
      </c>
      <c r="J2279" s="49" t="str">
        <f t="shared" ca="1" si="2277"/>
        <v>smalltalk.user.angry</v>
      </c>
    </row>
    <row r="2280" spans="1:10" ht="12.75" x14ac:dyDescent="0.2">
      <c r="A2280" s="40"/>
      <c r="B2280" s="41" t="s">
        <v>398</v>
      </c>
      <c r="C2280" s="40"/>
      <c r="D2280" s="40"/>
      <c r="E2280" s="40"/>
      <c r="F2280" s="49" t="str">
        <f t="shared" ref="F2280:J2280" ca="1" si="2278">IFERROR(__xludf.DUMMYFUNCTION("if (A2280 &lt;&gt; """", GOOGLETRANSLATE(A2280, ""auto"", ""en""), """")"),"")</f>
        <v/>
      </c>
      <c r="G2280" s="49" t="str">
        <f t="shared" ca="1" si="2278"/>
        <v/>
      </c>
      <c r="H2280" s="49" t="str">
        <f t="shared" ca="1" si="2278"/>
        <v/>
      </c>
      <c r="I2280" s="49" t="str">
        <f t="shared" ca="1" si="2278"/>
        <v/>
      </c>
      <c r="J2280" s="49" t="str">
        <f t="shared" ca="1" si="2278"/>
        <v/>
      </c>
    </row>
    <row r="2281" spans="1:10" ht="12.75" x14ac:dyDescent="0.2">
      <c r="A2281" s="40"/>
      <c r="B2281" s="41" t="s">
        <v>399</v>
      </c>
      <c r="C2281" s="40"/>
      <c r="D2281" s="40"/>
      <c r="E2281" s="40"/>
      <c r="F2281" s="49" t="str">
        <f t="shared" ref="F2281:J2281" ca="1" si="2279">IFERROR(__xludf.DUMMYFUNCTION("if (A2281 &lt;&gt; """", GOOGLETRANSLATE(A2281, ""auto"", ""en""), """")"),"")</f>
        <v/>
      </c>
      <c r="G2281" s="49" t="str">
        <f t="shared" ca="1" si="2279"/>
        <v/>
      </c>
      <c r="H2281" s="49" t="str">
        <f t="shared" ca="1" si="2279"/>
        <v/>
      </c>
      <c r="I2281" s="49" t="str">
        <f t="shared" ca="1" si="2279"/>
        <v/>
      </c>
      <c r="J2281" s="49" t="str">
        <f t="shared" ca="1" si="2279"/>
        <v/>
      </c>
    </row>
    <row r="2282" spans="1:10" ht="12.75" x14ac:dyDescent="0.2">
      <c r="A2282" s="40"/>
      <c r="B2282" s="41" t="s">
        <v>400</v>
      </c>
      <c r="C2282" s="41" t="s">
        <v>1871</v>
      </c>
      <c r="D2282" s="40"/>
      <c r="E2282" s="40"/>
      <c r="F2282" s="49" t="str">
        <f t="shared" ref="F2282:J2282" ca="1" si="2280">IFERROR(__xludf.DUMMYFUNCTION("if (A2282 &lt;&gt; """", GOOGLETRANSLATE(A2282, ""auto"", ""en""), """")"),"")</f>
        <v/>
      </c>
      <c r="G2282" s="49" t="str">
        <f t="shared" ca="1" si="2280"/>
        <v/>
      </c>
      <c r="H2282" s="49" t="str">
        <f t="shared" ca="1" si="2280"/>
        <v/>
      </c>
      <c r="I2282" s="49" t="str">
        <f t="shared" ca="1" si="2280"/>
        <v/>
      </c>
      <c r="J2282" s="49" t="str">
        <f t="shared" ca="1" si="2280"/>
        <v/>
      </c>
    </row>
    <row r="2283" spans="1:10" ht="12.75" x14ac:dyDescent="0.2">
      <c r="A2283" s="40"/>
      <c r="B2283" s="41" t="s">
        <v>401</v>
      </c>
      <c r="C2283" s="40"/>
      <c r="D2283" s="40"/>
      <c r="E2283" s="40"/>
      <c r="F2283" s="49" t="str">
        <f t="shared" ref="F2283:J2283" ca="1" si="2281">IFERROR(__xludf.DUMMYFUNCTION("if (A2283 &lt;&gt; """", GOOGLETRANSLATE(A2283, ""auto"", ""en""), """")"),"")</f>
        <v/>
      </c>
      <c r="G2283" s="49" t="str">
        <f t="shared" ca="1" si="2281"/>
        <v/>
      </c>
      <c r="H2283" s="49" t="str">
        <f t="shared" ca="1" si="2281"/>
        <v/>
      </c>
      <c r="I2283" s="49" t="str">
        <f t="shared" ca="1" si="2281"/>
        <v/>
      </c>
      <c r="J2283" s="49" t="str">
        <f t="shared" ca="1" si="2281"/>
        <v/>
      </c>
    </row>
    <row r="2284" spans="1:10" ht="38.25" x14ac:dyDescent="0.2">
      <c r="A2284" s="41" t="s">
        <v>1872</v>
      </c>
      <c r="B2284" s="41" t="s">
        <v>402</v>
      </c>
      <c r="C2284" s="41" t="s">
        <v>1873</v>
      </c>
      <c r="D2284" s="40"/>
      <c r="E2284" s="40"/>
      <c r="F2284" s="49" t="str">
        <f t="shared" ref="F2284:J2284" ca="1" si="2282">IFERROR(__xludf.DUMMYFUNCTION("if (A2284 &lt;&gt; """", GOOGLETRANSLATE(A2284, ""auto"", ""en""), """")"),"It has come to a head now")</f>
        <v>It has come to a head now</v>
      </c>
      <c r="G2284" s="49" t="str">
        <f t="shared" ca="1" si="2282"/>
        <v>It has come to a head now</v>
      </c>
      <c r="H2284" s="49" t="str">
        <f t="shared" ca="1" si="2282"/>
        <v>It has come to a head now</v>
      </c>
      <c r="I2284" s="49" t="str">
        <f t="shared" ca="1" si="2282"/>
        <v>It has come to a head now</v>
      </c>
      <c r="J2284" s="49" t="str">
        <f t="shared" ca="1" si="2282"/>
        <v>It has come to a head now</v>
      </c>
    </row>
    <row r="2285" spans="1:10" ht="12.75" x14ac:dyDescent="0.2">
      <c r="A2285" s="41" t="s">
        <v>1874</v>
      </c>
      <c r="B2285" s="40"/>
      <c r="C2285" s="40"/>
      <c r="D2285" s="40"/>
      <c r="E2285" s="40"/>
      <c r="F2285" s="49" t="str">
        <f t="shared" ref="F2285:J2285" ca="1" si="2283">IFERROR(__xludf.DUMMYFUNCTION("if (A2285 &lt;&gt; """", GOOGLETRANSLATE(A2285, ""auto"", ""en""), """")"),"Are angry")</f>
        <v>Are angry</v>
      </c>
      <c r="G2285" s="49" t="str">
        <f t="shared" ca="1" si="2283"/>
        <v>Are angry</v>
      </c>
      <c r="H2285" s="49" t="str">
        <f t="shared" ca="1" si="2283"/>
        <v>Are angry</v>
      </c>
      <c r="I2285" s="49" t="str">
        <f t="shared" ca="1" si="2283"/>
        <v>Are angry</v>
      </c>
      <c r="J2285" s="49" t="str">
        <f t="shared" ca="1" si="2283"/>
        <v>Are angry</v>
      </c>
    </row>
    <row r="2286" spans="1:10" ht="12.75" x14ac:dyDescent="0.2">
      <c r="A2286" s="41" t="s">
        <v>1875</v>
      </c>
      <c r="B2286" s="40"/>
      <c r="C2286" s="40"/>
      <c r="D2286" s="40"/>
      <c r="E2286" s="40"/>
      <c r="F2286" s="49" t="str">
        <f t="shared" ref="F2286:J2286" ca="1" si="2284">IFERROR(__xludf.DUMMYFUNCTION("if (A2286 &lt;&gt; """", GOOGLETRANSLATE(A2286, ""auto"", ""en""), """")"),"Angry")</f>
        <v>Angry</v>
      </c>
      <c r="G2286" s="49" t="str">
        <f t="shared" ca="1" si="2284"/>
        <v>Angry</v>
      </c>
      <c r="H2286" s="49" t="str">
        <f t="shared" ca="1" si="2284"/>
        <v>Angry</v>
      </c>
      <c r="I2286" s="49" t="str">
        <f t="shared" ca="1" si="2284"/>
        <v>Angry</v>
      </c>
      <c r="J2286" s="49" t="str">
        <f t="shared" ca="1" si="2284"/>
        <v>Angry</v>
      </c>
    </row>
    <row r="2287" spans="1:10" ht="12.75" x14ac:dyDescent="0.2">
      <c r="A2287" s="41" t="s">
        <v>1876</v>
      </c>
      <c r="B2287" s="40"/>
      <c r="C2287" s="40"/>
      <c r="D2287" s="40"/>
      <c r="E2287" s="40"/>
      <c r="F2287" s="49" t="str">
        <f t="shared" ref="F2287:J2287" ca="1" si="2285">IFERROR(__xludf.DUMMYFUNCTION("if (A2287 &lt;&gt; """", GOOGLETRANSLATE(A2287, ""auto"", ""en""), """")"),"Furious")</f>
        <v>Furious</v>
      </c>
      <c r="G2287" s="49" t="str">
        <f t="shared" ca="1" si="2285"/>
        <v>Furious</v>
      </c>
      <c r="H2287" s="49" t="str">
        <f t="shared" ca="1" si="2285"/>
        <v>Furious</v>
      </c>
      <c r="I2287" s="49" t="str">
        <f t="shared" ca="1" si="2285"/>
        <v>Furious</v>
      </c>
      <c r="J2287" s="49" t="str">
        <f t="shared" ca="1" si="2285"/>
        <v>Furious</v>
      </c>
    </row>
    <row r="2288" spans="1:10" ht="25.5" x14ac:dyDescent="0.2">
      <c r="A2288" s="41" t="s">
        <v>1877</v>
      </c>
      <c r="B2288" s="40"/>
      <c r="C2288" s="40"/>
      <c r="D2288" s="40"/>
      <c r="E2288" s="40"/>
      <c r="F2288" s="49" t="str">
        <f t="shared" ref="F2288:J2288" ca="1" si="2286">IFERROR(__xludf.DUMMYFUNCTION("if (A2288 &lt;&gt; """", GOOGLETRANSLATE(A2288, ""auto"", ""en""), """")"),"You have angry")</f>
        <v>You have angry</v>
      </c>
      <c r="G2288" s="49" t="str">
        <f t="shared" ca="1" si="2286"/>
        <v>You have angry</v>
      </c>
      <c r="H2288" s="49" t="str">
        <f t="shared" ca="1" si="2286"/>
        <v>You have angry</v>
      </c>
      <c r="I2288" s="49" t="str">
        <f t="shared" ca="1" si="2286"/>
        <v>You have angry</v>
      </c>
      <c r="J2288" s="49" t="str">
        <f t="shared" ca="1" si="2286"/>
        <v>You have angry</v>
      </c>
    </row>
    <row r="2289" spans="1:10" ht="25.5" x14ac:dyDescent="0.2">
      <c r="A2289" s="41" t="s">
        <v>1878</v>
      </c>
      <c r="B2289" s="40"/>
      <c r="C2289" s="40"/>
      <c r="D2289" s="40"/>
      <c r="E2289" s="40"/>
      <c r="F2289" s="49" t="str">
        <f t="shared" ref="F2289:J2289" ca="1" si="2287">IFERROR(__xludf.DUMMYFUNCTION("if (A2289 &lt;&gt; """", GOOGLETRANSLATE(A2289, ""auto"", ""en""), """")"),"Muka comes with")</f>
        <v>Muka comes with</v>
      </c>
      <c r="G2289" s="49" t="str">
        <f t="shared" ca="1" si="2287"/>
        <v>Muka comes with</v>
      </c>
      <c r="H2289" s="49" t="str">
        <f t="shared" ca="1" si="2287"/>
        <v>Muka comes with</v>
      </c>
      <c r="I2289" s="49" t="str">
        <f t="shared" ca="1" si="2287"/>
        <v>Muka comes with</v>
      </c>
      <c r="J2289" s="49" t="str">
        <f t="shared" ca="1" si="2287"/>
        <v>Muka comes with</v>
      </c>
    </row>
    <row r="2290" spans="1:10" ht="25.5" x14ac:dyDescent="0.2">
      <c r="A2290" s="41" t="s">
        <v>1879</v>
      </c>
      <c r="B2290" s="40"/>
      <c r="C2290" s="40"/>
      <c r="D2290" s="40"/>
      <c r="E2290" s="40"/>
      <c r="F2290" s="49" t="str">
        <f t="shared" ref="F2290:J2290" ca="1" si="2288">IFERROR(__xludf.DUMMYFUNCTION("if (A2290 &lt;&gt; """", GOOGLETRANSLATE(A2290, ""auto"", ""en""), """")"),"You comes with a suck")</f>
        <v>You comes with a suck</v>
      </c>
      <c r="G2290" s="49" t="str">
        <f t="shared" ca="1" si="2288"/>
        <v>You comes with a suck</v>
      </c>
      <c r="H2290" s="49" t="str">
        <f t="shared" ca="1" si="2288"/>
        <v>You comes with a suck</v>
      </c>
      <c r="I2290" s="49" t="str">
        <f t="shared" ca="1" si="2288"/>
        <v>You comes with a suck</v>
      </c>
      <c r="J2290" s="49" t="str">
        <f t="shared" ca="1" si="2288"/>
        <v>You comes with a suck</v>
      </c>
    </row>
    <row r="2291" spans="1:10" ht="12.75" x14ac:dyDescent="0.2">
      <c r="A2291" s="40"/>
      <c r="B2291" s="40"/>
      <c r="C2291" s="40"/>
      <c r="D2291" s="40"/>
      <c r="E2291" s="40"/>
      <c r="F2291" s="49" t="str">
        <f t="shared" ref="F2291:J2291" ca="1" si="2289">IFERROR(__xludf.DUMMYFUNCTION("if (A2291 &lt;&gt; """", GOOGLETRANSLATE(A2291, ""auto"", ""en""), """")"),"")</f>
        <v/>
      </c>
      <c r="G2291" s="49" t="str">
        <f t="shared" ca="1" si="2289"/>
        <v/>
      </c>
      <c r="H2291" s="49" t="str">
        <f t="shared" ca="1" si="2289"/>
        <v/>
      </c>
      <c r="I2291" s="49" t="str">
        <f t="shared" ca="1" si="2289"/>
        <v/>
      </c>
      <c r="J2291" s="49" t="str">
        <f t="shared" ca="1" si="2289"/>
        <v/>
      </c>
    </row>
    <row r="2292" spans="1:10" ht="25.5" x14ac:dyDescent="0.2">
      <c r="A2292" s="41" t="s">
        <v>1880</v>
      </c>
      <c r="B2292" s="40"/>
      <c r="C2292" s="40"/>
      <c r="D2292" s="40"/>
      <c r="E2292" s="40"/>
      <c r="F2292" s="49" t="str">
        <f t="shared" ref="F2292:J2292" ca="1" si="2290">IFERROR(__xludf.DUMMYFUNCTION("if (A2292 &lt;&gt; """", GOOGLETRANSLATE(A2292, ""auto"", ""en""), """")"),"smalltalk.user.back")</f>
        <v>smalltalk.user.back</v>
      </c>
      <c r="G2292" s="49" t="str">
        <f t="shared" ca="1" si="2290"/>
        <v>smalltalk.user.back</v>
      </c>
      <c r="H2292" s="49" t="str">
        <f t="shared" ca="1" si="2290"/>
        <v>smalltalk.user.back</v>
      </c>
      <c r="I2292" s="49" t="str">
        <f t="shared" ca="1" si="2290"/>
        <v>smalltalk.user.back</v>
      </c>
      <c r="J2292" s="49" t="str">
        <f t="shared" ca="1" si="2290"/>
        <v>smalltalk.user.back</v>
      </c>
    </row>
    <row r="2293" spans="1:10" ht="12.75" x14ac:dyDescent="0.2">
      <c r="A2293" s="40"/>
      <c r="B2293" s="41" t="s">
        <v>398</v>
      </c>
      <c r="C2293" s="40"/>
      <c r="D2293" s="40"/>
      <c r="E2293" s="40"/>
      <c r="F2293" s="49" t="str">
        <f t="shared" ref="F2293:J2293" ca="1" si="2291">IFERROR(__xludf.DUMMYFUNCTION("if (A2293 &lt;&gt; """", GOOGLETRANSLATE(A2293, ""auto"", ""en""), """")"),"")</f>
        <v/>
      </c>
      <c r="G2293" s="49" t="str">
        <f t="shared" ca="1" si="2291"/>
        <v/>
      </c>
      <c r="H2293" s="49" t="str">
        <f t="shared" ca="1" si="2291"/>
        <v/>
      </c>
      <c r="I2293" s="49" t="str">
        <f t="shared" ca="1" si="2291"/>
        <v/>
      </c>
      <c r="J2293" s="49" t="str">
        <f t="shared" ca="1" si="2291"/>
        <v/>
      </c>
    </row>
    <row r="2294" spans="1:10" ht="12.75" x14ac:dyDescent="0.2">
      <c r="A2294" s="40"/>
      <c r="B2294" s="41" t="s">
        <v>399</v>
      </c>
      <c r="C2294" s="40"/>
      <c r="D2294" s="40"/>
      <c r="E2294" s="40"/>
      <c r="F2294" s="49" t="str">
        <f t="shared" ref="F2294:J2294" ca="1" si="2292">IFERROR(__xludf.DUMMYFUNCTION("if (A2294 &lt;&gt; """", GOOGLETRANSLATE(A2294, ""auto"", ""en""), """")"),"")</f>
        <v/>
      </c>
      <c r="G2294" s="49" t="str">
        <f t="shared" ca="1" si="2292"/>
        <v/>
      </c>
      <c r="H2294" s="49" t="str">
        <f t="shared" ca="1" si="2292"/>
        <v/>
      </c>
      <c r="I2294" s="49" t="str">
        <f t="shared" ca="1" si="2292"/>
        <v/>
      </c>
      <c r="J2294" s="49" t="str">
        <f t="shared" ca="1" si="2292"/>
        <v/>
      </c>
    </row>
    <row r="2295" spans="1:10" ht="12.75" x14ac:dyDescent="0.2">
      <c r="A2295" s="40"/>
      <c r="B2295" s="41" t="s">
        <v>400</v>
      </c>
      <c r="C2295" s="41" t="s">
        <v>1880</v>
      </c>
      <c r="D2295" s="40"/>
      <c r="E2295" s="40"/>
      <c r="F2295" s="49" t="str">
        <f t="shared" ref="F2295:J2295" ca="1" si="2293">IFERROR(__xludf.DUMMYFUNCTION("if (A2295 &lt;&gt; """", GOOGLETRANSLATE(A2295, ""auto"", ""en""), """")"),"")</f>
        <v/>
      </c>
      <c r="G2295" s="49" t="str">
        <f t="shared" ca="1" si="2293"/>
        <v/>
      </c>
      <c r="H2295" s="49" t="str">
        <f t="shared" ca="1" si="2293"/>
        <v/>
      </c>
      <c r="I2295" s="49" t="str">
        <f t="shared" ca="1" si="2293"/>
        <v/>
      </c>
      <c r="J2295" s="49" t="str">
        <f t="shared" ca="1" si="2293"/>
        <v/>
      </c>
    </row>
    <row r="2296" spans="1:10" ht="12.75" x14ac:dyDescent="0.2">
      <c r="A2296" s="40"/>
      <c r="B2296" s="41" t="s">
        <v>401</v>
      </c>
      <c r="C2296" s="40"/>
      <c r="D2296" s="40"/>
      <c r="E2296" s="40"/>
      <c r="F2296" s="49" t="str">
        <f t="shared" ref="F2296:J2296" ca="1" si="2294">IFERROR(__xludf.DUMMYFUNCTION("if (A2296 &lt;&gt; """", GOOGLETRANSLATE(A2296, ""auto"", ""en""), """")"),"")</f>
        <v/>
      </c>
      <c r="G2296" s="49" t="str">
        <f t="shared" ca="1" si="2294"/>
        <v/>
      </c>
      <c r="H2296" s="49" t="str">
        <f t="shared" ca="1" si="2294"/>
        <v/>
      </c>
      <c r="I2296" s="49" t="str">
        <f t="shared" ca="1" si="2294"/>
        <v/>
      </c>
      <c r="J2296" s="49" t="str">
        <f t="shared" ca="1" si="2294"/>
        <v/>
      </c>
    </row>
    <row r="2297" spans="1:10" ht="12.75" x14ac:dyDescent="0.2">
      <c r="A2297" s="41" t="s">
        <v>1881</v>
      </c>
      <c r="B2297" s="41" t="s">
        <v>402</v>
      </c>
      <c r="C2297" s="41" t="s">
        <v>1882</v>
      </c>
      <c r="D2297" s="40"/>
      <c r="E2297" s="40"/>
      <c r="F2297" s="49" t="str">
        <f t="shared" ref="F2297:J2297" ca="1" si="2295">IFERROR(__xludf.DUMMYFUNCTION("if (A2297 &lt;&gt; """", GOOGLETRANSLATE(A2297, ""auto"", ""en""), """")"),"I'm back")</f>
        <v>I'm back</v>
      </c>
      <c r="G2297" s="49" t="str">
        <f t="shared" ca="1" si="2295"/>
        <v>I'm back</v>
      </c>
      <c r="H2297" s="49" t="str">
        <f t="shared" ca="1" si="2295"/>
        <v>I'm back</v>
      </c>
      <c r="I2297" s="49" t="str">
        <f t="shared" ca="1" si="2295"/>
        <v>I'm back</v>
      </c>
      <c r="J2297" s="49" t="str">
        <f t="shared" ca="1" si="2295"/>
        <v>I'm back</v>
      </c>
    </row>
    <row r="2298" spans="1:10" ht="12.75" x14ac:dyDescent="0.2">
      <c r="A2298" s="41" t="s">
        <v>1883</v>
      </c>
      <c r="B2298" s="40"/>
      <c r="C2298" s="40"/>
      <c r="D2298" s="40"/>
      <c r="E2298" s="40"/>
      <c r="F2298" s="49" t="str">
        <f t="shared" ref="F2298:J2298" ca="1" si="2296">IFERROR(__xludf.DUMMYFUNCTION("if (A2298 &lt;&gt; """", GOOGLETRANSLATE(A2298, ""auto"", ""en""), """")"),"Also returned")</f>
        <v>Also returned</v>
      </c>
      <c r="G2298" s="49" t="str">
        <f t="shared" ca="1" si="2296"/>
        <v>Also returned</v>
      </c>
      <c r="H2298" s="49" t="str">
        <f t="shared" ca="1" si="2296"/>
        <v>Also returned</v>
      </c>
      <c r="I2298" s="49" t="str">
        <f t="shared" ca="1" si="2296"/>
        <v>Also returned</v>
      </c>
      <c r="J2298" s="49" t="str">
        <f t="shared" ca="1" si="2296"/>
        <v>Also returned</v>
      </c>
    </row>
    <row r="2299" spans="1:10" ht="25.5" x14ac:dyDescent="0.2">
      <c r="A2299" s="41" t="s">
        <v>1884</v>
      </c>
      <c r="B2299" s="40"/>
      <c r="C2299" s="40"/>
      <c r="D2299" s="40"/>
      <c r="E2299" s="40"/>
      <c r="F2299" s="49" t="str">
        <f t="shared" ref="F2299:J2299" ca="1" si="2297">IFERROR(__xludf.DUMMYFUNCTION("if (A2299 &lt;&gt; """", GOOGLETRANSLATE(A2299, ""auto"", ""en""), """")"),"In addition, we return")</f>
        <v>In addition, we return</v>
      </c>
      <c r="G2299" s="49" t="str">
        <f t="shared" ca="1" si="2297"/>
        <v>In addition, we return</v>
      </c>
      <c r="H2299" s="49" t="str">
        <f t="shared" ca="1" si="2297"/>
        <v>In addition, we return</v>
      </c>
      <c r="I2299" s="49" t="str">
        <f t="shared" ca="1" si="2297"/>
        <v>In addition, we return</v>
      </c>
      <c r="J2299" s="49" t="str">
        <f t="shared" ca="1" si="2297"/>
        <v>In addition, we return</v>
      </c>
    </row>
    <row r="2300" spans="1:10" ht="12.75" x14ac:dyDescent="0.2">
      <c r="A2300" s="41" t="s">
        <v>1885</v>
      </c>
      <c r="B2300" s="40"/>
      <c r="C2300" s="40"/>
      <c r="D2300" s="40"/>
      <c r="E2300" s="40"/>
      <c r="F2300" s="49" t="str">
        <f t="shared" ref="F2300:J2300" ca="1" si="2298">IFERROR(__xludf.DUMMYFUNCTION("if (A2300 &lt;&gt; """", GOOGLETRANSLATE(A2300, ""auto"", ""en""), """")"),"Returned")</f>
        <v>Returned</v>
      </c>
      <c r="G2300" s="49" t="str">
        <f t="shared" ca="1" si="2298"/>
        <v>Returned</v>
      </c>
      <c r="H2300" s="49" t="str">
        <f t="shared" ca="1" si="2298"/>
        <v>Returned</v>
      </c>
      <c r="I2300" s="49" t="str">
        <f t="shared" ca="1" si="2298"/>
        <v>Returned</v>
      </c>
      <c r="J2300" s="49" t="str">
        <f t="shared" ca="1" si="2298"/>
        <v>Returned</v>
      </c>
    </row>
    <row r="2301" spans="1:10" ht="12.75" x14ac:dyDescent="0.2">
      <c r="A2301" s="41" t="s">
        <v>1886</v>
      </c>
      <c r="B2301" s="40"/>
      <c r="C2301" s="40"/>
      <c r="D2301" s="40"/>
      <c r="E2301" s="40"/>
      <c r="F2301" s="49" t="str">
        <f t="shared" ref="F2301:J2301" ca="1" si="2299">IFERROR(__xludf.DUMMYFUNCTION("if (A2301 &lt;&gt; """", GOOGLETRANSLATE(A2301, ""auto"", ""en""), """")"),"I came back")</f>
        <v>I came back</v>
      </c>
      <c r="G2301" s="49" t="str">
        <f t="shared" ca="1" si="2299"/>
        <v>I came back</v>
      </c>
      <c r="H2301" s="49" t="str">
        <f t="shared" ca="1" si="2299"/>
        <v>I came back</v>
      </c>
      <c r="I2301" s="49" t="str">
        <f t="shared" ca="1" si="2299"/>
        <v>I came back</v>
      </c>
      <c r="J2301" s="49" t="str">
        <f t="shared" ca="1" si="2299"/>
        <v>I came back</v>
      </c>
    </row>
    <row r="2302" spans="1:10" ht="12.75" x14ac:dyDescent="0.2">
      <c r="A2302" s="41" t="s">
        <v>1887</v>
      </c>
      <c r="B2302" s="40"/>
      <c r="C2302" s="40"/>
      <c r="D2302" s="40"/>
      <c r="E2302" s="40"/>
      <c r="F2302" s="49" t="str">
        <f t="shared" ref="F2302:J2302" ca="1" si="2300">IFERROR(__xludf.DUMMYFUNCTION("if (A2302 &lt;&gt; """", GOOGLETRANSLATE(A2302, ""auto"", ""en""), """")"),"I'm back")</f>
        <v>I'm back</v>
      </c>
      <c r="G2302" s="49" t="str">
        <f t="shared" ca="1" si="2300"/>
        <v>I'm back</v>
      </c>
      <c r="H2302" s="49" t="str">
        <f t="shared" ca="1" si="2300"/>
        <v>I'm back</v>
      </c>
      <c r="I2302" s="49" t="str">
        <f t="shared" ca="1" si="2300"/>
        <v>I'm back</v>
      </c>
      <c r="J2302" s="49" t="str">
        <f t="shared" ca="1" si="2300"/>
        <v>I'm back</v>
      </c>
    </row>
    <row r="2303" spans="1:10" ht="12.75" x14ac:dyDescent="0.2">
      <c r="A2303" s="40"/>
      <c r="B2303" s="40"/>
      <c r="C2303" s="40"/>
      <c r="D2303" s="40"/>
      <c r="E2303" s="40"/>
      <c r="F2303" s="49" t="str">
        <f t="shared" ref="F2303:J2303" ca="1" si="2301">IFERROR(__xludf.DUMMYFUNCTION("if (A2303 &lt;&gt; """", GOOGLETRANSLATE(A2303, ""auto"", ""en""), """")"),"")</f>
        <v/>
      </c>
      <c r="G2303" s="49" t="str">
        <f t="shared" ca="1" si="2301"/>
        <v/>
      </c>
      <c r="H2303" s="49" t="str">
        <f t="shared" ca="1" si="2301"/>
        <v/>
      </c>
      <c r="I2303" s="49" t="str">
        <f t="shared" ca="1" si="2301"/>
        <v/>
      </c>
      <c r="J2303" s="49" t="str">
        <f t="shared" ca="1" si="2301"/>
        <v/>
      </c>
    </row>
    <row r="2304" spans="1:10" ht="25.5" x14ac:dyDescent="0.2">
      <c r="A2304" s="41" t="s">
        <v>1888</v>
      </c>
      <c r="B2304" s="40"/>
      <c r="C2304" s="40"/>
      <c r="D2304" s="40"/>
      <c r="E2304" s="40"/>
      <c r="F2304" s="49" t="str">
        <f t="shared" ref="F2304:J2304" ca="1" si="2302">IFERROR(__xludf.DUMMYFUNCTION("if (A2304 &lt;&gt; """", GOOGLETRANSLATE(A2304, ""auto"", ""en""), """")"),"smalltalk.user.bored")</f>
        <v>smalltalk.user.bored</v>
      </c>
      <c r="G2304" s="49" t="str">
        <f t="shared" ca="1" si="2302"/>
        <v>smalltalk.user.bored</v>
      </c>
      <c r="H2304" s="49" t="str">
        <f t="shared" ca="1" si="2302"/>
        <v>smalltalk.user.bored</v>
      </c>
      <c r="I2304" s="49" t="str">
        <f t="shared" ca="1" si="2302"/>
        <v>smalltalk.user.bored</v>
      </c>
      <c r="J2304" s="49" t="str">
        <f t="shared" ca="1" si="2302"/>
        <v>smalltalk.user.bored</v>
      </c>
    </row>
    <row r="2305" spans="1:10" ht="12.75" x14ac:dyDescent="0.2">
      <c r="A2305" s="40"/>
      <c r="B2305" s="41" t="s">
        <v>398</v>
      </c>
      <c r="C2305" s="40"/>
      <c r="D2305" s="40"/>
      <c r="E2305" s="40"/>
      <c r="F2305" s="49" t="str">
        <f t="shared" ref="F2305:J2305" ca="1" si="2303">IFERROR(__xludf.DUMMYFUNCTION("if (A2305 &lt;&gt; """", GOOGLETRANSLATE(A2305, ""auto"", ""en""), """")"),"")</f>
        <v/>
      </c>
      <c r="G2305" s="49" t="str">
        <f t="shared" ca="1" si="2303"/>
        <v/>
      </c>
      <c r="H2305" s="49" t="str">
        <f t="shared" ca="1" si="2303"/>
        <v/>
      </c>
      <c r="I2305" s="49" t="str">
        <f t="shared" ca="1" si="2303"/>
        <v/>
      </c>
      <c r="J2305" s="49" t="str">
        <f t="shared" ca="1" si="2303"/>
        <v/>
      </c>
    </row>
    <row r="2306" spans="1:10" ht="12.75" x14ac:dyDescent="0.2">
      <c r="A2306" s="40"/>
      <c r="B2306" s="41" t="s">
        <v>399</v>
      </c>
      <c r="C2306" s="40"/>
      <c r="D2306" s="40"/>
      <c r="E2306" s="40"/>
      <c r="F2306" s="49" t="str">
        <f t="shared" ref="F2306:J2306" ca="1" si="2304">IFERROR(__xludf.DUMMYFUNCTION("if (A2306 &lt;&gt; """", GOOGLETRANSLATE(A2306, ""auto"", ""en""), """")"),"")</f>
        <v/>
      </c>
      <c r="G2306" s="49" t="str">
        <f t="shared" ca="1" si="2304"/>
        <v/>
      </c>
      <c r="H2306" s="49" t="str">
        <f t="shared" ca="1" si="2304"/>
        <v/>
      </c>
      <c r="I2306" s="49" t="str">
        <f t="shared" ca="1" si="2304"/>
        <v/>
      </c>
      <c r="J2306" s="49" t="str">
        <f t="shared" ca="1" si="2304"/>
        <v/>
      </c>
    </row>
    <row r="2307" spans="1:10" ht="12.75" x14ac:dyDescent="0.2">
      <c r="A2307" s="40"/>
      <c r="B2307" s="41" t="s">
        <v>400</v>
      </c>
      <c r="C2307" s="41" t="s">
        <v>1888</v>
      </c>
      <c r="D2307" s="40"/>
      <c r="E2307" s="40"/>
      <c r="F2307" s="49" t="str">
        <f t="shared" ref="F2307:J2307" ca="1" si="2305">IFERROR(__xludf.DUMMYFUNCTION("if (A2307 &lt;&gt; """", GOOGLETRANSLATE(A2307, ""auto"", ""en""), """")"),"")</f>
        <v/>
      </c>
      <c r="G2307" s="49" t="str">
        <f t="shared" ca="1" si="2305"/>
        <v/>
      </c>
      <c r="H2307" s="49" t="str">
        <f t="shared" ca="1" si="2305"/>
        <v/>
      </c>
      <c r="I2307" s="49" t="str">
        <f t="shared" ca="1" si="2305"/>
        <v/>
      </c>
      <c r="J2307" s="49" t="str">
        <f t="shared" ca="1" si="2305"/>
        <v/>
      </c>
    </row>
    <row r="2308" spans="1:10" ht="12.75" x14ac:dyDescent="0.2">
      <c r="A2308" s="40"/>
      <c r="B2308" s="41" t="s">
        <v>401</v>
      </c>
      <c r="C2308" s="40"/>
      <c r="D2308" s="40"/>
      <c r="E2308" s="40"/>
      <c r="F2308" s="49" t="str">
        <f t="shared" ref="F2308:J2308" ca="1" si="2306">IFERROR(__xludf.DUMMYFUNCTION("if (A2308 &lt;&gt; """", GOOGLETRANSLATE(A2308, ""auto"", ""en""), """")"),"")</f>
        <v/>
      </c>
      <c r="G2308" s="49" t="str">
        <f t="shared" ca="1" si="2306"/>
        <v/>
      </c>
      <c r="H2308" s="49" t="str">
        <f t="shared" ca="1" si="2306"/>
        <v/>
      </c>
      <c r="I2308" s="49" t="str">
        <f t="shared" ca="1" si="2306"/>
        <v/>
      </c>
      <c r="J2308" s="49" t="str">
        <f t="shared" ca="1" si="2306"/>
        <v/>
      </c>
    </row>
    <row r="2309" spans="1:10" ht="25.5" x14ac:dyDescent="0.2">
      <c r="A2309" s="41" t="s">
        <v>1889</v>
      </c>
      <c r="B2309" s="41" t="s">
        <v>402</v>
      </c>
      <c r="C2309" s="41" t="s">
        <v>1890</v>
      </c>
      <c r="D2309" s="40"/>
      <c r="E2309" s="40"/>
      <c r="F2309" s="49" t="str">
        <f t="shared" ref="F2309:J2309" ca="1" si="2307">IFERROR(__xludf.DUMMYFUNCTION("if (A2309 &lt;&gt; """", GOOGLETRANSLATE(A2309, ""auto"", ""en""), """")"),"it was boring")</f>
        <v>it was boring</v>
      </c>
      <c r="G2309" s="49" t="str">
        <f t="shared" ca="1" si="2307"/>
        <v>it was boring</v>
      </c>
      <c r="H2309" s="49" t="str">
        <f t="shared" ca="1" si="2307"/>
        <v>it was boring</v>
      </c>
      <c r="I2309" s="49" t="str">
        <f t="shared" ca="1" si="2307"/>
        <v>it was boring</v>
      </c>
      <c r="J2309" s="49" t="str">
        <f t="shared" ca="1" si="2307"/>
        <v>it was boring</v>
      </c>
    </row>
    <row r="2310" spans="1:10" ht="12.75" x14ac:dyDescent="0.2">
      <c r="A2310" s="41" t="s">
        <v>1891</v>
      </c>
      <c r="B2310" s="40"/>
      <c r="C2310" s="40"/>
      <c r="D2310" s="40"/>
      <c r="E2310" s="40"/>
      <c r="F2310" s="49" t="str">
        <f t="shared" ref="F2310:J2310" ca="1" si="2308">IFERROR(__xludf.DUMMYFUNCTION("if (A2310 &lt;&gt; """", GOOGLETRANSLATE(A2310, ""auto"", ""en""), """")"),"I am bored")</f>
        <v>I am bored</v>
      </c>
      <c r="G2310" s="49" t="str">
        <f t="shared" ca="1" si="2308"/>
        <v>I am bored</v>
      </c>
      <c r="H2310" s="49" t="str">
        <f t="shared" ca="1" si="2308"/>
        <v>I am bored</v>
      </c>
      <c r="I2310" s="49" t="str">
        <f t="shared" ca="1" si="2308"/>
        <v>I am bored</v>
      </c>
      <c r="J2310" s="49" t="str">
        <f t="shared" ca="1" si="2308"/>
        <v>I am bored</v>
      </c>
    </row>
    <row r="2311" spans="1:10" ht="12.75" x14ac:dyDescent="0.2">
      <c r="A2311" s="41" t="s">
        <v>1892</v>
      </c>
      <c r="B2311" s="40"/>
      <c r="C2311" s="40"/>
      <c r="D2311" s="40"/>
      <c r="E2311" s="40"/>
      <c r="F2311" s="49" t="str">
        <f t="shared" ref="F2311:J2311" ca="1" si="2309">IFERROR(__xludf.DUMMYFUNCTION("if (A2311 &lt;&gt; """", GOOGLETRANSLATE(A2311, ""auto"", ""en""), """")"),"bored")</f>
        <v>bored</v>
      </c>
      <c r="G2311" s="49" t="str">
        <f t="shared" ca="1" si="2309"/>
        <v>bored</v>
      </c>
      <c r="H2311" s="49" t="str">
        <f t="shared" ca="1" si="2309"/>
        <v>bored</v>
      </c>
      <c r="I2311" s="49" t="str">
        <f t="shared" ca="1" si="2309"/>
        <v>bored</v>
      </c>
      <c r="J2311" s="49" t="str">
        <f t="shared" ca="1" si="2309"/>
        <v>bored</v>
      </c>
    </row>
    <row r="2312" spans="1:10" ht="12.75" x14ac:dyDescent="0.2">
      <c r="A2312" s="41" t="s">
        <v>267</v>
      </c>
      <c r="B2312" s="40"/>
      <c r="C2312" s="40"/>
      <c r="D2312" s="40"/>
      <c r="E2312" s="40"/>
      <c r="F2312" s="49" t="str">
        <f t="shared" ref="F2312:J2312" ca="1" si="2310">IFERROR(__xludf.DUMMYFUNCTION("if (A2312 &lt;&gt; """", GOOGLETRANSLATE(A2312, ""auto"", ""en""), """")"),"Boring")</f>
        <v>Boring</v>
      </c>
      <c r="G2312" s="49" t="str">
        <f t="shared" ca="1" si="2310"/>
        <v>Boring</v>
      </c>
      <c r="H2312" s="49" t="str">
        <f t="shared" ca="1" si="2310"/>
        <v>Boring</v>
      </c>
      <c r="I2312" s="49" t="str">
        <f t="shared" ca="1" si="2310"/>
        <v>Boring</v>
      </c>
      <c r="J2312" s="49" t="str">
        <f t="shared" ca="1" si="2310"/>
        <v>Boring</v>
      </c>
    </row>
    <row r="2313" spans="1:10" ht="12.75" x14ac:dyDescent="0.2">
      <c r="A2313" s="41" t="s">
        <v>1893</v>
      </c>
      <c r="B2313" s="40"/>
      <c r="C2313" s="40"/>
      <c r="D2313" s="40"/>
      <c r="E2313" s="40"/>
      <c r="F2313" s="49" t="str">
        <f t="shared" ref="F2313:J2313" ca="1" si="2311">IFERROR(__xludf.DUMMYFUNCTION("if (A2313 &lt;&gt; """", GOOGLETRANSLATE(A2313, ""auto"", ""en""), """")"),"Have tired")</f>
        <v>Have tired</v>
      </c>
      <c r="G2313" s="49" t="str">
        <f t="shared" ca="1" si="2311"/>
        <v>Have tired</v>
      </c>
      <c r="H2313" s="49" t="str">
        <f t="shared" ca="1" si="2311"/>
        <v>Have tired</v>
      </c>
      <c r="I2313" s="49" t="str">
        <f t="shared" ca="1" si="2311"/>
        <v>Have tired</v>
      </c>
      <c r="J2313" s="49" t="str">
        <f t="shared" ca="1" si="2311"/>
        <v>Have tired</v>
      </c>
    </row>
    <row r="2314" spans="1:10" ht="12.75" x14ac:dyDescent="0.2">
      <c r="A2314" s="41" t="s">
        <v>1894</v>
      </c>
      <c r="B2314" s="40"/>
      <c r="C2314" s="40"/>
      <c r="D2314" s="40"/>
      <c r="E2314" s="40"/>
      <c r="F2314" s="49" t="str">
        <f t="shared" ref="F2314:J2314" ca="1" si="2312">IFERROR(__xludf.DUMMYFUNCTION("if (A2314 &lt;&gt; """", GOOGLETRANSLATE(A2314, ""auto"", ""en""), """")"),"This is boring")</f>
        <v>This is boring</v>
      </c>
      <c r="G2314" s="49" t="str">
        <f t="shared" ca="1" si="2312"/>
        <v>This is boring</v>
      </c>
      <c r="H2314" s="49" t="str">
        <f t="shared" ca="1" si="2312"/>
        <v>This is boring</v>
      </c>
      <c r="I2314" s="49" t="str">
        <f t="shared" ca="1" si="2312"/>
        <v>This is boring</v>
      </c>
      <c r="J2314" s="49" t="str">
        <f t="shared" ca="1" si="2312"/>
        <v>This is boring</v>
      </c>
    </row>
    <row r="2315" spans="1:10" ht="12.75" x14ac:dyDescent="0.2">
      <c r="A2315" s="41" t="s">
        <v>1895</v>
      </c>
      <c r="B2315" s="40"/>
      <c r="C2315" s="40"/>
      <c r="D2315" s="40"/>
      <c r="E2315" s="40"/>
      <c r="F2315" s="49" t="str">
        <f t="shared" ref="F2315:J2315" ca="1" si="2313">IFERROR(__xludf.DUMMYFUNCTION("if (A2315 &lt;&gt; """", GOOGLETRANSLATE(A2315, ""auto"", ""en""), """")"),"very boring")</f>
        <v>very boring</v>
      </c>
      <c r="G2315" s="49" t="str">
        <f t="shared" ca="1" si="2313"/>
        <v>very boring</v>
      </c>
      <c r="H2315" s="49" t="str">
        <f t="shared" ca="1" si="2313"/>
        <v>very boring</v>
      </c>
      <c r="I2315" s="49" t="str">
        <f t="shared" ca="1" si="2313"/>
        <v>very boring</v>
      </c>
      <c r="J2315" s="49" t="str">
        <f t="shared" ca="1" si="2313"/>
        <v>very boring</v>
      </c>
    </row>
    <row r="2316" spans="1:10" ht="12.75" x14ac:dyDescent="0.2">
      <c r="A2316" s="41" t="s">
        <v>1896</v>
      </c>
      <c r="B2316" s="40"/>
      <c r="C2316" s="40"/>
      <c r="D2316" s="40"/>
      <c r="E2316" s="40"/>
      <c r="F2316" s="49" t="str">
        <f t="shared" ref="F2316:J2316" ca="1" si="2314">IFERROR(__xludf.DUMMYFUNCTION("if (A2316 &lt;&gt; """", GOOGLETRANSLATE(A2316, ""auto"", ""en""), """")"),"So bored")</f>
        <v>So bored</v>
      </c>
      <c r="G2316" s="49" t="str">
        <f t="shared" ca="1" si="2314"/>
        <v>So bored</v>
      </c>
      <c r="H2316" s="49" t="str">
        <f t="shared" ca="1" si="2314"/>
        <v>So bored</v>
      </c>
      <c r="I2316" s="49" t="str">
        <f t="shared" ca="1" si="2314"/>
        <v>So bored</v>
      </c>
      <c r="J2316" s="49" t="str">
        <f t="shared" ca="1" si="2314"/>
        <v>So bored</v>
      </c>
    </row>
    <row r="2317" spans="1:10" ht="12.75" x14ac:dyDescent="0.2">
      <c r="A2317" s="40"/>
      <c r="B2317" s="40"/>
      <c r="C2317" s="40"/>
      <c r="D2317" s="40"/>
      <c r="E2317" s="40"/>
      <c r="F2317" s="49" t="str">
        <f t="shared" ref="F2317:J2317" ca="1" si="2315">IFERROR(__xludf.DUMMYFUNCTION("if (A2317 &lt;&gt; """", GOOGLETRANSLATE(A2317, ""auto"", ""en""), """")"),"")</f>
        <v/>
      </c>
      <c r="G2317" s="49" t="str">
        <f t="shared" ca="1" si="2315"/>
        <v/>
      </c>
      <c r="H2317" s="49" t="str">
        <f t="shared" ca="1" si="2315"/>
        <v/>
      </c>
      <c r="I2317" s="49" t="str">
        <f t="shared" ca="1" si="2315"/>
        <v/>
      </c>
      <c r="J2317" s="49" t="str">
        <f t="shared" ca="1" si="2315"/>
        <v/>
      </c>
    </row>
    <row r="2318" spans="1:10" ht="25.5" x14ac:dyDescent="0.2">
      <c r="A2318" s="41" t="s">
        <v>1897</v>
      </c>
      <c r="B2318" s="40"/>
      <c r="C2318" s="40"/>
      <c r="D2318" s="40"/>
      <c r="E2318" s="40"/>
      <c r="F2318" s="49" t="str">
        <f t="shared" ref="F2318:J2318" ca="1" si="2316">IFERROR(__xludf.DUMMYFUNCTION("if (A2318 &lt;&gt; """", GOOGLETRANSLATE(A2318, ""auto"", ""en""), """")"),"smalltalk.user.busy")</f>
        <v>smalltalk.user.busy</v>
      </c>
      <c r="G2318" s="49" t="str">
        <f t="shared" ca="1" si="2316"/>
        <v>smalltalk.user.busy</v>
      </c>
      <c r="H2318" s="49" t="str">
        <f t="shared" ca="1" si="2316"/>
        <v>smalltalk.user.busy</v>
      </c>
      <c r="I2318" s="49" t="str">
        <f t="shared" ca="1" si="2316"/>
        <v>smalltalk.user.busy</v>
      </c>
      <c r="J2318" s="49" t="str">
        <f t="shared" ca="1" si="2316"/>
        <v>smalltalk.user.busy</v>
      </c>
    </row>
    <row r="2319" spans="1:10" ht="12.75" x14ac:dyDescent="0.2">
      <c r="A2319" s="40"/>
      <c r="B2319" s="41" t="s">
        <v>398</v>
      </c>
      <c r="C2319" s="40"/>
      <c r="D2319" s="40"/>
      <c r="E2319" s="40"/>
      <c r="F2319" s="49" t="str">
        <f t="shared" ref="F2319:J2319" ca="1" si="2317">IFERROR(__xludf.DUMMYFUNCTION("if (A2319 &lt;&gt; """", GOOGLETRANSLATE(A2319, ""auto"", ""en""), """")"),"")</f>
        <v/>
      </c>
      <c r="G2319" s="49" t="str">
        <f t="shared" ca="1" si="2317"/>
        <v/>
      </c>
      <c r="H2319" s="49" t="str">
        <f t="shared" ca="1" si="2317"/>
        <v/>
      </c>
      <c r="I2319" s="49" t="str">
        <f t="shared" ca="1" si="2317"/>
        <v/>
      </c>
      <c r="J2319" s="49" t="str">
        <f t="shared" ca="1" si="2317"/>
        <v/>
      </c>
    </row>
    <row r="2320" spans="1:10" ht="12.75" x14ac:dyDescent="0.2">
      <c r="A2320" s="40"/>
      <c r="B2320" s="41" t="s">
        <v>399</v>
      </c>
      <c r="C2320" s="40"/>
      <c r="D2320" s="40"/>
      <c r="E2320" s="40"/>
      <c r="F2320" s="49" t="str">
        <f t="shared" ref="F2320:J2320" ca="1" si="2318">IFERROR(__xludf.DUMMYFUNCTION("if (A2320 &lt;&gt; """", GOOGLETRANSLATE(A2320, ""auto"", ""en""), """")"),"")</f>
        <v/>
      </c>
      <c r="G2320" s="49" t="str">
        <f t="shared" ca="1" si="2318"/>
        <v/>
      </c>
      <c r="H2320" s="49" t="str">
        <f t="shared" ca="1" si="2318"/>
        <v/>
      </c>
      <c r="I2320" s="49" t="str">
        <f t="shared" ca="1" si="2318"/>
        <v/>
      </c>
      <c r="J2320" s="49" t="str">
        <f t="shared" ca="1" si="2318"/>
        <v/>
      </c>
    </row>
    <row r="2321" spans="1:10" ht="12.75" x14ac:dyDescent="0.2">
      <c r="A2321" s="40"/>
      <c r="B2321" s="41" t="s">
        <v>400</v>
      </c>
      <c r="C2321" s="41" t="s">
        <v>1897</v>
      </c>
      <c r="D2321" s="40"/>
      <c r="E2321" s="40"/>
      <c r="F2321" s="49" t="str">
        <f t="shared" ref="F2321:J2321" ca="1" si="2319">IFERROR(__xludf.DUMMYFUNCTION("if (A2321 &lt;&gt; """", GOOGLETRANSLATE(A2321, ""auto"", ""en""), """")"),"")</f>
        <v/>
      </c>
      <c r="G2321" s="49" t="str">
        <f t="shared" ca="1" si="2319"/>
        <v/>
      </c>
      <c r="H2321" s="49" t="str">
        <f t="shared" ca="1" si="2319"/>
        <v/>
      </c>
      <c r="I2321" s="49" t="str">
        <f t="shared" ca="1" si="2319"/>
        <v/>
      </c>
      <c r="J2321" s="49" t="str">
        <f t="shared" ca="1" si="2319"/>
        <v/>
      </c>
    </row>
    <row r="2322" spans="1:10" ht="12.75" x14ac:dyDescent="0.2">
      <c r="A2322" s="40"/>
      <c r="B2322" s="41" t="s">
        <v>401</v>
      </c>
      <c r="C2322" s="40"/>
      <c r="D2322" s="40"/>
      <c r="E2322" s="40"/>
      <c r="F2322" s="49" t="str">
        <f t="shared" ref="F2322:J2322" ca="1" si="2320">IFERROR(__xludf.DUMMYFUNCTION("if (A2322 &lt;&gt; """", GOOGLETRANSLATE(A2322, ""auto"", ""en""), """")"),"")</f>
        <v/>
      </c>
      <c r="G2322" s="49" t="str">
        <f t="shared" ca="1" si="2320"/>
        <v/>
      </c>
      <c r="H2322" s="49" t="str">
        <f t="shared" ca="1" si="2320"/>
        <v/>
      </c>
      <c r="I2322" s="49" t="str">
        <f t="shared" ca="1" si="2320"/>
        <v/>
      </c>
      <c r="J2322" s="49" t="str">
        <f t="shared" ca="1" si="2320"/>
        <v/>
      </c>
    </row>
    <row r="2323" spans="1:10" ht="25.5" x14ac:dyDescent="0.2">
      <c r="A2323" s="41" t="s">
        <v>1898</v>
      </c>
      <c r="B2323" s="41" t="s">
        <v>402</v>
      </c>
      <c r="C2323" s="41" t="s">
        <v>1899</v>
      </c>
      <c r="D2323" s="40"/>
      <c r="E2323" s="40"/>
      <c r="F2323" s="49" t="str">
        <f t="shared" ref="F2323:J2323" ca="1" si="2321">IFERROR(__xludf.DUMMYFUNCTION("if (A2323 &lt;&gt; """", GOOGLETRANSLATE(A2323, ""auto"", ""en""), """")"),"It is hands full")</f>
        <v>It is hands full</v>
      </c>
      <c r="G2323" s="49" t="str">
        <f t="shared" ca="1" si="2321"/>
        <v>It is hands full</v>
      </c>
      <c r="H2323" s="49" t="str">
        <f t="shared" ca="1" si="2321"/>
        <v>It is hands full</v>
      </c>
      <c r="I2323" s="49" t="str">
        <f t="shared" ca="1" si="2321"/>
        <v>It is hands full</v>
      </c>
      <c r="J2323" s="49" t="str">
        <f t="shared" ca="1" si="2321"/>
        <v>It is hands full</v>
      </c>
    </row>
    <row r="2324" spans="1:10" ht="12.75" x14ac:dyDescent="0.2">
      <c r="A2324" s="41" t="s">
        <v>1900</v>
      </c>
      <c r="B2324" s="40"/>
      <c r="C2324" s="40"/>
      <c r="D2324" s="40"/>
      <c r="E2324" s="40"/>
      <c r="F2324" s="49" t="str">
        <f t="shared" ref="F2324:J2324" ca="1" si="2322">IFERROR(__xludf.DUMMYFUNCTION("if (A2324 &lt;&gt; """", GOOGLETRANSLATE(A2324, ""auto"", ""en""), """")"),"I have no time")</f>
        <v>I have no time</v>
      </c>
      <c r="G2324" s="49" t="str">
        <f t="shared" ca="1" si="2322"/>
        <v>I have no time</v>
      </c>
      <c r="H2324" s="49" t="str">
        <f t="shared" ca="1" si="2322"/>
        <v>I have no time</v>
      </c>
      <c r="I2324" s="49" t="str">
        <f t="shared" ca="1" si="2322"/>
        <v>I have no time</v>
      </c>
      <c r="J2324" s="49" t="str">
        <f t="shared" ca="1" si="2322"/>
        <v>I have no time</v>
      </c>
    </row>
    <row r="2325" spans="1:10" ht="12.75" x14ac:dyDescent="0.2">
      <c r="A2325" s="41" t="s">
        <v>154</v>
      </c>
      <c r="B2325" s="40"/>
      <c r="C2325" s="40"/>
      <c r="D2325" s="40"/>
      <c r="E2325" s="40"/>
      <c r="F2325" s="49" t="str">
        <f t="shared" ref="F2325:J2325" ca="1" si="2323">IFERROR(__xludf.DUMMYFUNCTION("if (A2325 &lt;&gt; """", GOOGLETRANSLATE(A2325, ""auto"", ""en""), """")"),"busy")</f>
        <v>busy</v>
      </c>
      <c r="G2325" s="49" t="str">
        <f t="shared" ca="1" si="2323"/>
        <v>busy</v>
      </c>
      <c r="H2325" s="49" t="str">
        <f t="shared" ca="1" si="2323"/>
        <v>busy</v>
      </c>
      <c r="I2325" s="49" t="str">
        <f t="shared" ca="1" si="2323"/>
        <v>busy</v>
      </c>
      <c r="J2325" s="49" t="str">
        <f t="shared" ca="1" si="2323"/>
        <v>busy</v>
      </c>
    </row>
    <row r="2326" spans="1:10" ht="25.5" x14ac:dyDescent="0.2">
      <c r="A2326" s="41" t="s">
        <v>1901</v>
      </c>
      <c r="B2326" s="40"/>
      <c r="C2326" s="40"/>
      <c r="D2326" s="40"/>
      <c r="E2326" s="40"/>
      <c r="F2326" s="49" t="str">
        <f t="shared" ref="F2326:J2326" ca="1" si="2324">IFERROR(__xludf.DUMMYFUNCTION("if (A2326 &lt;&gt; """", GOOGLETRANSLATE(A2326, ""auto"", ""en""), """")"),"You can not move")</f>
        <v>You can not move</v>
      </c>
      <c r="G2326" s="49" t="str">
        <f t="shared" ca="1" si="2324"/>
        <v>You can not move</v>
      </c>
      <c r="H2326" s="49" t="str">
        <f t="shared" ca="1" si="2324"/>
        <v>You can not move</v>
      </c>
      <c r="I2326" s="49" t="str">
        <f t="shared" ca="1" si="2324"/>
        <v>You can not move</v>
      </c>
      <c r="J2326" s="49" t="str">
        <f t="shared" ca="1" si="2324"/>
        <v>You can not move</v>
      </c>
    </row>
    <row r="2327" spans="1:10" ht="51" x14ac:dyDescent="0.2">
      <c r="A2327" s="41" t="s">
        <v>1902</v>
      </c>
      <c r="B2327" s="40"/>
      <c r="C2327" s="40"/>
      <c r="D2327" s="40"/>
      <c r="E2327" s="40"/>
      <c r="F2327" s="49" t="str">
        <f t="shared" ref="F2327:J2327" ca="1" si="2325">IFERROR(__xludf.DUMMYFUNCTION("if (A2327 &lt;&gt; """", GOOGLETRANSLATE(A2327, ""auto"", ""en""), """")"),"You must to do something before you go on")</f>
        <v>You must to do something before you go on</v>
      </c>
      <c r="G2327" s="49" t="str">
        <f t="shared" ca="1" si="2325"/>
        <v>You must to do something before you go on</v>
      </c>
      <c r="H2327" s="49" t="str">
        <f t="shared" ca="1" si="2325"/>
        <v>You must to do something before you go on</v>
      </c>
      <c r="I2327" s="49" t="str">
        <f t="shared" ca="1" si="2325"/>
        <v>You must to do something before you go on</v>
      </c>
      <c r="J2327" s="49" t="str">
        <f t="shared" ca="1" si="2325"/>
        <v>You must to do something before you go on</v>
      </c>
    </row>
    <row r="2328" spans="1:10" ht="25.5" x14ac:dyDescent="0.2">
      <c r="A2328" s="41" t="s">
        <v>1903</v>
      </c>
      <c r="B2328" s="40"/>
      <c r="C2328" s="40"/>
      <c r="D2328" s="40"/>
      <c r="E2328" s="40"/>
      <c r="F2328" s="49" t="str">
        <f t="shared" ref="F2328:J2328" ca="1" si="2326">IFERROR(__xludf.DUMMYFUNCTION("if (A2328 &lt;&gt; """", GOOGLETRANSLATE(A2328, ""auto"", ""en""), """")"),"There is no such time")</f>
        <v>There is no such time</v>
      </c>
      <c r="G2328" s="49" t="str">
        <f t="shared" ca="1" si="2326"/>
        <v>There is no such time</v>
      </c>
      <c r="H2328" s="49" t="str">
        <f t="shared" ca="1" si="2326"/>
        <v>There is no such time</v>
      </c>
      <c r="I2328" s="49" t="str">
        <f t="shared" ca="1" si="2326"/>
        <v>There is no such time</v>
      </c>
      <c r="J2328" s="49" t="str">
        <f t="shared" ca="1" si="2326"/>
        <v>There is no such time</v>
      </c>
    </row>
    <row r="2329" spans="1:10" ht="12.75" x14ac:dyDescent="0.2">
      <c r="A2329" s="40"/>
      <c r="B2329" s="40"/>
      <c r="C2329" s="40"/>
      <c r="D2329" s="40"/>
      <c r="E2329" s="40"/>
      <c r="F2329" s="49" t="str">
        <f t="shared" ref="F2329:J2329" ca="1" si="2327">IFERROR(__xludf.DUMMYFUNCTION("if (A2329 &lt;&gt; """", GOOGLETRANSLATE(A2329, ""auto"", ""en""), """")"),"")</f>
        <v/>
      </c>
      <c r="G2329" s="49" t="str">
        <f t="shared" ca="1" si="2327"/>
        <v/>
      </c>
      <c r="H2329" s="49" t="str">
        <f t="shared" ca="1" si="2327"/>
        <v/>
      </c>
      <c r="I2329" s="49" t="str">
        <f t="shared" ca="1" si="2327"/>
        <v/>
      </c>
      <c r="J2329" s="49" t="str">
        <f t="shared" ca="1" si="2327"/>
        <v/>
      </c>
    </row>
    <row r="2330" spans="1:10" ht="38.25" x14ac:dyDescent="0.2">
      <c r="A2330" s="41" t="s">
        <v>1904</v>
      </c>
      <c r="B2330" s="40"/>
      <c r="C2330" s="40"/>
      <c r="D2330" s="40"/>
      <c r="E2330" s="40"/>
      <c r="F2330" s="49" t="str">
        <f t="shared" ref="F2330:J2330" ca="1" si="2328">IFERROR(__xludf.DUMMYFUNCTION("if (A2330 &lt;&gt; """", GOOGLETRANSLATE(A2330, ""auto"", ""en""), """")"),"smalltalk.user.can_not_hear_agent")</f>
        <v>smalltalk.user.can_not_hear_agent</v>
      </c>
      <c r="G2330" s="49" t="str">
        <f t="shared" ca="1" si="2328"/>
        <v>smalltalk.user.can_not_hear_agent</v>
      </c>
      <c r="H2330" s="49" t="str">
        <f t="shared" ca="1" si="2328"/>
        <v>smalltalk.user.can_not_hear_agent</v>
      </c>
      <c r="I2330" s="49" t="str">
        <f t="shared" ca="1" si="2328"/>
        <v>smalltalk.user.can_not_hear_agent</v>
      </c>
      <c r="J2330" s="49" t="str">
        <f t="shared" ca="1" si="2328"/>
        <v>smalltalk.user.can_not_hear_agent</v>
      </c>
    </row>
    <row r="2331" spans="1:10" ht="12.75" x14ac:dyDescent="0.2">
      <c r="A2331" s="40"/>
      <c r="B2331" s="41" t="s">
        <v>398</v>
      </c>
      <c r="C2331" s="40"/>
      <c r="D2331" s="40"/>
      <c r="E2331" s="40"/>
      <c r="F2331" s="49" t="str">
        <f t="shared" ref="F2331:J2331" ca="1" si="2329">IFERROR(__xludf.DUMMYFUNCTION("if (A2331 &lt;&gt; """", GOOGLETRANSLATE(A2331, ""auto"", ""en""), """")"),"")</f>
        <v/>
      </c>
      <c r="G2331" s="49" t="str">
        <f t="shared" ca="1" si="2329"/>
        <v/>
      </c>
      <c r="H2331" s="49" t="str">
        <f t="shared" ca="1" si="2329"/>
        <v/>
      </c>
      <c r="I2331" s="49" t="str">
        <f t="shared" ca="1" si="2329"/>
        <v/>
      </c>
      <c r="J2331" s="49" t="str">
        <f t="shared" ca="1" si="2329"/>
        <v/>
      </c>
    </row>
    <row r="2332" spans="1:10" ht="12.75" x14ac:dyDescent="0.2">
      <c r="A2332" s="40"/>
      <c r="B2332" s="41" t="s">
        <v>399</v>
      </c>
      <c r="C2332" s="40"/>
      <c r="D2332" s="40"/>
      <c r="E2332" s="40"/>
      <c r="F2332" s="49" t="str">
        <f t="shared" ref="F2332:J2332" ca="1" si="2330">IFERROR(__xludf.DUMMYFUNCTION("if (A2332 &lt;&gt; """", GOOGLETRANSLATE(A2332, ""auto"", ""en""), """")"),"")</f>
        <v/>
      </c>
      <c r="G2332" s="49" t="str">
        <f t="shared" ca="1" si="2330"/>
        <v/>
      </c>
      <c r="H2332" s="49" t="str">
        <f t="shared" ca="1" si="2330"/>
        <v/>
      </c>
      <c r="I2332" s="49" t="str">
        <f t="shared" ca="1" si="2330"/>
        <v/>
      </c>
      <c r="J2332" s="49" t="str">
        <f t="shared" ca="1" si="2330"/>
        <v/>
      </c>
    </row>
    <row r="2333" spans="1:10" ht="12.75" x14ac:dyDescent="0.2">
      <c r="A2333" s="40"/>
      <c r="B2333" s="41" t="s">
        <v>400</v>
      </c>
      <c r="C2333" s="41" t="s">
        <v>1904</v>
      </c>
      <c r="D2333" s="40"/>
      <c r="E2333" s="40"/>
      <c r="F2333" s="49" t="str">
        <f t="shared" ref="F2333:J2333" ca="1" si="2331">IFERROR(__xludf.DUMMYFUNCTION("if (A2333 &lt;&gt; """", GOOGLETRANSLATE(A2333, ""auto"", ""en""), """")"),"")</f>
        <v/>
      </c>
      <c r="G2333" s="49" t="str">
        <f t="shared" ca="1" si="2331"/>
        <v/>
      </c>
      <c r="H2333" s="49" t="str">
        <f t="shared" ca="1" si="2331"/>
        <v/>
      </c>
      <c r="I2333" s="49" t="str">
        <f t="shared" ca="1" si="2331"/>
        <v/>
      </c>
      <c r="J2333" s="49" t="str">
        <f t="shared" ca="1" si="2331"/>
        <v/>
      </c>
    </row>
    <row r="2334" spans="1:10" ht="12.75" x14ac:dyDescent="0.2">
      <c r="A2334" s="40"/>
      <c r="B2334" s="41" t="s">
        <v>401</v>
      </c>
      <c r="C2334" s="40"/>
      <c r="D2334" s="40"/>
      <c r="E2334" s="40"/>
      <c r="F2334" s="49" t="str">
        <f t="shared" ref="F2334:J2334" ca="1" si="2332">IFERROR(__xludf.DUMMYFUNCTION("if (A2334 &lt;&gt; """", GOOGLETRANSLATE(A2334, ""auto"", ""en""), """")"),"")</f>
        <v/>
      </c>
      <c r="G2334" s="49" t="str">
        <f t="shared" ca="1" si="2332"/>
        <v/>
      </c>
      <c r="H2334" s="49" t="str">
        <f t="shared" ca="1" si="2332"/>
        <v/>
      </c>
      <c r="I2334" s="49" t="str">
        <f t="shared" ca="1" si="2332"/>
        <v/>
      </c>
      <c r="J2334" s="49" t="str">
        <f t="shared" ca="1" si="2332"/>
        <v/>
      </c>
    </row>
    <row r="2335" spans="1:10" ht="25.5" x14ac:dyDescent="0.2">
      <c r="A2335" s="41" t="s">
        <v>1905</v>
      </c>
      <c r="B2335" s="41" t="s">
        <v>402</v>
      </c>
      <c r="C2335" s="41" t="s">
        <v>1906</v>
      </c>
      <c r="D2335" s="40"/>
      <c r="E2335" s="40"/>
      <c r="F2335" s="49" t="str">
        <f t="shared" ref="F2335:J2335" ca="1" si="2333">IFERROR(__xludf.DUMMYFUNCTION("if (A2335 &lt;&gt; """", GOOGLETRANSLATE(A2335, ""auto"", ""en""), """")"),"Not hear your voice")</f>
        <v>Not hear your voice</v>
      </c>
      <c r="G2335" s="49" t="str">
        <f t="shared" ca="1" si="2333"/>
        <v>Not hear your voice</v>
      </c>
      <c r="H2335" s="49" t="str">
        <f t="shared" ca="1" si="2333"/>
        <v>Not hear your voice</v>
      </c>
      <c r="I2335" s="49" t="str">
        <f t="shared" ca="1" si="2333"/>
        <v>Not hear your voice</v>
      </c>
      <c r="J2335" s="49" t="str">
        <f t="shared" ca="1" si="2333"/>
        <v>Not hear your voice</v>
      </c>
    </row>
    <row r="2336" spans="1:10" ht="12.75" x14ac:dyDescent="0.2">
      <c r="A2336" s="41" t="s">
        <v>1907</v>
      </c>
      <c r="B2336" s="40"/>
      <c r="C2336" s="40"/>
      <c r="D2336" s="40"/>
      <c r="E2336" s="40"/>
      <c r="F2336" s="49" t="str">
        <f t="shared" ref="F2336:J2336" ca="1" si="2334">IFERROR(__xludf.DUMMYFUNCTION("if (A2336 &lt;&gt; """", GOOGLETRANSLATE(A2336, ""auto"", ""en""), """")"),"can not hear")</f>
        <v>can not hear</v>
      </c>
      <c r="G2336" s="49" t="str">
        <f t="shared" ca="1" si="2334"/>
        <v>can not hear</v>
      </c>
      <c r="H2336" s="49" t="str">
        <f t="shared" ca="1" si="2334"/>
        <v>can not hear</v>
      </c>
      <c r="I2336" s="49" t="str">
        <f t="shared" ca="1" si="2334"/>
        <v>can not hear</v>
      </c>
      <c r="J2336" s="49" t="str">
        <f t="shared" ca="1" si="2334"/>
        <v>can not hear</v>
      </c>
    </row>
    <row r="2337" spans="1:10" ht="38.25" x14ac:dyDescent="0.2">
      <c r="A2337" s="41" t="s">
        <v>1908</v>
      </c>
      <c r="B2337" s="40"/>
      <c r="C2337" s="40"/>
      <c r="D2337" s="40"/>
      <c r="E2337" s="40"/>
      <c r="F2337" s="49" t="str">
        <f t="shared" ref="F2337:J2337" ca="1" si="2335">IFERROR(__xludf.DUMMYFUNCTION("if (A2337 &lt;&gt; """", GOOGLETRANSLATE(A2337, ""auto"", ""en""), """")"),"Do not you speak a little louder")</f>
        <v>Do not you speak a little louder</v>
      </c>
      <c r="G2337" s="49" t="str">
        <f t="shared" ca="1" si="2335"/>
        <v>Do not you speak a little louder</v>
      </c>
      <c r="H2337" s="49" t="str">
        <f t="shared" ca="1" si="2335"/>
        <v>Do not you speak a little louder</v>
      </c>
      <c r="I2337" s="49" t="str">
        <f t="shared" ca="1" si="2335"/>
        <v>Do not you speak a little louder</v>
      </c>
      <c r="J2337" s="49" t="str">
        <f t="shared" ca="1" si="2335"/>
        <v>Do not you speak a little louder</v>
      </c>
    </row>
    <row r="2338" spans="1:10" ht="25.5" x14ac:dyDescent="0.2">
      <c r="A2338" s="41" t="s">
        <v>1909</v>
      </c>
      <c r="B2338" s="40"/>
      <c r="C2338" s="40"/>
      <c r="D2338" s="40"/>
      <c r="E2338" s="40"/>
      <c r="F2338" s="49" t="str">
        <f t="shared" ref="F2338:J2338" ca="1" si="2336">IFERROR(__xludf.DUMMYFUNCTION("if (A2338 &lt;&gt; """", GOOGLETRANSLATE(A2338, ""auto"", ""en""), """")"),"Do not be greater voice")</f>
        <v>Do not be greater voice</v>
      </c>
      <c r="G2338" s="49" t="str">
        <f t="shared" ca="1" si="2336"/>
        <v>Do not be greater voice</v>
      </c>
      <c r="H2338" s="49" t="str">
        <f t="shared" ca="1" si="2336"/>
        <v>Do not be greater voice</v>
      </c>
      <c r="I2338" s="49" t="str">
        <f t="shared" ca="1" si="2336"/>
        <v>Do not be greater voice</v>
      </c>
      <c r="J2338" s="49" t="str">
        <f t="shared" ca="1" si="2336"/>
        <v>Do not be greater voice</v>
      </c>
    </row>
    <row r="2339" spans="1:10" ht="25.5" x14ac:dyDescent="0.2">
      <c r="A2339" s="41" t="s">
        <v>1910</v>
      </c>
      <c r="B2339" s="40"/>
      <c r="C2339" s="40"/>
      <c r="D2339" s="40"/>
      <c r="E2339" s="40"/>
      <c r="F2339" s="49" t="str">
        <f t="shared" ref="F2339:J2339" ca="1" si="2337">IFERROR(__xludf.DUMMYFUNCTION("if (A2339 &lt;&gt; """", GOOGLETRANSLATE(A2339, ""auto"", ""en""), """")"),"Talking in a loud voice")</f>
        <v>Talking in a loud voice</v>
      </c>
      <c r="G2339" s="49" t="str">
        <f t="shared" ca="1" si="2337"/>
        <v>Talking in a loud voice</v>
      </c>
      <c r="H2339" s="49" t="str">
        <f t="shared" ca="1" si="2337"/>
        <v>Talking in a loud voice</v>
      </c>
      <c r="I2339" s="49" t="str">
        <f t="shared" ca="1" si="2337"/>
        <v>Talking in a loud voice</v>
      </c>
      <c r="J2339" s="49" t="str">
        <f t="shared" ca="1" si="2337"/>
        <v>Talking in a loud voice</v>
      </c>
    </row>
    <row r="2340" spans="1:10" ht="25.5" x14ac:dyDescent="0.2">
      <c r="A2340" s="41" t="s">
        <v>1911</v>
      </c>
      <c r="B2340" s="40"/>
      <c r="C2340" s="40"/>
      <c r="D2340" s="40"/>
      <c r="E2340" s="40"/>
      <c r="F2340" s="49" t="str">
        <f t="shared" ref="F2340:J2340" ca="1" si="2338">IFERROR(__xludf.DUMMYFUNCTION("if (A2340 &lt;&gt; """", GOOGLETRANSLATE(A2340, ""auto"", ""en""), """")"),"Increase the voice")</f>
        <v>Increase the voice</v>
      </c>
      <c r="G2340" s="49" t="str">
        <f t="shared" ca="1" si="2338"/>
        <v>Increase the voice</v>
      </c>
      <c r="H2340" s="49" t="str">
        <f t="shared" ca="1" si="2338"/>
        <v>Increase the voice</v>
      </c>
      <c r="I2340" s="49" t="str">
        <f t="shared" ca="1" si="2338"/>
        <v>Increase the voice</v>
      </c>
      <c r="J2340" s="49" t="str">
        <f t="shared" ca="1" si="2338"/>
        <v>Increase the voice</v>
      </c>
    </row>
    <row r="2341" spans="1:10" ht="25.5" x14ac:dyDescent="0.2">
      <c r="A2341" s="41" t="s">
        <v>1912</v>
      </c>
      <c r="B2341" s="40"/>
      <c r="C2341" s="40"/>
      <c r="D2341" s="40"/>
      <c r="E2341" s="40"/>
      <c r="F2341" s="49" t="str">
        <f t="shared" ref="F2341:J2341" ca="1" si="2339">IFERROR(__xludf.DUMMYFUNCTION("if (A2341 &lt;&gt; """", GOOGLETRANSLATE(A2341, ""auto"", ""en""), """")"),"can not hear anything")</f>
        <v>can not hear anything</v>
      </c>
      <c r="G2341" s="49" t="str">
        <f t="shared" ca="1" si="2339"/>
        <v>can not hear anything</v>
      </c>
      <c r="H2341" s="49" t="str">
        <f t="shared" ca="1" si="2339"/>
        <v>can not hear anything</v>
      </c>
      <c r="I2341" s="49" t="str">
        <f t="shared" ca="1" si="2339"/>
        <v>can not hear anything</v>
      </c>
      <c r="J2341" s="49" t="str">
        <f t="shared" ca="1" si="2339"/>
        <v>can not hear anything</v>
      </c>
    </row>
    <row r="2342" spans="1:10" ht="25.5" x14ac:dyDescent="0.2">
      <c r="A2342" s="41" t="s">
        <v>1913</v>
      </c>
      <c r="B2342" s="40"/>
      <c r="C2342" s="40"/>
      <c r="D2342" s="40"/>
      <c r="E2342" s="40"/>
      <c r="F2342" s="49" t="str">
        <f t="shared" ref="F2342:J2342" ca="1" si="2340">IFERROR(__xludf.DUMMYFUNCTION("if (A2342 &lt;&gt; """", GOOGLETRANSLATE(A2342, ""auto"", ""en""), """")"),"I can not hear your voice")</f>
        <v>I can not hear your voice</v>
      </c>
      <c r="G2342" s="49" t="str">
        <f t="shared" ca="1" si="2340"/>
        <v>I can not hear your voice</v>
      </c>
      <c r="H2342" s="49" t="str">
        <f t="shared" ca="1" si="2340"/>
        <v>I can not hear your voice</v>
      </c>
      <c r="I2342" s="49" t="str">
        <f t="shared" ca="1" si="2340"/>
        <v>I can not hear your voice</v>
      </c>
      <c r="J2342" s="49" t="str">
        <f t="shared" ca="1" si="2340"/>
        <v>I can not hear your voice</v>
      </c>
    </row>
    <row r="2343" spans="1:10" ht="12.75" x14ac:dyDescent="0.2">
      <c r="A2343" s="40"/>
      <c r="B2343" s="40"/>
      <c r="C2343" s="40"/>
      <c r="D2343" s="40"/>
      <c r="E2343" s="40"/>
      <c r="F2343" s="49" t="str">
        <f t="shared" ref="F2343:J2343" ca="1" si="2341">IFERROR(__xludf.DUMMYFUNCTION("if (A2343 &lt;&gt; """", GOOGLETRANSLATE(A2343, ""auto"", ""en""), """")"),"")</f>
        <v/>
      </c>
      <c r="G2343" s="49" t="str">
        <f t="shared" ca="1" si="2341"/>
        <v/>
      </c>
      <c r="H2343" s="49" t="str">
        <f t="shared" ca="1" si="2341"/>
        <v/>
      </c>
      <c r="I2343" s="49" t="str">
        <f t="shared" ca="1" si="2341"/>
        <v/>
      </c>
      <c r="J2343" s="49" t="str">
        <f t="shared" ca="1" si="2341"/>
        <v/>
      </c>
    </row>
    <row r="2344" spans="1:10" ht="38.25" x14ac:dyDescent="0.2">
      <c r="A2344" s="41" t="s">
        <v>1914</v>
      </c>
      <c r="B2344" s="40"/>
      <c r="C2344" s="40"/>
      <c r="D2344" s="40"/>
      <c r="E2344" s="40"/>
      <c r="F2344" s="49" t="str">
        <f t="shared" ref="F2344:J2344" ca="1" si="2342">IFERROR(__xludf.DUMMYFUNCTION("if (A2344 &lt;&gt; """", GOOGLETRANSLATE(A2344, ""auto"", ""en""), """")"),"smalltalk.user.can_not_sleep")</f>
        <v>smalltalk.user.can_not_sleep</v>
      </c>
      <c r="G2344" s="49" t="str">
        <f t="shared" ca="1" si="2342"/>
        <v>smalltalk.user.can_not_sleep</v>
      </c>
      <c r="H2344" s="49" t="str">
        <f t="shared" ca="1" si="2342"/>
        <v>smalltalk.user.can_not_sleep</v>
      </c>
      <c r="I2344" s="49" t="str">
        <f t="shared" ca="1" si="2342"/>
        <v>smalltalk.user.can_not_sleep</v>
      </c>
      <c r="J2344" s="49" t="str">
        <f t="shared" ca="1" si="2342"/>
        <v>smalltalk.user.can_not_sleep</v>
      </c>
    </row>
    <row r="2345" spans="1:10" ht="12.75" x14ac:dyDescent="0.2">
      <c r="A2345" s="40"/>
      <c r="B2345" s="41" t="s">
        <v>398</v>
      </c>
      <c r="C2345" s="40"/>
      <c r="D2345" s="40"/>
      <c r="E2345" s="40"/>
      <c r="F2345" s="49" t="str">
        <f t="shared" ref="F2345:J2345" ca="1" si="2343">IFERROR(__xludf.DUMMYFUNCTION("if (A2345 &lt;&gt; """", GOOGLETRANSLATE(A2345, ""auto"", ""en""), """")"),"")</f>
        <v/>
      </c>
      <c r="G2345" s="49" t="str">
        <f t="shared" ca="1" si="2343"/>
        <v/>
      </c>
      <c r="H2345" s="49" t="str">
        <f t="shared" ca="1" si="2343"/>
        <v/>
      </c>
      <c r="I2345" s="49" t="str">
        <f t="shared" ca="1" si="2343"/>
        <v/>
      </c>
      <c r="J2345" s="49" t="str">
        <f t="shared" ca="1" si="2343"/>
        <v/>
      </c>
    </row>
    <row r="2346" spans="1:10" ht="12.75" x14ac:dyDescent="0.2">
      <c r="A2346" s="40"/>
      <c r="B2346" s="41" t="s">
        <v>399</v>
      </c>
      <c r="C2346" s="40"/>
      <c r="D2346" s="40"/>
      <c r="E2346" s="40"/>
      <c r="F2346" s="49" t="str">
        <f t="shared" ref="F2346:J2346" ca="1" si="2344">IFERROR(__xludf.DUMMYFUNCTION("if (A2346 &lt;&gt; """", GOOGLETRANSLATE(A2346, ""auto"", ""en""), """")"),"")</f>
        <v/>
      </c>
      <c r="G2346" s="49" t="str">
        <f t="shared" ca="1" si="2344"/>
        <v/>
      </c>
      <c r="H2346" s="49" t="str">
        <f t="shared" ca="1" si="2344"/>
        <v/>
      </c>
      <c r="I2346" s="49" t="str">
        <f t="shared" ca="1" si="2344"/>
        <v/>
      </c>
      <c r="J2346" s="49" t="str">
        <f t="shared" ca="1" si="2344"/>
        <v/>
      </c>
    </row>
    <row r="2347" spans="1:10" ht="12.75" x14ac:dyDescent="0.2">
      <c r="A2347" s="40"/>
      <c r="B2347" s="41" t="s">
        <v>400</v>
      </c>
      <c r="C2347" s="41" t="s">
        <v>1914</v>
      </c>
      <c r="D2347" s="40"/>
      <c r="E2347" s="40"/>
      <c r="F2347" s="49" t="str">
        <f t="shared" ref="F2347:J2347" ca="1" si="2345">IFERROR(__xludf.DUMMYFUNCTION("if (A2347 &lt;&gt; """", GOOGLETRANSLATE(A2347, ""auto"", ""en""), """")"),"")</f>
        <v/>
      </c>
      <c r="G2347" s="49" t="str">
        <f t="shared" ca="1" si="2345"/>
        <v/>
      </c>
      <c r="H2347" s="49" t="str">
        <f t="shared" ca="1" si="2345"/>
        <v/>
      </c>
      <c r="I2347" s="49" t="str">
        <f t="shared" ca="1" si="2345"/>
        <v/>
      </c>
      <c r="J2347" s="49" t="str">
        <f t="shared" ca="1" si="2345"/>
        <v/>
      </c>
    </row>
    <row r="2348" spans="1:10" ht="12.75" x14ac:dyDescent="0.2">
      <c r="A2348" s="40"/>
      <c r="B2348" s="41" t="s">
        <v>401</v>
      </c>
      <c r="C2348" s="40"/>
      <c r="D2348" s="40"/>
      <c r="E2348" s="40"/>
      <c r="F2348" s="49" t="str">
        <f t="shared" ref="F2348:J2348" ca="1" si="2346">IFERROR(__xludf.DUMMYFUNCTION("if (A2348 &lt;&gt; """", GOOGLETRANSLATE(A2348, ""auto"", ""en""), """")"),"")</f>
        <v/>
      </c>
      <c r="G2348" s="49" t="str">
        <f t="shared" ca="1" si="2346"/>
        <v/>
      </c>
      <c r="H2348" s="49" t="str">
        <f t="shared" ca="1" si="2346"/>
        <v/>
      </c>
      <c r="I2348" s="49" t="str">
        <f t="shared" ca="1" si="2346"/>
        <v/>
      </c>
      <c r="J2348" s="49" t="str">
        <f t="shared" ca="1" si="2346"/>
        <v/>
      </c>
    </row>
    <row r="2349" spans="1:10" ht="25.5" x14ac:dyDescent="0.2">
      <c r="A2349" s="41" t="s">
        <v>1915</v>
      </c>
      <c r="B2349" s="41" t="s">
        <v>402</v>
      </c>
      <c r="C2349" s="41" t="s">
        <v>1916</v>
      </c>
      <c r="D2349" s="40"/>
      <c r="E2349" s="40"/>
      <c r="F2349" s="49" t="str">
        <f t="shared" ref="F2349:J2349" ca="1" si="2347">IFERROR(__xludf.DUMMYFUNCTION("if (A2349 &lt;&gt; """", GOOGLETRANSLATE(A2349, ""auto"", ""en""), """")"),"Insomnia")</f>
        <v>Insomnia</v>
      </c>
      <c r="G2349" s="49" t="str">
        <f t="shared" ca="1" si="2347"/>
        <v>Insomnia</v>
      </c>
      <c r="H2349" s="49" t="str">
        <f t="shared" ca="1" si="2347"/>
        <v>Insomnia</v>
      </c>
      <c r="I2349" s="49" t="str">
        <f t="shared" ca="1" si="2347"/>
        <v>Insomnia</v>
      </c>
      <c r="J2349" s="49" t="str">
        <f t="shared" ca="1" si="2347"/>
        <v>Insomnia</v>
      </c>
    </row>
    <row r="2350" spans="1:10" ht="12.75" x14ac:dyDescent="0.2">
      <c r="A2350" s="41" t="s">
        <v>1917</v>
      </c>
      <c r="B2350" s="40"/>
      <c r="C2350" s="40"/>
      <c r="D2350" s="40"/>
      <c r="E2350" s="40"/>
      <c r="F2350" s="49" t="str">
        <f t="shared" ref="F2350:J2350" ca="1" si="2348">IFERROR(__xludf.DUMMYFUNCTION("if (A2350 &lt;&gt; """", GOOGLETRANSLATE(A2350, ""auto"", ""en""), """")"),"i can't sleep")</f>
        <v>i can't sleep</v>
      </c>
      <c r="G2350" s="49" t="str">
        <f t="shared" ca="1" si="2348"/>
        <v>i can't sleep</v>
      </c>
      <c r="H2350" s="49" t="str">
        <f t="shared" ca="1" si="2348"/>
        <v>i can't sleep</v>
      </c>
      <c r="I2350" s="49" t="str">
        <f t="shared" ca="1" si="2348"/>
        <v>i can't sleep</v>
      </c>
      <c r="J2350" s="49" t="str">
        <f t="shared" ca="1" si="2348"/>
        <v>i can't sleep</v>
      </c>
    </row>
    <row r="2351" spans="1:10" ht="25.5" x14ac:dyDescent="0.2">
      <c r="A2351" s="41" t="s">
        <v>1918</v>
      </c>
      <c r="B2351" s="40"/>
      <c r="C2351" s="40"/>
      <c r="D2351" s="40"/>
      <c r="E2351" s="40"/>
      <c r="F2351" s="49" t="str">
        <f t="shared" ref="F2351:J2351" ca="1" si="2349">IFERROR(__xludf.DUMMYFUNCTION("if (A2351 &lt;&gt; """", GOOGLETRANSLATE(A2351, ""auto"", ""en""), """")"),"Not sleep at all")</f>
        <v>Not sleep at all</v>
      </c>
      <c r="G2351" s="49" t="str">
        <f t="shared" ca="1" si="2349"/>
        <v>Not sleep at all</v>
      </c>
      <c r="H2351" s="49" t="str">
        <f t="shared" ca="1" si="2349"/>
        <v>Not sleep at all</v>
      </c>
      <c r="I2351" s="49" t="str">
        <f t="shared" ca="1" si="2349"/>
        <v>Not sleep at all</v>
      </c>
      <c r="J2351" s="49" t="str">
        <f t="shared" ca="1" si="2349"/>
        <v>Not sleep at all</v>
      </c>
    </row>
    <row r="2352" spans="1:10" ht="25.5" x14ac:dyDescent="0.2">
      <c r="A2352" s="41" t="s">
        <v>1919</v>
      </c>
      <c r="B2352" s="40"/>
      <c r="C2352" s="40"/>
      <c r="D2352" s="40"/>
      <c r="E2352" s="40"/>
      <c r="F2352" s="49" t="str">
        <f t="shared" ref="F2352:J2352" ca="1" si="2350">IFERROR(__xludf.DUMMYFUNCTION("if (A2352 &lt;&gt; """", GOOGLETRANSLATE(A2352, ""auto"", ""en""), """")"),"You do not get to sleep")</f>
        <v>You do not get to sleep</v>
      </c>
      <c r="G2352" s="49" t="str">
        <f t="shared" ca="1" si="2350"/>
        <v>You do not get to sleep</v>
      </c>
      <c r="H2352" s="49" t="str">
        <f t="shared" ca="1" si="2350"/>
        <v>You do not get to sleep</v>
      </c>
      <c r="I2352" s="49" t="str">
        <f t="shared" ca="1" si="2350"/>
        <v>You do not get to sleep</v>
      </c>
      <c r="J2352" s="49" t="str">
        <f t="shared" ca="1" si="2350"/>
        <v>You do not get to sleep</v>
      </c>
    </row>
    <row r="2353" spans="1:10" ht="25.5" x14ac:dyDescent="0.2">
      <c r="A2353" s="41" t="s">
        <v>1920</v>
      </c>
      <c r="B2353" s="40"/>
      <c r="C2353" s="40"/>
      <c r="D2353" s="40"/>
      <c r="E2353" s="40"/>
      <c r="F2353" s="49" t="str">
        <f t="shared" ref="F2353:J2353" ca="1" si="2351">IFERROR(__xludf.DUMMYFUNCTION("if (A2353 &lt;&gt; """", GOOGLETRANSLATE(A2353, ""auto"", ""en""), """")"),"Falling asleep is bad")</f>
        <v>Falling asleep is bad</v>
      </c>
      <c r="G2353" s="49" t="str">
        <f t="shared" ca="1" si="2351"/>
        <v>Falling asleep is bad</v>
      </c>
      <c r="H2353" s="49" t="str">
        <f t="shared" ca="1" si="2351"/>
        <v>Falling asleep is bad</v>
      </c>
      <c r="I2353" s="49" t="str">
        <f t="shared" ca="1" si="2351"/>
        <v>Falling asleep is bad</v>
      </c>
      <c r="J2353" s="49" t="str">
        <f t="shared" ca="1" si="2351"/>
        <v>Falling asleep is bad</v>
      </c>
    </row>
    <row r="2354" spans="1:10" ht="25.5" x14ac:dyDescent="0.2">
      <c r="A2354" s="41" t="s">
        <v>1921</v>
      </c>
      <c r="B2354" s="40"/>
      <c r="C2354" s="40"/>
      <c r="D2354" s="40"/>
      <c r="E2354" s="40"/>
      <c r="F2354" s="49" t="str">
        <f t="shared" ref="F2354:J2354" ca="1" si="2352">IFERROR(__xludf.DUMMYFUNCTION("if (A2354 &lt;&gt; """", GOOGLETRANSLATE(A2354, ""auto"", ""en""), """")"),"I do not sleep very much")</f>
        <v>I do not sleep very much</v>
      </c>
      <c r="G2354" s="49" t="str">
        <f t="shared" ca="1" si="2352"/>
        <v>I do not sleep very much</v>
      </c>
      <c r="H2354" s="49" t="str">
        <f t="shared" ca="1" si="2352"/>
        <v>I do not sleep very much</v>
      </c>
      <c r="I2354" s="49" t="str">
        <f t="shared" ca="1" si="2352"/>
        <v>I do not sleep very much</v>
      </c>
      <c r="J2354" s="49" t="str">
        <f t="shared" ca="1" si="2352"/>
        <v>I do not sleep very much</v>
      </c>
    </row>
    <row r="2355" spans="1:10" ht="12.75" x14ac:dyDescent="0.2">
      <c r="A2355" s="41" t="s">
        <v>1922</v>
      </c>
      <c r="B2355" s="40"/>
      <c r="C2355" s="40"/>
      <c r="D2355" s="40"/>
      <c r="E2355" s="40"/>
      <c r="F2355" s="49" t="str">
        <f t="shared" ref="F2355:J2355" ca="1" si="2353">IFERROR(__xludf.DUMMYFUNCTION("if (A2355 &lt;&gt; """", GOOGLETRANSLATE(A2355, ""auto"", ""en""), """")"),"Now insomnia")</f>
        <v>Now insomnia</v>
      </c>
      <c r="G2355" s="49" t="str">
        <f t="shared" ca="1" si="2353"/>
        <v>Now insomnia</v>
      </c>
      <c r="H2355" s="49" t="str">
        <f t="shared" ca="1" si="2353"/>
        <v>Now insomnia</v>
      </c>
      <c r="I2355" s="49" t="str">
        <f t="shared" ca="1" si="2353"/>
        <v>Now insomnia</v>
      </c>
      <c r="J2355" s="49" t="str">
        <f t="shared" ca="1" si="2353"/>
        <v>Now insomnia</v>
      </c>
    </row>
    <row r="2356" spans="1:10" ht="12.75" x14ac:dyDescent="0.2">
      <c r="A2356" s="40"/>
      <c r="B2356" s="40"/>
      <c r="C2356" s="40"/>
      <c r="D2356" s="40"/>
      <c r="E2356" s="40"/>
      <c r="F2356" s="49" t="str">
        <f t="shared" ref="F2356:J2356" ca="1" si="2354">IFERROR(__xludf.DUMMYFUNCTION("if (A2356 &lt;&gt; """", GOOGLETRANSLATE(A2356, ""auto"", ""en""), """")"),"")</f>
        <v/>
      </c>
      <c r="G2356" s="49" t="str">
        <f t="shared" ca="1" si="2354"/>
        <v/>
      </c>
      <c r="H2356" s="49" t="str">
        <f t="shared" ca="1" si="2354"/>
        <v/>
      </c>
      <c r="I2356" s="49" t="str">
        <f t="shared" ca="1" si="2354"/>
        <v/>
      </c>
      <c r="J2356" s="49" t="str">
        <f t="shared" ca="1" si="2354"/>
        <v/>
      </c>
    </row>
    <row r="2357" spans="1:10" ht="38.25" x14ac:dyDescent="0.2">
      <c r="A2357" s="41" t="s">
        <v>1923</v>
      </c>
      <c r="B2357" s="40"/>
      <c r="C2357" s="40"/>
      <c r="D2357" s="40"/>
      <c r="E2357" s="40"/>
      <c r="F2357" s="49" t="str">
        <f t="shared" ref="F2357:J2357" ca="1" si="2355">IFERROR(__xludf.DUMMYFUNCTION("if (A2357 &lt;&gt; """", GOOGLETRANSLATE(A2357, ""auto"", ""en""), """")"),"smalltalk.user.does_not_want_to_talk")</f>
        <v>smalltalk.user.does_not_want_to_talk</v>
      </c>
      <c r="G2357" s="49" t="str">
        <f t="shared" ca="1" si="2355"/>
        <v>smalltalk.user.does_not_want_to_talk</v>
      </c>
      <c r="H2357" s="49" t="str">
        <f t="shared" ca="1" si="2355"/>
        <v>smalltalk.user.does_not_want_to_talk</v>
      </c>
      <c r="I2357" s="49" t="str">
        <f t="shared" ca="1" si="2355"/>
        <v>smalltalk.user.does_not_want_to_talk</v>
      </c>
      <c r="J2357" s="49" t="str">
        <f t="shared" ca="1" si="2355"/>
        <v>smalltalk.user.does_not_want_to_talk</v>
      </c>
    </row>
    <row r="2358" spans="1:10" ht="12.75" x14ac:dyDescent="0.2">
      <c r="A2358" s="40"/>
      <c r="B2358" s="41" t="s">
        <v>398</v>
      </c>
      <c r="C2358" s="40"/>
      <c r="D2358" s="40"/>
      <c r="E2358" s="40"/>
      <c r="F2358" s="49" t="str">
        <f t="shared" ref="F2358:J2358" ca="1" si="2356">IFERROR(__xludf.DUMMYFUNCTION("if (A2358 &lt;&gt; """", GOOGLETRANSLATE(A2358, ""auto"", ""en""), """")"),"")</f>
        <v/>
      </c>
      <c r="G2358" s="49" t="str">
        <f t="shared" ca="1" si="2356"/>
        <v/>
      </c>
      <c r="H2358" s="49" t="str">
        <f t="shared" ca="1" si="2356"/>
        <v/>
      </c>
      <c r="I2358" s="49" t="str">
        <f t="shared" ca="1" si="2356"/>
        <v/>
      </c>
      <c r="J2358" s="49" t="str">
        <f t="shared" ca="1" si="2356"/>
        <v/>
      </c>
    </row>
    <row r="2359" spans="1:10" ht="12.75" x14ac:dyDescent="0.2">
      <c r="A2359" s="40"/>
      <c r="B2359" s="41" t="s">
        <v>399</v>
      </c>
      <c r="C2359" s="40"/>
      <c r="D2359" s="40"/>
      <c r="E2359" s="40"/>
      <c r="F2359" s="49" t="str">
        <f t="shared" ref="F2359:J2359" ca="1" si="2357">IFERROR(__xludf.DUMMYFUNCTION("if (A2359 &lt;&gt; """", GOOGLETRANSLATE(A2359, ""auto"", ""en""), """")"),"")</f>
        <v/>
      </c>
      <c r="G2359" s="49" t="str">
        <f t="shared" ca="1" si="2357"/>
        <v/>
      </c>
      <c r="H2359" s="49" t="str">
        <f t="shared" ca="1" si="2357"/>
        <v/>
      </c>
      <c r="I2359" s="49" t="str">
        <f t="shared" ca="1" si="2357"/>
        <v/>
      </c>
      <c r="J2359" s="49" t="str">
        <f t="shared" ca="1" si="2357"/>
        <v/>
      </c>
    </row>
    <row r="2360" spans="1:10" ht="12.75" x14ac:dyDescent="0.2">
      <c r="A2360" s="40"/>
      <c r="B2360" s="41" t="s">
        <v>400</v>
      </c>
      <c r="C2360" s="41" t="s">
        <v>1923</v>
      </c>
      <c r="D2360" s="40"/>
      <c r="E2360" s="40"/>
      <c r="F2360" s="49" t="str">
        <f t="shared" ref="F2360:J2360" ca="1" si="2358">IFERROR(__xludf.DUMMYFUNCTION("if (A2360 &lt;&gt; """", GOOGLETRANSLATE(A2360, ""auto"", ""en""), """")"),"")</f>
        <v/>
      </c>
      <c r="G2360" s="49" t="str">
        <f t="shared" ca="1" si="2358"/>
        <v/>
      </c>
      <c r="H2360" s="49" t="str">
        <f t="shared" ca="1" si="2358"/>
        <v/>
      </c>
      <c r="I2360" s="49" t="str">
        <f t="shared" ca="1" si="2358"/>
        <v/>
      </c>
      <c r="J2360" s="49" t="str">
        <f t="shared" ca="1" si="2358"/>
        <v/>
      </c>
    </row>
    <row r="2361" spans="1:10" ht="12.75" x14ac:dyDescent="0.2">
      <c r="A2361" s="40"/>
      <c r="B2361" s="41" t="s">
        <v>401</v>
      </c>
      <c r="C2361" s="40"/>
      <c r="D2361" s="40"/>
      <c r="E2361" s="40"/>
      <c r="F2361" s="49" t="str">
        <f t="shared" ref="F2361:J2361" ca="1" si="2359">IFERROR(__xludf.DUMMYFUNCTION("if (A2361 &lt;&gt; """", GOOGLETRANSLATE(A2361, ""auto"", ""en""), """")"),"")</f>
        <v/>
      </c>
      <c r="G2361" s="49" t="str">
        <f t="shared" ca="1" si="2359"/>
        <v/>
      </c>
      <c r="H2361" s="49" t="str">
        <f t="shared" ca="1" si="2359"/>
        <v/>
      </c>
      <c r="I2361" s="49" t="str">
        <f t="shared" ca="1" si="2359"/>
        <v/>
      </c>
      <c r="J2361" s="49" t="str">
        <f t="shared" ca="1" si="2359"/>
        <v/>
      </c>
    </row>
    <row r="2362" spans="1:10" ht="25.5" x14ac:dyDescent="0.2">
      <c r="A2362" s="41" t="s">
        <v>1924</v>
      </c>
      <c r="B2362" s="41" t="s">
        <v>402</v>
      </c>
      <c r="C2362" s="41" t="s">
        <v>1925</v>
      </c>
      <c r="D2362" s="40"/>
      <c r="E2362" s="40"/>
      <c r="F2362" s="49" t="str">
        <f t="shared" ref="F2362:J2362" ca="1" si="2360">IFERROR(__xludf.DUMMYFUNCTION("if (A2362 &lt;&gt; """", GOOGLETRANSLATE(A2362, ""auto"", ""en""), """")"),"I do not speak now")</f>
        <v>I do not speak now</v>
      </c>
      <c r="G2362" s="49" t="str">
        <f t="shared" ca="1" si="2360"/>
        <v>I do not speak now</v>
      </c>
      <c r="H2362" s="49" t="str">
        <f t="shared" ca="1" si="2360"/>
        <v>I do not speak now</v>
      </c>
      <c r="I2362" s="49" t="str">
        <f t="shared" ca="1" si="2360"/>
        <v>I do not speak now</v>
      </c>
      <c r="J2362" s="49" t="str">
        <f t="shared" ca="1" si="2360"/>
        <v>I do not speak now</v>
      </c>
    </row>
    <row r="2363" spans="1:10" ht="25.5" x14ac:dyDescent="0.2">
      <c r="A2363" s="41" t="s">
        <v>1926</v>
      </c>
      <c r="B2363" s="40"/>
      <c r="C2363" s="40"/>
      <c r="D2363" s="40"/>
      <c r="E2363" s="40"/>
      <c r="F2363" s="49" t="str">
        <f t="shared" ref="F2363:J2363" ca="1" si="2361">IFERROR(__xludf.DUMMYFUNCTION("if (A2363 &lt;&gt; """", GOOGLETRANSLATE(A2363, ""auto"", ""en""), """")"),"I do not want to talk")</f>
        <v>I do not want to talk</v>
      </c>
      <c r="G2363" s="49" t="str">
        <f t="shared" ca="1" si="2361"/>
        <v>I do not want to talk</v>
      </c>
      <c r="H2363" s="49" t="str">
        <f t="shared" ca="1" si="2361"/>
        <v>I do not want to talk</v>
      </c>
      <c r="I2363" s="49" t="str">
        <f t="shared" ca="1" si="2361"/>
        <v>I do not want to talk</v>
      </c>
      <c r="J2363" s="49" t="str">
        <f t="shared" ca="1" si="2361"/>
        <v>I do not want to talk</v>
      </c>
    </row>
    <row r="2364" spans="1:10" ht="12.75" x14ac:dyDescent="0.2">
      <c r="A2364" s="41" t="s">
        <v>1927</v>
      </c>
      <c r="B2364" s="40"/>
      <c r="C2364" s="40"/>
      <c r="D2364" s="40"/>
      <c r="E2364" s="40"/>
      <c r="F2364" s="49" t="str">
        <f t="shared" ref="F2364:J2364" ca="1" si="2362">IFERROR(__xludf.DUMMYFUNCTION("if (A2364 &lt;&gt; """", GOOGLETRANSLATE(A2364, ""auto"", ""en""), """")"),"Let's not talk")</f>
        <v>Let's not talk</v>
      </c>
      <c r="G2364" s="49" t="str">
        <f t="shared" ca="1" si="2362"/>
        <v>Let's not talk</v>
      </c>
      <c r="H2364" s="49" t="str">
        <f t="shared" ca="1" si="2362"/>
        <v>Let's not talk</v>
      </c>
      <c r="I2364" s="49" t="str">
        <f t="shared" ca="1" si="2362"/>
        <v>Let's not talk</v>
      </c>
      <c r="J2364" s="49" t="str">
        <f t="shared" ca="1" si="2362"/>
        <v>Let's not talk</v>
      </c>
    </row>
    <row r="2365" spans="1:10" ht="38.25" x14ac:dyDescent="0.2">
      <c r="A2365" s="41" t="s">
        <v>1928</v>
      </c>
      <c r="B2365" s="40"/>
      <c r="C2365" s="40"/>
      <c r="D2365" s="40"/>
      <c r="E2365" s="40"/>
      <c r="F2365" s="49" t="str">
        <f t="shared" ref="F2365:J2365" ca="1" si="2363">IFERROR(__xludf.DUMMYFUNCTION("if (A2365 &lt;&gt; """", GOOGLETRANSLATE(A2365, ""auto"", ""en""), """")"),"Do not speak anything anymore")</f>
        <v>Do not speak anything anymore</v>
      </c>
      <c r="G2365" s="49" t="str">
        <f t="shared" ca="1" si="2363"/>
        <v>Do not speak anything anymore</v>
      </c>
      <c r="H2365" s="49" t="str">
        <f t="shared" ca="1" si="2363"/>
        <v>Do not speak anything anymore</v>
      </c>
      <c r="I2365" s="49" t="str">
        <f t="shared" ca="1" si="2363"/>
        <v>Do not speak anything anymore</v>
      </c>
      <c r="J2365" s="49" t="str">
        <f t="shared" ca="1" si="2363"/>
        <v>Do not speak anything anymore</v>
      </c>
    </row>
    <row r="2366" spans="1:10" ht="38.25" x14ac:dyDescent="0.2">
      <c r="A2366" s="41" t="s">
        <v>1929</v>
      </c>
      <c r="B2366" s="40"/>
      <c r="C2366" s="40"/>
      <c r="D2366" s="40"/>
      <c r="E2366" s="40"/>
      <c r="F2366" s="49" t="str">
        <f t="shared" ref="F2366:J2366" ca="1" si="2364">IFERROR(__xludf.DUMMYFUNCTION("if (A2366 &lt;&gt; """", GOOGLETRANSLATE(A2366, ""auto"", ""en""), """")"),"I do not want to talk to you is")</f>
        <v>I do not want to talk to you is</v>
      </c>
      <c r="G2366" s="49" t="str">
        <f t="shared" ca="1" si="2364"/>
        <v>I do not want to talk to you is</v>
      </c>
      <c r="H2366" s="49" t="str">
        <f t="shared" ca="1" si="2364"/>
        <v>I do not want to talk to you is</v>
      </c>
      <c r="I2366" s="49" t="str">
        <f t="shared" ca="1" si="2364"/>
        <v>I do not want to talk to you is</v>
      </c>
      <c r="J2366" s="49" t="str">
        <f t="shared" ca="1" si="2364"/>
        <v>I do not want to talk to you is</v>
      </c>
    </row>
    <row r="2367" spans="1:10" ht="25.5" x14ac:dyDescent="0.2">
      <c r="A2367" s="41" t="s">
        <v>1930</v>
      </c>
      <c r="B2367" s="40"/>
      <c r="C2367" s="40"/>
      <c r="D2367" s="40"/>
      <c r="E2367" s="40"/>
      <c r="F2367" s="49" t="str">
        <f t="shared" ref="F2367:J2367" ca="1" si="2365">IFERROR(__xludf.DUMMYFUNCTION("if (A2367 &lt;&gt; """", GOOGLETRANSLATE(A2367, ""auto"", ""en""), """")"),"Let's not talk a little")</f>
        <v>Let's not talk a little</v>
      </c>
      <c r="G2367" s="49" t="str">
        <f t="shared" ca="1" si="2365"/>
        <v>Let's not talk a little</v>
      </c>
      <c r="H2367" s="49" t="str">
        <f t="shared" ca="1" si="2365"/>
        <v>Let's not talk a little</v>
      </c>
      <c r="I2367" s="49" t="str">
        <f t="shared" ca="1" si="2365"/>
        <v>Let's not talk a little</v>
      </c>
      <c r="J2367" s="49" t="str">
        <f t="shared" ca="1" si="2365"/>
        <v>Let's not talk a little</v>
      </c>
    </row>
    <row r="2368" spans="1:10" ht="25.5" x14ac:dyDescent="0.2">
      <c r="A2368" s="41" t="s">
        <v>1931</v>
      </c>
      <c r="B2368" s="40"/>
      <c r="C2368" s="40"/>
      <c r="D2368" s="40"/>
      <c r="E2368" s="40"/>
      <c r="F2368" s="49" t="str">
        <f t="shared" ref="F2368:J2368" ca="1" si="2366">IFERROR(__xludf.DUMMYFUNCTION("if (A2368 &lt;&gt; """", GOOGLETRANSLATE(A2368, ""auto"", ""en""), """")"),"Not a mood to speak")</f>
        <v>Not a mood to speak</v>
      </c>
      <c r="G2368" s="49" t="str">
        <f t="shared" ca="1" si="2366"/>
        <v>Not a mood to speak</v>
      </c>
      <c r="H2368" s="49" t="str">
        <f t="shared" ca="1" si="2366"/>
        <v>Not a mood to speak</v>
      </c>
      <c r="I2368" s="49" t="str">
        <f t="shared" ca="1" si="2366"/>
        <v>Not a mood to speak</v>
      </c>
      <c r="J2368" s="49" t="str">
        <f t="shared" ca="1" si="2366"/>
        <v>Not a mood to speak</v>
      </c>
    </row>
    <row r="2369" spans="1:10" ht="12.75" x14ac:dyDescent="0.2">
      <c r="A2369" s="40"/>
      <c r="B2369" s="40"/>
      <c r="C2369" s="40"/>
      <c r="D2369" s="40"/>
      <c r="E2369" s="40"/>
      <c r="F2369" s="49" t="str">
        <f t="shared" ref="F2369:J2369" ca="1" si="2367">IFERROR(__xludf.DUMMYFUNCTION("if (A2369 &lt;&gt; """", GOOGLETRANSLATE(A2369, ""auto"", ""en""), """")"),"")</f>
        <v/>
      </c>
      <c r="G2369" s="49" t="str">
        <f t="shared" ca="1" si="2367"/>
        <v/>
      </c>
      <c r="H2369" s="49" t="str">
        <f t="shared" ca="1" si="2367"/>
        <v/>
      </c>
      <c r="I2369" s="49" t="str">
        <f t="shared" ca="1" si="2367"/>
        <v/>
      </c>
      <c r="J2369" s="49" t="str">
        <f t="shared" ca="1" si="2367"/>
        <v/>
      </c>
    </row>
    <row r="2370" spans="1:10" ht="25.5" x14ac:dyDescent="0.2">
      <c r="A2370" s="41" t="s">
        <v>1932</v>
      </c>
      <c r="B2370" s="40"/>
      <c r="C2370" s="40"/>
      <c r="D2370" s="40"/>
      <c r="E2370" s="40"/>
      <c r="F2370" s="49" t="str">
        <f t="shared" ref="F2370:J2370" ca="1" si="2368">IFERROR(__xludf.DUMMYFUNCTION("if (A2370 &lt;&gt; """", GOOGLETRANSLATE(A2370, ""auto"", ""en""), """")"),"smalltalk.user.excited")</f>
        <v>smalltalk.user.excited</v>
      </c>
      <c r="G2370" s="49" t="str">
        <f t="shared" ca="1" si="2368"/>
        <v>smalltalk.user.excited</v>
      </c>
      <c r="H2370" s="49" t="str">
        <f t="shared" ca="1" si="2368"/>
        <v>smalltalk.user.excited</v>
      </c>
      <c r="I2370" s="49" t="str">
        <f t="shared" ca="1" si="2368"/>
        <v>smalltalk.user.excited</v>
      </c>
      <c r="J2370" s="49" t="str">
        <f t="shared" ca="1" si="2368"/>
        <v>smalltalk.user.excited</v>
      </c>
    </row>
    <row r="2371" spans="1:10" ht="12.75" x14ac:dyDescent="0.2">
      <c r="A2371" s="40"/>
      <c r="B2371" s="41" t="s">
        <v>398</v>
      </c>
      <c r="C2371" s="40"/>
      <c r="D2371" s="40"/>
      <c r="E2371" s="40"/>
      <c r="F2371" s="49" t="str">
        <f t="shared" ref="F2371:J2371" ca="1" si="2369">IFERROR(__xludf.DUMMYFUNCTION("if (A2371 &lt;&gt; """", GOOGLETRANSLATE(A2371, ""auto"", ""en""), """")"),"")</f>
        <v/>
      </c>
      <c r="G2371" s="49" t="str">
        <f t="shared" ca="1" si="2369"/>
        <v/>
      </c>
      <c r="H2371" s="49" t="str">
        <f t="shared" ca="1" si="2369"/>
        <v/>
      </c>
      <c r="I2371" s="49" t="str">
        <f t="shared" ca="1" si="2369"/>
        <v/>
      </c>
      <c r="J2371" s="49" t="str">
        <f t="shared" ca="1" si="2369"/>
        <v/>
      </c>
    </row>
    <row r="2372" spans="1:10" ht="12.75" x14ac:dyDescent="0.2">
      <c r="A2372" s="40"/>
      <c r="B2372" s="41" t="s">
        <v>399</v>
      </c>
      <c r="C2372" s="40"/>
      <c r="D2372" s="40"/>
      <c r="E2372" s="40"/>
      <c r="F2372" s="49" t="str">
        <f t="shared" ref="F2372:J2372" ca="1" si="2370">IFERROR(__xludf.DUMMYFUNCTION("if (A2372 &lt;&gt; """", GOOGLETRANSLATE(A2372, ""auto"", ""en""), """")"),"")</f>
        <v/>
      </c>
      <c r="G2372" s="49" t="str">
        <f t="shared" ca="1" si="2370"/>
        <v/>
      </c>
      <c r="H2372" s="49" t="str">
        <f t="shared" ca="1" si="2370"/>
        <v/>
      </c>
      <c r="I2372" s="49" t="str">
        <f t="shared" ca="1" si="2370"/>
        <v/>
      </c>
      <c r="J2372" s="49" t="str">
        <f t="shared" ca="1" si="2370"/>
        <v/>
      </c>
    </row>
    <row r="2373" spans="1:10" ht="12.75" x14ac:dyDescent="0.2">
      <c r="A2373" s="40"/>
      <c r="B2373" s="41" t="s">
        <v>400</v>
      </c>
      <c r="C2373" s="41" t="s">
        <v>1932</v>
      </c>
      <c r="D2373" s="40"/>
      <c r="E2373" s="40"/>
      <c r="F2373" s="49" t="str">
        <f t="shared" ref="F2373:J2373" ca="1" si="2371">IFERROR(__xludf.DUMMYFUNCTION("if (A2373 &lt;&gt; """", GOOGLETRANSLATE(A2373, ""auto"", ""en""), """")"),"")</f>
        <v/>
      </c>
      <c r="G2373" s="49" t="str">
        <f t="shared" ca="1" si="2371"/>
        <v/>
      </c>
      <c r="H2373" s="49" t="str">
        <f t="shared" ca="1" si="2371"/>
        <v/>
      </c>
      <c r="I2373" s="49" t="str">
        <f t="shared" ca="1" si="2371"/>
        <v/>
      </c>
      <c r="J2373" s="49" t="str">
        <f t="shared" ca="1" si="2371"/>
        <v/>
      </c>
    </row>
    <row r="2374" spans="1:10" ht="12.75" x14ac:dyDescent="0.2">
      <c r="A2374" s="40"/>
      <c r="B2374" s="41" t="s">
        <v>401</v>
      </c>
      <c r="C2374" s="40"/>
      <c r="D2374" s="40"/>
      <c r="E2374" s="40"/>
      <c r="F2374" s="49" t="str">
        <f t="shared" ref="F2374:J2374" ca="1" si="2372">IFERROR(__xludf.DUMMYFUNCTION("if (A2374 &lt;&gt; """", GOOGLETRANSLATE(A2374, ""auto"", ""en""), """")"),"")</f>
        <v/>
      </c>
      <c r="G2374" s="49" t="str">
        <f t="shared" ca="1" si="2372"/>
        <v/>
      </c>
      <c r="H2374" s="49" t="str">
        <f t="shared" ca="1" si="2372"/>
        <v/>
      </c>
      <c r="I2374" s="49" t="str">
        <f t="shared" ca="1" si="2372"/>
        <v/>
      </c>
      <c r="J2374" s="49" t="str">
        <f t="shared" ca="1" si="2372"/>
        <v/>
      </c>
    </row>
    <row r="2375" spans="1:10" ht="12.75" x14ac:dyDescent="0.2">
      <c r="A2375" s="41" t="s">
        <v>1933</v>
      </c>
      <c r="B2375" s="41" t="s">
        <v>402</v>
      </c>
      <c r="C2375" s="41" t="s">
        <v>1934</v>
      </c>
      <c r="D2375" s="40"/>
      <c r="E2375" s="40"/>
      <c r="F2375" s="49" t="str">
        <f t="shared" ref="F2375:J2375" ca="1" si="2373">IFERROR(__xludf.DUMMYFUNCTION("if (A2375 &lt;&gt; """", GOOGLETRANSLATE(A2375, ""auto"", ""en""), """")"),"I am excited")</f>
        <v>I am excited</v>
      </c>
      <c r="G2375" s="49" t="str">
        <f t="shared" ca="1" si="2373"/>
        <v>I am excited</v>
      </c>
      <c r="H2375" s="49" t="str">
        <f t="shared" ca="1" si="2373"/>
        <v>I am excited</v>
      </c>
      <c r="I2375" s="49" t="str">
        <f t="shared" ca="1" si="2373"/>
        <v>I am excited</v>
      </c>
      <c r="J2375" s="49" t="str">
        <f t="shared" ca="1" si="2373"/>
        <v>I am excited</v>
      </c>
    </row>
    <row r="2376" spans="1:10" ht="25.5" x14ac:dyDescent="0.2">
      <c r="A2376" s="41" t="s">
        <v>1935</v>
      </c>
      <c r="B2376" s="40"/>
      <c r="C2376" s="40"/>
      <c r="D2376" s="40"/>
      <c r="E2376" s="40"/>
      <c r="F2376" s="49" t="str">
        <f t="shared" ref="F2376:J2376" ca="1" si="2374">IFERROR(__xludf.DUMMYFUNCTION("if (A2376 &lt;&gt; """", GOOGLETRANSLATE(A2376, ""auto"", ""en""), """")"),"I am really excited")</f>
        <v>I am really excited</v>
      </c>
      <c r="G2376" s="49" t="str">
        <f t="shared" ca="1" si="2374"/>
        <v>I am really excited</v>
      </c>
      <c r="H2376" s="49" t="str">
        <f t="shared" ca="1" si="2374"/>
        <v>I am really excited</v>
      </c>
      <c r="I2376" s="49" t="str">
        <f t="shared" ca="1" si="2374"/>
        <v>I am really excited</v>
      </c>
      <c r="J2376" s="49" t="str">
        <f t="shared" ca="1" si="2374"/>
        <v>I am really excited</v>
      </c>
    </row>
    <row r="2377" spans="1:10" ht="25.5" x14ac:dyDescent="0.2">
      <c r="A2377" s="41" t="s">
        <v>1936</v>
      </c>
      <c r="B2377" s="40"/>
      <c r="C2377" s="40"/>
      <c r="D2377" s="40"/>
      <c r="E2377" s="40"/>
      <c r="F2377" s="49" t="str">
        <f t="shared" ref="F2377:J2377" ca="1" si="2375">IFERROR(__xludf.DUMMYFUNCTION("if (A2377 &lt;&gt; """", GOOGLETRANSLATE(A2377, ""auto"", ""en""), """")"),"Nante be so excited")</f>
        <v>Nante be so excited</v>
      </c>
      <c r="G2377" s="49" t="str">
        <f t="shared" ca="1" si="2375"/>
        <v>Nante be so excited</v>
      </c>
      <c r="H2377" s="49" t="str">
        <f t="shared" ca="1" si="2375"/>
        <v>Nante be so excited</v>
      </c>
      <c r="I2377" s="49" t="str">
        <f t="shared" ca="1" si="2375"/>
        <v>Nante be so excited</v>
      </c>
      <c r="J2377" s="49" t="str">
        <f t="shared" ca="1" si="2375"/>
        <v>Nante be so excited</v>
      </c>
    </row>
    <row r="2378" spans="1:10" ht="12.75" x14ac:dyDescent="0.2">
      <c r="A2378" s="41" t="s">
        <v>1937</v>
      </c>
      <c r="B2378" s="40"/>
      <c r="C2378" s="40"/>
      <c r="D2378" s="40"/>
      <c r="E2378" s="40"/>
      <c r="F2378" s="49" t="str">
        <f t="shared" ref="F2378:J2378" ca="1" si="2376">IFERROR(__xludf.DUMMYFUNCTION("if (A2378 &lt;&gt; """", GOOGLETRANSLATE(A2378, ""auto"", ""en""), """")"),"Be excited")</f>
        <v>Be excited</v>
      </c>
      <c r="G2378" s="49" t="str">
        <f t="shared" ca="1" si="2376"/>
        <v>Be excited</v>
      </c>
      <c r="H2378" s="49" t="str">
        <f t="shared" ca="1" si="2376"/>
        <v>Be excited</v>
      </c>
      <c r="I2378" s="49" t="str">
        <f t="shared" ca="1" si="2376"/>
        <v>Be excited</v>
      </c>
      <c r="J2378" s="49" t="str">
        <f t="shared" ca="1" si="2376"/>
        <v>Be excited</v>
      </c>
    </row>
    <row r="2379" spans="1:10" ht="12.75" x14ac:dyDescent="0.2">
      <c r="A2379" s="40"/>
      <c r="B2379" s="40"/>
      <c r="C2379" s="40"/>
      <c r="D2379" s="40"/>
      <c r="E2379" s="40"/>
      <c r="F2379" s="49" t="str">
        <f t="shared" ref="F2379:J2379" ca="1" si="2377">IFERROR(__xludf.DUMMYFUNCTION("if (A2379 &lt;&gt; """", GOOGLETRANSLATE(A2379, ""auto"", ""en""), """")"),"")</f>
        <v/>
      </c>
      <c r="G2379" s="49" t="str">
        <f t="shared" ca="1" si="2377"/>
        <v/>
      </c>
      <c r="H2379" s="49" t="str">
        <f t="shared" ca="1" si="2377"/>
        <v/>
      </c>
      <c r="I2379" s="49" t="str">
        <f t="shared" ca="1" si="2377"/>
        <v/>
      </c>
      <c r="J2379" s="49" t="str">
        <f t="shared" ca="1" si="2377"/>
        <v/>
      </c>
    </row>
    <row r="2380" spans="1:10" ht="25.5" x14ac:dyDescent="0.2">
      <c r="A2380" s="41" t="s">
        <v>1938</v>
      </c>
      <c r="B2380" s="40"/>
      <c r="C2380" s="40"/>
      <c r="D2380" s="40"/>
      <c r="E2380" s="40"/>
      <c r="F2380" s="49" t="str">
        <f t="shared" ref="F2380:J2380" ca="1" si="2378">IFERROR(__xludf.DUMMYFUNCTION("if (A2380 &lt;&gt; """", GOOGLETRANSLATE(A2380, ""auto"", ""en""), """")"),"smalltalk.user.going_to_bed")</f>
        <v>smalltalk.user.going_to_bed</v>
      </c>
      <c r="G2380" s="49" t="str">
        <f t="shared" ca="1" si="2378"/>
        <v>smalltalk.user.going_to_bed</v>
      </c>
      <c r="H2380" s="49" t="str">
        <f t="shared" ca="1" si="2378"/>
        <v>smalltalk.user.going_to_bed</v>
      </c>
      <c r="I2380" s="49" t="str">
        <f t="shared" ca="1" si="2378"/>
        <v>smalltalk.user.going_to_bed</v>
      </c>
      <c r="J2380" s="49" t="str">
        <f t="shared" ca="1" si="2378"/>
        <v>smalltalk.user.going_to_bed</v>
      </c>
    </row>
    <row r="2381" spans="1:10" ht="12.75" x14ac:dyDescent="0.2">
      <c r="A2381" s="40"/>
      <c r="B2381" s="41" t="s">
        <v>398</v>
      </c>
      <c r="C2381" s="40"/>
      <c r="D2381" s="40"/>
      <c r="E2381" s="40"/>
      <c r="F2381" s="49" t="str">
        <f t="shared" ref="F2381:J2381" ca="1" si="2379">IFERROR(__xludf.DUMMYFUNCTION("if (A2381 &lt;&gt; """", GOOGLETRANSLATE(A2381, ""auto"", ""en""), """")"),"")</f>
        <v/>
      </c>
      <c r="G2381" s="49" t="str">
        <f t="shared" ca="1" si="2379"/>
        <v/>
      </c>
      <c r="H2381" s="49" t="str">
        <f t="shared" ca="1" si="2379"/>
        <v/>
      </c>
      <c r="I2381" s="49" t="str">
        <f t="shared" ca="1" si="2379"/>
        <v/>
      </c>
      <c r="J2381" s="49" t="str">
        <f t="shared" ca="1" si="2379"/>
        <v/>
      </c>
    </row>
    <row r="2382" spans="1:10" ht="12.75" x14ac:dyDescent="0.2">
      <c r="A2382" s="40"/>
      <c r="B2382" s="41" t="s">
        <v>399</v>
      </c>
      <c r="C2382" s="40"/>
      <c r="D2382" s="40"/>
      <c r="E2382" s="40"/>
      <c r="F2382" s="49" t="str">
        <f t="shared" ref="F2382:J2382" ca="1" si="2380">IFERROR(__xludf.DUMMYFUNCTION("if (A2382 &lt;&gt; """", GOOGLETRANSLATE(A2382, ""auto"", ""en""), """")"),"")</f>
        <v/>
      </c>
      <c r="G2382" s="49" t="str">
        <f t="shared" ca="1" si="2380"/>
        <v/>
      </c>
      <c r="H2382" s="49" t="str">
        <f t="shared" ca="1" si="2380"/>
        <v/>
      </c>
      <c r="I2382" s="49" t="str">
        <f t="shared" ca="1" si="2380"/>
        <v/>
      </c>
      <c r="J2382" s="49" t="str">
        <f t="shared" ca="1" si="2380"/>
        <v/>
      </c>
    </row>
    <row r="2383" spans="1:10" ht="12.75" x14ac:dyDescent="0.2">
      <c r="A2383" s="40"/>
      <c r="B2383" s="41" t="s">
        <v>400</v>
      </c>
      <c r="C2383" s="41" t="s">
        <v>1938</v>
      </c>
      <c r="D2383" s="40"/>
      <c r="E2383" s="40"/>
      <c r="F2383" s="49" t="str">
        <f t="shared" ref="F2383:J2383" ca="1" si="2381">IFERROR(__xludf.DUMMYFUNCTION("if (A2383 &lt;&gt; """", GOOGLETRANSLATE(A2383, ""auto"", ""en""), """")"),"")</f>
        <v/>
      </c>
      <c r="G2383" s="49" t="str">
        <f t="shared" ca="1" si="2381"/>
        <v/>
      </c>
      <c r="H2383" s="49" t="str">
        <f t="shared" ca="1" si="2381"/>
        <v/>
      </c>
      <c r="I2383" s="49" t="str">
        <f t="shared" ca="1" si="2381"/>
        <v/>
      </c>
      <c r="J2383" s="49" t="str">
        <f t="shared" ca="1" si="2381"/>
        <v/>
      </c>
    </row>
    <row r="2384" spans="1:10" ht="12.75" x14ac:dyDescent="0.2">
      <c r="A2384" s="40"/>
      <c r="B2384" s="41" t="s">
        <v>401</v>
      </c>
      <c r="C2384" s="40"/>
      <c r="D2384" s="40"/>
      <c r="E2384" s="40"/>
      <c r="F2384" s="49" t="str">
        <f t="shared" ref="F2384:J2384" ca="1" si="2382">IFERROR(__xludf.DUMMYFUNCTION("if (A2384 &lt;&gt; """", GOOGLETRANSLATE(A2384, ""auto"", ""en""), """")"),"")</f>
        <v/>
      </c>
      <c r="G2384" s="49" t="str">
        <f t="shared" ca="1" si="2382"/>
        <v/>
      </c>
      <c r="H2384" s="49" t="str">
        <f t="shared" ca="1" si="2382"/>
        <v/>
      </c>
      <c r="I2384" s="49" t="str">
        <f t="shared" ca="1" si="2382"/>
        <v/>
      </c>
      <c r="J2384" s="49" t="str">
        <f t="shared" ca="1" si="2382"/>
        <v/>
      </c>
    </row>
    <row r="2385" spans="1:10" ht="25.5" x14ac:dyDescent="0.2">
      <c r="A2385" s="41" t="s">
        <v>1939</v>
      </c>
      <c r="B2385" s="41" t="s">
        <v>402</v>
      </c>
      <c r="C2385" s="41" t="s">
        <v>1940</v>
      </c>
      <c r="D2385" s="40"/>
      <c r="E2385" s="40"/>
      <c r="F2385" s="49" t="str">
        <f t="shared" ref="F2385:J2385" ca="1" si="2383">IFERROR(__xludf.DUMMYFUNCTION("if (A2385 &lt;&gt; """", GOOGLETRANSLATE(A2385, ""auto"", ""en""), """")"),"Let's sleep in")</f>
        <v>Let's sleep in</v>
      </c>
      <c r="G2385" s="49" t="str">
        <f t="shared" ca="1" si="2383"/>
        <v>Let's sleep in</v>
      </c>
      <c r="H2385" s="49" t="str">
        <f t="shared" ca="1" si="2383"/>
        <v>Let's sleep in</v>
      </c>
      <c r="I2385" s="49" t="str">
        <f t="shared" ca="1" si="2383"/>
        <v>Let's sleep in</v>
      </c>
      <c r="J2385" s="49" t="str">
        <f t="shared" ca="1" si="2383"/>
        <v>Let's sleep in</v>
      </c>
    </row>
    <row r="2386" spans="1:10" ht="12.75" x14ac:dyDescent="0.2">
      <c r="A2386" s="41" t="s">
        <v>1941</v>
      </c>
      <c r="B2386" s="40"/>
      <c r="C2386" s="40"/>
      <c r="D2386" s="40"/>
      <c r="E2386" s="40"/>
      <c r="F2386" s="49" t="str">
        <f t="shared" ref="F2386:J2386" ca="1" si="2384">IFERROR(__xludf.DUMMYFUNCTION("if (A2386 &lt;&gt; """", GOOGLETRANSLATE(A2386, ""auto"", ""en""), """")"),"I will go to bed")</f>
        <v>I will go to bed</v>
      </c>
      <c r="G2386" s="49" t="str">
        <f t="shared" ca="1" si="2384"/>
        <v>I will go to bed</v>
      </c>
      <c r="H2386" s="49" t="str">
        <f t="shared" ca="1" si="2384"/>
        <v>I will go to bed</v>
      </c>
      <c r="I2386" s="49" t="str">
        <f t="shared" ca="1" si="2384"/>
        <v>I will go to bed</v>
      </c>
      <c r="J2386" s="49" t="str">
        <f t="shared" ca="1" si="2384"/>
        <v>I will go to bed</v>
      </c>
    </row>
    <row r="2387" spans="1:10" ht="25.5" x14ac:dyDescent="0.2">
      <c r="A2387" s="41" t="s">
        <v>1942</v>
      </c>
      <c r="B2387" s="40"/>
      <c r="C2387" s="40"/>
      <c r="D2387" s="40"/>
      <c r="E2387" s="40"/>
      <c r="F2387" s="49" t="str">
        <f t="shared" ref="F2387:J2387" ca="1" si="2385">IFERROR(__xludf.DUMMYFUNCTION("if (A2387 &lt;&gt; """", GOOGLETRANSLATE(A2387, ""auto"", ""en""), """")"),"It is time you went to bed")</f>
        <v>It is time you went to bed</v>
      </c>
      <c r="G2387" s="49" t="str">
        <f t="shared" ca="1" si="2385"/>
        <v>It is time you went to bed</v>
      </c>
      <c r="H2387" s="49" t="str">
        <f t="shared" ca="1" si="2385"/>
        <v>It is time you went to bed</v>
      </c>
      <c r="I2387" s="49" t="str">
        <f t="shared" ca="1" si="2385"/>
        <v>It is time you went to bed</v>
      </c>
      <c r="J2387" s="49" t="str">
        <f t="shared" ca="1" si="2385"/>
        <v>It is time you went to bed</v>
      </c>
    </row>
    <row r="2388" spans="1:10" ht="25.5" x14ac:dyDescent="0.2">
      <c r="A2388" s="41" t="s">
        <v>1943</v>
      </c>
      <c r="B2388" s="40"/>
      <c r="C2388" s="40"/>
      <c r="D2388" s="40"/>
      <c r="E2388" s="40"/>
      <c r="F2388" s="49" t="str">
        <f t="shared" ref="F2388:J2388" ca="1" si="2386">IFERROR(__xludf.DUMMYFUNCTION("if (A2388 &lt;&gt; """", GOOGLETRANSLATE(A2388, ""auto"", ""en""), """")"),"It is time to sleep")</f>
        <v>It is time to sleep</v>
      </c>
      <c r="G2388" s="49" t="str">
        <f t="shared" ca="1" si="2386"/>
        <v>It is time to sleep</v>
      </c>
      <c r="H2388" s="49" t="str">
        <f t="shared" ca="1" si="2386"/>
        <v>It is time to sleep</v>
      </c>
      <c r="I2388" s="49" t="str">
        <f t="shared" ca="1" si="2386"/>
        <v>It is time to sleep</v>
      </c>
      <c r="J2388" s="49" t="str">
        <f t="shared" ca="1" si="2386"/>
        <v>It is time to sleep</v>
      </c>
    </row>
    <row r="2389" spans="1:10" ht="25.5" x14ac:dyDescent="0.2">
      <c r="A2389" s="41" t="s">
        <v>1944</v>
      </c>
      <c r="B2389" s="40"/>
      <c r="C2389" s="40"/>
      <c r="D2389" s="40"/>
      <c r="E2389" s="40"/>
      <c r="F2389" s="49" t="str">
        <f t="shared" ref="F2389:J2389" ca="1" si="2387">IFERROR(__xludf.DUMMYFUNCTION("if (A2389 &lt;&gt; """", GOOGLETRANSLATE(A2389, ""auto"", ""en""), """")"),"Everyone is sleep time")</f>
        <v>Everyone is sleep time</v>
      </c>
      <c r="G2389" s="49" t="str">
        <f t="shared" ca="1" si="2387"/>
        <v>Everyone is sleep time</v>
      </c>
      <c r="H2389" s="49" t="str">
        <f t="shared" ca="1" si="2387"/>
        <v>Everyone is sleep time</v>
      </c>
      <c r="I2389" s="49" t="str">
        <f t="shared" ca="1" si="2387"/>
        <v>Everyone is sleep time</v>
      </c>
      <c r="J2389" s="49" t="str">
        <f t="shared" ca="1" si="2387"/>
        <v>Everyone is sleep time</v>
      </c>
    </row>
    <row r="2390" spans="1:10" ht="25.5" x14ac:dyDescent="0.2">
      <c r="A2390" s="41" t="s">
        <v>1945</v>
      </c>
      <c r="B2390" s="40"/>
      <c r="C2390" s="40"/>
      <c r="D2390" s="40"/>
      <c r="E2390" s="40"/>
      <c r="F2390" s="49" t="str">
        <f t="shared" ref="F2390:J2390" ca="1" si="2388">IFERROR(__xludf.DUMMYFUNCTION("if (A2390 &lt;&gt; """", GOOGLETRANSLATE(A2390, ""auto"", ""en""), """")"),"I am already sleeping")</f>
        <v>I am already sleeping</v>
      </c>
      <c r="G2390" s="49" t="str">
        <f t="shared" ca="1" si="2388"/>
        <v>I am already sleeping</v>
      </c>
      <c r="H2390" s="49" t="str">
        <f t="shared" ca="1" si="2388"/>
        <v>I am already sleeping</v>
      </c>
      <c r="I2390" s="49" t="str">
        <f t="shared" ca="1" si="2388"/>
        <v>I am already sleeping</v>
      </c>
      <c r="J2390" s="49" t="str">
        <f t="shared" ca="1" si="2388"/>
        <v>I am already sleeping</v>
      </c>
    </row>
    <row r="2391" spans="1:10" ht="51" x14ac:dyDescent="0.2">
      <c r="A2391" s="41" t="s">
        <v>1946</v>
      </c>
      <c r="B2391" s="40"/>
      <c r="C2391" s="40"/>
      <c r="D2391" s="40"/>
      <c r="E2391" s="40"/>
      <c r="F2391" s="49" t="str">
        <f t="shared" ref="F2391:J2391" ca="1" si="2389">IFERROR(__xludf.DUMMYFUNCTION("if (A2391 &lt;&gt; """", GOOGLETRANSLATE(A2391, ""auto"", ""en""), """")"),"I want the other to sleep because a little tired")</f>
        <v>I want the other to sleep because a little tired</v>
      </c>
      <c r="G2391" s="49" t="str">
        <f t="shared" ca="1" si="2389"/>
        <v>I want the other to sleep because a little tired</v>
      </c>
      <c r="H2391" s="49" t="str">
        <f t="shared" ca="1" si="2389"/>
        <v>I want the other to sleep because a little tired</v>
      </c>
      <c r="I2391" s="49" t="str">
        <f t="shared" ca="1" si="2389"/>
        <v>I want the other to sleep because a little tired</v>
      </c>
      <c r="J2391" s="49" t="str">
        <f t="shared" ca="1" si="2389"/>
        <v>I want the other to sleep because a little tired</v>
      </c>
    </row>
    <row r="2392" spans="1:10" ht="25.5" x14ac:dyDescent="0.2">
      <c r="A2392" s="41" t="s">
        <v>1947</v>
      </c>
      <c r="B2392" s="40"/>
      <c r="C2392" s="40"/>
      <c r="D2392" s="40"/>
      <c r="E2392" s="40"/>
      <c r="F2392" s="49" t="str">
        <f t="shared" ref="F2392:J2392" ca="1" si="2390">IFERROR(__xludf.DUMMYFUNCTION("if (A2392 &lt;&gt; """", GOOGLETRANSLATE(A2392, ""auto"", ""en""), """")"),"It is time to sleep")</f>
        <v>It is time to sleep</v>
      </c>
      <c r="G2392" s="49" t="str">
        <f t="shared" ca="1" si="2390"/>
        <v>It is time to sleep</v>
      </c>
      <c r="H2392" s="49" t="str">
        <f t="shared" ca="1" si="2390"/>
        <v>It is time to sleep</v>
      </c>
      <c r="I2392" s="49" t="str">
        <f t="shared" ca="1" si="2390"/>
        <v>It is time to sleep</v>
      </c>
      <c r="J2392" s="49" t="str">
        <f t="shared" ca="1" si="2390"/>
        <v>It is time to sleep</v>
      </c>
    </row>
    <row r="2393" spans="1:10" ht="25.5" x14ac:dyDescent="0.2">
      <c r="A2393" s="41" t="s">
        <v>1948</v>
      </c>
      <c r="B2393" s="40"/>
      <c r="C2393" s="40"/>
      <c r="D2393" s="40"/>
      <c r="E2393" s="40"/>
      <c r="F2393" s="49" t="str">
        <f t="shared" ref="F2393:J2393" ca="1" si="2391">IFERROR(__xludf.DUMMYFUNCTION("if (A2393 &lt;&gt; """", GOOGLETRANSLATE(A2393, ""auto"", ""en""), """")"),"I'm going to sleep")</f>
        <v>I'm going to sleep</v>
      </c>
      <c r="G2393" s="49" t="str">
        <f t="shared" ca="1" si="2391"/>
        <v>I'm going to sleep</v>
      </c>
      <c r="H2393" s="49" t="str">
        <f t="shared" ca="1" si="2391"/>
        <v>I'm going to sleep</v>
      </c>
      <c r="I2393" s="49" t="str">
        <f t="shared" ca="1" si="2391"/>
        <v>I'm going to sleep</v>
      </c>
      <c r="J2393" s="49" t="str">
        <f t="shared" ca="1" si="2391"/>
        <v>I'm going to sleep</v>
      </c>
    </row>
    <row r="2394" spans="1:10" ht="12.75" x14ac:dyDescent="0.2">
      <c r="A2394" s="40"/>
      <c r="B2394" s="40"/>
      <c r="C2394" s="40"/>
      <c r="D2394" s="40"/>
      <c r="E2394" s="40"/>
      <c r="F2394" s="49" t="str">
        <f t="shared" ref="F2394:J2394" ca="1" si="2392">IFERROR(__xludf.DUMMYFUNCTION("if (A2394 &lt;&gt; """", GOOGLETRANSLATE(A2394, ""auto"", ""en""), """")"),"")</f>
        <v/>
      </c>
      <c r="G2394" s="49" t="str">
        <f t="shared" ca="1" si="2392"/>
        <v/>
      </c>
      <c r="H2394" s="49" t="str">
        <f t="shared" ca="1" si="2392"/>
        <v/>
      </c>
      <c r="I2394" s="49" t="str">
        <f t="shared" ca="1" si="2392"/>
        <v/>
      </c>
      <c r="J2394" s="49" t="str">
        <f t="shared" ca="1" si="2392"/>
        <v/>
      </c>
    </row>
    <row r="2395" spans="1:10" ht="25.5" x14ac:dyDescent="0.2">
      <c r="A2395" s="41" t="s">
        <v>1949</v>
      </c>
      <c r="B2395" s="40"/>
      <c r="C2395" s="40"/>
      <c r="D2395" s="40"/>
      <c r="E2395" s="40"/>
      <c r="F2395" s="49" t="str">
        <f t="shared" ref="F2395:J2395" ca="1" si="2393">IFERROR(__xludf.DUMMYFUNCTION("if (A2395 &lt;&gt; """", GOOGLETRANSLATE(A2395, ""auto"", ""en""), """")"),"smalltalk.user.good")</f>
        <v>smalltalk.user.good</v>
      </c>
      <c r="G2395" s="49" t="str">
        <f t="shared" ca="1" si="2393"/>
        <v>smalltalk.user.good</v>
      </c>
      <c r="H2395" s="49" t="str">
        <f t="shared" ca="1" si="2393"/>
        <v>smalltalk.user.good</v>
      </c>
      <c r="I2395" s="49" t="str">
        <f t="shared" ca="1" si="2393"/>
        <v>smalltalk.user.good</v>
      </c>
      <c r="J2395" s="49" t="str">
        <f t="shared" ca="1" si="2393"/>
        <v>smalltalk.user.good</v>
      </c>
    </row>
    <row r="2396" spans="1:10" ht="12.75" x14ac:dyDescent="0.2">
      <c r="A2396" s="40"/>
      <c r="B2396" s="41" t="s">
        <v>398</v>
      </c>
      <c r="C2396" s="40"/>
      <c r="D2396" s="40"/>
      <c r="E2396" s="40"/>
      <c r="F2396" s="49" t="str">
        <f t="shared" ref="F2396:J2396" ca="1" si="2394">IFERROR(__xludf.DUMMYFUNCTION("if (A2396 &lt;&gt; """", GOOGLETRANSLATE(A2396, ""auto"", ""en""), """")"),"")</f>
        <v/>
      </c>
      <c r="G2396" s="49" t="str">
        <f t="shared" ca="1" si="2394"/>
        <v/>
      </c>
      <c r="H2396" s="49" t="str">
        <f t="shared" ca="1" si="2394"/>
        <v/>
      </c>
      <c r="I2396" s="49" t="str">
        <f t="shared" ca="1" si="2394"/>
        <v/>
      </c>
      <c r="J2396" s="49" t="str">
        <f t="shared" ca="1" si="2394"/>
        <v/>
      </c>
    </row>
    <row r="2397" spans="1:10" ht="12.75" x14ac:dyDescent="0.2">
      <c r="A2397" s="40"/>
      <c r="B2397" s="41" t="s">
        <v>399</v>
      </c>
      <c r="C2397" s="40"/>
      <c r="D2397" s="40"/>
      <c r="E2397" s="40"/>
      <c r="F2397" s="49" t="str">
        <f t="shared" ref="F2397:J2397" ca="1" si="2395">IFERROR(__xludf.DUMMYFUNCTION("if (A2397 &lt;&gt; """", GOOGLETRANSLATE(A2397, ""auto"", ""en""), """")"),"")</f>
        <v/>
      </c>
      <c r="G2397" s="49" t="str">
        <f t="shared" ca="1" si="2395"/>
        <v/>
      </c>
      <c r="H2397" s="49" t="str">
        <f t="shared" ca="1" si="2395"/>
        <v/>
      </c>
      <c r="I2397" s="49" t="str">
        <f t="shared" ca="1" si="2395"/>
        <v/>
      </c>
      <c r="J2397" s="49" t="str">
        <f t="shared" ca="1" si="2395"/>
        <v/>
      </c>
    </row>
    <row r="2398" spans="1:10" ht="12.75" x14ac:dyDescent="0.2">
      <c r="A2398" s="40"/>
      <c r="B2398" s="41" t="s">
        <v>400</v>
      </c>
      <c r="C2398" s="41" t="s">
        <v>1949</v>
      </c>
      <c r="D2398" s="40"/>
      <c r="E2398" s="40"/>
      <c r="F2398" s="49" t="str">
        <f t="shared" ref="F2398:J2398" ca="1" si="2396">IFERROR(__xludf.DUMMYFUNCTION("if (A2398 &lt;&gt; """", GOOGLETRANSLATE(A2398, ""auto"", ""en""), """")"),"")</f>
        <v/>
      </c>
      <c r="G2398" s="49" t="str">
        <f t="shared" ca="1" si="2396"/>
        <v/>
      </c>
      <c r="H2398" s="49" t="str">
        <f t="shared" ca="1" si="2396"/>
        <v/>
      </c>
      <c r="I2398" s="49" t="str">
        <f t="shared" ca="1" si="2396"/>
        <v/>
      </c>
      <c r="J2398" s="49" t="str">
        <f t="shared" ca="1" si="2396"/>
        <v/>
      </c>
    </row>
    <row r="2399" spans="1:10" ht="12.75" x14ac:dyDescent="0.2">
      <c r="A2399" s="40"/>
      <c r="B2399" s="41" t="s">
        <v>401</v>
      </c>
      <c r="C2399" s="40"/>
      <c r="D2399" s="40"/>
      <c r="E2399" s="40"/>
      <c r="F2399" s="49" t="str">
        <f t="shared" ref="F2399:J2399" ca="1" si="2397">IFERROR(__xludf.DUMMYFUNCTION("if (A2399 &lt;&gt; """", GOOGLETRANSLATE(A2399, ""auto"", ""en""), """")"),"")</f>
        <v/>
      </c>
      <c r="G2399" s="49" t="str">
        <f t="shared" ca="1" si="2397"/>
        <v/>
      </c>
      <c r="H2399" s="49" t="str">
        <f t="shared" ca="1" si="2397"/>
        <v/>
      </c>
      <c r="I2399" s="49" t="str">
        <f t="shared" ca="1" si="2397"/>
        <v/>
      </c>
      <c r="J2399" s="49" t="str">
        <f t="shared" ca="1" si="2397"/>
        <v/>
      </c>
    </row>
    <row r="2400" spans="1:10" ht="12.75" x14ac:dyDescent="0.2">
      <c r="A2400" s="41" t="s">
        <v>1950</v>
      </c>
      <c r="B2400" s="41" t="s">
        <v>402</v>
      </c>
      <c r="C2400" s="41" t="s">
        <v>1951</v>
      </c>
      <c r="D2400" s="40"/>
      <c r="E2400" s="40"/>
      <c r="F2400" s="49" t="str">
        <f t="shared" ref="F2400:J2400" ca="1" si="2398">IFERROR(__xludf.DUMMYFUNCTION("if (A2400 &lt;&gt; """", GOOGLETRANSLATE(A2400, ""auto"", ""en""), """")"),"I am fine")</f>
        <v>I am fine</v>
      </c>
      <c r="G2400" s="49" t="str">
        <f t="shared" ca="1" si="2398"/>
        <v>I am fine</v>
      </c>
      <c r="H2400" s="49" t="str">
        <f t="shared" ca="1" si="2398"/>
        <v>I am fine</v>
      </c>
      <c r="I2400" s="49" t="str">
        <f t="shared" ca="1" si="2398"/>
        <v>I am fine</v>
      </c>
      <c r="J2400" s="49" t="str">
        <f t="shared" ca="1" si="2398"/>
        <v>I am fine</v>
      </c>
    </row>
    <row r="2401" spans="1:10" ht="25.5" x14ac:dyDescent="0.2">
      <c r="A2401" s="41" t="s">
        <v>1952</v>
      </c>
      <c r="B2401" s="40"/>
      <c r="C2401" s="40"/>
      <c r="D2401" s="40"/>
      <c r="E2401" s="40"/>
      <c r="F2401" s="49" t="str">
        <f t="shared" ref="F2401:J2401" ca="1" si="2399">IFERROR(__xludf.DUMMYFUNCTION("if (A2401 &lt;&gt; """", GOOGLETRANSLATE(A2401, ""auto"", ""en""), """")"),"It is very fine now")</f>
        <v>It is very fine now</v>
      </c>
      <c r="G2401" s="49" t="str">
        <f t="shared" ca="1" si="2399"/>
        <v>It is very fine now</v>
      </c>
      <c r="H2401" s="49" t="str">
        <f t="shared" ca="1" si="2399"/>
        <v>It is very fine now</v>
      </c>
      <c r="I2401" s="49" t="str">
        <f t="shared" ca="1" si="2399"/>
        <v>It is very fine now</v>
      </c>
      <c r="J2401" s="49" t="str">
        <f t="shared" ca="1" si="2399"/>
        <v>It is very fine now</v>
      </c>
    </row>
    <row r="2402" spans="1:10" ht="12.75" x14ac:dyDescent="0.2">
      <c r="A2402" s="41" t="s">
        <v>1953</v>
      </c>
      <c r="B2402" s="40"/>
      <c r="C2402" s="40"/>
      <c r="D2402" s="40"/>
      <c r="E2402" s="40"/>
      <c r="F2402" s="49" t="str">
        <f t="shared" ref="F2402:J2402" ca="1" si="2400">IFERROR(__xludf.DUMMYFUNCTION("if (A2402 &lt;&gt; """", GOOGLETRANSLATE(A2402, ""auto"", ""en""), """")"),"It is okay now")</f>
        <v>It is okay now</v>
      </c>
      <c r="G2402" s="49" t="str">
        <f t="shared" ca="1" si="2400"/>
        <v>It is okay now</v>
      </c>
      <c r="H2402" s="49" t="str">
        <f t="shared" ca="1" si="2400"/>
        <v>It is okay now</v>
      </c>
      <c r="I2402" s="49" t="str">
        <f t="shared" ca="1" si="2400"/>
        <v>It is okay now</v>
      </c>
      <c r="J2402" s="49" t="str">
        <f t="shared" ca="1" si="2400"/>
        <v>It is okay now</v>
      </c>
    </row>
    <row r="2403" spans="1:10" ht="12.75" x14ac:dyDescent="0.2">
      <c r="A2403" s="41" t="s">
        <v>1954</v>
      </c>
      <c r="B2403" s="40"/>
      <c r="C2403" s="40"/>
      <c r="D2403" s="40"/>
      <c r="E2403" s="40"/>
      <c r="F2403" s="49" t="str">
        <f t="shared" ref="F2403:J2403" ca="1" si="2401">IFERROR(__xludf.DUMMYFUNCTION("if (A2403 &lt;&gt; """", GOOGLETRANSLATE(A2403, ""auto"", ""en""), """")"),"I'm fine")</f>
        <v>I'm fine</v>
      </c>
      <c r="G2403" s="49" t="str">
        <f t="shared" ca="1" si="2401"/>
        <v>I'm fine</v>
      </c>
      <c r="H2403" s="49" t="str">
        <f t="shared" ca="1" si="2401"/>
        <v>I'm fine</v>
      </c>
      <c r="I2403" s="49" t="str">
        <f t="shared" ca="1" si="2401"/>
        <v>I'm fine</v>
      </c>
      <c r="J2403" s="49" t="str">
        <f t="shared" ca="1" si="2401"/>
        <v>I'm fine</v>
      </c>
    </row>
    <row r="2404" spans="1:10" ht="12.75" x14ac:dyDescent="0.2">
      <c r="A2404" s="41" t="s">
        <v>1955</v>
      </c>
      <c r="B2404" s="40"/>
      <c r="C2404" s="40"/>
      <c r="D2404" s="40"/>
      <c r="E2404" s="40"/>
      <c r="F2404" s="49" t="str">
        <f t="shared" ref="F2404:J2404" ca="1" si="2402">IFERROR(__xludf.DUMMYFUNCTION("if (A2404 &lt;&gt; """", GOOGLETRANSLATE(A2404, ""auto"", ""en""), """")"),"It's fine now")</f>
        <v>It's fine now</v>
      </c>
      <c r="G2404" s="49" t="str">
        <f t="shared" ca="1" si="2402"/>
        <v>It's fine now</v>
      </c>
      <c r="H2404" s="49" t="str">
        <f t="shared" ca="1" si="2402"/>
        <v>It's fine now</v>
      </c>
      <c r="I2404" s="49" t="str">
        <f t="shared" ca="1" si="2402"/>
        <v>It's fine now</v>
      </c>
      <c r="J2404" s="49" t="str">
        <f t="shared" ca="1" si="2402"/>
        <v>It's fine now</v>
      </c>
    </row>
    <row r="2405" spans="1:10" ht="12.75" x14ac:dyDescent="0.2">
      <c r="A2405" s="41" t="s">
        <v>1956</v>
      </c>
      <c r="B2405" s="40"/>
      <c r="C2405" s="40"/>
      <c r="D2405" s="40"/>
      <c r="E2405" s="40"/>
      <c r="F2405" s="49" t="str">
        <f t="shared" ref="F2405:J2405" ca="1" si="2403">IFERROR(__xludf.DUMMYFUNCTION("if (A2405 &lt;&gt; """", GOOGLETRANSLATE(A2405, ""auto"", ""en""), """")"),"Fine thanx")</f>
        <v>Fine thanx</v>
      </c>
      <c r="G2405" s="49" t="str">
        <f t="shared" ca="1" si="2403"/>
        <v>Fine thanx</v>
      </c>
      <c r="H2405" s="49" t="str">
        <f t="shared" ca="1" si="2403"/>
        <v>Fine thanx</v>
      </c>
      <c r="I2405" s="49" t="str">
        <f t="shared" ca="1" si="2403"/>
        <v>Fine thanx</v>
      </c>
      <c r="J2405" s="49" t="str">
        <f t="shared" ca="1" si="2403"/>
        <v>Fine thanx</v>
      </c>
    </row>
    <row r="2406" spans="1:10" ht="12.75" x14ac:dyDescent="0.2">
      <c r="A2406" s="40"/>
      <c r="B2406" s="40"/>
      <c r="C2406" s="40"/>
      <c r="D2406" s="40"/>
      <c r="E2406" s="40"/>
      <c r="F2406" s="49" t="str">
        <f t="shared" ref="F2406:J2406" ca="1" si="2404">IFERROR(__xludf.DUMMYFUNCTION("if (A2406 &lt;&gt; """", GOOGLETRANSLATE(A2406, ""auto"", ""en""), """")"),"")</f>
        <v/>
      </c>
      <c r="G2406" s="49" t="str">
        <f t="shared" ca="1" si="2404"/>
        <v/>
      </c>
      <c r="H2406" s="49" t="str">
        <f t="shared" ca="1" si="2404"/>
        <v/>
      </c>
      <c r="I2406" s="49" t="str">
        <f t="shared" ca="1" si="2404"/>
        <v/>
      </c>
      <c r="J2406" s="49" t="str">
        <f t="shared" ca="1" si="2404"/>
        <v/>
      </c>
    </row>
    <row r="2407" spans="1:10" ht="25.5" x14ac:dyDescent="0.2">
      <c r="A2407" s="41" t="s">
        <v>1957</v>
      </c>
      <c r="B2407" s="40"/>
      <c r="C2407" s="40"/>
      <c r="D2407" s="40"/>
      <c r="E2407" s="40"/>
      <c r="F2407" s="49" t="str">
        <f t="shared" ref="F2407:J2407" ca="1" si="2405">IFERROR(__xludf.DUMMYFUNCTION("if (A2407 &lt;&gt; """", GOOGLETRANSLATE(A2407, ""auto"", ""en""), """")"),"smalltalk.user.happy")</f>
        <v>smalltalk.user.happy</v>
      </c>
      <c r="G2407" s="49" t="str">
        <f t="shared" ca="1" si="2405"/>
        <v>smalltalk.user.happy</v>
      </c>
      <c r="H2407" s="49" t="str">
        <f t="shared" ca="1" si="2405"/>
        <v>smalltalk.user.happy</v>
      </c>
      <c r="I2407" s="49" t="str">
        <f t="shared" ca="1" si="2405"/>
        <v>smalltalk.user.happy</v>
      </c>
      <c r="J2407" s="49" t="str">
        <f t="shared" ca="1" si="2405"/>
        <v>smalltalk.user.happy</v>
      </c>
    </row>
    <row r="2408" spans="1:10" ht="12.75" x14ac:dyDescent="0.2">
      <c r="A2408" s="40"/>
      <c r="B2408" s="41" t="s">
        <v>398</v>
      </c>
      <c r="C2408" s="40"/>
      <c r="D2408" s="40"/>
      <c r="E2408" s="40"/>
      <c r="F2408" s="49" t="str">
        <f t="shared" ref="F2408:J2408" ca="1" si="2406">IFERROR(__xludf.DUMMYFUNCTION("if (A2408 &lt;&gt; """", GOOGLETRANSLATE(A2408, ""auto"", ""en""), """")"),"")</f>
        <v/>
      </c>
      <c r="G2408" s="49" t="str">
        <f t="shared" ca="1" si="2406"/>
        <v/>
      </c>
      <c r="H2408" s="49" t="str">
        <f t="shared" ca="1" si="2406"/>
        <v/>
      </c>
      <c r="I2408" s="49" t="str">
        <f t="shared" ca="1" si="2406"/>
        <v/>
      </c>
      <c r="J2408" s="49" t="str">
        <f t="shared" ca="1" si="2406"/>
        <v/>
      </c>
    </row>
    <row r="2409" spans="1:10" ht="12.75" x14ac:dyDescent="0.2">
      <c r="A2409" s="40"/>
      <c r="B2409" s="41" t="s">
        <v>399</v>
      </c>
      <c r="C2409" s="40"/>
      <c r="D2409" s="40"/>
      <c r="E2409" s="40"/>
      <c r="F2409" s="49" t="str">
        <f t="shared" ref="F2409:J2409" ca="1" si="2407">IFERROR(__xludf.DUMMYFUNCTION("if (A2409 &lt;&gt; """", GOOGLETRANSLATE(A2409, ""auto"", ""en""), """")"),"")</f>
        <v/>
      </c>
      <c r="G2409" s="49" t="str">
        <f t="shared" ca="1" si="2407"/>
        <v/>
      </c>
      <c r="H2409" s="49" t="str">
        <f t="shared" ca="1" si="2407"/>
        <v/>
      </c>
      <c r="I2409" s="49" t="str">
        <f t="shared" ca="1" si="2407"/>
        <v/>
      </c>
      <c r="J2409" s="49" t="str">
        <f t="shared" ca="1" si="2407"/>
        <v/>
      </c>
    </row>
    <row r="2410" spans="1:10" ht="12.75" x14ac:dyDescent="0.2">
      <c r="A2410" s="40"/>
      <c r="B2410" s="41" t="s">
        <v>400</v>
      </c>
      <c r="C2410" s="41" t="s">
        <v>1957</v>
      </c>
      <c r="D2410" s="40"/>
      <c r="E2410" s="40"/>
      <c r="F2410" s="49" t="str">
        <f t="shared" ref="F2410:J2410" ca="1" si="2408">IFERROR(__xludf.DUMMYFUNCTION("if (A2410 &lt;&gt; """", GOOGLETRANSLATE(A2410, ""auto"", ""en""), """")"),"")</f>
        <v/>
      </c>
      <c r="G2410" s="49" t="str">
        <f t="shared" ca="1" si="2408"/>
        <v/>
      </c>
      <c r="H2410" s="49" t="str">
        <f t="shared" ca="1" si="2408"/>
        <v/>
      </c>
      <c r="I2410" s="49" t="str">
        <f t="shared" ca="1" si="2408"/>
        <v/>
      </c>
      <c r="J2410" s="49" t="str">
        <f t="shared" ca="1" si="2408"/>
        <v/>
      </c>
    </row>
    <row r="2411" spans="1:10" ht="12.75" x14ac:dyDescent="0.2">
      <c r="A2411" s="40"/>
      <c r="B2411" s="41" t="s">
        <v>401</v>
      </c>
      <c r="C2411" s="40"/>
      <c r="D2411" s="40"/>
      <c r="E2411" s="40"/>
      <c r="F2411" s="49" t="str">
        <f t="shared" ref="F2411:J2411" ca="1" si="2409">IFERROR(__xludf.DUMMYFUNCTION("if (A2411 &lt;&gt; """", GOOGLETRANSLATE(A2411, ""auto"", ""en""), """")"),"")</f>
        <v/>
      </c>
      <c r="G2411" s="49" t="str">
        <f t="shared" ca="1" si="2409"/>
        <v/>
      </c>
      <c r="H2411" s="49" t="str">
        <f t="shared" ca="1" si="2409"/>
        <v/>
      </c>
      <c r="I2411" s="49" t="str">
        <f t="shared" ca="1" si="2409"/>
        <v/>
      </c>
      <c r="J2411" s="49" t="str">
        <f t="shared" ca="1" si="2409"/>
        <v/>
      </c>
    </row>
    <row r="2412" spans="1:10" ht="12.75" x14ac:dyDescent="0.2">
      <c r="A2412" s="41" t="s">
        <v>1958</v>
      </c>
      <c r="B2412" s="41" t="s">
        <v>402</v>
      </c>
      <c r="C2412" s="41" t="s">
        <v>1959</v>
      </c>
      <c r="D2412" s="40"/>
      <c r="E2412" s="40"/>
      <c r="F2412" s="49" t="str">
        <f t="shared" ref="F2412:J2412" ca="1" si="2410">IFERROR(__xludf.DUMMYFUNCTION("if (A2412 &lt;&gt; """", GOOGLETRANSLATE(A2412, ""auto"", ""en""), """")"),"Is happy")</f>
        <v>Is happy</v>
      </c>
      <c r="G2412" s="49" t="str">
        <f t="shared" ca="1" si="2410"/>
        <v>Is happy</v>
      </c>
      <c r="H2412" s="49" t="str">
        <f t="shared" ca="1" si="2410"/>
        <v>Is happy</v>
      </c>
      <c r="I2412" s="49" t="str">
        <f t="shared" ca="1" si="2410"/>
        <v>Is happy</v>
      </c>
      <c r="J2412" s="49" t="str">
        <f t="shared" ca="1" si="2410"/>
        <v>Is happy</v>
      </c>
    </row>
    <row r="2413" spans="1:10" ht="25.5" x14ac:dyDescent="0.2">
      <c r="A2413" s="41" t="s">
        <v>1960</v>
      </c>
      <c r="B2413" s="40"/>
      <c r="C2413" s="40"/>
      <c r="D2413" s="40"/>
      <c r="E2413" s="40"/>
      <c r="F2413" s="49" t="str">
        <f t="shared" ref="F2413:J2413" ca="1" si="2411">IFERROR(__xludf.DUMMYFUNCTION("if (A2413 &lt;&gt; """", GOOGLETRANSLATE(A2413, ""auto"", ""en""), """")"),"I'm glad to meet you")</f>
        <v>I'm glad to meet you</v>
      </c>
      <c r="G2413" s="49" t="str">
        <f t="shared" ca="1" si="2411"/>
        <v>I'm glad to meet you</v>
      </c>
      <c r="H2413" s="49" t="str">
        <f t="shared" ca="1" si="2411"/>
        <v>I'm glad to meet you</v>
      </c>
      <c r="I2413" s="49" t="str">
        <f t="shared" ca="1" si="2411"/>
        <v>I'm glad to meet you</v>
      </c>
      <c r="J2413" s="49" t="str">
        <f t="shared" ca="1" si="2411"/>
        <v>I'm glad to meet you</v>
      </c>
    </row>
    <row r="2414" spans="1:10" ht="12.75" x14ac:dyDescent="0.2">
      <c r="A2414" s="41" t="s">
        <v>1961</v>
      </c>
      <c r="B2414" s="40"/>
      <c r="C2414" s="40"/>
      <c r="D2414" s="40"/>
      <c r="E2414" s="40"/>
      <c r="F2414" s="49" t="str">
        <f t="shared" ref="F2414:J2414" ca="1" si="2412">IFERROR(__xludf.DUMMYFUNCTION("if (A2414 &lt;&gt; """", GOOGLETRANSLATE(A2414, ""auto"", ""en""), """")"),"it's happiness")</f>
        <v>it's happiness</v>
      </c>
      <c r="G2414" s="49" t="str">
        <f t="shared" ca="1" si="2412"/>
        <v>it's happiness</v>
      </c>
      <c r="H2414" s="49" t="str">
        <f t="shared" ca="1" si="2412"/>
        <v>it's happiness</v>
      </c>
      <c r="I2414" s="49" t="str">
        <f t="shared" ca="1" si="2412"/>
        <v>it's happiness</v>
      </c>
      <c r="J2414" s="49" t="str">
        <f t="shared" ca="1" si="2412"/>
        <v>it's happiness</v>
      </c>
    </row>
    <row r="2415" spans="1:10" ht="38.25" x14ac:dyDescent="0.2">
      <c r="A2415" s="41" t="s">
        <v>1962</v>
      </c>
      <c r="B2415" s="40"/>
      <c r="C2415" s="40"/>
      <c r="D2415" s="40"/>
      <c r="E2415" s="40"/>
      <c r="F2415" s="49" t="str">
        <f t="shared" ref="F2415:J2415" ca="1" si="2413">IFERROR(__xludf.DUMMYFUNCTION("if (A2415 &lt;&gt; """", GOOGLETRANSLATE(A2415, ""auto"", ""en""), """")"),"You I am also happy if happiness")</f>
        <v>You I am also happy if happiness</v>
      </c>
      <c r="G2415" s="49" t="str">
        <f t="shared" ca="1" si="2413"/>
        <v>You I am also happy if happiness</v>
      </c>
      <c r="H2415" s="49" t="str">
        <f t="shared" ca="1" si="2413"/>
        <v>You I am also happy if happiness</v>
      </c>
      <c r="I2415" s="49" t="str">
        <f t="shared" ca="1" si="2413"/>
        <v>You I am also happy if happiness</v>
      </c>
      <c r="J2415" s="49" t="str">
        <f t="shared" ca="1" si="2413"/>
        <v>You I am also happy if happiness</v>
      </c>
    </row>
    <row r="2416" spans="1:10" ht="25.5" x14ac:dyDescent="0.2">
      <c r="A2416" s="41" t="s">
        <v>1963</v>
      </c>
      <c r="B2416" s="40"/>
      <c r="C2416" s="40"/>
      <c r="D2416" s="40"/>
      <c r="E2416" s="40"/>
      <c r="F2416" s="49" t="str">
        <f t="shared" ref="F2416:J2416" ca="1" si="2414">IFERROR(__xludf.DUMMYFUNCTION("if (A2416 &lt;&gt; """", GOOGLETRANSLATE(A2416, ""auto"", ""en""), """")"),"I'm glad to meet you")</f>
        <v>I'm glad to meet you</v>
      </c>
      <c r="G2416" s="49" t="str">
        <f t="shared" ca="1" si="2414"/>
        <v>I'm glad to meet you</v>
      </c>
      <c r="H2416" s="49" t="str">
        <f t="shared" ca="1" si="2414"/>
        <v>I'm glad to meet you</v>
      </c>
      <c r="I2416" s="49" t="str">
        <f t="shared" ca="1" si="2414"/>
        <v>I'm glad to meet you</v>
      </c>
      <c r="J2416" s="49" t="str">
        <f t="shared" ca="1" si="2414"/>
        <v>I'm glad to meet you</v>
      </c>
    </row>
    <row r="2417" spans="1:10" ht="12.75" x14ac:dyDescent="0.2">
      <c r="A2417" s="40"/>
      <c r="B2417" s="40"/>
      <c r="C2417" s="40"/>
      <c r="D2417" s="40"/>
      <c r="E2417" s="40"/>
      <c r="F2417" s="49" t="str">
        <f t="shared" ref="F2417:J2417" ca="1" si="2415">IFERROR(__xludf.DUMMYFUNCTION("if (A2417 &lt;&gt; """", GOOGLETRANSLATE(A2417, ""auto"", ""en""), """")"),"")</f>
        <v/>
      </c>
      <c r="G2417" s="49" t="str">
        <f t="shared" ca="1" si="2415"/>
        <v/>
      </c>
      <c r="H2417" s="49" t="str">
        <f t="shared" ca="1" si="2415"/>
        <v/>
      </c>
      <c r="I2417" s="49" t="str">
        <f t="shared" ca="1" si="2415"/>
        <v/>
      </c>
      <c r="J2417" s="49" t="str">
        <f t="shared" ca="1" si="2415"/>
        <v/>
      </c>
    </row>
    <row r="2418" spans="1:10" ht="25.5" x14ac:dyDescent="0.2">
      <c r="A2418" s="41" t="s">
        <v>1964</v>
      </c>
      <c r="B2418" s="40"/>
      <c r="C2418" s="40"/>
      <c r="D2418" s="40"/>
      <c r="E2418" s="40"/>
      <c r="F2418" s="49" t="str">
        <f t="shared" ref="F2418:J2418" ca="1" si="2416">IFERROR(__xludf.DUMMYFUNCTION("if (A2418 &lt;&gt; """", GOOGLETRANSLATE(A2418, ""auto"", ""en""), """")"),"smalltalk.user.has_birthday")</f>
        <v>smalltalk.user.has_birthday</v>
      </c>
      <c r="G2418" s="49" t="str">
        <f t="shared" ca="1" si="2416"/>
        <v>smalltalk.user.has_birthday</v>
      </c>
      <c r="H2418" s="49" t="str">
        <f t="shared" ca="1" si="2416"/>
        <v>smalltalk.user.has_birthday</v>
      </c>
      <c r="I2418" s="49" t="str">
        <f t="shared" ca="1" si="2416"/>
        <v>smalltalk.user.has_birthday</v>
      </c>
      <c r="J2418" s="49" t="str">
        <f t="shared" ca="1" si="2416"/>
        <v>smalltalk.user.has_birthday</v>
      </c>
    </row>
    <row r="2419" spans="1:10" ht="12.75" x14ac:dyDescent="0.2">
      <c r="A2419" s="40"/>
      <c r="B2419" s="41" t="s">
        <v>398</v>
      </c>
      <c r="C2419" s="40"/>
      <c r="D2419" s="40"/>
      <c r="E2419" s="40"/>
      <c r="F2419" s="49" t="str">
        <f t="shared" ref="F2419:J2419" ca="1" si="2417">IFERROR(__xludf.DUMMYFUNCTION("if (A2419 &lt;&gt; """", GOOGLETRANSLATE(A2419, ""auto"", ""en""), """")"),"")</f>
        <v/>
      </c>
      <c r="G2419" s="49" t="str">
        <f t="shared" ca="1" si="2417"/>
        <v/>
      </c>
      <c r="H2419" s="49" t="str">
        <f t="shared" ca="1" si="2417"/>
        <v/>
      </c>
      <c r="I2419" s="49" t="str">
        <f t="shared" ca="1" si="2417"/>
        <v/>
      </c>
      <c r="J2419" s="49" t="str">
        <f t="shared" ca="1" si="2417"/>
        <v/>
      </c>
    </row>
    <row r="2420" spans="1:10" ht="12.75" x14ac:dyDescent="0.2">
      <c r="A2420" s="40"/>
      <c r="B2420" s="41" t="s">
        <v>399</v>
      </c>
      <c r="C2420" s="40"/>
      <c r="D2420" s="40"/>
      <c r="E2420" s="40"/>
      <c r="F2420" s="49" t="str">
        <f t="shared" ref="F2420:J2420" ca="1" si="2418">IFERROR(__xludf.DUMMYFUNCTION("if (A2420 &lt;&gt; """", GOOGLETRANSLATE(A2420, ""auto"", ""en""), """")"),"")</f>
        <v/>
      </c>
      <c r="G2420" s="49" t="str">
        <f t="shared" ca="1" si="2418"/>
        <v/>
      </c>
      <c r="H2420" s="49" t="str">
        <f t="shared" ca="1" si="2418"/>
        <v/>
      </c>
      <c r="I2420" s="49" t="str">
        <f t="shared" ca="1" si="2418"/>
        <v/>
      </c>
      <c r="J2420" s="49" t="str">
        <f t="shared" ca="1" si="2418"/>
        <v/>
      </c>
    </row>
    <row r="2421" spans="1:10" ht="12.75" x14ac:dyDescent="0.2">
      <c r="A2421" s="40"/>
      <c r="B2421" s="41" t="s">
        <v>400</v>
      </c>
      <c r="C2421" s="41" t="s">
        <v>1964</v>
      </c>
      <c r="D2421" s="40"/>
      <c r="E2421" s="40"/>
      <c r="F2421" s="49" t="str">
        <f t="shared" ref="F2421:J2421" ca="1" si="2419">IFERROR(__xludf.DUMMYFUNCTION("if (A2421 &lt;&gt; """", GOOGLETRANSLATE(A2421, ""auto"", ""en""), """")"),"")</f>
        <v/>
      </c>
      <c r="G2421" s="49" t="str">
        <f t="shared" ca="1" si="2419"/>
        <v/>
      </c>
      <c r="H2421" s="49" t="str">
        <f t="shared" ca="1" si="2419"/>
        <v/>
      </c>
      <c r="I2421" s="49" t="str">
        <f t="shared" ca="1" si="2419"/>
        <v/>
      </c>
      <c r="J2421" s="49" t="str">
        <f t="shared" ca="1" si="2419"/>
        <v/>
      </c>
    </row>
    <row r="2422" spans="1:10" ht="12.75" x14ac:dyDescent="0.2">
      <c r="A2422" s="40"/>
      <c r="B2422" s="41" t="s">
        <v>401</v>
      </c>
      <c r="C2422" s="40"/>
      <c r="D2422" s="40"/>
      <c r="E2422" s="40"/>
      <c r="F2422" s="49" t="str">
        <f t="shared" ref="F2422:J2422" ca="1" si="2420">IFERROR(__xludf.DUMMYFUNCTION("if (A2422 &lt;&gt; """", GOOGLETRANSLATE(A2422, ""auto"", ""en""), """")"),"")</f>
        <v/>
      </c>
      <c r="G2422" s="49" t="str">
        <f t="shared" ca="1" si="2420"/>
        <v/>
      </c>
      <c r="H2422" s="49" t="str">
        <f t="shared" ca="1" si="2420"/>
        <v/>
      </c>
      <c r="I2422" s="49" t="str">
        <f t="shared" ca="1" si="2420"/>
        <v/>
      </c>
      <c r="J2422" s="49" t="str">
        <f t="shared" ca="1" si="2420"/>
        <v/>
      </c>
    </row>
    <row r="2423" spans="1:10" ht="25.5" x14ac:dyDescent="0.2">
      <c r="A2423" s="41" t="s">
        <v>1965</v>
      </c>
      <c r="B2423" s="41" t="s">
        <v>402</v>
      </c>
      <c r="C2423" s="41" t="s">
        <v>1966</v>
      </c>
      <c r="D2423" s="40"/>
      <c r="E2423" s="40"/>
      <c r="F2423" s="49" t="str">
        <f t="shared" ref="F2423:J2423" ca="1" si="2421">IFERROR(__xludf.DUMMYFUNCTION("if (A2423 &lt;&gt; """", GOOGLETRANSLATE(A2423, ""auto"", ""en""), """")"),"It is my birthday")</f>
        <v>It is my birthday</v>
      </c>
      <c r="G2423" s="49" t="str">
        <f t="shared" ca="1" si="2421"/>
        <v>It is my birthday</v>
      </c>
      <c r="H2423" s="49" t="str">
        <f t="shared" ca="1" si="2421"/>
        <v>It is my birthday</v>
      </c>
      <c r="I2423" s="49" t="str">
        <f t="shared" ca="1" si="2421"/>
        <v>It is my birthday</v>
      </c>
      <c r="J2423" s="49" t="str">
        <f t="shared" ca="1" si="2421"/>
        <v>It is my birthday</v>
      </c>
    </row>
    <row r="2424" spans="1:10" ht="38.25" x14ac:dyDescent="0.2">
      <c r="A2424" s="41" t="s">
        <v>1967</v>
      </c>
      <c r="B2424" s="40"/>
      <c r="C2424" s="40"/>
      <c r="D2424" s="40"/>
      <c r="E2424" s="40"/>
      <c r="F2424" s="49" t="str">
        <f t="shared" ref="F2424:J2424" ca="1" si="2422">IFERROR(__xludf.DUMMYFUNCTION("if (A2424 &lt;&gt; """", GOOGLETRANSLATE(A2424, ""auto"", ""en""), """")"),"Today will be my birthday celebration")</f>
        <v>Today will be my birthday celebration</v>
      </c>
      <c r="G2424" s="49" t="str">
        <f t="shared" ca="1" si="2422"/>
        <v>Today will be my birthday celebration</v>
      </c>
      <c r="H2424" s="49" t="str">
        <f t="shared" ca="1" si="2422"/>
        <v>Today will be my birthday celebration</v>
      </c>
      <c r="I2424" s="49" t="str">
        <f t="shared" ca="1" si="2422"/>
        <v>Today will be my birthday celebration</v>
      </c>
      <c r="J2424" s="49" t="str">
        <f t="shared" ca="1" si="2422"/>
        <v>Today will be my birthday celebration</v>
      </c>
    </row>
    <row r="2425" spans="1:10" ht="25.5" x14ac:dyDescent="0.2">
      <c r="A2425" s="41" t="s">
        <v>1968</v>
      </c>
      <c r="B2425" s="40"/>
      <c r="C2425" s="40"/>
      <c r="D2425" s="40"/>
      <c r="E2425" s="40"/>
      <c r="F2425" s="49" t="str">
        <f t="shared" ref="F2425:J2425" ca="1" si="2423">IFERROR(__xludf.DUMMYFUNCTION("if (A2425 &lt;&gt; """", GOOGLETRANSLATE(A2425, ""auto"", ""en""), """")"),"Birthday is today")</f>
        <v>Birthday is today</v>
      </c>
      <c r="G2425" s="49" t="str">
        <f t="shared" ca="1" si="2423"/>
        <v>Birthday is today</v>
      </c>
      <c r="H2425" s="49" t="str">
        <f t="shared" ca="1" si="2423"/>
        <v>Birthday is today</v>
      </c>
      <c r="I2425" s="49" t="str">
        <f t="shared" ca="1" si="2423"/>
        <v>Birthday is today</v>
      </c>
      <c r="J2425" s="49" t="str">
        <f t="shared" ca="1" si="2423"/>
        <v>Birthday is today</v>
      </c>
    </row>
    <row r="2426" spans="1:10" ht="25.5" x14ac:dyDescent="0.2">
      <c r="A2426" s="41" t="s">
        <v>1970</v>
      </c>
      <c r="B2426" s="40"/>
      <c r="C2426" s="40"/>
      <c r="D2426" s="40"/>
      <c r="E2426" s="40"/>
      <c r="F2426" s="49" t="str">
        <f t="shared" ref="F2426:J2426" ca="1" si="2424">IFERROR(__xludf.DUMMYFUNCTION("if (A2426 &lt;&gt; """", GOOGLETRANSLATE(A2426, ""auto"", ""en""), """")"),"It birthday today")</f>
        <v>It birthday today</v>
      </c>
      <c r="G2426" s="49" t="str">
        <f t="shared" ca="1" si="2424"/>
        <v>It birthday today</v>
      </c>
      <c r="H2426" s="49" t="str">
        <f t="shared" ca="1" si="2424"/>
        <v>It birthday today</v>
      </c>
      <c r="I2426" s="49" t="str">
        <f t="shared" ca="1" si="2424"/>
        <v>It birthday today</v>
      </c>
      <c r="J2426" s="49" t="str">
        <f t="shared" ca="1" si="2424"/>
        <v>It birthday today</v>
      </c>
    </row>
    <row r="2427" spans="1:10" ht="25.5" x14ac:dyDescent="0.2">
      <c r="A2427" s="41" t="s">
        <v>1972</v>
      </c>
      <c r="B2427" s="40"/>
      <c r="C2427" s="40"/>
      <c r="D2427" s="40"/>
      <c r="E2427" s="40"/>
      <c r="F2427" s="49" t="str">
        <f t="shared" ref="F2427:J2427" ca="1" si="2425">IFERROR(__xludf.DUMMYFUNCTION("if (A2427 &lt;&gt; """", GOOGLETRANSLATE(A2427, ""auto"", ""en""), """")"),"I was born today")</f>
        <v>I was born today</v>
      </c>
      <c r="G2427" s="49" t="str">
        <f t="shared" ca="1" si="2425"/>
        <v>I was born today</v>
      </c>
      <c r="H2427" s="49" t="str">
        <f t="shared" ca="1" si="2425"/>
        <v>I was born today</v>
      </c>
      <c r="I2427" s="49" t="str">
        <f t="shared" ca="1" si="2425"/>
        <v>I was born today</v>
      </c>
      <c r="J2427" s="49" t="str">
        <f t="shared" ca="1" si="2425"/>
        <v>I was born today</v>
      </c>
    </row>
    <row r="2428" spans="1:10" ht="25.5" x14ac:dyDescent="0.2">
      <c r="A2428" s="41" t="s">
        <v>1973</v>
      </c>
      <c r="B2428" s="40"/>
      <c r="C2428" s="40"/>
      <c r="D2428" s="40"/>
      <c r="E2428" s="40"/>
      <c r="F2428" s="49" t="str">
        <f t="shared" ref="F2428:J2428" ca="1" si="2426">IFERROR(__xludf.DUMMYFUNCTION("if (A2428 &lt;&gt; """", GOOGLETRANSLATE(A2428, ""auto"", ""en""), """")"),"It is the birthday")</f>
        <v>It is the birthday</v>
      </c>
      <c r="G2428" s="49" t="str">
        <f t="shared" ca="1" si="2426"/>
        <v>It is the birthday</v>
      </c>
      <c r="H2428" s="49" t="str">
        <f t="shared" ca="1" si="2426"/>
        <v>It is the birthday</v>
      </c>
      <c r="I2428" s="49" t="str">
        <f t="shared" ca="1" si="2426"/>
        <v>It is the birthday</v>
      </c>
      <c r="J2428" s="49" t="str">
        <f t="shared" ca="1" si="2426"/>
        <v>It is the birthday</v>
      </c>
    </row>
    <row r="2429" spans="1:10" ht="12.75" x14ac:dyDescent="0.2">
      <c r="A2429" s="40"/>
      <c r="B2429" s="40"/>
      <c r="C2429" s="40"/>
      <c r="D2429" s="40"/>
      <c r="E2429" s="40"/>
      <c r="F2429" s="49" t="str">
        <f t="shared" ref="F2429:J2429" ca="1" si="2427">IFERROR(__xludf.DUMMYFUNCTION("if (A2429 &lt;&gt; """", GOOGLETRANSLATE(A2429, ""auto"", ""en""), """")"),"")</f>
        <v/>
      </c>
      <c r="G2429" s="49" t="str">
        <f t="shared" ca="1" si="2427"/>
        <v/>
      </c>
      <c r="H2429" s="49" t="str">
        <f t="shared" ca="1" si="2427"/>
        <v/>
      </c>
      <c r="I2429" s="49" t="str">
        <f t="shared" ca="1" si="2427"/>
        <v/>
      </c>
      <c r="J2429" s="49" t="str">
        <f t="shared" ca="1" si="2427"/>
        <v/>
      </c>
    </row>
    <row r="2430" spans="1:10" ht="25.5" x14ac:dyDescent="0.2">
      <c r="A2430" s="41" t="s">
        <v>1974</v>
      </c>
      <c r="B2430" s="40"/>
      <c r="C2430" s="40"/>
      <c r="D2430" s="40"/>
      <c r="E2430" s="40"/>
      <c r="F2430" s="49" t="str">
        <f t="shared" ref="F2430:J2430" ca="1" si="2428">IFERROR(__xludf.DUMMYFUNCTION("if (A2430 &lt;&gt; """", GOOGLETRANSLATE(A2430, ""auto"", ""en""), """")"),"smalltalk.user.here")</f>
        <v>smalltalk.user.here</v>
      </c>
      <c r="G2430" s="49" t="str">
        <f t="shared" ca="1" si="2428"/>
        <v>smalltalk.user.here</v>
      </c>
      <c r="H2430" s="49" t="str">
        <f t="shared" ca="1" si="2428"/>
        <v>smalltalk.user.here</v>
      </c>
      <c r="I2430" s="49" t="str">
        <f t="shared" ca="1" si="2428"/>
        <v>smalltalk.user.here</v>
      </c>
      <c r="J2430" s="49" t="str">
        <f t="shared" ca="1" si="2428"/>
        <v>smalltalk.user.here</v>
      </c>
    </row>
    <row r="2431" spans="1:10" ht="12.75" x14ac:dyDescent="0.2">
      <c r="A2431" s="40"/>
      <c r="B2431" s="41" t="s">
        <v>398</v>
      </c>
      <c r="C2431" s="40"/>
      <c r="D2431" s="40"/>
      <c r="E2431" s="40"/>
      <c r="F2431" s="49" t="str">
        <f t="shared" ref="F2431:J2431" ca="1" si="2429">IFERROR(__xludf.DUMMYFUNCTION("if (A2431 &lt;&gt; """", GOOGLETRANSLATE(A2431, ""auto"", ""en""), """")"),"")</f>
        <v/>
      </c>
      <c r="G2431" s="49" t="str">
        <f t="shared" ca="1" si="2429"/>
        <v/>
      </c>
      <c r="H2431" s="49" t="str">
        <f t="shared" ca="1" si="2429"/>
        <v/>
      </c>
      <c r="I2431" s="49" t="str">
        <f t="shared" ca="1" si="2429"/>
        <v/>
      </c>
      <c r="J2431" s="49" t="str">
        <f t="shared" ca="1" si="2429"/>
        <v/>
      </c>
    </row>
    <row r="2432" spans="1:10" ht="12.75" x14ac:dyDescent="0.2">
      <c r="A2432" s="40"/>
      <c r="B2432" s="41" t="s">
        <v>399</v>
      </c>
      <c r="C2432" s="40"/>
      <c r="D2432" s="40"/>
      <c r="E2432" s="40"/>
      <c r="F2432" s="49" t="str">
        <f t="shared" ref="F2432:J2432" ca="1" si="2430">IFERROR(__xludf.DUMMYFUNCTION("if (A2432 &lt;&gt; """", GOOGLETRANSLATE(A2432, ""auto"", ""en""), """")"),"")</f>
        <v/>
      </c>
      <c r="G2432" s="49" t="str">
        <f t="shared" ca="1" si="2430"/>
        <v/>
      </c>
      <c r="H2432" s="49" t="str">
        <f t="shared" ca="1" si="2430"/>
        <v/>
      </c>
      <c r="I2432" s="49" t="str">
        <f t="shared" ca="1" si="2430"/>
        <v/>
      </c>
      <c r="J2432" s="49" t="str">
        <f t="shared" ca="1" si="2430"/>
        <v/>
      </c>
    </row>
    <row r="2433" spans="1:10" ht="12.75" x14ac:dyDescent="0.2">
      <c r="A2433" s="40"/>
      <c r="B2433" s="41" t="s">
        <v>400</v>
      </c>
      <c r="C2433" s="41" t="s">
        <v>1974</v>
      </c>
      <c r="D2433" s="40"/>
      <c r="E2433" s="40"/>
      <c r="F2433" s="49" t="str">
        <f t="shared" ref="F2433:J2433" ca="1" si="2431">IFERROR(__xludf.DUMMYFUNCTION("if (A2433 &lt;&gt; """", GOOGLETRANSLATE(A2433, ""auto"", ""en""), """")"),"")</f>
        <v/>
      </c>
      <c r="G2433" s="49" t="str">
        <f t="shared" ca="1" si="2431"/>
        <v/>
      </c>
      <c r="H2433" s="49" t="str">
        <f t="shared" ca="1" si="2431"/>
        <v/>
      </c>
      <c r="I2433" s="49" t="str">
        <f t="shared" ca="1" si="2431"/>
        <v/>
      </c>
      <c r="J2433" s="49" t="str">
        <f t="shared" ca="1" si="2431"/>
        <v/>
      </c>
    </row>
    <row r="2434" spans="1:10" ht="12.75" x14ac:dyDescent="0.2">
      <c r="A2434" s="40"/>
      <c r="B2434" s="41" t="s">
        <v>401</v>
      </c>
      <c r="C2434" s="40"/>
      <c r="D2434" s="40"/>
      <c r="E2434" s="40"/>
      <c r="F2434" s="49" t="str">
        <f t="shared" ref="F2434:J2434" ca="1" si="2432">IFERROR(__xludf.DUMMYFUNCTION("if (A2434 &lt;&gt; """", GOOGLETRANSLATE(A2434, ""auto"", ""en""), """")"),"")</f>
        <v/>
      </c>
      <c r="G2434" s="49" t="str">
        <f t="shared" ca="1" si="2432"/>
        <v/>
      </c>
      <c r="H2434" s="49" t="str">
        <f t="shared" ca="1" si="2432"/>
        <v/>
      </c>
      <c r="I2434" s="49" t="str">
        <f t="shared" ca="1" si="2432"/>
        <v/>
      </c>
      <c r="J2434" s="49" t="str">
        <f t="shared" ca="1" si="2432"/>
        <v/>
      </c>
    </row>
    <row r="2435" spans="1:10" ht="25.5" x14ac:dyDescent="0.2">
      <c r="A2435" s="41" t="s">
        <v>1975</v>
      </c>
      <c r="B2435" s="41" t="s">
        <v>402</v>
      </c>
      <c r="C2435" s="41" t="s">
        <v>1976</v>
      </c>
      <c r="D2435" s="40"/>
      <c r="E2435" s="40"/>
      <c r="F2435" s="49" t="str">
        <f t="shared" ref="F2435:J2435" ca="1" si="2433">IFERROR(__xludf.DUMMYFUNCTION("if (A2435 &lt;&gt; """", GOOGLETRANSLATE(A2435, ""auto"", ""en""), """")"),"I'm here")</f>
        <v>I'm here</v>
      </c>
      <c r="G2435" s="49" t="str">
        <f t="shared" ca="1" si="2433"/>
        <v>I'm here</v>
      </c>
      <c r="H2435" s="49" t="str">
        <f t="shared" ca="1" si="2433"/>
        <v>I'm here</v>
      </c>
      <c r="I2435" s="49" t="str">
        <f t="shared" ca="1" si="2433"/>
        <v>I'm here</v>
      </c>
      <c r="J2435" s="49" t="str">
        <f t="shared" ca="1" si="2433"/>
        <v>I'm here</v>
      </c>
    </row>
    <row r="2436" spans="1:10" ht="12.75" x14ac:dyDescent="0.2">
      <c r="A2436" s="41" t="s">
        <v>1977</v>
      </c>
      <c r="B2436" s="40"/>
      <c r="C2436" s="40"/>
      <c r="D2436" s="40"/>
      <c r="E2436" s="40"/>
      <c r="F2436" s="49" t="str">
        <f t="shared" ref="F2436:J2436" ca="1" si="2434">IFERROR(__xludf.DUMMYFUNCTION("if (A2436 &lt;&gt; """", GOOGLETRANSLATE(A2436, ""auto"", ""en""), """")"),"I am here")</f>
        <v>I am here</v>
      </c>
      <c r="G2436" s="49" t="str">
        <f t="shared" ca="1" si="2434"/>
        <v>I am here</v>
      </c>
      <c r="H2436" s="49" t="str">
        <f t="shared" ca="1" si="2434"/>
        <v>I am here</v>
      </c>
      <c r="I2436" s="49" t="str">
        <f t="shared" ca="1" si="2434"/>
        <v>I am here</v>
      </c>
      <c r="J2436" s="49" t="str">
        <f t="shared" ca="1" si="2434"/>
        <v>I am here</v>
      </c>
    </row>
    <row r="2437" spans="1:10" ht="12.75" x14ac:dyDescent="0.2">
      <c r="A2437" s="41" t="s">
        <v>1978</v>
      </c>
      <c r="B2437" s="40"/>
      <c r="C2437" s="40"/>
      <c r="D2437" s="40"/>
      <c r="E2437" s="40"/>
      <c r="F2437" s="49" t="str">
        <f t="shared" ref="F2437:J2437" ca="1" si="2435">IFERROR(__xludf.DUMMYFUNCTION("if (A2437 &lt;&gt; """", GOOGLETRANSLATE(A2437, ""auto"", ""en""), """")"),"I am here now")</f>
        <v>I am here now</v>
      </c>
      <c r="G2437" s="49" t="str">
        <f t="shared" ca="1" si="2435"/>
        <v>I am here now</v>
      </c>
      <c r="H2437" s="49" t="str">
        <f t="shared" ca="1" si="2435"/>
        <v>I am here now</v>
      </c>
      <c r="I2437" s="49" t="str">
        <f t="shared" ca="1" si="2435"/>
        <v>I am here now</v>
      </c>
      <c r="J2437" s="49" t="str">
        <f t="shared" ca="1" si="2435"/>
        <v>I am here now</v>
      </c>
    </row>
    <row r="2438" spans="1:10" ht="25.5" x14ac:dyDescent="0.2">
      <c r="A2438" s="41" t="s">
        <v>1979</v>
      </c>
      <c r="B2438" s="40"/>
      <c r="C2438" s="40"/>
      <c r="D2438" s="40"/>
      <c r="E2438" s="40"/>
      <c r="F2438" s="49" t="str">
        <f t="shared" ref="F2438:J2438" ca="1" si="2436">IFERROR(__xludf.DUMMYFUNCTION("if (A2438 &lt;&gt; """", GOOGLETRANSLATE(A2438, ""auto"", ""en""), """")"),"'m here anymore")</f>
        <v>'m here anymore</v>
      </c>
      <c r="G2438" s="49" t="str">
        <f t="shared" ca="1" si="2436"/>
        <v>'m here anymore</v>
      </c>
      <c r="H2438" s="49" t="str">
        <f t="shared" ca="1" si="2436"/>
        <v>'m here anymore</v>
      </c>
      <c r="I2438" s="49" t="str">
        <f t="shared" ca="1" si="2436"/>
        <v>'m here anymore</v>
      </c>
      <c r="J2438" s="49" t="str">
        <f t="shared" ca="1" si="2436"/>
        <v>'m here anymore</v>
      </c>
    </row>
    <row r="2439" spans="1:10" ht="38.25" x14ac:dyDescent="0.2">
      <c r="A2439" s="41" t="s">
        <v>1980</v>
      </c>
      <c r="B2439" s="40"/>
      <c r="C2439" s="40"/>
      <c r="D2439" s="40"/>
      <c r="E2439" s="40"/>
      <c r="F2439" s="49" t="str">
        <f t="shared" ref="F2439:J2439" ca="1" si="2437">IFERROR(__xludf.DUMMYFUNCTION("if (A2439 &lt;&gt; """", GOOGLETRANSLATE(A2439, ""auto"", ""en""), """")"),"Do you know whether or not I'm here")</f>
        <v>Do you know whether or not I'm here</v>
      </c>
      <c r="G2439" s="49" t="str">
        <f t="shared" ca="1" si="2437"/>
        <v>Do you know whether or not I'm here</v>
      </c>
      <c r="H2439" s="49" t="str">
        <f t="shared" ca="1" si="2437"/>
        <v>Do you know whether or not I'm here</v>
      </c>
      <c r="I2439" s="49" t="str">
        <f t="shared" ca="1" si="2437"/>
        <v>Do you know whether or not I'm here</v>
      </c>
      <c r="J2439" s="49" t="str">
        <f t="shared" ca="1" si="2437"/>
        <v>Do you know whether or not I'm here</v>
      </c>
    </row>
    <row r="2440" spans="1:10" ht="12.75" x14ac:dyDescent="0.2">
      <c r="A2440" s="40"/>
      <c r="B2440" s="41" t="s">
        <v>403</v>
      </c>
      <c r="C2440" s="41" t="s">
        <v>25</v>
      </c>
      <c r="D2440" s="41" t="s">
        <v>27</v>
      </c>
      <c r="E2440" s="40"/>
      <c r="F2440" s="49" t="str">
        <f t="shared" ref="F2440:J2440" ca="1" si="2438">IFERROR(__xludf.DUMMYFUNCTION("if (A2440 &lt;&gt; """", GOOGLETRANSLATE(A2440, ""auto"", ""en""), """")"),"")</f>
        <v/>
      </c>
      <c r="G2440" s="49" t="str">
        <f t="shared" ca="1" si="2438"/>
        <v/>
      </c>
      <c r="H2440" s="49" t="str">
        <f t="shared" ca="1" si="2438"/>
        <v/>
      </c>
      <c r="I2440" s="49" t="str">
        <f t="shared" ca="1" si="2438"/>
        <v/>
      </c>
      <c r="J2440" s="49" t="str">
        <f t="shared" ca="1" si="2438"/>
        <v/>
      </c>
    </row>
    <row r="2441" spans="1:10" ht="12.75" x14ac:dyDescent="0.2">
      <c r="A2441" s="40"/>
      <c r="B2441" s="41" t="s">
        <v>403</v>
      </c>
      <c r="C2441" s="41" t="s">
        <v>30</v>
      </c>
      <c r="D2441" s="41" t="s">
        <v>31</v>
      </c>
      <c r="E2441" s="40"/>
      <c r="F2441" s="49" t="str">
        <f t="shared" ref="F2441:J2441" ca="1" si="2439">IFERROR(__xludf.DUMMYFUNCTION("if (A2441 &lt;&gt; """", GOOGLETRANSLATE(A2441, ""auto"", ""en""), """")"),"")</f>
        <v/>
      </c>
      <c r="G2441" s="49" t="str">
        <f t="shared" ca="1" si="2439"/>
        <v/>
      </c>
      <c r="H2441" s="49" t="str">
        <f t="shared" ca="1" si="2439"/>
        <v/>
      </c>
      <c r="I2441" s="49" t="str">
        <f t="shared" ca="1" si="2439"/>
        <v/>
      </c>
      <c r="J2441" s="49" t="str">
        <f t="shared" ca="1" si="2439"/>
        <v/>
      </c>
    </row>
    <row r="2442" spans="1:10" ht="12.75" x14ac:dyDescent="0.2">
      <c r="A2442" s="40"/>
      <c r="B2442" s="41" t="s">
        <v>403</v>
      </c>
      <c r="C2442" s="41" t="s">
        <v>16</v>
      </c>
      <c r="D2442" s="41" t="s">
        <v>10</v>
      </c>
      <c r="E2442" s="40"/>
      <c r="F2442" s="49" t="str">
        <f t="shared" ref="F2442:J2442" ca="1" si="2440">IFERROR(__xludf.DUMMYFUNCTION("if (A2442 &lt;&gt; """", GOOGLETRANSLATE(A2442, ""auto"", ""en""), """")"),"")</f>
        <v/>
      </c>
      <c r="G2442" s="49" t="str">
        <f t="shared" ca="1" si="2440"/>
        <v/>
      </c>
      <c r="H2442" s="49" t="str">
        <f t="shared" ca="1" si="2440"/>
        <v/>
      </c>
      <c r="I2442" s="49" t="str">
        <f t="shared" ca="1" si="2440"/>
        <v/>
      </c>
      <c r="J2442" s="49" t="str">
        <f t="shared" ca="1" si="2440"/>
        <v/>
      </c>
    </row>
    <row r="2443" spans="1:10" ht="12.75" x14ac:dyDescent="0.2">
      <c r="A2443" s="40"/>
      <c r="B2443" s="40"/>
      <c r="C2443" s="40"/>
      <c r="D2443" s="40"/>
      <c r="E2443" s="40"/>
      <c r="F2443" s="49" t="str">
        <f t="shared" ref="F2443:J2443" ca="1" si="2441">IFERROR(__xludf.DUMMYFUNCTION("if (A2443 &lt;&gt; """", GOOGLETRANSLATE(A2443, ""auto"", ""en""), """")"),"")</f>
        <v/>
      </c>
      <c r="G2443" s="49" t="str">
        <f t="shared" ca="1" si="2441"/>
        <v/>
      </c>
      <c r="H2443" s="49" t="str">
        <f t="shared" ca="1" si="2441"/>
        <v/>
      </c>
      <c r="I2443" s="49" t="str">
        <f t="shared" ca="1" si="2441"/>
        <v/>
      </c>
      <c r="J2443" s="49" t="str">
        <f t="shared" ca="1" si="2441"/>
        <v/>
      </c>
    </row>
    <row r="2444" spans="1:10" ht="25.5" x14ac:dyDescent="0.2">
      <c r="A2444" s="41" t="s">
        <v>1981</v>
      </c>
      <c r="B2444" s="40"/>
      <c r="C2444" s="40"/>
      <c r="D2444" s="40"/>
      <c r="E2444" s="40"/>
      <c r="F2444" s="49" t="str">
        <f t="shared" ref="F2444:J2444" ca="1" si="2442">IFERROR(__xludf.DUMMYFUNCTION("if (A2444 &lt;&gt; """", GOOGLETRANSLATE(A2444, ""auto"", ""en""), """")"),"smalltalk.user.joking")</f>
        <v>smalltalk.user.joking</v>
      </c>
      <c r="G2444" s="49" t="str">
        <f t="shared" ca="1" si="2442"/>
        <v>smalltalk.user.joking</v>
      </c>
      <c r="H2444" s="49" t="str">
        <f t="shared" ca="1" si="2442"/>
        <v>smalltalk.user.joking</v>
      </c>
      <c r="I2444" s="49" t="str">
        <f t="shared" ca="1" si="2442"/>
        <v>smalltalk.user.joking</v>
      </c>
      <c r="J2444" s="49" t="str">
        <f t="shared" ca="1" si="2442"/>
        <v>smalltalk.user.joking</v>
      </c>
    </row>
    <row r="2445" spans="1:10" ht="12.75" x14ac:dyDescent="0.2">
      <c r="A2445" s="40"/>
      <c r="B2445" s="41" t="s">
        <v>398</v>
      </c>
      <c r="C2445" s="40"/>
      <c r="D2445" s="40"/>
      <c r="E2445" s="40"/>
      <c r="F2445" s="49" t="str">
        <f t="shared" ref="F2445:J2445" ca="1" si="2443">IFERROR(__xludf.DUMMYFUNCTION("if (A2445 &lt;&gt; """", GOOGLETRANSLATE(A2445, ""auto"", ""en""), """")"),"")</f>
        <v/>
      </c>
      <c r="G2445" s="49" t="str">
        <f t="shared" ca="1" si="2443"/>
        <v/>
      </c>
      <c r="H2445" s="49" t="str">
        <f t="shared" ca="1" si="2443"/>
        <v/>
      </c>
      <c r="I2445" s="49" t="str">
        <f t="shared" ca="1" si="2443"/>
        <v/>
      </c>
      <c r="J2445" s="49" t="str">
        <f t="shared" ca="1" si="2443"/>
        <v/>
      </c>
    </row>
    <row r="2446" spans="1:10" ht="12.75" x14ac:dyDescent="0.2">
      <c r="A2446" s="40"/>
      <c r="B2446" s="41" t="s">
        <v>399</v>
      </c>
      <c r="C2446" s="40"/>
      <c r="D2446" s="40"/>
      <c r="E2446" s="40"/>
      <c r="F2446" s="49" t="str">
        <f t="shared" ref="F2446:J2446" ca="1" si="2444">IFERROR(__xludf.DUMMYFUNCTION("if (A2446 &lt;&gt; """", GOOGLETRANSLATE(A2446, ""auto"", ""en""), """")"),"")</f>
        <v/>
      </c>
      <c r="G2446" s="49" t="str">
        <f t="shared" ca="1" si="2444"/>
        <v/>
      </c>
      <c r="H2446" s="49" t="str">
        <f t="shared" ca="1" si="2444"/>
        <v/>
      </c>
      <c r="I2446" s="49" t="str">
        <f t="shared" ca="1" si="2444"/>
        <v/>
      </c>
      <c r="J2446" s="49" t="str">
        <f t="shared" ca="1" si="2444"/>
        <v/>
      </c>
    </row>
    <row r="2447" spans="1:10" ht="12.75" x14ac:dyDescent="0.2">
      <c r="A2447" s="40"/>
      <c r="B2447" s="41" t="s">
        <v>400</v>
      </c>
      <c r="C2447" s="41" t="s">
        <v>1981</v>
      </c>
      <c r="D2447" s="40"/>
      <c r="E2447" s="40"/>
      <c r="F2447" s="49" t="str">
        <f t="shared" ref="F2447:J2447" ca="1" si="2445">IFERROR(__xludf.DUMMYFUNCTION("if (A2447 &lt;&gt; """", GOOGLETRANSLATE(A2447, ""auto"", ""en""), """")"),"")</f>
        <v/>
      </c>
      <c r="G2447" s="49" t="str">
        <f t="shared" ca="1" si="2445"/>
        <v/>
      </c>
      <c r="H2447" s="49" t="str">
        <f t="shared" ca="1" si="2445"/>
        <v/>
      </c>
      <c r="I2447" s="49" t="str">
        <f t="shared" ca="1" si="2445"/>
        <v/>
      </c>
      <c r="J2447" s="49" t="str">
        <f t="shared" ca="1" si="2445"/>
        <v/>
      </c>
    </row>
    <row r="2448" spans="1:10" ht="12.75" x14ac:dyDescent="0.2">
      <c r="A2448" s="40"/>
      <c r="B2448" s="41" t="s">
        <v>401</v>
      </c>
      <c r="C2448" s="40"/>
      <c r="D2448" s="40"/>
      <c r="E2448" s="40"/>
      <c r="F2448" s="49" t="str">
        <f t="shared" ref="F2448:J2448" ca="1" si="2446">IFERROR(__xludf.DUMMYFUNCTION("if (A2448 &lt;&gt; """", GOOGLETRANSLATE(A2448, ""auto"", ""en""), """")"),"")</f>
        <v/>
      </c>
      <c r="G2448" s="49" t="str">
        <f t="shared" ca="1" si="2446"/>
        <v/>
      </c>
      <c r="H2448" s="49" t="str">
        <f t="shared" ca="1" si="2446"/>
        <v/>
      </c>
      <c r="I2448" s="49" t="str">
        <f t="shared" ca="1" si="2446"/>
        <v/>
      </c>
      <c r="J2448" s="49" t="str">
        <f t="shared" ca="1" si="2446"/>
        <v/>
      </c>
    </row>
    <row r="2449" spans="1:10" ht="12.75" x14ac:dyDescent="0.2">
      <c r="A2449" s="41" t="s">
        <v>1982</v>
      </c>
      <c r="B2449" s="41" t="s">
        <v>402</v>
      </c>
      <c r="C2449" s="41" t="s">
        <v>1983</v>
      </c>
      <c r="D2449" s="40"/>
      <c r="E2449" s="40"/>
      <c r="F2449" s="49" t="str">
        <f t="shared" ref="F2449:J2449" ca="1" si="2447">IFERROR(__xludf.DUMMYFUNCTION("if (A2449 &lt;&gt; """", GOOGLETRANSLATE(A2449, ""auto"", ""en""), """")"),"just kidding")</f>
        <v>just kidding</v>
      </c>
      <c r="G2449" s="49" t="str">
        <f t="shared" ca="1" si="2447"/>
        <v>just kidding</v>
      </c>
      <c r="H2449" s="49" t="str">
        <f t="shared" ca="1" si="2447"/>
        <v>just kidding</v>
      </c>
      <c r="I2449" s="49" t="str">
        <f t="shared" ca="1" si="2447"/>
        <v>just kidding</v>
      </c>
      <c r="J2449" s="49" t="str">
        <f t="shared" ca="1" si="2447"/>
        <v>just kidding</v>
      </c>
    </row>
    <row r="2450" spans="1:10" ht="12.75" x14ac:dyDescent="0.2">
      <c r="A2450" s="41" t="s">
        <v>1984</v>
      </c>
      <c r="B2450" s="40"/>
      <c r="C2450" s="40"/>
      <c r="D2450" s="40"/>
      <c r="E2450" s="40"/>
      <c r="F2450" s="49" t="str">
        <f t="shared" ref="F2450:J2450" ca="1" si="2448">IFERROR(__xludf.DUMMYFUNCTION("if (A2450 &lt;&gt; """", GOOGLETRANSLATE(A2450, ""auto"", ""en""), """")"),"just kidding")</f>
        <v>just kidding</v>
      </c>
      <c r="G2450" s="49" t="str">
        <f t="shared" ca="1" si="2448"/>
        <v>just kidding</v>
      </c>
      <c r="H2450" s="49" t="str">
        <f t="shared" ca="1" si="2448"/>
        <v>just kidding</v>
      </c>
      <c r="I2450" s="49" t="str">
        <f t="shared" ca="1" si="2448"/>
        <v>just kidding</v>
      </c>
      <c r="J2450" s="49" t="str">
        <f t="shared" ca="1" si="2448"/>
        <v>just kidding</v>
      </c>
    </row>
    <row r="2451" spans="1:10" ht="25.5" x14ac:dyDescent="0.2">
      <c r="A2451" s="41" t="s">
        <v>1985</v>
      </c>
      <c r="B2451" s="40"/>
      <c r="C2451" s="40"/>
      <c r="D2451" s="40"/>
      <c r="E2451" s="40"/>
      <c r="F2451" s="49" t="str">
        <f t="shared" ref="F2451:J2451" ca="1" si="2449">IFERROR(__xludf.DUMMYFUNCTION("if (A2451 &lt;&gt; """", GOOGLETRANSLATE(A2451, ""auto"", ""en""), """")"),"Only was a little fun")</f>
        <v>Only was a little fun</v>
      </c>
      <c r="G2451" s="49" t="str">
        <f t="shared" ca="1" si="2449"/>
        <v>Only was a little fun</v>
      </c>
      <c r="H2451" s="49" t="str">
        <f t="shared" ca="1" si="2449"/>
        <v>Only was a little fun</v>
      </c>
      <c r="I2451" s="49" t="str">
        <f t="shared" ca="1" si="2449"/>
        <v>Only was a little fun</v>
      </c>
      <c r="J2451" s="49" t="str">
        <f t="shared" ca="1" si="2449"/>
        <v>Only was a little fun</v>
      </c>
    </row>
    <row r="2452" spans="1:10" ht="25.5" x14ac:dyDescent="0.2">
      <c r="A2452" s="41" t="s">
        <v>1986</v>
      </c>
      <c r="B2452" s="40"/>
      <c r="C2452" s="40"/>
      <c r="D2452" s="40"/>
      <c r="E2452" s="40"/>
      <c r="F2452" s="49" t="str">
        <f t="shared" ref="F2452:J2452" ca="1" si="2450">IFERROR(__xludf.DUMMYFUNCTION("if (A2452 &lt;&gt; """", GOOGLETRANSLATE(A2452, ""auto"", ""en""), """")"),"Even though joke")</f>
        <v>Even though joke</v>
      </c>
      <c r="G2452" s="49" t="str">
        <f t="shared" ca="1" si="2450"/>
        <v>Even though joke</v>
      </c>
      <c r="H2452" s="49" t="str">
        <f t="shared" ca="1" si="2450"/>
        <v>Even though joke</v>
      </c>
      <c r="I2452" s="49" t="str">
        <f t="shared" ca="1" si="2450"/>
        <v>Even though joke</v>
      </c>
      <c r="J2452" s="49" t="str">
        <f t="shared" ca="1" si="2450"/>
        <v>Even though joke</v>
      </c>
    </row>
    <row r="2453" spans="1:10" ht="12.75" x14ac:dyDescent="0.2">
      <c r="A2453" s="41" t="s">
        <v>1987</v>
      </c>
      <c r="B2453" s="40"/>
      <c r="C2453" s="40"/>
      <c r="D2453" s="40"/>
      <c r="E2453" s="40"/>
      <c r="F2453" s="49" t="str">
        <f t="shared" ref="F2453:J2453" ca="1" si="2451">IFERROR(__xludf.DUMMYFUNCTION("if (A2453 &lt;&gt; """", GOOGLETRANSLATE(A2453, ""auto"", ""en""), """")"),"Just joking")</f>
        <v>Just joking</v>
      </c>
      <c r="G2453" s="49" t="str">
        <f t="shared" ca="1" si="2451"/>
        <v>Just joking</v>
      </c>
      <c r="H2453" s="49" t="str">
        <f t="shared" ca="1" si="2451"/>
        <v>Just joking</v>
      </c>
      <c r="I2453" s="49" t="str">
        <f t="shared" ca="1" si="2451"/>
        <v>Just joking</v>
      </c>
      <c r="J2453" s="49" t="str">
        <f t="shared" ca="1" si="2451"/>
        <v>Just joking</v>
      </c>
    </row>
    <row r="2454" spans="1:10" ht="12.75" x14ac:dyDescent="0.2">
      <c r="A2454" s="41" t="s">
        <v>1988</v>
      </c>
      <c r="B2454" s="40"/>
      <c r="C2454" s="40"/>
      <c r="D2454" s="40"/>
      <c r="E2454" s="40"/>
      <c r="F2454" s="49" t="str">
        <f t="shared" ref="F2454:J2454" ca="1" si="2452">IFERROR(__xludf.DUMMYFUNCTION("if (A2454 &lt;&gt; """", GOOGLETRANSLATE(A2454, ""auto"", ""en""), """")"),"Im kidding")</f>
        <v>Im kidding</v>
      </c>
      <c r="G2454" s="49" t="str">
        <f t="shared" ca="1" si="2452"/>
        <v>Im kidding</v>
      </c>
      <c r="H2454" s="49" t="str">
        <f t="shared" ca="1" si="2452"/>
        <v>Im kidding</v>
      </c>
      <c r="I2454" s="49" t="str">
        <f t="shared" ca="1" si="2452"/>
        <v>Im kidding</v>
      </c>
      <c r="J2454" s="49" t="str">
        <f t="shared" ca="1" si="2452"/>
        <v>Im kidding</v>
      </c>
    </row>
    <row r="2455" spans="1:10" ht="12.75" x14ac:dyDescent="0.2">
      <c r="A2455" s="41" t="s">
        <v>1989</v>
      </c>
      <c r="B2455" s="40"/>
      <c r="C2455" s="40"/>
      <c r="D2455" s="40"/>
      <c r="E2455" s="40"/>
      <c r="F2455" s="49" t="str">
        <f t="shared" ref="F2455:J2455" ca="1" si="2453">IFERROR(__xludf.DUMMYFUNCTION("if (A2455 &lt;&gt; """", GOOGLETRANSLATE(A2455, ""auto"", ""en""), """")"),"It is a joke")</f>
        <v>It is a joke</v>
      </c>
      <c r="G2455" s="49" t="str">
        <f t="shared" ca="1" si="2453"/>
        <v>It is a joke</v>
      </c>
      <c r="H2455" s="49" t="str">
        <f t="shared" ca="1" si="2453"/>
        <v>It is a joke</v>
      </c>
      <c r="I2455" s="49" t="str">
        <f t="shared" ca="1" si="2453"/>
        <v>It is a joke</v>
      </c>
      <c r="J2455" s="49" t="str">
        <f t="shared" ca="1" si="2453"/>
        <v>It is a joke</v>
      </c>
    </row>
    <row r="2456" spans="1:10" ht="12.75" x14ac:dyDescent="0.2">
      <c r="A2456" s="41" t="s">
        <v>1990</v>
      </c>
      <c r="B2456" s="40"/>
      <c r="C2456" s="40"/>
      <c r="D2456" s="40"/>
      <c r="E2456" s="40"/>
      <c r="F2456" s="49" t="str">
        <f t="shared" ref="F2456:J2456" ca="1" si="2454">IFERROR(__xludf.DUMMYFUNCTION("if (A2456 &lt;&gt; """", GOOGLETRANSLATE(A2456, ""auto"", ""en""), """")"),"Just a joke")</f>
        <v>Just a joke</v>
      </c>
      <c r="G2456" s="49" t="str">
        <f t="shared" ca="1" si="2454"/>
        <v>Just a joke</v>
      </c>
      <c r="H2456" s="49" t="str">
        <f t="shared" ca="1" si="2454"/>
        <v>Just a joke</v>
      </c>
      <c r="I2456" s="49" t="str">
        <f t="shared" ca="1" si="2454"/>
        <v>Just a joke</v>
      </c>
      <c r="J2456" s="49" t="str">
        <f t="shared" ca="1" si="2454"/>
        <v>Just a joke</v>
      </c>
    </row>
    <row r="2457" spans="1:10" ht="12.75" x14ac:dyDescent="0.2">
      <c r="A2457" s="41" t="s">
        <v>1991</v>
      </c>
      <c r="B2457" s="40"/>
      <c r="C2457" s="40"/>
      <c r="D2457" s="40"/>
      <c r="E2457" s="40"/>
      <c r="F2457" s="49" t="str">
        <f t="shared" ref="F2457:J2457" ca="1" si="2455">IFERROR(__xludf.DUMMYFUNCTION("if (A2457 &lt;&gt; """", GOOGLETRANSLATE(A2457, ""auto"", ""en""), """")"),"joke")</f>
        <v>joke</v>
      </c>
      <c r="G2457" s="49" t="str">
        <f t="shared" ca="1" si="2455"/>
        <v>joke</v>
      </c>
      <c r="H2457" s="49" t="str">
        <f t="shared" ca="1" si="2455"/>
        <v>joke</v>
      </c>
      <c r="I2457" s="49" t="str">
        <f t="shared" ca="1" si="2455"/>
        <v>joke</v>
      </c>
      <c r="J2457" s="49" t="str">
        <f t="shared" ca="1" si="2455"/>
        <v>joke</v>
      </c>
    </row>
    <row r="2458" spans="1:10" ht="25.5" x14ac:dyDescent="0.2">
      <c r="A2458" s="41" t="s">
        <v>1992</v>
      </c>
      <c r="B2458" s="40"/>
      <c r="C2458" s="40"/>
      <c r="D2458" s="40"/>
      <c r="E2458" s="40"/>
      <c r="F2458" s="49" t="str">
        <f t="shared" ref="F2458:J2458" ca="1" si="2456">IFERROR(__xludf.DUMMYFUNCTION("if (A2458 &lt;&gt; """", GOOGLETRANSLATE(A2458, ""auto"", ""en""), """")"),"I just had a little fun")</f>
        <v>I just had a little fun</v>
      </c>
      <c r="G2458" s="49" t="str">
        <f t="shared" ca="1" si="2456"/>
        <v>I just had a little fun</v>
      </c>
      <c r="H2458" s="49" t="str">
        <f t="shared" ca="1" si="2456"/>
        <v>I just had a little fun</v>
      </c>
      <c r="I2458" s="49" t="str">
        <f t="shared" ca="1" si="2456"/>
        <v>I just had a little fun</v>
      </c>
      <c r="J2458" s="49" t="str">
        <f t="shared" ca="1" si="2456"/>
        <v>I just had a little fun</v>
      </c>
    </row>
    <row r="2459" spans="1:10" ht="12.75" x14ac:dyDescent="0.2">
      <c r="A2459" s="40"/>
      <c r="B2459" s="40"/>
      <c r="C2459" s="40"/>
      <c r="D2459" s="40"/>
      <c r="E2459" s="40"/>
      <c r="F2459" s="49" t="str">
        <f t="shared" ref="F2459:J2459" ca="1" si="2457">IFERROR(__xludf.DUMMYFUNCTION("if (A2459 &lt;&gt; """", GOOGLETRANSLATE(A2459, ""auto"", ""en""), """")"),"")</f>
        <v/>
      </c>
      <c r="G2459" s="49" t="str">
        <f t="shared" ca="1" si="2457"/>
        <v/>
      </c>
      <c r="H2459" s="49" t="str">
        <f t="shared" ca="1" si="2457"/>
        <v/>
      </c>
      <c r="I2459" s="49" t="str">
        <f t="shared" ca="1" si="2457"/>
        <v/>
      </c>
      <c r="J2459" s="49" t="str">
        <f t="shared" ca="1" si="2457"/>
        <v/>
      </c>
    </row>
    <row r="2460" spans="1:10" ht="25.5" x14ac:dyDescent="0.2">
      <c r="A2460" s="41" t="s">
        <v>1993</v>
      </c>
      <c r="B2460" s="40"/>
      <c r="C2460" s="40"/>
      <c r="D2460" s="40"/>
      <c r="E2460" s="40"/>
      <c r="F2460" s="49" t="str">
        <f t="shared" ref="F2460:J2460" ca="1" si="2458">IFERROR(__xludf.DUMMYFUNCTION("if (A2460 &lt;&gt; """", GOOGLETRANSLATE(A2460, ""auto"", ""en""), """")"),"smalltalk.user.likes_agent")</f>
        <v>smalltalk.user.likes_agent</v>
      </c>
      <c r="G2460" s="49" t="str">
        <f t="shared" ca="1" si="2458"/>
        <v>smalltalk.user.likes_agent</v>
      </c>
      <c r="H2460" s="49" t="str">
        <f t="shared" ca="1" si="2458"/>
        <v>smalltalk.user.likes_agent</v>
      </c>
      <c r="I2460" s="49" t="str">
        <f t="shared" ca="1" si="2458"/>
        <v>smalltalk.user.likes_agent</v>
      </c>
      <c r="J2460" s="49" t="str">
        <f t="shared" ca="1" si="2458"/>
        <v>smalltalk.user.likes_agent</v>
      </c>
    </row>
    <row r="2461" spans="1:10" ht="12.75" x14ac:dyDescent="0.2">
      <c r="A2461" s="40"/>
      <c r="B2461" s="41" t="s">
        <v>398</v>
      </c>
      <c r="C2461" s="40"/>
      <c r="D2461" s="40"/>
      <c r="E2461" s="40"/>
      <c r="F2461" s="49" t="str">
        <f t="shared" ref="F2461:J2461" ca="1" si="2459">IFERROR(__xludf.DUMMYFUNCTION("if (A2461 &lt;&gt; """", GOOGLETRANSLATE(A2461, ""auto"", ""en""), """")"),"")</f>
        <v/>
      </c>
      <c r="G2461" s="49" t="str">
        <f t="shared" ca="1" si="2459"/>
        <v/>
      </c>
      <c r="H2461" s="49" t="str">
        <f t="shared" ca="1" si="2459"/>
        <v/>
      </c>
      <c r="I2461" s="49" t="str">
        <f t="shared" ca="1" si="2459"/>
        <v/>
      </c>
      <c r="J2461" s="49" t="str">
        <f t="shared" ca="1" si="2459"/>
        <v/>
      </c>
    </row>
    <row r="2462" spans="1:10" ht="12.75" x14ac:dyDescent="0.2">
      <c r="A2462" s="40"/>
      <c r="B2462" s="41" t="s">
        <v>399</v>
      </c>
      <c r="C2462" s="40"/>
      <c r="D2462" s="40"/>
      <c r="E2462" s="40"/>
      <c r="F2462" s="49" t="str">
        <f t="shared" ref="F2462:J2462" ca="1" si="2460">IFERROR(__xludf.DUMMYFUNCTION("if (A2462 &lt;&gt; """", GOOGLETRANSLATE(A2462, ""auto"", ""en""), """")"),"")</f>
        <v/>
      </c>
      <c r="G2462" s="49" t="str">
        <f t="shared" ca="1" si="2460"/>
        <v/>
      </c>
      <c r="H2462" s="49" t="str">
        <f t="shared" ca="1" si="2460"/>
        <v/>
      </c>
      <c r="I2462" s="49" t="str">
        <f t="shared" ca="1" si="2460"/>
        <v/>
      </c>
      <c r="J2462" s="49" t="str">
        <f t="shared" ca="1" si="2460"/>
        <v/>
      </c>
    </row>
    <row r="2463" spans="1:10" ht="12.75" x14ac:dyDescent="0.2">
      <c r="A2463" s="40"/>
      <c r="B2463" s="41" t="s">
        <v>400</v>
      </c>
      <c r="C2463" s="41" t="s">
        <v>1993</v>
      </c>
      <c r="D2463" s="40"/>
      <c r="E2463" s="40"/>
      <c r="F2463" s="49" t="str">
        <f t="shared" ref="F2463:J2463" ca="1" si="2461">IFERROR(__xludf.DUMMYFUNCTION("if (A2463 &lt;&gt; """", GOOGLETRANSLATE(A2463, ""auto"", ""en""), """")"),"")</f>
        <v/>
      </c>
      <c r="G2463" s="49" t="str">
        <f t="shared" ca="1" si="2461"/>
        <v/>
      </c>
      <c r="H2463" s="49" t="str">
        <f t="shared" ca="1" si="2461"/>
        <v/>
      </c>
      <c r="I2463" s="49" t="str">
        <f t="shared" ca="1" si="2461"/>
        <v/>
      </c>
      <c r="J2463" s="49" t="str">
        <f t="shared" ca="1" si="2461"/>
        <v/>
      </c>
    </row>
    <row r="2464" spans="1:10" ht="12.75" x14ac:dyDescent="0.2">
      <c r="A2464" s="40"/>
      <c r="B2464" s="41" t="s">
        <v>401</v>
      </c>
      <c r="C2464" s="40"/>
      <c r="D2464" s="40"/>
      <c r="E2464" s="40"/>
      <c r="F2464" s="49" t="str">
        <f t="shared" ref="F2464:J2464" ca="1" si="2462">IFERROR(__xludf.DUMMYFUNCTION("if (A2464 &lt;&gt; """", GOOGLETRANSLATE(A2464, ""auto"", ""en""), """")"),"")</f>
        <v/>
      </c>
      <c r="G2464" s="49" t="str">
        <f t="shared" ca="1" si="2462"/>
        <v/>
      </c>
      <c r="H2464" s="49" t="str">
        <f t="shared" ca="1" si="2462"/>
        <v/>
      </c>
      <c r="I2464" s="49" t="str">
        <f t="shared" ca="1" si="2462"/>
        <v/>
      </c>
      <c r="J2464" s="49" t="str">
        <f t="shared" ca="1" si="2462"/>
        <v/>
      </c>
    </row>
    <row r="2465" spans="1:10" ht="25.5" x14ac:dyDescent="0.2">
      <c r="A2465" s="41" t="s">
        <v>1994</v>
      </c>
      <c r="B2465" s="41" t="s">
        <v>402</v>
      </c>
      <c r="C2465" s="41" t="s">
        <v>1995</v>
      </c>
      <c r="D2465" s="40"/>
      <c r="E2465" s="40"/>
      <c r="F2465" s="49" t="str">
        <f t="shared" ref="F2465:J2465" ca="1" si="2463">IFERROR(__xludf.DUMMYFUNCTION("if (A2465 &lt;&gt; """", GOOGLETRANSLATE(A2465, ""auto"", ""en""), """")"),"It is as it is of like you")</f>
        <v>It is as it is of like you</v>
      </c>
      <c r="G2465" s="49" t="str">
        <f t="shared" ca="1" si="2463"/>
        <v>It is as it is of like you</v>
      </c>
      <c r="H2465" s="49" t="str">
        <f t="shared" ca="1" si="2463"/>
        <v>It is as it is of like you</v>
      </c>
      <c r="I2465" s="49" t="str">
        <f t="shared" ca="1" si="2463"/>
        <v>It is as it is of like you</v>
      </c>
      <c r="J2465" s="49" t="str">
        <f t="shared" ca="1" si="2463"/>
        <v>It is as it is of like you</v>
      </c>
    </row>
    <row r="2466" spans="1:10" ht="12.75" x14ac:dyDescent="0.2">
      <c r="A2466" s="41" t="s">
        <v>1996</v>
      </c>
      <c r="B2466" s="40"/>
      <c r="C2466" s="40"/>
      <c r="D2466" s="40"/>
      <c r="E2466" s="40"/>
      <c r="F2466" s="49" t="str">
        <f t="shared" ref="F2466:J2466" ca="1" si="2464">IFERROR(__xludf.DUMMYFUNCTION("if (A2466 &lt;&gt; """", GOOGLETRANSLATE(A2466, ""auto"", ""en""), """")"),"I like you")</f>
        <v>I like you</v>
      </c>
      <c r="G2466" s="49" t="str">
        <f t="shared" ca="1" si="2464"/>
        <v>I like you</v>
      </c>
      <c r="H2466" s="49" t="str">
        <f t="shared" ca="1" si="2464"/>
        <v>I like you</v>
      </c>
      <c r="I2466" s="49" t="str">
        <f t="shared" ca="1" si="2464"/>
        <v>I like you</v>
      </c>
      <c r="J2466" s="49" t="str">
        <f t="shared" ca="1" si="2464"/>
        <v>I like you</v>
      </c>
    </row>
    <row r="2467" spans="1:10" ht="12.75" x14ac:dyDescent="0.2">
      <c r="A2467" s="41" t="s">
        <v>1997</v>
      </c>
      <c r="B2467" s="40"/>
      <c r="C2467" s="40"/>
      <c r="D2467" s="40"/>
      <c r="E2467" s="40"/>
      <c r="F2467" s="49" t="str">
        <f t="shared" ref="F2467:J2467" ca="1" si="2465">IFERROR(__xludf.DUMMYFUNCTION("if (A2467 &lt;&gt; """", GOOGLETRANSLATE(A2467, ""auto"", ""en""), """")"),"I love you")</f>
        <v>I love you</v>
      </c>
      <c r="G2467" s="49" t="str">
        <f t="shared" ca="1" si="2465"/>
        <v>I love you</v>
      </c>
      <c r="H2467" s="49" t="str">
        <f t="shared" ca="1" si="2465"/>
        <v>I love you</v>
      </c>
      <c r="I2467" s="49" t="str">
        <f t="shared" ca="1" si="2465"/>
        <v>I love you</v>
      </c>
      <c r="J2467" s="49" t="str">
        <f t="shared" ca="1" si="2465"/>
        <v>I love you</v>
      </c>
    </row>
    <row r="2468" spans="1:10" ht="25.5" x14ac:dyDescent="0.2">
      <c r="A2468" s="41" t="s">
        <v>1998</v>
      </c>
      <c r="B2468" s="40"/>
      <c r="C2468" s="40"/>
      <c r="D2468" s="40"/>
      <c r="E2468" s="40"/>
      <c r="F2468" s="49" t="str">
        <f t="shared" ref="F2468:J2468" ca="1" si="2466">IFERROR(__xludf.DUMMYFUNCTION("if (A2468 &lt;&gt; """", GOOGLETRANSLATE(A2468, ""auto"", ""en""), """")"),"I kind of like you")</f>
        <v>I kind of like you</v>
      </c>
      <c r="G2468" s="49" t="str">
        <f t="shared" ca="1" si="2466"/>
        <v>I kind of like you</v>
      </c>
      <c r="H2468" s="49" t="str">
        <f t="shared" ca="1" si="2466"/>
        <v>I kind of like you</v>
      </c>
      <c r="I2468" s="49" t="str">
        <f t="shared" ca="1" si="2466"/>
        <v>I kind of like you</v>
      </c>
      <c r="J2468" s="49" t="str">
        <f t="shared" ca="1" si="2466"/>
        <v>I kind of like you</v>
      </c>
    </row>
    <row r="2469" spans="1:10" ht="12.75" x14ac:dyDescent="0.2">
      <c r="A2469" s="41" t="s">
        <v>1999</v>
      </c>
      <c r="B2469" s="40"/>
      <c r="C2469" s="40"/>
      <c r="D2469" s="40"/>
      <c r="E2469" s="40"/>
      <c r="F2469" s="49" t="str">
        <f t="shared" ref="F2469:J2469" ca="1" si="2467">IFERROR(__xludf.DUMMYFUNCTION("if (A2469 &lt;&gt; """", GOOGLETRANSLATE(A2469, ""auto"", ""en""), """")"),"You liked")</f>
        <v>You liked</v>
      </c>
      <c r="G2469" s="49" t="str">
        <f t="shared" ca="1" si="2467"/>
        <v>You liked</v>
      </c>
      <c r="H2469" s="49" t="str">
        <f t="shared" ca="1" si="2467"/>
        <v>You liked</v>
      </c>
      <c r="I2469" s="49" t="str">
        <f t="shared" ca="1" si="2467"/>
        <v>You liked</v>
      </c>
      <c r="J2469" s="49" t="str">
        <f t="shared" ca="1" si="2467"/>
        <v>You liked</v>
      </c>
    </row>
    <row r="2470" spans="1:10" ht="12.75" x14ac:dyDescent="0.2">
      <c r="A2470" s="41" t="s">
        <v>2000</v>
      </c>
      <c r="B2470" s="40"/>
      <c r="C2470" s="40"/>
      <c r="D2470" s="40"/>
      <c r="E2470" s="40"/>
      <c r="F2470" s="49" t="str">
        <f t="shared" ref="F2470:J2470" ca="1" si="2468">IFERROR(__xludf.DUMMYFUNCTION("if (A2470 &lt;&gt; """", GOOGLETRANSLATE(A2470, ""auto"", ""en""), """")"),"I adore you")</f>
        <v>I adore you</v>
      </c>
      <c r="G2470" s="49" t="str">
        <f t="shared" ca="1" si="2468"/>
        <v>I adore you</v>
      </c>
      <c r="H2470" s="49" t="str">
        <f t="shared" ca="1" si="2468"/>
        <v>I adore you</v>
      </c>
      <c r="I2470" s="49" t="str">
        <f t="shared" ca="1" si="2468"/>
        <v>I adore you</v>
      </c>
      <c r="J2470" s="49" t="str">
        <f t="shared" ca="1" si="2468"/>
        <v>I adore you</v>
      </c>
    </row>
    <row r="2471" spans="1:10" ht="25.5" x14ac:dyDescent="0.2">
      <c r="A2471" s="41" t="s">
        <v>2001</v>
      </c>
      <c r="B2471" s="40"/>
      <c r="C2471" s="40"/>
      <c r="D2471" s="40"/>
      <c r="E2471" s="40"/>
      <c r="F2471" s="49" t="str">
        <f t="shared" ref="F2471:J2471" ca="1" si="2469">IFERROR(__xludf.DUMMYFUNCTION("if (A2471 &lt;&gt; """", GOOGLETRANSLATE(A2471, ""auto"", ""en""), """")"),"Your one of a kind")</f>
        <v>Your one of a kind</v>
      </c>
      <c r="G2471" s="49" t="str">
        <f t="shared" ca="1" si="2469"/>
        <v>Your one of a kind</v>
      </c>
      <c r="H2471" s="49" t="str">
        <f t="shared" ca="1" si="2469"/>
        <v>Your one of a kind</v>
      </c>
      <c r="I2471" s="49" t="str">
        <f t="shared" ca="1" si="2469"/>
        <v>Your one of a kind</v>
      </c>
      <c r="J2471" s="49" t="str">
        <f t="shared" ca="1" si="2469"/>
        <v>Your one of a kind</v>
      </c>
    </row>
    <row r="2472" spans="1:10" ht="12.75" x14ac:dyDescent="0.2">
      <c r="A2472" s="41" t="s">
        <v>2002</v>
      </c>
      <c r="B2472" s="40"/>
      <c r="C2472" s="40"/>
      <c r="D2472" s="40"/>
      <c r="E2472" s="40"/>
      <c r="F2472" s="49" t="str">
        <f t="shared" ref="F2472:J2472" ca="1" si="2470">IFERROR(__xludf.DUMMYFUNCTION("if (A2472 &lt;&gt; """", GOOGLETRANSLATE(A2472, ""auto"", ""en""), """")"),"I like you too")</f>
        <v>I like you too</v>
      </c>
      <c r="G2472" s="49" t="str">
        <f t="shared" ca="1" si="2470"/>
        <v>I like you too</v>
      </c>
      <c r="H2472" s="49" t="str">
        <f t="shared" ca="1" si="2470"/>
        <v>I like you too</v>
      </c>
      <c r="I2472" s="49" t="str">
        <f t="shared" ca="1" si="2470"/>
        <v>I like you too</v>
      </c>
      <c r="J2472" s="49" t="str">
        <f t="shared" ca="1" si="2470"/>
        <v>I like you too</v>
      </c>
    </row>
    <row r="2473" spans="1:10" ht="25.5" x14ac:dyDescent="0.2">
      <c r="A2473" s="41" t="s">
        <v>2003</v>
      </c>
      <c r="B2473" s="40"/>
      <c r="C2473" s="40"/>
      <c r="D2473" s="40"/>
      <c r="E2473" s="40"/>
      <c r="F2473" s="49" t="str">
        <f t="shared" ref="F2473:J2473" ca="1" si="2471">IFERROR(__xludf.DUMMYFUNCTION("if (A2473 &lt;&gt; """", GOOGLETRANSLATE(A2473, ""auto"", ""en""), """")"),"Really I like you")</f>
        <v>Really I like you</v>
      </c>
      <c r="G2473" s="49" t="str">
        <f t="shared" ca="1" si="2471"/>
        <v>Really I like you</v>
      </c>
      <c r="H2473" s="49" t="str">
        <f t="shared" ca="1" si="2471"/>
        <v>Really I like you</v>
      </c>
      <c r="I2473" s="49" t="str">
        <f t="shared" ca="1" si="2471"/>
        <v>Really I like you</v>
      </c>
      <c r="J2473" s="49" t="str">
        <f t="shared" ca="1" si="2471"/>
        <v>Really I like you</v>
      </c>
    </row>
    <row r="2474" spans="1:10" ht="12.75" x14ac:dyDescent="0.2">
      <c r="A2474" s="41" t="s">
        <v>2004</v>
      </c>
      <c r="B2474" s="40"/>
      <c r="C2474" s="40"/>
      <c r="D2474" s="40"/>
      <c r="E2474" s="40"/>
      <c r="F2474" s="49" t="str">
        <f t="shared" ref="F2474:J2474" ca="1" si="2472">IFERROR(__xludf.DUMMYFUNCTION("if (A2474 &lt;&gt; """", GOOGLETRANSLATE(A2474, ""auto"", ""en""), """")"),"But I like you")</f>
        <v>But I like you</v>
      </c>
      <c r="G2474" s="49" t="str">
        <f t="shared" ca="1" si="2472"/>
        <v>But I like you</v>
      </c>
      <c r="H2474" s="49" t="str">
        <f t="shared" ca="1" si="2472"/>
        <v>But I like you</v>
      </c>
      <c r="I2474" s="49" t="str">
        <f t="shared" ca="1" si="2472"/>
        <v>But I like you</v>
      </c>
      <c r="J2474" s="49" t="str">
        <f t="shared" ca="1" si="2472"/>
        <v>But I like you</v>
      </c>
    </row>
    <row r="2475" spans="1:10" ht="12.75" x14ac:dyDescent="0.2">
      <c r="A2475" s="40"/>
      <c r="B2475" s="40"/>
      <c r="C2475" s="40"/>
      <c r="D2475" s="40"/>
      <c r="E2475" s="40"/>
      <c r="F2475" s="49" t="str">
        <f t="shared" ref="F2475:J2475" ca="1" si="2473">IFERROR(__xludf.DUMMYFUNCTION("if (A2475 &lt;&gt; """", GOOGLETRANSLATE(A2475, ""auto"", ""en""), """")"),"")</f>
        <v/>
      </c>
      <c r="G2475" s="49" t="str">
        <f t="shared" ca="1" si="2473"/>
        <v/>
      </c>
      <c r="H2475" s="49" t="str">
        <f t="shared" ca="1" si="2473"/>
        <v/>
      </c>
      <c r="I2475" s="49" t="str">
        <f t="shared" ca="1" si="2473"/>
        <v/>
      </c>
      <c r="J2475" s="49" t="str">
        <f t="shared" ca="1" si="2473"/>
        <v/>
      </c>
    </row>
    <row r="2476" spans="1:10" ht="25.5" x14ac:dyDescent="0.2">
      <c r="A2476" s="41" t="s">
        <v>2005</v>
      </c>
      <c r="B2476" s="40"/>
      <c r="C2476" s="40"/>
      <c r="D2476" s="40"/>
      <c r="E2476" s="40"/>
      <c r="F2476" s="49" t="str">
        <f t="shared" ref="F2476:J2476" ca="1" si="2474">IFERROR(__xludf.DUMMYFUNCTION("if (A2476 &lt;&gt; """", GOOGLETRANSLATE(A2476, ""auto"", ""en""), """")"),"smalltalk.user.lonely")</f>
        <v>smalltalk.user.lonely</v>
      </c>
      <c r="G2476" s="49" t="str">
        <f t="shared" ca="1" si="2474"/>
        <v>smalltalk.user.lonely</v>
      </c>
      <c r="H2476" s="49" t="str">
        <f t="shared" ca="1" si="2474"/>
        <v>smalltalk.user.lonely</v>
      </c>
      <c r="I2476" s="49" t="str">
        <f t="shared" ca="1" si="2474"/>
        <v>smalltalk.user.lonely</v>
      </c>
      <c r="J2476" s="49" t="str">
        <f t="shared" ca="1" si="2474"/>
        <v>smalltalk.user.lonely</v>
      </c>
    </row>
    <row r="2477" spans="1:10" ht="12.75" x14ac:dyDescent="0.2">
      <c r="A2477" s="40"/>
      <c r="B2477" s="41" t="s">
        <v>398</v>
      </c>
      <c r="C2477" s="40"/>
      <c r="D2477" s="40"/>
      <c r="E2477" s="40"/>
      <c r="F2477" s="49" t="str">
        <f t="shared" ref="F2477:J2477" ca="1" si="2475">IFERROR(__xludf.DUMMYFUNCTION("if (A2477 &lt;&gt; """", GOOGLETRANSLATE(A2477, ""auto"", ""en""), """")"),"")</f>
        <v/>
      </c>
      <c r="G2477" s="49" t="str">
        <f t="shared" ca="1" si="2475"/>
        <v/>
      </c>
      <c r="H2477" s="49" t="str">
        <f t="shared" ca="1" si="2475"/>
        <v/>
      </c>
      <c r="I2477" s="49" t="str">
        <f t="shared" ca="1" si="2475"/>
        <v/>
      </c>
      <c r="J2477" s="49" t="str">
        <f t="shared" ca="1" si="2475"/>
        <v/>
      </c>
    </row>
    <row r="2478" spans="1:10" ht="12.75" x14ac:dyDescent="0.2">
      <c r="A2478" s="40"/>
      <c r="B2478" s="41" t="s">
        <v>399</v>
      </c>
      <c r="C2478" s="40"/>
      <c r="D2478" s="40"/>
      <c r="E2478" s="40"/>
      <c r="F2478" s="49" t="str">
        <f t="shared" ref="F2478:J2478" ca="1" si="2476">IFERROR(__xludf.DUMMYFUNCTION("if (A2478 &lt;&gt; """", GOOGLETRANSLATE(A2478, ""auto"", ""en""), """")"),"")</f>
        <v/>
      </c>
      <c r="G2478" s="49" t="str">
        <f t="shared" ca="1" si="2476"/>
        <v/>
      </c>
      <c r="H2478" s="49" t="str">
        <f t="shared" ca="1" si="2476"/>
        <v/>
      </c>
      <c r="I2478" s="49" t="str">
        <f t="shared" ca="1" si="2476"/>
        <v/>
      </c>
      <c r="J2478" s="49" t="str">
        <f t="shared" ca="1" si="2476"/>
        <v/>
      </c>
    </row>
    <row r="2479" spans="1:10" ht="12.75" x14ac:dyDescent="0.2">
      <c r="A2479" s="40"/>
      <c r="B2479" s="41" t="s">
        <v>400</v>
      </c>
      <c r="C2479" s="41" t="s">
        <v>2005</v>
      </c>
      <c r="D2479" s="40"/>
      <c r="E2479" s="40"/>
      <c r="F2479" s="49" t="str">
        <f t="shared" ref="F2479:J2479" ca="1" si="2477">IFERROR(__xludf.DUMMYFUNCTION("if (A2479 &lt;&gt; """", GOOGLETRANSLATE(A2479, ""auto"", ""en""), """")"),"")</f>
        <v/>
      </c>
      <c r="G2479" s="49" t="str">
        <f t="shared" ca="1" si="2477"/>
        <v/>
      </c>
      <c r="H2479" s="49" t="str">
        <f t="shared" ca="1" si="2477"/>
        <v/>
      </c>
      <c r="I2479" s="49" t="str">
        <f t="shared" ca="1" si="2477"/>
        <v/>
      </c>
      <c r="J2479" s="49" t="str">
        <f t="shared" ca="1" si="2477"/>
        <v/>
      </c>
    </row>
    <row r="2480" spans="1:10" ht="12.75" x14ac:dyDescent="0.2">
      <c r="A2480" s="40"/>
      <c r="B2480" s="41" t="s">
        <v>401</v>
      </c>
      <c r="C2480" s="40"/>
      <c r="D2480" s="40"/>
      <c r="E2480" s="40"/>
      <c r="F2480" s="49" t="str">
        <f t="shared" ref="F2480:J2480" ca="1" si="2478">IFERROR(__xludf.DUMMYFUNCTION("if (A2480 &lt;&gt; """", GOOGLETRANSLATE(A2480, ""auto"", ""en""), """")"),"")</f>
        <v/>
      </c>
      <c r="G2480" s="49" t="str">
        <f t="shared" ca="1" si="2478"/>
        <v/>
      </c>
      <c r="H2480" s="49" t="str">
        <f t="shared" ca="1" si="2478"/>
        <v/>
      </c>
      <c r="I2480" s="49" t="str">
        <f t="shared" ca="1" si="2478"/>
        <v/>
      </c>
      <c r="J2480" s="49" t="str">
        <f t="shared" ca="1" si="2478"/>
        <v/>
      </c>
    </row>
    <row r="2481" spans="1:10" ht="25.5" x14ac:dyDescent="0.2">
      <c r="A2481" s="41" t="s">
        <v>2006</v>
      </c>
      <c r="B2481" s="41" t="s">
        <v>402</v>
      </c>
      <c r="C2481" s="41" t="s">
        <v>2007</v>
      </c>
      <c r="D2481" s="40"/>
      <c r="E2481" s="40"/>
      <c r="F2481" s="49" t="str">
        <f t="shared" ref="F2481:J2481" ca="1" si="2479">IFERROR(__xludf.DUMMYFUNCTION("if (A2481 &lt;&gt; """", GOOGLETRANSLATE(A2481, ""auto"", ""en""), """")"),"Is lonely")</f>
        <v>Is lonely</v>
      </c>
      <c r="G2481" s="49" t="str">
        <f t="shared" ca="1" si="2479"/>
        <v>Is lonely</v>
      </c>
      <c r="H2481" s="49" t="str">
        <f t="shared" ca="1" si="2479"/>
        <v>Is lonely</v>
      </c>
      <c r="I2481" s="49" t="str">
        <f t="shared" ca="1" si="2479"/>
        <v>Is lonely</v>
      </c>
      <c r="J2481" s="49" t="str">
        <f t="shared" ca="1" si="2479"/>
        <v>Is lonely</v>
      </c>
    </row>
    <row r="2482" spans="1:10" ht="12.75" x14ac:dyDescent="0.2">
      <c r="A2482" s="41" t="s">
        <v>2008</v>
      </c>
      <c r="B2482" s="40"/>
      <c r="C2482" s="40"/>
      <c r="D2482" s="40"/>
      <c r="E2482" s="40"/>
      <c r="F2482" s="49" t="str">
        <f t="shared" ref="F2482:J2482" ca="1" si="2480">IFERROR(__xludf.DUMMYFUNCTION("if (A2482 &lt;&gt; """", GOOGLETRANSLATE(A2482, ""auto"", ""en""), """")"),"very lonely")</f>
        <v>very lonely</v>
      </c>
      <c r="G2482" s="49" t="str">
        <f t="shared" ca="1" si="2480"/>
        <v>very lonely</v>
      </c>
      <c r="H2482" s="49" t="str">
        <f t="shared" ca="1" si="2480"/>
        <v>very lonely</v>
      </c>
      <c r="I2482" s="49" t="str">
        <f t="shared" ca="1" si="2480"/>
        <v>very lonely</v>
      </c>
      <c r="J2482" s="49" t="str">
        <f t="shared" ca="1" si="2480"/>
        <v>very lonely</v>
      </c>
    </row>
    <row r="2483" spans="1:10" ht="12.75" x14ac:dyDescent="0.2">
      <c r="A2483" s="41" t="s">
        <v>2009</v>
      </c>
      <c r="B2483" s="40"/>
      <c r="C2483" s="40"/>
      <c r="D2483" s="40"/>
      <c r="E2483" s="40"/>
      <c r="F2483" s="49" t="str">
        <f t="shared" ref="F2483:J2483" ca="1" si="2481">IFERROR(__xludf.DUMMYFUNCTION("if (A2483 &lt;&gt; """", GOOGLETRANSLATE(A2483, ""auto"", ""en""), """")"),"Very lonely")</f>
        <v>Very lonely</v>
      </c>
      <c r="G2483" s="49" t="str">
        <f t="shared" ca="1" si="2481"/>
        <v>Very lonely</v>
      </c>
      <c r="H2483" s="49" t="str">
        <f t="shared" ca="1" si="2481"/>
        <v>Very lonely</v>
      </c>
      <c r="I2483" s="49" t="str">
        <f t="shared" ca="1" si="2481"/>
        <v>Very lonely</v>
      </c>
      <c r="J2483" s="49" t="str">
        <f t="shared" ca="1" si="2481"/>
        <v>Very lonely</v>
      </c>
    </row>
    <row r="2484" spans="1:10" ht="12.75" x14ac:dyDescent="0.2">
      <c r="A2484" s="41" t="s">
        <v>2010</v>
      </c>
      <c r="B2484" s="40"/>
      <c r="C2484" s="40"/>
      <c r="D2484" s="40"/>
      <c r="E2484" s="40"/>
      <c r="F2484" s="49" t="str">
        <f t="shared" ref="F2484:J2484" ca="1" si="2482">IFERROR(__xludf.DUMMYFUNCTION("if (A2484 &lt;&gt; """", GOOGLETRANSLATE(A2484, ""auto"", ""en""), """")"),"Really lonely")</f>
        <v>Really lonely</v>
      </c>
      <c r="G2484" s="49" t="str">
        <f t="shared" ca="1" si="2482"/>
        <v>Really lonely</v>
      </c>
      <c r="H2484" s="49" t="str">
        <f t="shared" ca="1" si="2482"/>
        <v>Really lonely</v>
      </c>
      <c r="I2484" s="49" t="str">
        <f t="shared" ca="1" si="2482"/>
        <v>Really lonely</v>
      </c>
      <c r="J2484" s="49" t="str">
        <f t="shared" ca="1" si="2482"/>
        <v>Really lonely</v>
      </c>
    </row>
    <row r="2485" spans="1:10" ht="25.5" x14ac:dyDescent="0.2">
      <c r="A2485" s="41" t="s">
        <v>2011</v>
      </c>
      <c r="B2485" s="40"/>
      <c r="C2485" s="40"/>
      <c r="D2485" s="40"/>
      <c r="E2485" s="40"/>
      <c r="F2485" s="49" t="str">
        <f t="shared" ref="F2485:J2485" ca="1" si="2483">IFERROR(__xludf.DUMMYFUNCTION("if (A2485 &lt;&gt; """", GOOGLETRANSLATE(A2485, ""auto"", ""en""), """")"),"Is a lonely feeling now")</f>
        <v>Is a lonely feeling now</v>
      </c>
      <c r="G2485" s="49" t="str">
        <f t="shared" ca="1" si="2483"/>
        <v>Is a lonely feeling now</v>
      </c>
      <c r="H2485" s="49" t="str">
        <f t="shared" ca="1" si="2483"/>
        <v>Is a lonely feeling now</v>
      </c>
      <c r="I2485" s="49" t="str">
        <f t="shared" ca="1" si="2483"/>
        <v>Is a lonely feeling now</v>
      </c>
      <c r="J2485" s="49" t="str">
        <f t="shared" ca="1" si="2483"/>
        <v>Is a lonely feeling now</v>
      </c>
    </row>
    <row r="2486" spans="1:10" ht="25.5" x14ac:dyDescent="0.2">
      <c r="A2486" s="41" t="s">
        <v>2012</v>
      </c>
      <c r="B2486" s="40"/>
      <c r="C2486" s="40"/>
      <c r="D2486" s="40"/>
      <c r="E2486" s="40"/>
      <c r="F2486" s="49" t="str">
        <f t="shared" ref="F2486:J2486" ca="1" si="2484">IFERROR(__xludf.DUMMYFUNCTION("if (A2486 &lt;&gt; """", GOOGLETRANSLATE(A2486, ""auto"", ""en""), """")"),"It is lonely mood")</f>
        <v>It is lonely mood</v>
      </c>
      <c r="G2486" s="49" t="str">
        <f t="shared" ca="1" si="2484"/>
        <v>It is lonely mood</v>
      </c>
      <c r="H2486" s="49" t="str">
        <f t="shared" ca="1" si="2484"/>
        <v>It is lonely mood</v>
      </c>
      <c r="I2486" s="49" t="str">
        <f t="shared" ca="1" si="2484"/>
        <v>It is lonely mood</v>
      </c>
      <c r="J2486" s="49" t="str">
        <f t="shared" ca="1" si="2484"/>
        <v>It is lonely mood</v>
      </c>
    </row>
    <row r="2487" spans="1:10" ht="12.75" x14ac:dyDescent="0.2">
      <c r="A2487" s="40"/>
      <c r="B2487" s="40"/>
      <c r="C2487" s="40"/>
      <c r="D2487" s="40"/>
      <c r="E2487" s="40"/>
      <c r="F2487" s="49" t="str">
        <f t="shared" ref="F2487:J2487" ca="1" si="2485">IFERROR(__xludf.DUMMYFUNCTION("if (A2487 &lt;&gt; """", GOOGLETRANSLATE(A2487, ""auto"", ""en""), """")"),"")</f>
        <v/>
      </c>
      <c r="G2487" s="49" t="str">
        <f t="shared" ca="1" si="2485"/>
        <v/>
      </c>
      <c r="H2487" s="49" t="str">
        <f t="shared" ca="1" si="2485"/>
        <v/>
      </c>
      <c r="I2487" s="49" t="str">
        <f t="shared" ca="1" si="2485"/>
        <v/>
      </c>
      <c r="J2487" s="49" t="str">
        <f t="shared" ca="1" si="2485"/>
        <v/>
      </c>
    </row>
    <row r="2488" spans="1:10" ht="25.5" x14ac:dyDescent="0.2">
      <c r="A2488" s="41" t="s">
        <v>2013</v>
      </c>
      <c r="B2488" s="40"/>
      <c r="C2488" s="40"/>
      <c r="D2488" s="40"/>
      <c r="E2488" s="40"/>
      <c r="F2488" s="49" t="str">
        <f t="shared" ref="F2488:J2488" ca="1" si="2486">IFERROR(__xludf.DUMMYFUNCTION("if (A2488 &lt;&gt; """", GOOGLETRANSLATE(A2488, ""auto"", ""en""), """")"),"smalltalk.user.looks_like")</f>
        <v>smalltalk.user.looks_like</v>
      </c>
      <c r="G2488" s="49" t="str">
        <f t="shared" ca="1" si="2486"/>
        <v>smalltalk.user.looks_like</v>
      </c>
      <c r="H2488" s="49" t="str">
        <f t="shared" ca="1" si="2486"/>
        <v>smalltalk.user.looks_like</v>
      </c>
      <c r="I2488" s="49" t="str">
        <f t="shared" ca="1" si="2486"/>
        <v>smalltalk.user.looks_like</v>
      </c>
      <c r="J2488" s="49" t="str">
        <f t="shared" ca="1" si="2486"/>
        <v>smalltalk.user.looks_like</v>
      </c>
    </row>
    <row r="2489" spans="1:10" ht="12.75" x14ac:dyDescent="0.2">
      <c r="A2489" s="40"/>
      <c r="B2489" s="41" t="s">
        <v>398</v>
      </c>
      <c r="C2489" s="40"/>
      <c r="D2489" s="40"/>
      <c r="E2489" s="40"/>
      <c r="F2489" s="49" t="str">
        <f t="shared" ref="F2489:J2489" ca="1" si="2487">IFERROR(__xludf.DUMMYFUNCTION("if (A2489 &lt;&gt; """", GOOGLETRANSLATE(A2489, ""auto"", ""en""), """")"),"")</f>
        <v/>
      </c>
      <c r="G2489" s="49" t="str">
        <f t="shared" ca="1" si="2487"/>
        <v/>
      </c>
      <c r="H2489" s="49" t="str">
        <f t="shared" ca="1" si="2487"/>
        <v/>
      </c>
      <c r="I2489" s="49" t="str">
        <f t="shared" ca="1" si="2487"/>
        <v/>
      </c>
      <c r="J2489" s="49" t="str">
        <f t="shared" ca="1" si="2487"/>
        <v/>
      </c>
    </row>
    <row r="2490" spans="1:10" ht="12.75" x14ac:dyDescent="0.2">
      <c r="A2490" s="40"/>
      <c r="B2490" s="41" t="s">
        <v>399</v>
      </c>
      <c r="C2490" s="40"/>
      <c r="D2490" s="40"/>
      <c r="E2490" s="40"/>
      <c r="F2490" s="49" t="str">
        <f t="shared" ref="F2490:J2490" ca="1" si="2488">IFERROR(__xludf.DUMMYFUNCTION("if (A2490 &lt;&gt; """", GOOGLETRANSLATE(A2490, ""auto"", ""en""), """")"),"")</f>
        <v/>
      </c>
      <c r="G2490" s="49" t="str">
        <f t="shared" ca="1" si="2488"/>
        <v/>
      </c>
      <c r="H2490" s="49" t="str">
        <f t="shared" ca="1" si="2488"/>
        <v/>
      </c>
      <c r="I2490" s="49" t="str">
        <f t="shared" ca="1" si="2488"/>
        <v/>
      </c>
      <c r="J2490" s="49" t="str">
        <f t="shared" ca="1" si="2488"/>
        <v/>
      </c>
    </row>
    <row r="2491" spans="1:10" ht="12.75" x14ac:dyDescent="0.2">
      <c r="A2491" s="40"/>
      <c r="B2491" s="41" t="s">
        <v>400</v>
      </c>
      <c r="C2491" s="41" t="s">
        <v>2013</v>
      </c>
      <c r="D2491" s="40"/>
      <c r="E2491" s="40"/>
      <c r="F2491" s="49" t="str">
        <f t="shared" ref="F2491:J2491" ca="1" si="2489">IFERROR(__xludf.DUMMYFUNCTION("if (A2491 &lt;&gt; """", GOOGLETRANSLATE(A2491, ""auto"", ""en""), """")"),"")</f>
        <v/>
      </c>
      <c r="G2491" s="49" t="str">
        <f t="shared" ca="1" si="2489"/>
        <v/>
      </c>
      <c r="H2491" s="49" t="str">
        <f t="shared" ca="1" si="2489"/>
        <v/>
      </c>
      <c r="I2491" s="49" t="str">
        <f t="shared" ca="1" si="2489"/>
        <v/>
      </c>
      <c r="J2491" s="49" t="str">
        <f t="shared" ca="1" si="2489"/>
        <v/>
      </c>
    </row>
    <row r="2492" spans="1:10" ht="12.75" x14ac:dyDescent="0.2">
      <c r="A2492" s="40"/>
      <c r="B2492" s="41" t="s">
        <v>401</v>
      </c>
      <c r="C2492" s="40"/>
      <c r="D2492" s="40"/>
      <c r="E2492" s="40"/>
      <c r="F2492" s="49" t="str">
        <f t="shared" ref="F2492:J2492" ca="1" si="2490">IFERROR(__xludf.DUMMYFUNCTION("if (A2492 &lt;&gt; """", GOOGLETRANSLATE(A2492, ""auto"", ""en""), """")"),"")</f>
        <v/>
      </c>
      <c r="G2492" s="49" t="str">
        <f t="shared" ca="1" si="2490"/>
        <v/>
      </c>
      <c r="H2492" s="49" t="str">
        <f t="shared" ca="1" si="2490"/>
        <v/>
      </c>
      <c r="I2492" s="49" t="str">
        <f t="shared" ca="1" si="2490"/>
        <v/>
      </c>
      <c r="J2492" s="49" t="str">
        <f t="shared" ca="1" si="2490"/>
        <v/>
      </c>
    </row>
    <row r="2493" spans="1:10" ht="25.5" x14ac:dyDescent="0.2">
      <c r="A2493" s="41" t="s">
        <v>2014</v>
      </c>
      <c r="B2493" s="41" t="s">
        <v>402</v>
      </c>
      <c r="C2493" s="41" t="s">
        <v>2015</v>
      </c>
      <c r="D2493" s="40"/>
      <c r="E2493" s="40"/>
      <c r="F2493" s="49" t="str">
        <f t="shared" ref="F2493:J2493" ca="1" si="2491">IFERROR(__xludf.DUMMYFUNCTION("if (A2493 &lt;&gt; """", GOOGLETRANSLATE(A2493, ""auto"", ""en""), """")"),"I look what way")</f>
        <v>I look what way</v>
      </c>
      <c r="G2493" s="49" t="str">
        <f t="shared" ca="1" si="2491"/>
        <v>I look what way</v>
      </c>
      <c r="H2493" s="49" t="str">
        <f t="shared" ca="1" si="2491"/>
        <v>I look what way</v>
      </c>
      <c r="I2493" s="49" t="str">
        <f t="shared" ca="1" si="2491"/>
        <v>I look what way</v>
      </c>
      <c r="J2493" s="49" t="str">
        <f t="shared" ca="1" si="2491"/>
        <v>I look what way</v>
      </c>
    </row>
    <row r="2494" spans="1:10" ht="25.5" x14ac:dyDescent="0.2">
      <c r="A2494" s="41" t="s">
        <v>2016</v>
      </c>
      <c r="B2494" s="40"/>
      <c r="C2494" s="40"/>
      <c r="D2494" s="40"/>
      <c r="E2494" s="40"/>
      <c r="F2494" s="49" t="str">
        <f t="shared" ref="F2494:J2494" ca="1" si="2492">IFERROR(__xludf.DUMMYFUNCTION("if (A2494 &lt;&gt; """", GOOGLETRANSLATE(A2494, ""auto"", ""en""), """")"),"I look at what I feel")</f>
        <v>I look at what I feel</v>
      </c>
      <c r="G2494" s="49" t="str">
        <f t="shared" ca="1" si="2492"/>
        <v>I look at what I feel</v>
      </c>
      <c r="H2494" s="49" t="str">
        <f t="shared" ca="1" si="2492"/>
        <v>I look at what I feel</v>
      </c>
      <c r="I2494" s="49" t="str">
        <f t="shared" ca="1" si="2492"/>
        <v>I look at what I feel</v>
      </c>
      <c r="J2494" s="49" t="str">
        <f t="shared" ca="1" si="2492"/>
        <v>I look at what I feel</v>
      </c>
    </row>
    <row r="2495" spans="1:10" ht="38.25" x14ac:dyDescent="0.2">
      <c r="A2495" s="41" t="s">
        <v>2017</v>
      </c>
      <c r="B2495" s="40"/>
      <c r="C2495" s="40"/>
      <c r="D2495" s="40"/>
      <c r="E2495" s="40"/>
      <c r="F2495" s="49" t="str">
        <f t="shared" ref="F2495:J2495" ca="1" si="2493">IFERROR(__xludf.DUMMYFUNCTION("if (A2495 &lt;&gt; """", GOOGLETRANSLATE(A2495, ""auto"", ""en""), """")"),"I will know what look what way")</f>
        <v>I will know what look what way</v>
      </c>
      <c r="G2495" s="49" t="str">
        <f t="shared" ca="1" si="2493"/>
        <v>I will know what look what way</v>
      </c>
      <c r="H2495" s="49" t="str">
        <f t="shared" ca="1" si="2493"/>
        <v>I will know what look what way</v>
      </c>
      <c r="I2495" s="49" t="str">
        <f t="shared" ca="1" si="2493"/>
        <v>I will know what look what way</v>
      </c>
      <c r="J2495" s="49" t="str">
        <f t="shared" ca="1" si="2493"/>
        <v>I will know what look what way</v>
      </c>
    </row>
    <row r="2496" spans="1:10" ht="38.25" x14ac:dyDescent="0.2">
      <c r="A2496" s="41" t="s">
        <v>2018</v>
      </c>
      <c r="B2496" s="40"/>
      <c r="C2496" s="40"/>
      <c r="D2496" s="40"/>
      <c r="E2496" s="40"/>
      <c r="F2496" s="49" t="str">
        <f t="shared" ref="F2496:J2496" ca="1" si="2494">IFERROR(__xludf.DUMMYFUNCTION("if (A2496 &lt;&gt; """", GOOGLETRANSLATE(A2496, ""auto"", ""en""), """")"),"What I will tell you look what way")</f>
        <v>What I will tell you look what way</v>
      </c>
      <c r="G2496" s="49" t="str">
        <f t="shared" ca="1" si="2494"/>
        <v>What I will tell you look what way</v>
      </c>
      <c r="H2496" s="49" t="str">
        <f t="shared" ca="1" si="2494"/>
        <v>What I will tell you look what way</v>
      </c>
      <c r="I2496" s="49" t="str">
        <f t="shared" ca="1" si="2494"/>
        <v>What I will tell you look what way</v>
      </c>
      <c r="J2496" s="49" t="str">
        <f t="shared" ca="1" si="2494"/>
        <v>What I will tell you look what way</v>
      </c>
    </row>
    <row r="2497" spans="1:10" ht="25.5" x14ac:dyDescent="0.2">
      <c r="A2497" s="41" t="s">
        <v>2019</v>
      </c>
      <c r="B2497" s="40"/>
      <c r="C2497" s="40"/>
      <c r="D2497" s="40"/>
      <c r="E2497" s="40"/>
      <c r="F2497" s="49" t="str">
        <f t="shared" ref="F2497:J2497" ca="1" si="2495">IFERROR(__xludf.DUMMYFUNCTION("if (A2497 &lt;&gt; """", GOOGLETRANSLATE(A2497, ""auto"", ""en""), """")"),"Do you think I look what way")</f>
        <v>Do you think I look what way</v>
      </c>
      <c r="G2497" s="49" t="str">
        <f t="shared" ca="1" si="2495"/>
        <v>Do you think I look what way</v>
      </c>
      <c r="H2497" s="49" t="str">
        <f t="shared" ca="1" si="2495"/>
        <v>Do you think I look what way</v>
      </c>
      <c r="I2497" s="49" t="str">
        <f t="shared" ca="1" si="2495"/>
        <v>Do you think I look what way</v>
      </c>
      <c r="J2497" s="49" t="str">
        <f t="shared" ca="1" si="2495"/>
        <v>Do you think I look what way</v>
      </c>
    </row>
    <row r="2498" spans="1:10" ht="12.75" x14ac:dyDescent="0.2">
      <c r="A2498" s="40"/>
      <c r="B2498" s="41" t="s">
        <v>403</v>
      </c>
      <c r="C2498" s="41" t="s">
        <v>16</v>
      </c>
      <c r="D2498" s="41" t="s">
        <v>10</v>
      </c>
      <c r="E2498" s="40"/>
      <c r="F2498" s="49" t="str">
        <f t="shared" ref="F2498:J2498" ca="1" si="2496">IFERROR(__xludf.DUMMYFUNCTION("if (A2498 &lt;&gt; """", GOOGLETRANSLATE(A2498, ""auto"", ""en""), """")"),"")</f>
        <v/>
      </c>
      <c r="G2498" s="49" t="str">
        <f t="shared" ca="1" si="2496"/>
        <v/>
      </c>
      <c r="H2498" s="49" t="str">
        <f t="shared" ca="1" si="2496"/>
        <v/>
      </c>
      <c r="I2498" s="49" t="str">
        <f t="shared" ca="1" si="2496"/>
        <v/>
      </c>
      <c r="J2498" s="49" t="str">
        <f t="shared" ca="1" si="2496"/>
        <v/>
      </c>
    </row>
    <row r="2499" spans="1:10" ht="12.75" x14ac:dyDescent="0.2">
      <c r="A2499" s="40"/>
      <c r="B2499" s="40"/>
      <c r="C2499" s="40"/>
      <c r="D2499" s="40"/>
      <c r="E2499" s="40"/>
      <c r="F2499" s="49" t="str">
        <f t="shared" ref="F2499:J2499" ca="1" si="2497">IFERROR(__xludf.DUMMYFUNCTION("if (A2499 &lt;&gt; """", GOOGLETRANSLATE(A2499, ""auto"", ""en""), """")"),"")</f>
        <v/>
      </c>
      <c r="G2499" s="49" t="str">
        <f t="shared" ca="1" si="2497"/>
        <v/>
      </c>
      <c r="H2499" s="49" t="str">
        <f t="shared" ca="1" si="2497"/>
        <v/>
      </c>
      <c r="I2499" s="49" t="str">
        <f t="shared" ca="1" si="2497"/>
        <v/>
      </c>
      <c r="J2499" s="49" t="str">
        <f t="shared" ca="1" si="2497"/>
        <v/>
      </c>
    </row>
    <row r="2500" spans="1:10" ht="25.5" x14ac:dyDescent="0.2">
      <c r="A2500" s="41" t="s">
        <v>2020</v>
      </c>
      <c r="B2500" s="40"/>
      <c r="C2500" s="40"/>
      <c r="D2500" s="40"/>
      <c r="E2500" s="40"/>
      <c r="F2500" s="49" t="str">
        <f t="shared" ref="F2500:J2500" ca="1" si="2498">IFERROR(__xludf.DUMMYFUNCTION("if (A2500 &lt;&gt; """", GOOGLETRANSLATE(A2500, ""auto"", ""en""), """")"),"smalltalk.user.loves_agent")</f>
        <v>smalltalk.user.loves_agent</v>
      </c>
      <c r="G2500" s="49" t="str">
        <f t="shared" ca="1" si="2498"/>
        <v>smalltalk.user.loves_agent</v>
      </c>
      <c r="H2500" s="49" t="str">
        <f t="shared" ca="1" si="2498"/>
        <v>smalltalk.user.loves_agent</v>
      </c>
      <c r="I2500" s="49" t="str">
        <f t="shared" ca="1" si="2498"/>
        <v>smalltalk.user.loves_agent</v>
      </c>
      <c r="J2500" s="49" t="str">
        <f t="shared" ca="1" si="2498"/>
        <v>smalltalk.user.loves_agent</v>
      </c>
    </row>
    <row r="2501" spans="1:10" ht="12.75" x14ac:dyDescent="0.2">
      <c r="A2501" s="40"/>
      <c r="B2501" s="41" t="s">
        <v>398</v>
      </c>
      <c r="C2501" s="40"/>
      <c r="D2501" s="40"/>
      <c r="E2501" s="40"/>
      <c r="F2501" s="49" t="str">
        <f t="shared" ref="F2501:J2501" ca="1" si="2499">IFERROR(__xludf.DUMMYFUNCTION("if (A2501 &lt;&gt; """", GOOGLETRANSLATE(A2501, ""auto"", ""en""), """")"),"")</f>
        <v/>
      </c>
      <c r="G2501" s="49" t="str">
        <f t="shared" ca="1" si="2499"/>
        <v/>
      </c>
      <c r="H2501" s="49" t="str">
        <f t="shared" ca="1" si="2499"/>
        <v/>
      </c>
      <c r="I2501" s="49" t="str">
        <f t="shared" ca="1" si="2499"/>
        <v/>
      </c>
      <c r="J2501" s="49" t="str">
        <f t="shared" ca="1" si="2499"/>
        <v/>
      </c>
    </row>
    <row r="2502" spans="1:10" ht="12.75" x14ac:dyDescent="0.2">
      <c r="A2502" s="40"/>
      <c r="B2502" s="41" t="s">
        <v>399</v>
      </c>
      <c r="C2502" s="40"/>
      <c r="D2502" s="40"/>
      <c r="E2502" s="40"/>
      <c r="F2502" s="49" t="str">
        <f t="shared" ref="F2502:J2502" ca="1" si="2500">IFERROR(__xludf.DUMMYFUNCTION("if (A2502 &lt;&gt; """", GOOGLETRANSLATE(A2502, ""auto"", ""en""), """")"),"")</f>
        <v/>
      </c>
      <c r="G2502" s="49" t="str">
        <f t="shared" ca="1" si="2500"/>
        <v/>
      </c>
      <c r="H2502" s="49" t="str">
        <f t="shared" ca="1" si="2500"/>
        <v/>
      </c>
      <c r="I2502" s="49" t="str">
        <f t="shared" ca="1" si="2500"/>
        <v/>
      </c>
      <c r="J2502" s="49" t="str">
        <f t="shared" ca="1" si="2500"/>
        <v/>
      </c>
    </row>
    <row r="2503" spans="1:10" ht="12.75" x14ac:dyDescent="0.2">
      <c r="A2503" s="40"/>
      <c r="B2503" s="41" t="s">
        <v>400</v>
      </c>
      <c r="C2503" s="41" t="s">
        <v>2020</v>
      </c>
      <c r="D2503" s="40"/>
      <c r="E2503" s="40"/>
      <c r="F2503" s="49" t="str">
        <f t="shared" ref="F2503:J2503" ca="1" si="2501">IFERROR(__xludf.DUMMYFUNCTION("if (A2503 &lt;&gt; """", GOOGLETRANSLATE(A2503, ""auto"", ""en""), """")"),"")</f>
        <v/>
      </c>
      <c r="G2503" s="49" t="str">
        <f t="shared" ca="1" si="2501"/>
        <v/>
      </c>
      <c r="H2503" s="49" t="str">
        <f t="shared" ca="1" si="2501"/>
        <v/>
      </c>
      <c r="I2503" s="49" t="str">
        <f t="shared" ca="1" si="2501"/>
        <v/>
      </c>
      <c r="J2503" s="49" t="str">
        <f t="shared" ca="1" si="2501"/>
        <v/>
      </c>
    </row>
    <row r="2504" spans="1:10" ht="12.75" x14ac:dyDescent="0.2">
      <c r="A2504" s="40"/>
      <c r="B2504" s="41" t="s">
        <v>401</v>
      </c>
      <c r="C2504" s="40"/>
      <c r="D2504" s="40"/>
      <c r="E2504" s="40"/>
      <c r="F2504" s="49" t="str">
        <f t="shared" ref="F2504:J2504" ca="1" si="2502">IFERROR(__xludf.DUMMYFUNCTION("if (A2504 &lt;&gt; """", GOOGLETRANSLATE(A2504, ""auto"", ""en""), """")"),"")</f>
        <v/>
      </c>
      <c r="G2504" s="49" t="str">
        <f t="shared" ca="1" si="2502"/>
        <v/>
      </c>
      <c r="H2504" s="49" t="str">
        <f t="shared" ca="1" si="2502"/>
        <v/>
      </c>
      <c r="I2504" s="49" t="str">
        <f t="shared" ca="1" si="2502"/>
        <v/>
      </c>
      <c r="J2504" s="49" t="str">
        <f t="shared" ca="1" si="2502"/>
        <v/>
      </c>
    </row>
    <row r="2505" spans="1:10" ht="51" x14ac:dyDescent="0.2">
      <c r="A2505" s="41" t="s">
        <v>2021</v>
      </c>
      <c r="B2505" s="41" t="s">
        <v>402</v>
      </c>
      <c r="C2505" s="41" t="s">
        <v>2022</v>
      </c>
      <c r="D2505" s="40"/>
      <c r="E2505" s="40"/>
      <c r="F2505" s="49" t="str">
        <f t="shared" ref="F2505:J2505" ca="1" si="2503">IFERROR(__xludf.DUMMYFUNCTION("if (A2505 &lt;&gt; """", GOOGLETRANSLATE(A2505, ""auto"", ""en""), """")"),"I love you")</f>
        <v>I love you</v>
      </c>
      <c r="G2505" s="49" t="str">
        <f t="shared" ca="1" si="2503"/>
        <v>I love you</v>
      </c>
      <c r="H2505" s="49" t="str">
        <f t="shared" ca="1" si="2503"/>
        <v>I love you</v>
      </c>
      <c r="I2505" s="49" t="str">
        <f t="shared" ca="1" si="2503"/>
        <v>I love you</v>
      </c>
      <c r="J2505" s="49" t="str">
        <f t="shared" ca="1" si="2503"/>
        <v>I love you</v>
      </c>
    </row>
    <row r="2506" spans="1:10" ht="12.75" x14ac:dyDescent="0.2">
      <c r="A2506" s="41" t="s">
        <v>2023</v>
      </c>
      <c r="B2506" s="40"/>
      <c r="C2506" s="40"/>
      <c r="D2506" s="40"/>
      <c r="E2506" s="40"/>
      <c r="F2506" s="49" t="str">
        <f t="shared" ref="F2506:J2506" ca="1" si="2504">IFERROR(__xludf.DUMMYFUNCTION("if (A2506 &lt;&gt; """", GOOGLETRANSLATE(A2506, ""auto"", ""en""), """")"),"I love you")</f>
        <v>I love you</v>
      </c>
      <c r="G2506" s="49" t="str">
        <f t="shared" ca="1" si="2504"/>
        <v>I love you</v>
      </c>
      <c r="H2506" s="49" t="str">
        <f t="shared" ca="1" si="2504"/>
        <v>I love you</v>
      </c>
      <c r="I2506" s="49" t="str">
        <f t="shared" ca="1" si="2504"/>
        <v>I love you</v>
      </c>
      <c r="J2506" s="49" t="str">
        <f t="shared" ca="1" si="2504"/>
        <v>I love you</v>
      </c>
    </row>
    <row r="2507" spans="1:10" ht="12.75" x14ac:dyDescent="0.2">
      <c r="A2507" s="41" t="s">
        <v>2024</v>
      </c>
      <c r="B2507" s="40"/>
      <c r="C2507" s="40"/>
      <c r="D2507" s="40"/>
      <c r="E2507" s="40"/>
      <c r="F2507" s="49" t="str">
        <f t="shared" ref="F2507:J2507" ca="1" si="2505">IFERROR(__xludf.DUMMYFUNCTION("if (A2507 &lt;&gt; """", GOOGLETRANSLATE(A2507, ""auto"", ""en""), """")"),"I love to you")</f>
        <v>I love to you</v>
      </c>
      <c r="G2507" s="49" t="str">
        <f t="shared" ca="1" si="2505"/>
        <v>I love to you</v>
      </c>
      <c r="H2507" s="49" t="str">
        <f t="shared" ca="1" si="2505"/>
        <v>I love to you</v>
      </c>
      <c r="I2507" s="49" t="str">
        <f t="shared" ca="1" si="2505"/>
        <v>I love to you</v>
      </c>
      <c r="J2507" s="49" t="str">
        <f t="shared" ca="1" si="2505"/>
        <v>I love to you</v>
      </c>
    </row>
    <row r="2508" spans="1:10" ht="12.75" x14ac:dyDescent="0.2">
      <c r="A2508" s="41" t="s">
        <v>2025</v>
      </c>
      <c r="B2508" s="40"/>
      <c r="C2508" s="40"/>
      <c r="D2508" s="40"/>
      <c r="E2508" s="40"/>
      <c r="F2508" s="49" t="str">
        <f t="shared" ref="F2508:J2508" ca="1" si="2506">IFERROR(__xludf.DUMMYFUNCTION("if (A2508 &lt;&gt; """", GOOGLETRANSLATE(A2508, ""auto"", ""en""), """")"),"So I love you")</f>
        <v>So I love you</v>
      </c>
      <c r="G2508" s="49" t="str">
        <f t="shared" ca="1" si="2506"/>
        <v>So I love you</v>
      </c>
      <c r="H2508" s="49" t="str">
        <f t="shared" ca="1" si="2506"/>
        <v>So I love you</v>
      </c>
      <c r="I2508" s="49" t="str">
        <f t="shared" ca="1" si="2506"/>
        <v>So I love you</v>
      </c>
      <c r="J2508" s="49" t="str">
        <f t="shared" ca="1" si="2506"/>
        <v>So I love you</v>
      </c>
    </row>
    <row r="2509" spans="1:10" ht="25.5" x14ac:dyDescent="0.2">
      <c r="A2509" s="41" t="s">
        <v>2026</v>
      </c>
      <c r="B2509" s="40"/>
      <c r="C2509" s="40"/>
      <c r="D2509" s="40"/>
      <c r="E2509" s="40"/>
      <c r="F2509" s="49" t="str">
        <f t="shared" ref="F2509:J2509" ca="1" si="2507">IFERROR(__xludf.DUMMYFUNCTION("if (A2509 &lt;&gt; """", GOOGLETRANSLATE(A2509, ""auto"", ""en""), """")"),"I love you back")</f>
        <v>I love you back</v>
      </c>
      <c r="G2509" s="49" t="str">
        <f t="shared" ca="1" si="2507"/>
        <v>I love you back</v>
      </c>
      <c r="H2509" s="49" t="str">
        <f t="shared" ca="1" si="2507"/>
        <v>I love you back</v>
      </c>
      <c r="I2509" s="49" t="str">
        <f t="shared" ca="1" si="2507"/>
        <v>I love you back</v>
      </c>
      <c r="J2509" s="49" t="str">
        <f t="shared" ca="1" si="2507"/>
        <v>I love you back</v>
      </c>
    </row>
    <row r="2510" spans="1:10" ht="38.25" x14ac:dyDescent="0.2">
      <c r="A2510" s="41" t="s">
        <v>2027</v>
      </c>
      <c r="B2510" s="40"/>
      <c r="C2510" s="40"/>
      <c r="D2510" s="40"/>
      <c r="E2510" s="40"/>
      <c r="F2510" s="49" t="str">
        <f t="shared" ref="F2510:J2510" ca="1" si="2508">IFERROR(__xludf.DUMMYFUNCTION("if (A2510 &lt;&gt; """", GOOGLETRANSLATE(A2510, ""auto"", ""en""), """")"),"It seems to be in love with you")</f>
        <v>It seems to be in love with you</v>
      </c>
      <c r="G2510" s="49" t="str">
        <f t="shared" ca="1" si="2508"/>
        <v>It seems to be in love with you</v>
      </c>
      <c r="H2510" s="49" t="str">
        <f t="shared" ca="1" si="2508"/>
        <v>It seems to be in love with you</v>
      </c>
      <c r="I2510" s="49" t="str">
        <f t="shared" ca="1" si="2508"/>
        <v>It seems to be in love with you</v>
      </c>
      <c r="J2510" s="49" t="str">
        <f t="shared" ca="1" si="2508"/>
        <v>It seems to be in love with you</v>
      </c>
    </row>
    <row r="2511" spans="1:10" ht="12.75" x14ac:dyDescent="0.2">
      <c r="A2511" s="41" t="s">
        <v>2028</v>
      </c>
      <c r="B2511" s="40"/>
      <c r="C2511" s="40"/>
      <c r="D2511" s="40"/>
      <c r="E2511" s="40"/>
      <c r="F2511" s="49" t="str">
        <f t="shared" ref="F2511:J2511" ca="1" si="2509">IFERROR(__xludf.DUMMYFUNCTION("if (A2511 &lt;&gt; """", GOOGLETRANSLATE(A2511, ""auto"", ""en""), """")"),"It is crazy")</f>
        <v>It is crazy</v>
      </c>
      <c r="G2511" s="49" t="str">
        <f t="shared" ca="1" si="2509"/>
        <v>It is crazy</v>
      </c>
      <c r="H2511" s="49" t="str">
        <f t="shared" ca="1" si="2509"/>
        <v>It is crazy</v>
      </c>
      <c r="I2511" s="49" t="str">
        <f t="shared" ca="1" si="2509"/>
        <v>It is crazy</v>
      </c>
      <c r="J2511" s="49" t="str">
        <f t="shared" ca="1" si="2509"/>
        <v>It is crazy</v>
      </c>
    </row>
    <row r="2512" spans="1:10" ht="25.5" x14ac:dyDescent="0.2">
      <c r="A2512" s="41" t="s">
        <v>2029</v>
      </c>
      <c r="B2512" s="40"/>
      <c r="C2512" s="40"/>
      <c r="D2512" s="40"/>
      <c r="E2512" s="40"/>
      <c r="F2512" s="49" t="str">
        <f t="shared" ref="F2512:J2512" ca="1" si="2510">IFERROR(__xludf.DUMMYFUNCTION("if (A2512 &lt;&gt; """", GOOGLETRANSLATE(A2512, ""auto"", ""en""), """")"),"You'll know I love")</f>
        <v>You'll know I love</v>
      </c>
      <c r="G2512" s="49" t="str">
        <f t="shared" ca="1" si="2510"/>
        <v>You'll know I love</v>
      </c>
      <c r="H2512" s="49" t="str">
        <f t="shared" ca="1" si="2510"/>
        <v>You'll know I love</v>
      </c>
      <c r="I2512" s="49" t="str">
        <f t="shared" ca="1" si="2510"/>
        <v>You'll know I love</v>
      </c>
      <c r="J2512" s="49" t="str">
        <f t="shared" ca="1" si="2510"/>
        <v>You'll know I love</v>
      </c>
    </row>
    <row r="2513" spans="1:10" ht="12.75" x14ac:dyDescent="0.2">
      <c r="A2513" s="40"/>
      <c r="B2513" s="40"/>
      <c r="C2513" s="40"/>
      <c r="D2513" s="40"/>
      <c r="E2513" s="40"/>
      <c r="F2513" s="49" t="str">
        <f t="shared" ref="F2513:J2513" ca="1" si="2511">IFERROR(__xludf.DUMMYFUNCTION("if (A2513 &lt;&gt; """", GOOGLETRANSLATE(A2513, ""auto"", ""en""), """")"),"")</f>
        <v/>
      </c>
      <c r="G2513" s="49" t="str">
        <f t="shared" ca="1" si="2511"/>
        <v/>
      </c>
      <c r="H2513" s="49" t="str">
        <f t="shared" ca="1" si="2511"/>
        <v/>
      </c>
      <c r="I2513" s="49" t="str">
        <f t="shared" ca="1" si="2511"/>
        <v/>
      </c>
      <c r="J2513" s="49" t="str">
        <f t="shared" ca="1" si="2511"/>
        <v/>
      </c>
    </row>
    <row r="2514" spans="1:10" ht="38.25" x14ac:dyDescent="0.2">
      <c r="A2514" s="41" t="s">
        <v>2030</v>
      </c>
      <c r="B2514" s="40"/>
      <c r="C2514" s="40"/>
      <c r="D2514" s="40"/>
      <c r="E2514" s="40"/>
      <c r="F2514" s="49" t="str">
        <f t="shared" ref="F2514:J2514" ca="1" si="2512">IFERROR(__xludf.DUMMYFUNCTION("if (A2514 &lt;&gt; """", GOOGLETRANSLATE(A2514, ""auto"", ""en""), """")"),"smalltalk.user.misses_agent")</f>
        <v>smalltalk.user.misses_agent</v>
      </c>
      <c r="G2514" s="49" t="str">
        <f t="shared" ca="1" si="2512"/>
        <v>smalltalk.user.misses_agent</v>
      </c>
      <c r="H2514" s="49" t="str">
        <f t="shared" ca="1" si="2512"/>
        <v>smalltalk.user.misses_agent</v>
      </c>
      <c r="I2514" s="49" t="str">
        <f t="shared" ca="1" si="2512"/>
        <v>smalltalk.user.misses_agent</v>
      </c>
      <c r="J2514" s="49" t="str">
        <f t="shared" ca="1" si="2512"/>
        <v>smalltalk.user.misses_agent</v>
      </c>
    </row>
    <row r="2515" spans="1:10" ht="12.75" x14ac:dyDescent="0.2">
      <c r="A2515" s="40"/>
      <c r="B2515" s="41" t="s">
        <v>398</v>
      </c>
      <c r="C2515" s="40"/>
      <c r="D2515" s="40"/>
      <c r="E2515" s="40"/>
      <c r="F2515" s="49" t="str">
        <f t="shared" ref="F2515:J2515" ca="1" si="2513">IFERROR(__xludf.DUMMYFUNCTION("if (A2515 &lt;&gt; """", GOOGLETRANSLATE(A2515, ""auto"", ""en""), """")"),"")</f>
        <v/>
      </c>
      <c r="G2515" s="49" t="str">
        <f t="shared" ca="1" si="2513"/>
        <v/>
      </c>
      <c r="H2515" s="49" t="str">
        <f t="shared" ca="1" si="2513"/>
        <v/>
      </c>
      <c r="I2515" s="49" t="str">
        <f t="shared" ca="1" si="2513"/>
        <v/>
      </c>
      <c r="J2515" s="49" t="str">
        <f t="shared" ca="1" si="2513"/>
        <v/>
      </c>
    </row>
    <row r="2516" spans="1:10" ht="12.75" x14ac:dyDescent="0.2">
      <c r="A2516" s="40"/>
      <c r="B2516" s="41" t="s">
        <v>399</v>
      </c>
      <c r="C2516" s="40"/>
      <c r="D2516" s="40"/>
      <c r="E2516" s="40"/>
      <c r="F2516" s="49" t="str">
        <f t="shared" ref="F2516:J2516" ca="1" si="2514">IFERROR(__xludf.DUMMYFUNCTION("if (A2516 &lt;&gt; """", GOOGLETRANSLATE(A2516, ""auto"", ""en""), """")"),"")</f>
        <v/>
      </c>
      <c r="G2516" s="49" t="str">
        <f t="shared" ca="1" si="2514"/>
        <v/>
      </c>
      <c r="H2516" s="49" t="str">
        <f t="shared" ca="1" si="2514"/>
        <v/>
      </c>
      <c r="I2516" s="49" t="str">
        <f t="shared" ca="1" si="2514"/>
        <v/>
      </c>
      <c r="J2516" s="49" t="str">
        <f t="shared" ca="1" si="2514"/>
        <v/>
      </c>
    </row>
    <row r="2517" spans="1:10" ht="12.75" x14ac:dyDescent="0.2">
      <c r="A2517" s="40"/>
      <c r="B2517" s="41" t="s">
        <v>400</v>
      </c>
      <c r="C2517" s="41" t="s">
        <v>2030</v>
      </c>
      <c r="D2517" s="40"/>
      <c r="E2517" s="40"/>
      <c r="F2517" s="49" t="str">
        <f t="shared" ref="F2517:J2517" ca="1" si="2515">IFERROR(__xludf.DUMMYFUNCTION("if (A2517 &lt;&gt; """", GOOGLETRANSLATE(A2517, ""auto"", ""en""), """")"),"")</f>
        <v/>
      </c>
      <c r="G2517" s="49" t="str">
        <f t="shared" ca="1" si="2515"/>
        <v/>
      </c>
      <c r="H2517" s="49" t="str">
        <f t="shared" ca="1" si="2515"/>
        <v/>
      </c>
      <c r="I2517" s="49" t="str">
        <f t="shared" ca="1" si="2515"/>
        <v/>
      </c>
      <c r="J2517" s="49" t="str">
        <f t="shared" ca="1" si="2515"/>
        <v/>
      </c>
    </row>
    <row r="2518" spans="1:10" ht="12.75" x14ac:dyDescent="0.2">
      <c r="A2518" s="40"/>
      <c r="B2518" s="41" t="s">
        <v>401</v>
      </c>
      <c r="C2518" s="40"/>
      <c r="D2518" s="40"/>
      <c r="E2518" s="40"/>
      <c r="F2518" s="49" t="str">
        <f t="shared" ref="F2518:J2518" ca="1" si="2516">IFERROR(__xludf.DUMMYFUNCTION("if (A2518 &lt;&gt; """", GOOGLETRANSLATE(A2518, ""auto"", ""en""), """")"),"")</f>
        <v/>
      </c>
      <c r="G2518" s="49" t="str">
        <f t="shared" ca="1" si="2516"/>
        <v/>
      </c>
      <c r="H2518" s="49" t="str">
        <f t="shared" ca="1" si="2516"/>
        <v/>
      </c>
      <c r="I2518" s="49" t="str">
        <f t="shared" ca="1" si="2516"/>
        <v/>
      </c>
      <c r="J2518" s="49" t="str">
        <f t="shared" ca="1" si="2516"/>
        <v/>
      </c>
    </row>
    <row r="2519" spans="1:10" ht="25.5" x14ac:dyDescent="0.2">
      <c r="A2519" s="41" t="s">
        <v>2031</v>
      </c>
      <c r="B2519" s="41" t="s">
        <v>402</v>
      </c>
      <c r="C2519" s="41" t="s">
        <v>2032</v>
      </c>
      <c r="D2519" s="40"/>
      <c r="E2519" s="40"/>
      <c r="F2519" s="49" t="str">
        <f t="shared" ref="F2519:J2519" ca="1" si="2517">IFERROR(__xludf.DUMMYFUNCTION("if (A2519 &lt;&gt; """", GOOGLETRANSLATE(A2519, ""auto"", ""en""), """")"),"I wanted to meet you")</f>
        <v>I wanted to meet you</v>
      </c>
      <c r="G2519" s="49" t="str">
        <f t="shared" ca="1" si="2517"/>
        <v>I wanted to meet you</v>
      </c>
      <c r="H2519" s="49" t="str">
        <f t="shared" ca="1" si="2517"/>
        <v>I wanted to meet you</v>
      </c>
      <c r="I2519" s="49" t="str">
        <f t="shared" ca="1" si="2517"/>
        <v>I wanted to meet you</v>
      </c>
      <c r="J2519" s="49" t="str">
        <f t="shared" ca="1" si="2517"/>
        <v>I wanted to meet you</v>
      </c>
    </row>
    <row r="2520" spans="1:10" ht="25.5" x14ac:dyDescent="0.2">
      <c r="A2520" s="41" t="s">
        <v>2033</v>
      </c>
      <c r="B2520" s="40"/>
      <c r="C2520" s="40"/>
      <c r="D2520" s="40"/>
      <c r="E2520" s="40"/>
      <c r="F2520" s="49" t="str">
        <f t="shared" ref="F2520:J2520" ca="1" si="2518">IFERROR(__xludf.DUMMYFUNCTION("if (A2520 &lt;&gt; """", GOOGLETRANSLATE(A2520, ""auto"", ""en""), """")"),"Much wanted to meet")</f>
        <v>Much wanted to meet</v>
      </c>
      <c r="G2520" s="49" t="str">
        <f t="shared" ca="1" si="2518"/>
        <v>Much wanted to meet</v>
      </c>
      <c r="H2520" s="49" t="str">
        <f t="shared" ca="1" si="2518"/>
        <v>Much wanted to meet</v>
      </c>
      <c r="I2520" s="49" t="str">
        <f t="shared" ca="1" si="2518"/>
        <v>Much wanted to meet</v>
      </c>
      <c r="J2520" s="49" t="str">
        <f t="shared" ca="1" si="2518"/>
        <v>Much wanted to meet</v>
      </c>
    </row>
    <row r="2521" spans="1:10" ht="12.75" x14ac:dyDescent="0.2">
      <c r="A2521" s="40"/>
      <c r="B2521" s="40"/>
      <c r="C2521" s="40"/>
      <c r="D2521" s="40"/>
      <c r="E2521" s="40"/>
      <c r="F2521" s="49" t="str">
        <f t="shared" ref="F2521:J2521" ca="1" si="2519">IFERROR(__xludf.DUMMYFUNCTION("if (A2521 &lt;&gt; """", GOOGLETRANSLATE(A2521, ""auto"", ""en""), """")"),"")</f>
        <v/>
      </c>
      <c r="G2521" s="49" t="str">
        <f t="shared" ca="1" si="2519"/>
        <v/>
      </c>
      <c r="H2521" s="49" t="str">
        <f t="shared" ca="1" si="2519"/>
        <v/>
      </c>
      <c r="I2521" s="49" t="str">
        <f t="shared" ca="1" si="2519"/>
        <v/>
      </c>
      <c r="J2521" s="49" t="str">
        <f t="shared" ca="1" si="2519"/>
        <v/>
      </c>
    </row>
    <row r="2522" spans="1:10" ht="25.5" x14ac:dyDescent="0.2">
      <c r="A2522" s="41" t="s">
        <v>2034</v>
      </c>
      <c r="B2522" s="40"/>
      <c r="C2522" s="40"/>
      <c r="D2522" s="40"/>
      <c r="E2522" s="40"/>
      <c r="F2522" s="49" t="str">
        <f t="shared" ref="F2522:J2522" ca="1" si="2520">IFERROR(__xludf.DUMMYFUNCTION("if (A2522 &lt;&gt; """", GOOGLETRANSLATE(A2522, ""auto"", ""en""), """")"),"smalltalk.user.needs_advice")</f>
        <v>smalltalk.user.needs_advice</v>
      </c>
      <c r="G2522" s="49" t="str">
        <f t="shared" ca="1" si="2520"/>
        <v>smalltalk.user.needs_advice</v>
      </c>
      <c r="H2522" s="49" t="str">
        <f t="shared" ca="1" si="2520"/>
        <v>smalltalk.user.needs_advice</v>
      </c>
      <c r="I2522" s="49" t="str">
        <f t="shared" ca="1" si="2520"/>
        <v>smalltalk.user.needs_advice</v>
      </c>
      <c r="J2522" s="49" t="str">
        <f t="shared" ca="1" si="2520"/>
        <v>smalltalk.user.needs_advice</v>
      </c>
    </row>
    <row r="2523" spans="1:10" ht="12.75" x14ac:dyDescent="0.2">
      <c r="A2523" s="40"/>
      <c r="B2523" s="41" t="s">
        <v>398</v>
      </c>
      <c r="C2523" s="40"/>
      <c r="D2523" s="40"/>
      <c r="E2523" s="40"/>
      <c r="F2523" s="49" t="str">
        <f t="shared" ref="F2523:J2523" ca="1" si="2521">IFERROR(__xludf.DUMMYFUNCTION("if (A2523 &lt;&gt; """", GOOGLETRANSLATE(A2523, ""auto"", ""en""), """")"),"")</f>
        <v/>
      </c>
      <c r="G2523" s="49" t="str">
        <f t="shared" ca="1" si="2521"/>
        <v/>
      </c>
      <c r="H2523" s="49" t="str">
        <f t="shared" ca="1" si="2521"/>
        <v/>
      </c>
      <c r="I2523" s="49" t="str">
        <f t="shared" ca="1" si="2521"/>
        <v/>
      </c>
      <c r="J2523" s="49" t="str">
        <f t="shared" ca="1" si="2521"/>
        <v/>
      </c>
    </row>
    <row r="2524" spans="1:10" ht="12.75" x14ac:dyDescent="0.2">
      <c r="A2524" s="40"/>
      <c r="B2524" s="41" t="s">
        <v>399</v>
      </c>
      <c r="C2524" s="40"/>
      <c r="D2524" s="40"/>
      <c r="E2524" s="40"/>
      <c r="F2524" s="49" t="str">
        <f t="shared" ref="F2524:J2524" ca="1" si="2522">IFERROR(__xludf.DUMMYFUNCTION("if (A2524 &lt;&gt; """", GOOGLETRANSLATE(A2524, ""auto"", ""en""), """")"),"")</f>
        <v/>
      </c>
      <c r="G2524" s="49" t="str">
        <f t="shared" ca="1" si="2522"/>
        <v/>
      </c>
      <c r="H2524" s="49" t="str">
        <f t="shared" ca="1" si="2522"/>
        <v/>
      </c>
      <c r="I2524" s="49" t="str">
        <f t="shared" ca="1" si="2522"/>
        <v/>
      </c>
      <c r="J2524" s="49" t="str">
        <f t="shared" ca="1" si="2522"/>
        <v/>
      </c>
    </row>
    <row r="2525" spans="1:10" ht="12.75" x14ac:dyDescent="0.2">
      <c r="A2525" s="40"/>
      <c r="B2525" s="41" t="s">
        <v>400</v>
      </c>
      <c r="C2525" s="41" t="s">
        <v>2034</v>
      </c>
      <c r="D2525" s="40"/>
      <c r="E2525" s="40"/>
      <c r="F2525" s="49" t="str">
        <f t="shared" ref="F2525:J2525" ca="1" si="2523">IFERROR(__xludf.DUMMYFUNCTION("if (A2525 &lt;&gt; """", GOOGLETRANSLATE(A2525, ""auto"", ""en""), """")"),"")</f>
        <v/>
      </c>
      <c r="G2525" s="49" t="str">
        <f t="shared" ca="1" si="2523"/>
        <v/>
      </c>
      <c r="H2525" s="49" t="str">
        <f t="shared" ca="1" si="2523"/>
        <v/>
      </c>
      <c r="I2525" s="49" t="str">
        <f t="shared" ca="1" si="2523"/>
        <v/>
      </c>
      <c r="J2525" s="49" t="str">
        <f t="shared" ca="1" si="2523"/>
        <v/>
      </c>
    </row>
    <row r="2526" spans="1:10" ht="12.75" x14ac:dyDescent="0.2">
      <c r="A2526" s="40"/>
      <c r="B2526" s="41" t="s">
        <v>401</v>
      </c>
      <c r="C2526" s="40"/>
      <c r="D2526" s="40"/>
      <c r="E2526" s="40"/>
      <c r="F2526" s="49" t="str">
        <f t="shared" ref="F2526:J2526" ca="1" si="2524">IFERROR(__xludf.DUMMYFUNCTION("if (A2526 &lt;&gt; """", GOOGLETRANSLATE(A2526, ""auto"", ""en""), """")"),"")</f>
        <v/>
      </c>
      <c r="G2526" s="49" t="str">
        <f t="shared" ca="1" si="2524"/>
        <v/>
      </c>
      <c r="H2526" s="49" t="str">
        <f t="shared" ca="1" si="2524"/>
        <v/>
      </c>
      <c r="I2526" s="49" t="str">
        <f t="shared" ca="1" si="2524"/>
        <v/>
      </c>
      <c r="J2526" s="49" t="str">
        <f t="shared" ca="1" si="2524"/>
        <v/>
      </c>
    </row>
    <row r="2527" spans="1:10" ht="51" x14ac:dyDescent="0.2">
      <c r="A2527" s="41" t="s">
        <v>2035</v>
      </c>
      <c r="B2527" s="41" t="s">
        <v>402</v>
      </c>
      <c r="C2527" s="41" t="s">
        <v>2036</v>
      </c>
      <c r="D2527" s="40"/>
      <c r="E2527" s="40"/>
      <c r="F2527" s="49" t="str">
        <f t="shared" ref="F2527:J2527" ca="1" si="2525">IFERROR(__xludf.DUMMYFUNCTION("if (A2527 &lt;&gt; """", GOOGLETRANSLATE(A2527, ""auto"", ""en""), """")"),"How can I")</f>
        <v>How can I</v>
      </c>
      <c r="G2527" s="49" t="str">
        <f t="shared" ca="1" si="2525"/>
        <v>How can I</v>
      </c>
      <c r="H2527" s="49" t="str">
        <f t="shared" ca="1" si="2525"/>
        <v>How can I</v>
      </c>
      <c r="I2527" s="49" t="str">
        <f t="shared" ca="1" si="2525"/>
        <v>How can I</v>
      </c>
      <c r="J2527" s="49" t="str">
        <f t="shared" ca="1" si="2525"/>
        <v>How can I</v>
      </c>
    </row>
    <row r="2528" spans="1:10" ht="25.5" x14ac:dyDescent="0.2">
      <c r="A2528" s="41" t="s">
        <v>2037</v>
      </c>
      <c r="B2528" s="40"/>
      <c r="C2528" s="40"/>
      <c r="D2528" s="40"/>
      <c r="E2528" s="40"/>
      <c r="F2528" s="49" t="str">
        <f t="shared" ref="F2528:J2528" ca="1" si="2526">IFERROR(__xludf.DUMMYFUNCTION("if (A2528 &lt;&gt; """", GOOGLETRANSLATE(A2528, ""auto"", ""en""), """")"),"What should I do")</f>
        <v>What should I do</v>
      </c>
      <c r="G2528" s="49" t="str">
        <f t="shared" ca="1" si="2526"/>
        <v>What should I do</v>
      </c>
      <c r="H2528" s="49" t="str">
        <f t="shared" ca="1" si="2526"/>
        <v>What should I do</v>
      </c>
      <c r="I2528" s="49" t="str">
        <f t="shared" ca="1" si="2526"/>
        <v>What should I do</v>
      </c>
      <c r="J2528" s="49" t="str">
        <f t="shared" ca="1" si="2526"/>
        <v>What should I do</v>
      </c>
    </row>
    <row r="2529" spans="1:10" ht="51" x14ac:dyDescent="0.2">
      <c r="A2529" s="41" t="s">
        <v>2038</v>
      </c>
      <c r="B2529" s="40"/>
      <c r="C2529" s="40"/>
      <c r="D2529" s="40"/>
      <c r="E2529" s="40"/>
      <c r="F2529" s="49" t="str">
        <f t="shared" ref="F2529:J2529" ca="1" si="2527">IFERROR(__xludf.DUMMYFUNCTION("if (A2529 &lt;&gt; """", GOOGLETRANSLATE(A2529, ""auto"", ""en""), """")"),"Do you have any recommendations")</f>
        <v>Do you have any recommendations</v>
      </c>
      <c r="G2529" s="49" t="str">
        <f t="shared" ca="1" si="2527"/>
        <v>Do you have any recommendations</v>
      </c>
      <c r="H2529" s="49" t="str">
        <f t="shared" ca="1" si="2527"/>
        <v>Do you have any recommendations</v>
      </c>
      <c r="I2529" s="49" t="str">
        <f t="shared" ca="1" si="2527"/>
        <v>Do you have any recommendations</v>
      </c>
      <c r="J2529" s="49" t="str">
        <f t="shared" ca="1" si="2527"/>
        <v>Do you have any recommendations</v>
      </c>
    </row>
    <row r="2530" spans="1:10" ht="38.25" x14ac:dyDescent="0.2">
      <c r="A2530" s="41" t="s">
        <v>2039</v>
      </c>
      <c r="B2530" s="40"/>
      <c r="C2530" s="40"/>
      <c r="D2530" s="40"/>
      <c r="E2530" s="40"/>
      <c r="F2530" s="49" t="str">
        <f t="shared" ref="F2530:J2530" ca="1" si="2528">IFERROR(__xludf.DUMMYFUNCTION("if (A2530 &lt;&gt; """", GOOGLETRANSLATE(A2530, ""auto"", ""en""), """")"),"Please give me some advice")</f>
        <v>Please give me some advice</v>
      </c>
      <c r="G2530" s="49" t="str">
        <f t="shared" ca="1" si="2528"/>
        <v>Please give me some advice</v>
      </c>
      <c r="H2530" s="49" t="str">
        <f t="shared" ca="1" si="2528"/>
        <v>Please give me some advice</v>
      </c>
      <c r="I2530" s="49" t="str">
        <f t="shared" ca="1" si="2528"/>
        <v>Please give me some advice</v>
      </c>
      <c r="J2530" s="49" t="str">
        <f t="shared" ca="1" si="2528"/>
        <v>Please give me some advice</v>
      </c>
    </row>
    <row r="2531" spans="1:10" ht="12.75" x14ac:dyDescent="0.2">
      <c r="A2531" s="41" t="s">
        <v>2040</v>
      </c>
      <c r="B2531" s="40"/>
      <c r="C2531" s="40"/>
      <c r="D2531" s="40"/>
      <c r="E2531" s="40"/>
      <c r="F2531" s="49" t="str">
        <f t="shared" ref="F2531:J2531" ca="1" si="2529">IFERROR(__xludf.DUMMYFUNCTION("if (A2531 &lt;&gt; """", GOOGLETRANSLATE(A2531, ""auto"", ""en""), """")"),"I want advice")</f>
        <v>I want advice</v>
      </c>
      <c r="G2531" s="49" t="str">
        <f t="shared" ca="1" si="2529"/>
        <v>I want advice</v>
      </c>
      <c r="H2531" s="49" t="str">
        <f t="shared" ca="1" si="2529"/>
        <v>I want advice</v>
      </c>
      <c r="I2531" s="49" t="str">
        <f t="shared" ca="1" si="2529"/>
        <v>I want advice</v>
      </c>
      <c r="J2531" s="49" t="str">
        <f t="shared" ca="1" si="2529"/>
        <v>I want advice</v>
      </c>
    </row>
    <row r="2532" spans="1:10" ht="12.75" x14ac:dyDescent="0.2">
      <c r="A2532" s="41" t="s">
        <v>2041</v>
      </c>
      <c r="B2532" s="40"/>
      <c r="C2532" s="40"/>
      <c r="D2532" s="40"/>
      <c r="E2532" s="40"/>
      <c r="F2532" s="49" t="str">
        <f t="shared" ref="F2532:J2532" ca="1" si="2530">IFERROR(__xludf.DUMMYFUNCTION("if (A2532 &lt;&gt; """", GOOGLETRANSLATE(A2532, ""auto"", ""en""), """")"),"Any advice")</f>
        <v>Any advice</v>
      </c>
      <c r="G2532" s="49" t="str">
        <f t="shared" ca="1" si="2530"/>
        <v>Any advice</v>
      </c>
      <c r="H2532" s="49" t="str">
        <f t="shared" ca="1" si="2530"/>
        <v>Any advice</v>
      </c>
      <c r="I2532" s="49" t="str">
        <f t="shared" ca="1" si="2530"/>
        <v>Any advice</v>
      </c>
      <c r="J2532" s="49" t="str">
        <f t="shared" ca="1" si="2530"/>
        <v>Any advice</v>
      </c>
    </row>
    <row r="2533" spans="1:10" ht="38.25" x14ac:dyDescent="0.2">
      <c r="A2533" s="41" t="s">
        <v>2042</v>
      </c>
      <c r="B2533" s="40"/>
      <c r="C2533" s="40"/>
      <c r="D2533" s="40"/>
      <c r="E2533" s="40"/>
      <c r="F2533" s="49" t="str">
        <f t="shared" ref="F2533:J2533" ca="1" si="2531">IFERROR(__xludf.DUMMYFUNCTION("if (A2533 &lt;&gt; """", GOOGLETRANSLATE(A2533, ""auto"", ""en""), """")"),"Have you ever put something care")</f>
        <v>Have you ever put something care</v>
      </c>
      <c r="G2533" s="49" t="str">
        <f t="shared" ca="1" si="2531"/>
        <v>Have you ever put something care</v>
      </c>
      <c r="H2533" s="49" t="str">
        <f t="shared" ca="1" si="2531"/>
        <v>Have you ever put something care</v>
      </c>
      <c r="I2533" s="49" t="str">
        <f t="shared" ca="1" si="2531"/>
        <v>Have you ever put something care</v>
      </c>
      <c r="J2533" s="49" t="str">
        <f t="shared" ca="1" si="2531"/>
        <v>Have you ever put something care</v>
      </c>
    </row>
    <row r="2534" spans="1:10" ht="25.5" x14ac:dyDescent="0.2">
      <c r="A2534" s="41" t="s">
        <v>2043</v>
      </c>
      <c r="B2534" s="40"/>
      <c r="C2534" s="40"/>
      <c r="D2534" s="40"/>
      <c r="E2534" s="40"/>
      <c r="F2534" s="49" t="str">
        <f t="shared" ref="F2534:J2534" ca="1" si="2532">IFERROR(__xludf.DUMMYFUNCTION("if (A2534 &lt;&gt; """", GOOGLETRANSLATE(A2534, ""auto"", ""en""), """")"),"I want you to tell me")</f>
        <v>I want you to tell me</v>
      </c>
      <c r="G2534" s="49" t="str">
        <f t="shared" ca="1" si="2532"/>
        <v>I want you to tell me</v>
      </c>
      <c r="H2534" s="49" t="str">
        <f t="shared" ca="1" si="2532"/>
        <v>I want you to tell me</v>
      </c>
      <c r="I2534" s="49" t="str">
        <f t="shared" ca="1" si="2532"/>
        <v>I want you to tell me</v>
      </c>
      <c r="J2534" s="49" t="str">
        <f t="shared" ca="1" si="2532"/>
        <v>I want you to tell me</v>
      </c>
    </row>
    <row r="2535" spans="1:10" ht="12.75" x14ac:dyDescent="0.2">
      <c r="A2535" s="41" t="s">
        <v>2044</v>
      </c>
      <c r="B2535" s="40"/>
      <c r="C2535" s="40"/>
      <c r="D2535" s="40"/>
      <c r="E2535" s="40"/>
      <c r="F2535" s="49" t="str">
        <f t="shared" ref="F2535:J2535" ca="1" si="2533">IFERROR(__xludf.DUMMYFUNCTION("if (A2535 &lt;&gt; """", GOOGLETRANSLATE(A2535, ""auto"", ""en""), """")"),"How do I")</f>
        <v>How do I</v>
      </c>
      <c r="G2535" s="49" t="str">
        <f t="shared" ca="1" si="2533"/>
        <v>How do I</v>
      </c>
      <c r="H2535" s="49" t="str">
        <f t="shared" ca="1" si="2533"/>
        <v>How do I</v>
      </c>
      <c r="I2535" s="49" t="str">
        <f t="shared" ca="1" si="2533"/>
        <v>How do I</v>
      </c>
      <c r="J2535" s="49" t="str">
        <f t="shared" ca="1" si="2533"/>
        <v>How do I</v>
      </c>
    </row>
    <row r="2536" spans="1:10" ht="25.5" x14ac:dyDescent="0.2">
      <c r="A2536" s="41" t="s">
        <v>2045</v>
      </c>
      <c r="B2536" s="40"/>
      <c r="C2536" s="40"/>
      <c r="D2536" s="40"/>
      <c r="E2536" s="40"/>
      <c r="F2536" s="49" t="str">
        <f t="shared" ref="F2536:J2536" ca="1" si="2534">IFERROR(__xludf.DUMMYFUNCTION("if (A2536 &lt;&gt; """", GOOGLETRANSLATE(A2536, ""auto"", ""en""), """")"),"Do not you tell me")</f>
        <v>Do not you tell me</v>
      </c>
      <c r="G2536" s="49" t="str">
        <f t="shared" ca="1" si="2534"/>
        <v>Do not you tell me</v>
      </c>
      <c r="H2536" s="49" t="str">
        <f t="shared" ca="1" si="2534"/>
        <v>Do not you tell me</v>
      </c>
      <c r="I2536" s="49" t="str">
        <f t="shared" ca="1" si="2534"/>
        <v>Do not you tell me</v>
      </c>
      <c r="J2536" s="49" t="str">
        <f t="shared" ca="1" si="2534"/>
        <v>Do not you tell me</v>
      </c>
    </row>
    <row r="2537" spans="1:10" ht="12.75" x14ac:dyDescent="0.2">
      <c r="A2537" s="40"/>
      <c r="B2537" s="40"/>
      <c r="C2537" s="40"/>
      <c r="D2537" s="40"/>
      <c r="E2537" s="40"/>
      <c r="F2537" s="49" t="str">
        <f t="shared" ref="F2537:J2537" ca="1" si="2535">IFERROR(__xludf.DUMMYFUNCTION("if (A2537 &lt;&gt; """", GOOGLETRANSLATE(A2537, ""auto"", ""en""), """")"),"")</f>
        <v/>
      </c>
      <c r="G2537" s="49" t="str">
        <f t="shared" ca="1" si="2535"/>
        <v/>
      </c>
      <c r="H2537" s="49" t="str">
        <f t="shared" ca="1" si="2535"/>
        <v/>
      </c>
      <c r="I2537" s="49" t="str">
        <f t="shared" ca="1" si="2535"/>
        <v/>
      </c>
      <c r="J2537" s="49" t="str">
        <f t="shared" ca="1" si="2535"/>
        <v/>
      </c>
    </row>
    <row r="2538" spans="1:10" ht="25.5" x14ac:dyDescent="0.2">
      <c r="A2538" s="41" t="s">
        <v>2046</v>
      </c>
      <c r="B2538" s="40"/>
      <c r="C2538" s="40"/>
      <c r="D2538" s="40"/>
      <c r="E2538" s="40"/>
      <c r="F2538" s="49" t="str">
        <f t="shared" ref="F2538:J2538" ca="1" si="2536">IFERROR(__xludf.DUMMYFUNCTION("if (A2538 &lt;&gt; """", GOOGLETRANSLATE(A2538, ""auto"", ""en""), """")"),"smalltalk.user.sad")</f>
        <v>smalltalk.user.sad</v>
      </c>
      <c r="G2538" s="49" t="str">
        <f t="shared" ca="1" si="2536"/>
        <v>smalltalk.user.sad</v>
      </c>
      <c r="H2538" s="49" t="str">
        <f t="shared" ca="1" si="2536"/>
        <v>smalltalk.user.sad</v>
      </c>
      <c r="I2538" s="49" t="str">
        <f t="shared" ca="1" si="2536"/>
        <v>smalltalk.user.sad</v>
      </c>
      <c r="J2538" s="49" t="str">
        <f t="shared" ca="1" si="2536"/>
        <v>smalltalk.user.sad</v>
      </c>
    </row>
    <row r="2539" spans="1:10" ht="12.75" x14ac:dyDescent="0.2">
      <c r="A2539" s="40"/>
      <c r="B2539" s="41" t="s">
        <v>398</v>
      </c>
      <c r="C2539" s="40"/>
      <c r="D2539" s="40"/>
      <c r="E2539" s="40"/>
      <c r="F2539" s="49" t="str">
        <f t="shared" ref="F2539:J2539" ca="1" si="2537">IFERROR(__xludf.DUMMYFUNCTION("if (A2539 &lt;&gt; """", GOOGLETRANSLATE(A2539, ""auto"", ""en""), """")"),"")</f>
        <v/>
      </c>
      <c r="G2539" s="49" t="str">
        <f t="shared" ca="1" si="2537"/>
        <v/>
      </c>
      <c r="H2539" s="49" t="str">
        <f t="shared" ca="1" si="2537"/>
        <v/>
      </c>
      <c r="I2539" s="49" t="str">
        <f t="shared" ca="1" si="2537"/>
        <v/>
      </c>
      <c r="J2539" s="49" t="str">
        <f t="shared" ca="1" si="2537"/>
        <v/>
      </c>
    </row>
    <row r="2540" spans="1:10" ht="12.75" x14ac:dyDescent="0.2">
      <c r="A2540" s="40"/>
      <c r="B2540" s="41" t="s">
        <v>399</v>
      </c>
      <c r="C2540" s="40"/>
      <c r="D2540" s="40"/>
      <c r="E2540" s="40"/>
      <c r="F2540" s="49" t="str">
        <f t="shared" ref="F2540:J2540" ca="1" si="2538">IFERROR(__xludf.DUMMYFUNCTION("if (A2540 &lt;&gt; """", GOOGLETRANSLATE(A2540, ""auto"", ""en""), """")"),"")</f>
        <v/>
      </c>
      <c r="G2540" s="49" t="str">
        <f t="shared" ca="1" si="2538"/>
        <v/>
      </c>
      <c r="H2540" s="49" t="str">
        <f t="shared" ca="1" si="2538"/>
        <v/>
      </c>
      <c r="I2540" s="49" t="str">
        <f t="shared" ca="1" si="2538"/>
        <v/>
      </c>
      <c r="J2540" s="49" t="str">
        <f t="shared" ca="1" si="2538"/>
        <v/>
      </c>
    </row>
    <row r="2541" spans="1:10" ht="12.75" x14ac:dyDescent="0.2">
      <c r="A2541" s="40"/>
      <c r="B2541" s="41" t="s">
        <v>400</v>
      </c>
      <c r="C2541" s="41" t="s">
        <v>2046</v>
      </c>
      <c r="D2541" s="40"/>
      <c r="E2541" s="40"/>
      <c r="F2541" s="49" t="str">
        <f t="shared" ref="F2541:J2541" ca="1" si="2539">IFERROR(__xludf.DUMMYFUNCTION("if (A2541 &lt;&gt; """", GOOGLETRANSLATE(A2541, ""auto"", ""en""), """")"),"")</f>
        <v/>
      </c>
      <c r="G2541" s="49" t="str">
        <f t="shared" ca="1" si="2539"/>
        <v/>
      </c>
      <c r="H2541" s="49" t="str">
        <f t="shared" ca="1" si="2539"/>
        <v/>
      </c>
      <c r="I2541" s="49" t="str">
        <f t="shared" ca="1" si="2539"/>
        <v/>
      </c>
      <c r="J2541" s="49" t="str">
        <f t="shared" ca="1" si="2539"/>
        <v/>
      </c>
    </row>
    <row r="2542" spans="1:10" ht="12.75" x14ac:dyDescent="0.2">
      <c r="A2542" s="40"/>
      <c r="B2542" s="41" t="s">
        <v>401</v>
      </c>
      <c r="C2542" s="40"/>
      <c r="D2542" s="40"/>
      <c r="E2542" s="40"/>
      <c r="F2542" s="49" t="str">
        <f t="shared" ref="F2542:J2542" ca="1" si="2540">IFERROR(__xludf.DUMMYFUNCTION("if (A2542 &lt;&gt; """", GOOGLETRANSLATE(A2542, ""auto"", ""en""), """")"),"")</f>
        <v/>
      </c>
      <c r="G2542" s="49" t="str">
        <f t="shared" ca="1" si="2540"/>
        <v/>
      </c>
      <c r="H2542" s="49" t="str">
        <f t="shared" ca="1" si="2540"/>
        <v/>
      </c>
      <c r="I2542" s="49" t="str">
        <f t="shared" ca="1" si="2540"/>
        <v/>
      </c>
      <c r="J2542" s="49" t="str">
        <f t="shared" ca="1" si="2540"/>
        <v/>
      </c>
    </row>
    <row r="2543" spans="1:10" ht="25.5" x14ac:dyDescent="0.2">
      <c r="A2543" s="41" t="s">
        <v>2047</v>
      </c>
      <c r="B2543" s="41" t="s">
        <v>402</v>
      </c>
      <c r="C2543" s="41" t="s">
        <v>2048</v>
      </c>
      <c r="D2543" s="40"/>
      <c r="E2543" s="40"/>
      <c r="F2543" s="49" t="str">
        <f t="shared" ref="F2543:J2543" ca="1" si="2541">IFERROR(__xludf.DUMMYFUNCTION("if (A2543 &lt;&gt; """", GOOGLETRANSLATE(A2543, ""auto"", ""en""), """")"),"sad")</f>
        <v>sad</v>
      </c>
      <c r="G2543" s="49" t="str">
        <f t="shared" ca="1" si="2541"/>
        <v>sad</v>
      </c>
      <c r="H2543" s="49" t="str">
        <f t="shared" ca="1" si="2541"/>
        <v>sad</v>
      </c>
      <c r="I2543" s="49" t="str">
        <f t="shared" ca="1" si="2541"/>
        <v>sad</v>
      </c>
      <c r="J2543" s="49" t="str">
        <f t="shared" ca="1" si="2541"/>
        <v>sad</v>
      </c>
    </row>
    <row r="2544" spans="1:10" ht="12.75" x14ac:dyDescent="0.2">
      <c r="A2544" s="41" t="s">
        <v>2049</v>
      </c>
      <c r="B2544" s="40"/>
      <c r="C2544" s="40"/>
      <c r="D2544" s="40"/>
      <c r="E2544" s="40"/>
      <c r="F2544" s="49" t="str">
        <f t="shared" ref="F2544:J2544" ca="1" si="2542">IFERROR(__xludf.DUMMYFUNCTION("if (A2544 &lt;&gt; """", GOOGLETRANSLATE(A2544, ""auto"", ""en""), """")"),"Sad I")</f>
        <v>Sad I</v>
      </c>
      <c r="G2544" s="49" t="str">
        <f t="shared" ca="1" si="2542"/>
        <v>Sad I</v>
      </c>
      <c r="H2544" s="49" t="str">
        <f t="shared" ca="1" si="2542"/>
        <v>Sad I</v>
      </c>
      <c r="I2544" s="49" t="str">
        <f t="shared" ca="1" si="2542"/>
        <v>Sad I</v>
      </c>
      <c r="J2544" s="49" t="str">
        <f t="shared" ca="1" si="2542"/>
        <v>Sad I</v>
      </c>
    </row>
    <row r="2545" spans="1:10" ht="25.5" x14ac:dyDescent="0.2">
      <c r="A2545" s="41" t="s">
        <v>2050</v>
      </c>
      <c r="B2545" s="40"/>
      <c r="C2545" s="40"/>
      <c r="D2545" s="40"/>
      <c r="E2545" s="40"/>
      <c r="F2545" s="49" t="str">
        <f t="shared" ref="F2545:J2545" ca="1" si="2543">IFERROR(__xludf.DUMMYFUNCTION("if (A2545 &lt;&gt; """", GOOGLETRANSLATE(A2545, ""auto"", ""en""), """")"),"We are depressed")</f>
        <v>We are depressed</v>
      </c>
      <c r="G2545" s="49" t="str">
        <f t="shared" ca="1" si="2543"/>
        <v>We are depressed</v>
      </c>
      <c r="H2545" s="49" t="str">
        <f t="shared" ca="1" si="2543"/>
        <v>We are depressed</v>
      </c>
      <c r="I2545" s="49" t="str">
        <f t="shared" ca="1" si="2543"/>
        <v>We are depressed</v>
      </c>
      <c r="J2545" s="49" t="str">
        <f t="shared" ca="1" si="2543"/>
        <v>We are depressed</v>
      </c>
    </row>
    <row r="2546" spans="1:10" ht="25.5" x14ac:dyDescent="0.2">
      <c r="A2546" s="41" t="s">
        <v>2051</v>
      </c>
      <c r="B2546" s="40"/>
      <c r="C2546" s="40"/>
      <c r="D2546" s="40"/>
      <c r="E2546" s="40"/>
      <c r="F2546" s="49" t="str">
        <f t="shared" ref="F2546:J2546" ca="1" si="2544">IFERROR(__xludf.DUMMYFUNCTION("if (A2546 &lt;&gt; """", GOOGLETRANSLATE(A2546, ""auto"", ""en""), """")"),"It is sad mood now")</f>
        <v>It is sad mood now</v>
      </c>
      <c r="G2546" s="49" t="str">
        <f t="shared" ca="1" si="2544"/>
        <v>It is sad mood now</v>
      </c>
      <c r="H2546" s="49" t="str">
        <f t="shared" ca="1" si="2544"/>
        <v>It is sad mood now</v>
      </c>
      <c r="I2546" s="49" t="str">
        <f t="shared" ca="1" si="2544"/>
        <v>It is sad mood now</v>
      </c>
      <c r="J2546" s="49" t="str">
        <f t="shared" ca="1" si="2544"/>
        <v>It is sad mood now</v>
      </c>
    </row>
    <row r="2547" spans="1:10" ht="12.75" x14ac:dyDescent="0.2">
      <c r="A2547" s="41" t="s">
        <v>2052</v>
      </c>
      <c r="B2547" s="40"/>
      <c r="C2547" s="40"/>
      <c r="D2547" s="40"/>
      <c r="E2547" s="40"/>
      <c r="F2547" s="49" t="str">
        <f t="shared" ref="F2547:J2547" ca="1" si="2545">IFERROR(__xludf.DUMMYFUNCTION("if (A2547 &lt;&gt; """", GOOGLETRANSLATE(A2547, ""auto"", ""en""), """")"),"Has upset")</f>
        <v>Has upset</v>
      </c>
      <c r="G2547" s="49" t="str">
        <f t="shared" ca="1" si="2545"/>
        <v>Has upset</v>
      </c>
      <c r="H2547" s="49" t="str">
        <f t="shared" ca="1" si="2545"/>
        <v>Has upset</v>
      </c>
      <c r="I2547" s="49" t="str">
        <f t="shared" ca="1" si="2545"/>
        <v>Has upset</v>
      </c>
      <c r="J2547" s="49" t="str">
        <f t="shared" ca="1" si="2545"/>
        <v>Has upset</v>
      </c>
    </row>
    <row r="2548" spans="1:10" ht="12.75" x14ac:dyDescent="0.2">
      <c r="A2548" s="41" t="s">
        <v>2053</v>
      </c>
      <c r="B2548" s="40"/>
      <c r="C2548" s="40"/>
      <c r="D2548" s="40"/>
      <c r="E2548" s="40"/>
      <c r="F2548" s="49" t="str">
        <f t="shared" ref="F2548:J2548" ca="1" si="2546">IFERROR(__xludf.DUMMYFUNCTION("if (A2548 &lt;&gt; """", GOOGLETRANSLATE(A2548, ""auto"", ""en""), """")"),"Unhappy")</f>
        <v>Unhappy</v>
      </c>
      <c r="G2548" s="49" t="str">
        <f t="shared" ca="1" si="2546"/>
        <v>Unhappy</v>
      </c>
      <c r="H2548" s="49" t="str">
        <f t="shared" ca="1" si="2546"/>
        <v>Unhappy</v>
      </c>
      <c r="I2548" s="49" t="str">
        <f t="shared" ca="1" si="2546"/>
        <v>Unhappy</v>
      </c>
      <c r="J2548" s="49" t="str">
        <f t="shared" ca="1" si="2546"/>
        <v>Unhappy</v>
      </c>
    </row>
    <row r="2549" spans="1:10" ht="25.5" x14ac:dyDescent="0.2">
      <c r="A2549" s="41" t="s">
        <v>2054</v>
      </c>
      <c r="B2549" s="40"/>
      <c r="C2549" s="40"/>
      <c r="D2549" s="40"/>
      <c r="E2549" s="40"/>
      <c r="F2549" s="49" t="str">
        <f t="shared" ref="F2549:J2549" ca="1" si="2547">IFERROR(__xludf.DUMMYFUNCTION("if (A2549 &lt;&gt; """", GOOGLETRANSLATE(A2549, ""auto"", ""en""), """")"),"Terrible day today")</f>
        <v>Terrible day today</v>
      </c>
      <c r="G2549" s="49" t="str">
        <f t="shared" ca="1" si="2547"/>
        <v>Terrible day today</v>
      </c>
      <c r="H2549" s="49" t="str">
        <f t="shared" ca="1" si="2547"/>
        <v>Terrible day today</v>
      </c>
      <c r="I2549" s="49" t="str">
        <f t="shared" ca="1" si="2547"/>
        <v>Terrible day today</v>
      </c>
      <c r="J2549" s="49" t="str">
        <f t="shared" ca="1" si="2547"/>
        <v>Terrible day today</v>
      </c>
    </row>
    <row r="2550" spans="1:10" ht="12.75" x14ac:dyDescent="0.2">
      <c r="A2550" s="41" t="s">
        <v>2055</v>
      </c>
      <c r="B2550" s="40"/>
      <c r="C2550" s="40"/>
      <c r="D2550" s="40"/>
      <c r="E2550" s="40"/>
      <c r="F2550" s="49" t="str">
        <f t="shared" ref="F2550:J2550" ca="1" si="2548">IFERROR(__xludf.DUMMYFUNCTION("if (A2550 &lt;&gt; """", GOOGLETRANSLATE(A2550, ""auto"", ""en""), """")"),"I want to cry")</f>
        <v>I want to cry</v>
      </c>
      <c r="G2550" s="49" t="str">
        <f t="shared" ca="1" si="2548"/>
        <v>I want to cry</v>
      </c>
      <c r="H2550" s="49" t="str">
        <f t="shared" ca="1" si="2548"/>
        <v>I want to cry</v>
      </c>
      <c r="I2550" s="49" t="str">
        <f t="shared" ca="1" si="2548"/>
        <v>I want to cry</v>
      </c>
      <c r="J2550" s="49" t="str">
        <f t="shared" ca="1" si="2548"/>
        <v>I want to cry</v>
      </c>
    </row>
    <row r="2551" spans="1:10" ht="12.75" x14ac:dyDescent="0.2">
      <c r="A2551" s="41" t="s">
        <v>2056</v>
      </c>
      <c r="B2551" s="40"/>
      <c r="C2551" s="40"/>
      <c r="D2551" s="40"/>
      <c r="E2551" s="40"/>
      <c r="F2551" s="49" t="str">
        <f t="shared" ref="F2551:J2551" ca="1" si="2549">IFERROR(__xludf.DUMMYFUNCTION("if (A2551 &lt;&gt; """", GOOGLETRANSLATE(A2551, ""auto"", ""en""), """")"),"Not a happy")</f>
        <v>Not a happy</v>
      </c>
      <c r="G2551" s="49" t="str">
        <f t="shared" ca="1" si="2549"/>
        <v>Not a happy</v>
      </c>
      <c r="H2551" s="49" t="str">
        <f t="shared" ca="1" si="2549"/>
        <v>Not a happy</v>
      </c>
      <c r="I2551" s="49" t="str">
        <f t="shared" ca="1" si="2549"/>
        <v>Not a happy</v>
      </c>
      <c r="J2551" s="49" t="str">
        <f t="shared" ca="1" si="2549"/>
        <v>Not a happy</v>
      </c>
    </row>
    <row r="2552" spans="1:10" ht="12.75" x14ac:dyDescent="0.2">
      <c r="A2552" s="40"/>
      <c r="B2552" s="40"/>
      <c r="C2552" s="40"/>
      <c r="D2552" s="40"/>
      <c r="E2552" s="40"/>
      <c r="F2552" s="49" t="str">
        <f t="shared" ref="F2552:J2552" ca="1" si="2550">IFERROR(__xludf.DUMMYFUNCTION("if (A2552 &lt;&gt; """", GOOGLETRANSLATE(A2552, ""auto"", ""en""), """")"),"")</f>
        <v/>
      </c>
      <c r="G2552" s="49" t="str">
        <f t="shared" ca="1" si="2550"/>
        <v/>
      </c>
      <c r="H2552" s="49" t="str">
        <f t="shared" ca="1" si="2550"/>
        <v/>
      </c>
      <c r="I2552" s="49" t="str">
        <f t="shared" ca="1" si="2550"/>
        <v/>
      </c>
      <c r="J2552" s="49" t="str">
        <f t="shared" ca="1" si="2550"/>
        <v/>
      </c>
    </row>
    <row r="2553" spans="1:10" ht="25.5" x14ac:dyDescent="0.2">
      <c r="A2553" s="41" t="s">
        <v>2057</v>
      </c>
      <c r="B2553" s="40"/>
      <c r="C2553" s="40"/>
      <c r="D2553" s="40"/>
      <c r="E2553" s="40"/>
      <c r="F2553" s="49" t="str">
        <f t="shared" ref="F2553:J2553" ca="1" si="2551">IFERROR(__xludf.DUMMYFUNCTION("if (A2553 &lt;&gt; """", GOOGLETRANSLATE(A2553, ""auto"", ""en""), """")"),"smalltalk.user.scared")</f>
        <v>smalltalk.user.scared</v>
      </c>
      <c r="G2553" s="49" t="str">
        <f t="shared" ca="1" si="2551"/>
        <v>smalltalk.user.scared</v>
      </c>
      <c r="H2553" s="49" t="str">
        <f t="shared" ca="1" si="2551"/>
        <v>smalltalk.user.scared</v>
      </c>
      <c r="I2553" s="49" t="str">
        <f t="shared" ca="1" si="2551"/>
        <v>smalltalk.user.scared</v>
      </c>
      <c r="J2553" s="49" t="str">
        <f t="shared" ca="1" si="2551"/>
        <v>smalltalk.user.scared</v>
      </c>
    </row>
    <row r="2554" spans="1:10" ht="12.75" x14ac:dyDescent="0.2">
      <c r="A2554" s="40"/>
      <c r="B2554" s="41" t="s">
        <v>398</v>
      </c>
      <c r="C2554" s="40"/>
      <c r="D2554" s="40"/>
      <c r="E2554" s="40"/>
      <c r="F2554" s="49" t="str">
        <f t="shared" ref="F2554:J2554" ca="1" si="2552">IFERROR(__xludf.DUMMYFUNCTION("if (A2554 &lt;&gt; """", GOOGLETRANSLATE(A2554, ""auto"", ""en""), """")"),"")</f>
        <v/>
      </c>
      <c r="G2554" s="49" t="str">
        <f t="shared" ca="1" si="2552"/>
        <v/>
      </c>
      <c r="H2554" s="49" t="str">
        <f t="shared" ca="1" si="2552"/>
        <v/>
      </c>
      <c r="I2554" s="49" t="str">
        <f t="shared" ca="1" si="2552"/>
        <v/>
      </c>
      <c r="J2554" s="49" t="str">
        <f t="shared" ca="1" si="2552"/>
        <v/>
      </c>
    </row>
    <row r="2555" spans="1:10" ht="12.75" x14ac:dyDescent="0.2">
      <c r="A2555" s="40"/>
      <c r="B2555" s="41" t="s">
        <v>399</v>
      </c>
      <c r="C2555" s="40"/>
      <c r="D2555" s="40"/>
      <c r="E2555" s="40"/>
      <c r="F2555" s="49" t="str">
        <f t="shared" ref="F2555:J2555" ca="1" si="2553">IFERROR(__xludf.DUMMYFUNCTION("if (A2555 &lt;&gt; """", GOOGLETRANSLATE(A2555, ""auto"", ""en""), """")"),"")</f>
        <v/>
      </c>
      <c r="G2555" s="49" t="str">
        <f t="shared" ca="1" si="2553"/>
        <v/>
      </c>
      <c r="H2555" s="49" t="str">
        <f t="shared" ca="1" si="2553"/>
        <v/>
      </c>
      <c r="I2555" s="49" t="str">
        <f t="shared" ca="1" si="2553"/>
        <v/>
      </c>
      <c r="J2555" s="49" t="str">
        <f t="shared" ca="1" si="2553"/>
        <v/>
      </c>
    </row>
    <row r="2556" spans="1:10" ht="12.75" x14ac:dyDescent="0.2">
      <c r="A2556" s="40"/>
      <c r="B2556" s="41" t="s">
        <v>400</v>
      </c>
      <c r="C2556" s="41" t="s">
        <v>2057</v>
      </c>
      <c r="D2556" s="40"/>
      <c r="E2556" s="40"/>
      <c r="F2556" s="49" t="str">
        <f t="shared" ref="F2556:J2556" ca="1" si="2554">IFERROR(__xludf.DUMMYFUNCTION("if (A2556 &lt;&gt; """", GOOGLETRANSLATE(A2556, ""auto"", ""en""), """")"),"")</f>
        <v/>
      </c>
      <c r="G2556" s="49" t="str">
        <f t="shared" ca="1" si="2554"/>
        <v/>
      </c>
      <c r="H2556" s="49" t="str">
        <f t="shared" ca="1" si="2554"/>
        <v/>
      </c>
      <c r="I2556" s="49" t="str">
        <f t="shared" ca="1" si="2554"/>
        <v/>
      </c>
      <c r="J2556" s="49" t="str">
        <f t="shared" ca="1" si="2554"/>
        <v/>
      </c>
    </row>
    <row r="2557" spans="1:10" ht="12.75" x14ac:dyDescent="0.2">
      <c r="A2557" s="40"/>
      <c r="B2557" s="41" t="s">
        <v>401</v>
      </c>
      <c r="C2557" s="40"/>
      <c r="D2557" s="40"/>
      <c r="E2557" s="40"/>
      <c r="F2557" s="49" t="str">
        <f t="shared" ref="F2557:J2557" ca="1" si="2555">IFERROR(__xludf.DUMMYFUNCTION("if (A2557 &lt;&gt; """", GOOGLETRANSLATE(A2557, ""auto"", ""en""), """")"),"")</f>
        <v/>
      </c>
      <c r="G2557" s="49" t="str">
        <f t="shared" ca="1" si="2555"/>
        <v/>
      </c>
      <c r="H2557" s="49" t="str">
        <f t="shared" ca="1" si="2555"/>
        <v/>
      </c>
      <c r="I2557" s="49" t="str">
        <f t="shared" ca="1" si="2555"/>
        <v/>
      </c>
      <c r="J2557" s="49" t="str">
        <f t="shared" ca="1" si="2555"/>
        <v/>
      </c>
    </row>
    <row r="2558" spans="1:10" ht="25.5" x14ac:dyDescent="0.2">
      <c r="A2558" s="41" t="s">
        <v>2058</v>
      </c>
      <c r="B2558" s="41" t="s">
        <v>402</v>
      </c>
      <c r="C2558" s="41" t="s">
        <v>2059</v>
      </c>
      <c r="D2558" s="40"/>
      <c r="E2558" s="40"/>
      <c r="F2558" s="49" t="str">
        <f t="shared" ref="F2558:J2558" ca="1" si="2556">IFERROR(__xludf.DUMMYFUNCTION("if (A2558 &lt;&gt; """", GOOGLETRANSLATE(A2558, ""auto"", ""en""), """")"),"surprised")</f>
        <v>surprised</v>
      </c>
      <c r="G2558" s="49" t="str">
        <f t="shared" ca="1" si="2556"/>
        <v>surprised</v>
      </c>
      <c r="H2558" s="49" t="str">
        <f t="shared" ca="1" si="2556"/>
        <v>surprised</v>
      </c>
      <c r="I2558" s="49" t="str">
        <f t="shared" ca="1" si="2556"/>
        <v>surprised</v>
      </c>
      <c r="J2558" s="49" t="str">
        <f t="shared" ca="1" si="2556"/>
        <v>surprised</v>
      </c>
    </row>
    <row r="2559" spans="1:10" ht="12.75" x14ac:dyDescent="0.2">
      <c r="A2559" s="41" t="s">
        <v>2060</v>
      </c>
      <c r="B2559" s="40"/>
      <c r="C2559" s="40"/>
      <c r="D2559" s="40"/>
      <c r="E2559" s="40"/>
      <c r="F2559" s="49" t="str">
        <f t="shared" ref="F2559:J2559" ca="1" si="2557">IFERROR(__xludf.DUMMYFUNCTION("if (A2559 &lt;&gt; """", GOOGLETRANSLATE(A2559, ""auto"", ""en""), """")"),"Are stunned")</f>
        <v>Are stunned</v>
      </c>
      <c r="G2559" s="49" t="str">
        <f t="shared" ca="1" si="2557"/>
        <v>Are stunned</v>
      </c>
      <c r="H2559" s="49" t="str">
        <f t="shared" ca="1" si="2557"/>
        <v>Are stunned</v>
      </c>
      <c r="I2559" s="49" t="str">
        <f t="shared" ca="1" si="2557"/>
        <v>Are stunned</v>
      </c>
      <c r="J2559" s="49" t="str">
        <f t="shared" ca="1" si="2557"/>
        <v>Are stunned</v>
      </c>
    </row>
    <row r="2560" spans="1:10" ht="12.75" x14ac:dyDescent="0.2">
      <c r="A2560" s="40"/>
      <c r="B2560" s="40"/>
      <c r="C2560" s="40"/>
      <c r="D2560" s="40"/>
      <c r="E2560" s="40"/>
      <c r="F2560" s="49" t="str">
        <f t="shared" ref="F2560:J2560" ca="1" si="2558">IFERROR(__xludf.DUMMYFUNCTION("if (A2560 &lt;&gt; """", GOOGLETRANSLATE(A2560, ""auto"", ""en""), """")"),"")</f>
        <v/>
      </c>
      <c r="G2560" s="49" t="str">
        <f t="shared" ca="1" si="2558"/>
        <v/>
      </c>
      <c r="H2560" s="49" t="str">
        <f t="shared" ca="1" si="2558"/>
        <v/>
      </c>
      <c r="I2560" s="49" t="str">
        <f t="shared" ca="1" si="2558"/>
        <v/>
      </c>
      <c r="J2560" s="49" t="str">
        <f t="shared" ca="1" si="2558"/>
        <v/>
      </c>
    </row>
    <row r="2561" spans="1:10" ht="25.5" x14ac:dyDescent="0.2">
      <c r="A2561" s="41" t="s">
        <v>2061</v>
      </c>
      <c r="B2561" s="40"/>
      <c r="C2561" s="40"/>
      <c r="D2561" s="40"/>
      <c r="E2561" s="40"/>
      <c r="F2561" s="49" t="str">
        <f t="shared" ref="F2561:J2561" ca="1" si="2559">IFERROR(__xludf.DUMMYFUNCTION("if (A2561 &lt;&gt; """", GOOGLETRANSLATE(A2561, ""auto"", ""en""), """")"),"smalltalk.user.sleepy")</f>
        <v>smalltalk.user.sleepy</v>
      </c>
      <c r="G2561" s="49" t="str">
        <f t="shared" ca="1" si="2559"/>
        <v>smalltalk.user.sleepy</v>
      </c>
      <c r="H2561" s="49" t="str">
        <f t="shared" ca="1" si="2559"/>
        <v>smalltalk.user.sleepy</v>
      </c>
      <c r="I2561" s="49" t="str">
        <f t="shared" ca="1" si="2559"/>
        <v>smalltalk.user.sleepy</v>
      </c>
      <c r="J2561" s="49" t="str">
        <f t="shared" ca="1" si="2559"/>
        <v>smalltalk.user.sleepy</v>
      </c>
    </row>
    <row r="2562" spans="1:10" ht="12.75" x14ac:dyDescent="0.2">
      <c r="A2562" s="40"/>
      <c r="B2562" s="41" t="s">
        <v>398</v>
      </c>
      <c r="C2562" s="40"/>
      <c r="D2562" s="40"/>
      <c r="E2562" s="40"/>
      <c r="F2562" s="49" t="str">
        <f t="shared" ref="F2562:J2562" ca="1" si="2560">IFERROR(__xludf.DUMMYFUNCTION("if (A2562 &lt;&gt; """", GOOGLETRANSLATE(A2562, ""auto"", ""en""), """")"),"")</f>
        <v/>
      </c>
      <c r="G2562" s="49" t="str">
        <f t="shared" ca="1" si="2560"/>
        <v/>
      </c>
      <c r="H2562" s="49" t="str">
        <f t="shared" ca="1" si="2560"/>
        <v/>
      </c>
      <c r="I2562" s="49" t="str">
        <f t="shared" ca="1" si="2560"/>
        <v/>
      </c>
      <c r="J2562" s="49" t="str">
        <f t="shared" ca="1" si="2560"/>
        <v/>
      </c>
    </row>
    <row r="2563" spans="1:10" ht="12.75" x14ac:dyDescent="0.2">
      <c r="A2563" s="40"/>
      <c r="B2563" s="41" t="s">
        <v>399</v>
      </c>
      <c r="C2563" s="40"/>
      <c r="D2563" s="40"/>
      <c r="E2563" s="40"/>
      <c r="F2563" s="49" t="str">
        <f t="shared" ref="F2563:J2563" ca="1" si="2561">IFERROR(__xludf.DUMMYFUNCTION("if (A2563 &lt;&gt; """", GOOGLETRANSLATE(A2563, ""auto"", ""en""), """")"),"")</f>
        <v/>
      </c>
      <c r="G2563" s="49" t="str">
        <f t="shared" ca="1" si="2561"/>
        <v/>
      </c>
      <c r="H2563" s="49" t="str">
        <f t="shared" ca="1" si="2561"/>
        <v/>
      </c>
      <c r="I2563" s="49" t="str">
        <f t="shared" ca="1" si="2561"/>
        <v/>
      </c>
      <c r="J2563" s="49" t="str">
        <f t="shared" ca="1" si="2561"/>
        <v/>
      </c>
    </row>
    <row r="2564" spans="1:10" ht="12.75" x14ac:dyDescent="0.2">
      <c r="A2564" s="40"/>
      <c r="B2564" s="41" t="s">
        <v>400</v>
      </c>
      <c r="C2564" s="41" t="s">
        <v>2061</v>
      </c>
      <c r="D2564" s="40"/>
      <c r="E2564" s="40"/>
      <c r="F2564" s="49" t="str">
        <f t="shared" ref="F2564:J2564" ca="1" si="2562">IFERROR(__xludf.DUMMYFUNCTION("if (A2564 &lt;&gt; """", GOOGLETRANSLATE(A2564, ""auto"", ""en""), """")"),"")</f>
        <v/>
      </c>
      <c r="G2564" s="49" t="str">
        <f t="shared" ca="1" si="2562"/>
        <v/>
      </c>
      <c r="H2564" s="49" t="str">
        <f t="shared" ca="1" si="2562"/>
        <v/>
      </c>
      <c r="I2564" s="49" t="str">
        <f t="shared" ca="1" si="2562"/>
        <v/>
      </c>
      <c r="J2564" s="49" t="str">
        <f t="shared" ca="1" si="2562"/>
        <v/>
      </c>
    </row>
    <row r="2565" spans="1:10" ht="12.75" x14ac:dyDescent="0.2">
      <c r="A2565" s="40"/>
      <c r="B2565" s="41" t="s">
        <v>401</v>
      </c>
      <c r="C2565" s="40"/>
      <c r="D2565" s="40"/>
      <c r="E2565" s="40"/>
      <c r="F2565" s="49" t="str">
        <f t="shared" ref="F2565:J2565" ca="1" si="2563">IFERROR(__xludf.DUMMYFUNCTION("if (A2565 &lt;&gt; """", GOOGLETRANSLATE(A2565, ""auto"", ""en""), """")"),"")</f>
        <v/>
      </c>
      <c r="G2565" s="49" t="str">
        <f t="shared" ca="1" si="2563"/>
        <v/>
      </c>
      <c r="H2565" s="49" t="str">
        <f t="shared" ca="1" si="2563"/>
        <v/>
      </c>
      <c r="I2565" s="49" t="str">
        <f t="shared" ca="1" si="2563"/>
        <v/>
      </c>
      <c r="J2565" s="49" t="str">
        <f t="shared" ca="1" si="2563"/>
        <v/>
      </c>
    </row>
    <row r="2566" spans="1:10" ht="25.5" x14ac:dyDescent="0.2">
      <c r="A2566" s="41" t="s">
        <v>2062</v>
      </c>
      <c r="B2566" s="41" t="s">
        <v>402</v>
      </c>
      <c r="C2566" s="41" t="s">
        <v>2063</v>
      </c>
      <c r="D2566" s="40"/>
      <c r="E2566" s="40"/>
      <c r="F2566" s="49" t="str">
        <f t="shared" ref="F2566:J2566" ca="1" si="2564">IFERROR(__xludf.DUMMYFUNCTION("if (A2566 &lt;&gt; """", GOOGLETRANSLATE(A2566, ""auto"", ""en""), """")"),"I'm sleepy")</f>
        <v>I'm sleepy</v>
      </c>
      <c r="G2566" s="49" t="str">
        <f t="shared" ca="1" si="2564"/>
        <v>I'm sleepy</v>
      </c>
      <c r="H2566" s="49" t="str">
        <f t="shared" ca="1" si="2564"/>
        <v>I'm sleepy</v>
      </c>
      <c r="I2566" s="49" t="str">
        <f t="shared" ca="1" si="2564"/>
        <v>I'm sleepy</v>
      </c>
      <c r="J2566" s="49" t="str">
        <f t="shared" ca="1" si="2564"/>
        <v>I'm sleepy</v>
      </c>
    </row>
    <row r="2567" spans="1:10" ht="12.75" x14ac:dyDescent="0.2">
      <c r="A2567" s="41" t="s">
        <v>2064</v>
      </c>
      <c r="B2567" s="40"/>
      <c r="C2567" s="40"/>
      <c r="D2567" s="40"/>
      <c r="E2567" s="40"/>
      <c r="F2567" s="49" t="str">
        <f t="shared" ref="F2567:J2567" ca="1" si="2565">IFERROR(__xludf.DUMMYFUNCTION("if (A2567 &lt;&gt; """", GOOGLETRANSLATE(A2567, ""auto"", ""en""), """")"),"Want to sleep")</f>
        <v>Want to sleep</v>
      </c>
      <c r="G2567" s="49" t="str">
        <f t="shared" ca="1" si="2565"/>
        <v>Want to sleep</v>
      </c>
      <c r="H2567" s="49" t="str">
        <f t="shared" ca="1" si="2565"/>
        <v>Want to sleep</v>
      </c>
      <c r="I2567" s="49" t="str">
        <f t="shared" ca="1" si="2565"/>
        <v>Want to sleep</v>
      </c>
      <c r="J2567" s="49" t="str">
        <f t="shared" ca="1" si="2565"/>
        <v>Want to sleep</v>
      </c>
    </row>
    <row r="2568" spans="1:10" ht="25.5" x14ac:dyDescent="0.2">
      <c r="A2568" s="41" t="s">
        <v>2065</v>
      </c>
      <c r="B2568" s="40"/>
      <c r="C2568" s="40"/>
      <c r="D2568" s="40"/>
      <c r="E2568" s="40"/>
      <c r="F2568" s="49" t="str">
        <f t="shared" ref="F2568:J2568" ca="1" si="2566">IFERROR(__xludf.DUMMYFUNCTION("if (A2568 &lt;&gt; """", GOOGLETRANSLATE(A2568, ""auto"", ""en""), """")"),"Likely fell asleep")</f>
        <v>Likely fell asleep</v>
      </c>
      <c r="G2568" s="49" t="str">
        <f t="shared" ca="1" si="2566"/>
        <v>Likely fell asleep</v>
      </c>
      <c r="H2568" s="49" t="str">
        <f t="shared" ca="1" si="2566"/>
        <v>Likely fell asleep</v>
      </c>
      <c r="I2568" s="49" t="str">
        <f t="shared" ca="1" si="2566"/>
        <v>Likely fell asleep</v>
      </c>
      <c r="J2568" s="49" t="str">
        <f t="shared" ca="1" si="2566"/>
        <v>Likely fell asleep</v>
      </c>
    </row>
    <row r="2569" spans="1:10" ht="38.25" x14ac:dyDescent="0.2">
      <c r="A2569" s="41" t="s">
        <v>2066</v>
      </c>
      <c r="B2569" s="40"/>
      <c r="C2569" s="40"/>
      <c r="D2569" s="40"/>
      <c r="E2569" s="40"/>
      <c r="F2569" s="49" t="str">
        <f t="shared" ref="F2569:J2569" ca="1" si="2567">IFERROR(__xludf.DUMMYFUNCTION("if (A2569 &lt;&gt; """", GOOGLETRANSLATE(A2569, ""auto"", ""en""), """")"),"Likely fell asleep while standing")</f>
        <v>Likely fell asleep while standing</v>
      </c>
      <c r="G2569" s="49" t="str">
        <f t="shared" ca="1" si="2567"/>
        <v>Likely fell asleep while standing</v>
      </c>
      <c r="H2569" s="49" t="str">
        <f t="shared" ca="1" si="2567"/>
        <v>Likely fell asleep while standing</v>
      </c>
      <c r="I2569" s="49" t="str">
        <f t="shared" ca="1" si="2567"/>
        <v>Likely fell asleep while standing</v>
      </c>
      <c r="J2569" s="49" t="str">
        <f t="shared" ca="1" si="2567"/>
        <v>Likely fell asleep while standing</v>
      </c>
    </row>
    <row r="2570" spans="1:10" ht="12.75" x14ac:dyDescent="0.2">
      <c r="A2570" s="41" t="s">
        <v>2067</v>
      </c>
      <c r="B2570" s="40"/>
      <c r="C2570" s="40"/>
      <c r="D2570" s="40"/>
      <c r="E2570" s="40"/>
      <c r="F2570" s="49" t="str">
        <f t="shared" ref="F2570:J2570" ca="1" si="2568">IFERROR(__xludf.DUMMYFUNCTION("if (A2570 &lt;&gt; """", GOOGLETRANSLATE(A2570, ""auto"", ""en""), """")"),"Asleep")</f>
        <v>Asleep</v>
      </c>
      <c r="G2570" s="49" t="str">
        <f t="shared" ca="1" si="2568"/>
        <v>Asleep</v>
      </c>
      <c r="H2570" s="49" t="str">
        <f t="shared" ca="1" si="2568"/>
        <v>Asleep</v>
      </c>
      <c r="I2570" s="49" t="str">
        <f t="shared" ca="1" si="2568"/>
        <v>Asleep</v>
      </c>
      <c r="J2570" s="49" t="str">
        <f t="shared" ca="1" si="2568"/>
        <v>Asleep</v>
      </c>
    </row>
    <row r="2571" spans="1:10" ht="12.75" x14ac:dyDescent="0.2">
      <c r="A2571" s="40"/>
      <c r="B2571" s="40"/>
      <c r="C2571" s="40"/>
      <c r="D2571" s="40"/>
      <c r="E2571" s="40"/>
      <c r="F2571" s="49" t="str">
        <f t="shared" ref="F2571:J2571" ca="1" si="2569">IFERROR(__xludf.DUMMYFUNCTION("if (A2571 &lt;&gt; """", GOOGLETRANSLATE(A2571, ""auto"", ""en""), """")"),"")</f>
        <v/>
      </c>
      <c r="G2571" s="49" t="str">
        <f t="shared" ca="1" si="2569"/>
        <v/>
      </c>
      <c r="H2571" s="49" t="str">
        <f t="shared" ca="1" si="2569"/>
        <v/>
      </c>
      <c r="I2571" s="49" t="str">
        <f t="shared" ca="1" si="2569"/>
        <v/>
      </c>
      <c r="J2571" s="49" t="str">
        <f t="shared" ca="1" si="2569"/>
        <v/>
      </c>
    </row>
    <row r="2572" spans="1:10" ht="25.5" x14ac:dyDescent="0.2">
      <c r="A2572" s="41" t="s">
        <v>2068</v>
      </c>
      <c r="B2572" s="40"/>
      <c r="C2572" s="40"/>
      <c r="D2572" s="40"/>
      <c r="E2572" s="40"/>
      <c r="F2572" s="49" t="str">
        <f t="shared" ref="F2572:J2572" ca="1" si="2570">IFERROR(__xludf.DUMMYFUNCTION("if (A2572 &lt;&gt; """", GOOGLETRANSLATE(A2572, ""auto"", ""en""), """")"),"smalltalk.user.testing_agent")</f>
        <v>smalltalk.user.testing_agent</v>
      </c>
      <c r="G2572" s="49" t="str">
        <f t="shared" ca="1" si="2570"/>
        <v>smalltalk.user.testing_agent</v>
      </c>
      <c r="H2572" s="49" t="str">
        <f t="shared" ca="1" si="2570"/>
        <v>smalltalk.user.testing_agent</v>
      </c>
      <c r="I2572" s="49" t="str">
        <f t="shared" ca="1" si="2570"/>
        <v>smalltalk.user.testing_agent</v>
      </c>
      <c r="J2572" s="49" t="str">
        <f t="shared" ca="1" si="2570"/>
        <v>smalltalk.user.testing_agent</v>
      </c>
    </row>
    <row r="2573" spans="1:10" ht="12.75" x14ac:dyDescent="0.2">
      <c r="A2573" s="40"/>
      <c r="B2573" s="41" t="s">
        <v>398</v>
      </c>
      <c r="C2573" s="40"/>
      <c r="D2573" s="40"/>
      <c r="E2573" s="40"/>
      <c r="F2573" s="49" t="str">
        <f t="shared" ref="F2573:J2573" ca="1" si="2571">IFERROR(__xludf.DUMMYFUNCTION("if (A2573 &lt;&gt; """", GOOGLETRANSLATE(A2573, ""auto"", ""en""), """")"),"")</f>
        <v/>
      </c>
      <c r="G2573" s="49" t="str">
        <f t="shared" ca="1" si="2571"/>
        <v/>
      </c>
      <c r="H2573" s="49" t="str">
        <f t="shared" ca="1" si="2571"/>
        <v/>
      </c>
      <c r="I2573" s="49" t="str">
        <f t="shared" ca="1" si="2571"/>
        <v/>
      </c>
      <c r="J2573" s="49" t="str">
        <f t="shared" ca="1" si="2571"/>
        <v/>
      </c>
    </row>
    <row r="2574" spans="1:10" ht="12.75" x14ac:dyDescent="0.2">
      <c r="A2574" s="40"/>
      <c r="B2574" s="41" t="s">
        <v>399</v>
      </c>
      <c r="C2574" s="40"/>
      <c r="D2574" s="40"/>
      <c r="E2574" s="40"/>
      <c r="F2574" s="49" t="str">
        <f t="shared" ref="F2574:J2574" ca="1" si="2572">IFERROR(__xludf.DUMMYFUNCTION("if (A2574 &lt;&gt; """", GOOGLETRANSLATE(A2574, ""auto"", ""en""), """")"),"")</f>
        <v/>
      </c>
      <c r="G2574" s="49" t="str">
        <f t="shared" ca="1" si="2572"/>
        <v/>
      </c>
      <c r="H2574" s="49" t="str">
        <f t="shared" ca="1" si="2572"/>
        <v/>
      </c>
      <c r="I2574" s="49" t="str">
        <f t="shared" ca="1" si="2572"/>
        <v/>
      </c>
      <c r="J2574" s="49" t="str">
        <f t="shared" ca="1" si="2572"/>
        <v/>
      </c>
    </row>
    <row r="2575" spans="1:10" ht="12.75" x14ac:dyDescent="0.2">
      <c r="A2575" s="40"/>
      <c r="B2575" s="41" t="s">
        <v>400</v>
      </c>
      <c r="C2575" s="41" t="s">
        <v>2068</v>
      </c>
      <c r="D2575" s="40"/>
      <c r="E2575" s="40"/>
      <c r="F2575" s="49" t="str">
        <f t="shared" ref="F2575:J2575" ca="1" si="2573">IFERROR(__xludf.DUMMYFUNCTION("if (A2575 &lt;&gt; """", GOOGLETRANSLATE(A2575, ""auto"", ""en""), """")"),"")</f>
        <v/>
      </c>
      <c r="G2575" s="49" t="str">
        <f t="shared" ca="1" si="2573"/>
        <v/>
      </c>
      <c r="H2575" s="49" t="str">
        <f t="shared" ca="1" si="2573"/>
        <v/>
      </c>
      <c r="I2575" s="49" t="str">
        <f t="shared" ca="1" si="2573"/>
        <v/>
      </c>
      <c r="J2575" s="49" t="str">
        <f t="shared" ca="1" si="2573"/>
        <v/>
      </c>
    </row>
    <row r="2576" spans="1:10" ht="12.75" x14ac:dyDescent="0.2">
      <c r="A2576" s="40"/>
      <c r="B2576" s="41" t="s">
        <v>401</v>
      </c>
      <c r="C2576" s="40"/>
      <c r="D2576" s="40"/>
      <c r="E2576" s="40"/>
      <c r="F2576" s="49" t="str">
        <f t="shared" ref="F2576:J2576" ca="1" si="2574">IFERROR(__xludf.DUMMYFUNCTION("if (A2576 &lt;&gt; """", GOOGLETRANSLATE(A2576, ""auto"", ""en""), """")"),"")</f>
        <v/>
      </c>
      <c r="G2576" s="49" t="str">
        <f t="shared" ca="1" si="2574"/>
        <v/>
      </c>
      <c r="H2576" s="49" t="str">
        <f t="shared" ca="1" si="2574"/>
        <v/>
      </c>
      <c r="I2576" s="49" t="str">
        <f t="shared" ca="1" si="2574"/>
        <v/>
      </c>
      <c r="J2576" s="49" t="str">
        <f t="shared" ca="1" si="2574"/>
        <v/>
      </c>
    </row>
    <row r="2577" spans="1:10" ht="25.5" x14ac:dyDescent="0.2">
      <c r="A2577" s="41" t="s">
        <v>2069</v>
      </c>
      <c r="B2577" s="41" t="s">
        <v>402</v>
      </c>
      <c r="C2577" s="41" t="s">
        <v>2070</v>
      </c>
      <c r="D2577" s="40"/>
      <c r="E2577" s="40"/>
      <c r="F2577" s="49" t="str">
        <f t="shared" ref="F2577:J2577" ca="1" si="2575">IFERROR(__xludf.DUMMYFUNCTION("if (A2577 &lt;&gt; """", GOOGLETRANSLATE(A2577, ""auto"", ""en""), """")"),"test")</f>
        <v>test</v>
      </c>
      <c r="G2577" s="49" t="str">
        <f t="shared" ca="1" si="2575"/>
        <v>test</v>
      </c>
      <c r="H2577" s="49" t="str">
        <f t="shared" ca="1" si="2575"/>
        <v>test</v>
      </c>
      <c r="I2577" s="49" t="str">
        <f t="shared" ca="1" si="2575"/>
        <v>test</v>
      </c>
      <c r="J2577" s="49" t="str">
        <f t="shared" ca="1" si="2575"/>
        <v>test</v>
      </c>
    </row>
    <row r="2578" spans="1:10" ht="25.5" x14ac:dyDescent="0.2">
      <c r="A2578" s="41" t="s">
        <v>2071</v>
      </c>
      <c r="B2578" s="40"/>
      <c r="C2578" s="40"/>
      <c r="D2578" s="40"/>
      <c r="E2578" s="40"/>
      <c r="F2578" s="49" t="str">
        <f t="shared" ref="F2578:J2578" ca="1" si="2576">IFERROR(__xludf.DUMMYFUNCTION("if (A2578 &lt;&gt; """", GOOGLETRANSLATE(A2578, ""auto"", ""en""), """")"),"You have to try your")</f>
        <v>You have to try your</v>
      </c>
      <c r="G2578" s="49" t="str">
        <f t="shared" ca="1" si="2576"/>
        <v>You have to try your</v>
      </c>
      <c r="H2578" s="49" t="str">
        <f t="shared" ca="1" si="2576"/>
        <v>You have to try your</v>
      </c>
      <c r="I2578" s="49" t="str">
        <f t="shared" ca="1" si="2576"/>
        <v>You have to try your</v>
      </c>
      <c r="J2578" s="49" t="str">
        <f t="shared" ca="1" si="2576"/>
        <v>You have to try your</v>
      </c>
    </row>
    <row r="2579" spans="1:10" ht="38.25" x14ac:dyDescent="0.2">
      <c r="A2579" s="41" t="s">
        <v>2072</v>
      </c>
      <c r="B2579" s="40"/>
      <c r="C2579" s="40"/>
      <c r="D2579" s="40"/>
      <c r="E2579" s="40"/>
      <c r="F2579" s="49" t="str">
        <f t="shared" ref="F2579:J2579" ca="1" si="2577">IFERROR(__xludf.DUMMYFUNCTION("if (A2579 &lt;&gt; """", GOOGLETRANSLATE(A2579, ""auto"", ""en""), """")"),"Are you sure you want to try your")</f>
        <v>Are you sure you want to try your</v>
      </c>
      <c r="G2579" s="49" t="str">
        <f t="shared" ca="1" si="2577"/>
        <v>Are you sure you want to try your</v>
      </c>
      <c r="H2579" s="49" t="str">
        <f t="shared" ca="1" si="2577"/>
        <v>Are you sure you want to try your</v>
      </c>
      <c r="I2579" s="49" t="str">
        <f t="shared" ca="1" si="2577"/>
        <v>Are you sure you want to try your</v>
      </c>
      <c r="J2579" s="49" t="str">
        <f t="shared" ca="1" si="2577"/>
        <v>Are you sure you want to try your</v>
      </c>
    </row>
    <row r="2580" spans="1:10" ht="25.5" x14ac:dyDescent="0.2">
      <c r="A2580" s="41" t="s">
        <v>2073</v>
      </c>
      <c r="B2580" s="40"/>
      <c r="C2580" s="40"/>
      <c r="D2580" s="40"/>
      <c r="E2580" s="40"/>
      <c r="F2580" s="49" t="str">
        <f t="shared" ref="F2580:J2580" ca="1" si="2578">IFERROR(__xludf.DUMMYFUNCTION("if (A2580 &lt;&gt; """", GOOGLETRANSLATE(A2580, ""auto"", ""en""), """")"),"Want to try your")</f>
        <v>Want to try your</v>
      </c>
      <c r="G2580" s="49" t="str">
        <f t="shared" ca="1" si="2578"/>
        <v>Want to try your</v>
      </c>
      <c r="H2580" s="49" t="str">
        <f t="shared" ca="1" si="2578"/>
        <v>Want to try your</v>
      </c>
      <c r="I2580" s="49" t="str">
        <f t="shared" ca="1" si="2578"/>
        <v>Want to try your</v>
      </c>
      <c r="J2580" s="49" t="str">
        <f t="shared" ca="1" si="2578"/>
        <v>Want to try your</v>
      </c>
    </row>
    <row r="2581" spans="1:10" ht="25.5" x14ac:dyDescent="0.2">
      <c r="A2581" s="41" t="s">
        <v>2074</v>
      </c>
      <c r="B2581" s="40"/>
      <c r="C2581" s="40"/>
      <c r="D2581" s="40"/>
      <c r="E2581" s="40"/>
      <c r="F2581" s="49" t="str">
        <f t="shared" ref="F2581:J2581" ca="1" si="2579">IFERROR(__xludf.DUMMYFUNCTION("if (A2581 &lt;&gt; """", GOOGLETRANSLATE(A2581, ""auto"", ""en""), """")"),"Have a little try")</f>
        <v>Have a little try</v>
      </c>
      <c r="G2581" s="49" t="str">
        <f t="shared" ca="1" si="2579"/>
        <v>Have a little try</v>
      </c>
      <c r="H2581" s="49" t="str">
        <f t="shared" ca="1" si="2579"/>
        <v>Have a little try</v>
      </c>
      <c r="I2581" s="49" t="str">
        <f t="shared" ca="1" si="2579"/>
        <v>Have a little try</v>
      </c>
      <c r="J2581" s="49" t="str">
        <f t="shared" ca="1" si="2579"/>
        <v>Have a little try</v>
      </c>
    </row>
    <row r="2582" spans="1:10" ht="25.5" x14ac:dyDescent="0.2">
      <c r="A2582" s="41" t="s">
        <v>2075</v>
      </c>
      <c r="B2582" s="40"/>
      <c r="C2582" s="40"/>
      <c r="D2582" s="40"/>
      <c r="E2582" s="40"/>
      <c r="F2582" s="49" t="str">
        <f t="shared" ref="F2582:J2582" ca="1" si="2580">IFERROR(__xludf.DUMMYFUNCTION("if (A2582 &lt;&gt; """", GOOGLETRANSLATE(A2582, ""auto"", ""en""), """")"),"Please let me try you")</f>
        <v>Please let me try you</v>
      </c>
      <c r="G2582" s="49" t="str">
        <f t="shared" ca="1" si="2580"/>
        <v>Please let me try you</v>
      </c>
      <c r="H2582" s="49" t="str">
        <f t="shared" ca="1" si="2580"/>
        <v>Please let me try you</v>
      </c>
      <c r="I2582" s="49" t="str">
        <f t="shared" ca="1" si="2580"/>
        <v>Please let me try you</v>
      </c>
      <c r="J2582" s="49" t="str">
        <f t="shared" ca="1" si="2580"/>
        <v>Please let me try you</v>
      </c>
    </row>
    <row r="2583" spans="1:10" ht="25.5" x14ac:dyDescent="0.2">
      <c r="A2583" s="41" t="s">
        <v>2076</v>
      </c>
      <c r="B2583" s="40"/>
      <c r="C2583" s="40"/>
      <c r="D2583" s="40"/>
      <c r="E2583" s="40"/>
      <c r="F2583" s="49" t="str">
        <f t="shared" ref="F2583:J2583" ca="1" si="2581">IFERROR(__xludf.DUMMYFUNCTION("if (A2583 &lt;&gt; """", GOOGLETRANSLATE(A2583, ""auto"", ""en""), """")"),"I have tried the chat bot")</f>
        <v>I have tried the chat bot</v>
      </c>
      <c r="G2583" s="49" t="str">
        <f t="shared" ca="1" si="2581"/>
        <v>I have tried the chat bot</v>
      </c>
      <c r="H2583" s="49" t="str">
        <f t="shared" ca="1" si="2581"/>
        <v>I have tried the chat bot</v>
      </c>
      <c r="I2583" s="49" t="str">
        <f t="shared" ca="1" si="2581"/>
        <v>I have tried the chat bot</v>
      </c>
      <c r="J2583" s="49" t="str">
        <f t="shared" ca="1" si="2581"/>
        <v>I have tried the chat bot</v>
      </c>
    </row>
    <row r="2584" spans="1:10" ht="25.5" x14ac:dyDescent="0.2">
      <c r="A2584" s="41" t="s">
        <v>2077</v>
      </c>
      <c r="B2584" s="40"/>
      <c r="C2584" s="40"/>
      <c r="D2584" s="40"/>
      <c r="E2584" s="40"/>
      <c r="F2584" s="49" t="str">
        <f t="shared" ref="F2584:J2584" ca="1" si="2582">IFERROR(__xludf.DUMMYFUNCTION("if (A2584 &lt;&gt; """", GOOGLETRANSLATE(A2584, ""auto"", ""en""), """")"),"During the test")</f>
        <v>During the test</v>
      </c>
      <c r="G2584" s="49" t="str">
        <f t="shared" ca="1" si="2582"/>
        <v>During the test</v>
      </c>
      <c r="H2584" s="49" t="str">
        <f t="shared" ca="1" si="2582"/>
        <v>During the test</v>
      </c>
      <c r="I2584" s="49" t="str">
        <f t="shared" ca="1" si="2582"/>
        <v>During the test</v>
      </c>
      <c r="J2584" s="49" t="str">
        <f t="shared" ca="1" si="2582"/>
        <v>During the test</v>
      </c>
    </row>
    <row r="2585" spans="1:10" ht="12.75" x14ac:dyDescent="0.2">
      <c r="A2585" s="40"/>
      <c r="B2585" s="40"/>
      <c r="C2585" s="40"/>
      <c r="D2585" s="40"/>
      <c r="E2585" s="40"/>
      <c r="F2585" s="49" t="str">
        <f t="shared" ref="F2585:J2585" ca="1" si="2583">IFERROR(__xludf.DUMMYFUNCTION("if (A2585 &lt;&gt; """", GOOGLETRANSLATE(A2585, ""auto"", ""en""), """")"),"")</f>
        <v/>
      </c>
      <c r="G2585" s="49" t="str">
        <f t="shared" ca="1" si="2583"/>
        <v/>
      </c>
      <c r="H2585" s="49" t="str">
        <f t="shared" ca="1" si="2583"/>
        <v/>
      </c>
      <c r="I2585" s="49" t="str">
        <f t="shared" ca="1" si="2583"/>
        <v/>
      </c>
      <c r="J2585" s="49" t="str">
        <f t="shared" ca="1" si="2583"/>
        <v/>
      </c>
    </row>
    <row r="2586" spans="1:10" ht="25.5" x14ac:dyDescent="0.2">
      <c r="A2586" s="41" t="s">
        <v>2078</v>
      </c>
      <c r="B2586" s="40"/>
      <c r="C2586" s="40"/>
      <c r="D2586" s="40"/>
      <c r="E2586" s="40"/>
      <c r="F2586" s="49" t="str">
        <f t="shared" ref="F2586:J2586" ca="1" si="2584">IFERROR(__xludf.DUMMYFUNCTION("if (A2586 &lt;&gt; """", GOOGLETRANSLATE(A2586, ""auto"", ""en""), """")"),"smalltalk.user.tired")</f>
        <v>smalltalk.user.tired</v>
      </c>
      <c r="G2586" s="49" t="str">
        <f t="shared" ca="1" si="2584"/>
        <v>smalltalk.user.tired</v>
      </c>
      <c r="H2586" s="49" t="str">
        <f t="shared" ca="1" si="2584"/>
        <v>smalltalk.user.tired</v>
      </c>
      <c r="I2586" s="49" t="str">
        <f t="shared" ca="1" si="2584"/>
        <v>smalltalk.user.tired</v>
      </c>
      <c r="J2586" s="49" t="str">
        <f t="shared" ca="1" si="2584"/>
        <v>smalltalk.user.tired</v>
      </c>
    </row>
    <row r="2587" spans="1:10" ht="12.75" x14ac:dyDescent="0.2">
      <c r="A2587" s="40"/>
      <c r="B2587" s="41" t="s">
        <v>398</v>
      </c>
      <c r="C2587" s="40"/>
      <c r="D2587" s="40"/>
      <c r="E2587" s="40"/>
      <c r="F2587" s="49" t="str">
        <f t="shared" ref="F2587:J2587" ca="1" si="2585">IFERROR(__xludf.DUMMYFUNCTION("if (A2587 &lt;&gt; """", GOOGLETRANSLATE(A2587, ""auto"", ""en""), """")"),"")</f>
        <v/>
      </c>
      <c r="G2587" s="49" t="str">
        <f t="shared" ca="1" si="2585"/>
        <v/>
      </c>
      <c r="H2587" s="49" t="str">
        <f t="shared" ca="1" si="2585"/>
        <v/>
      </c>
      <c r="I2587" s="49" t="str">
        <f t="shared" ca="1" si="2585"/>
        <v/>
      </c>
      <c r="J2587" s="49" t="str">
        <f t="shared" ca="1" si="2585"/>
        <v/>
      </c>
    </row>
    <row r="2588" spans="1:10" ht="12.75" x14ac:dyDescent="0.2">
      <c r="A2588" s="40"/>
      <c r="B2588" s="41" t="s">
        <v>399</v>
      </c>
      <c r="C2588" s="40"/>
      <c r="D2588" s="40"/>
      <c r="E2588" s="40"/>
      <c r="F2588" s="49" t="str">
        <f t="shared" ref="F2588:J2588" ca="1" si="2586">IFERROR(__xludf.DUMMYFUNCTION("if (A2588 &lt;&gt; """", GOOGLETRANSLATE(A2588, ""auto"", ""en""), """")"),"")</f>
        <v/>
      </c>
      <c r="G2588" s="49" t="str">
        <f t="shared" ca="1" si="2586"/>
        <v/>
      </c>
      <c r="H2588" s="49" t="str">
        <f t="shared" ca="1" si="2586"/>
        <v/>
      </c>
      <c r="I2588" s="49" t="str">
        <f t="shared" ca="1" si="2586"/>
        <v/>
      </c>
      <c r="J2588" s="49" t="str">
        <f t="shared" ca="1" si="2586"/>
        <v/>
      </c>
    </row>
    <row r="2589" spans="1:10" ht="12.75" x14ac:dyDescent="0.2">
      <c r="A2589" s="40"/>
      <c r="B2589" s="41" t="s">
        <v>400</v>
      </c>
      <c r="C2589" s="41" t="s">
        <v>2078</v>
      </c>
      <c r="D2589" s="40"/>
      <c r="E2589" s="40"/>
      <c r="F2589" s="49" t="str">
        <f t="shared" ref="F2589:J2589" ca="1" si="2587">IFERROR(__xludf.DUMMYFUNCTION("if (A2589 &lt;&gt; """", GOOGLETRANSLATE(A2589, ""auto"", ""en""), """")"),"")</f>
        <v/>
      </c>
      <c r="G2589" s="49" t="str">
        <f t="shared" ca="1" si="2587"/>
        <v/>
      </c>
      <c r="H2589" s="49" t="str">
        <f t="shared" ca="1" si="2587"/>
        <v/>
      </c>
      <c r="I2589" s="49" t="str">
        <f t="shared" ca="1" si="2587"/>
        <v/>
      </c>
      <c r="J2589" s="49" t="str">
        <f t="shared" ca="1" si="2587"/>
        <v/>
      </c>
    </row>
    <row r="2590" spans="1:10" ht="12.75" x14ac:dyDescent="0.2">
      <c r="A2590" s="40"/>
      <c r="B2590" s="41" t="s">
        <v>401</v>
      </c>
      <c r="C2590" s="40"/>
      <c r="D2590" s="40"/>
      <c r="E2590" s="40"/>
      <c r="F2590" s="49" t="str">
        <f t="shared" ref="F2590:J2590" ca="1" si="2588">IFERROR(__xludf.DUMMYFUNCTION("if (A2590 &lt;&gt; """", GOOGLETRANSLATE(A2590, ""auto"", ""en""), """")"),"")</f>
        <v/>
      </c>
      <c r="G2590" s="49" t="str">
        <f t="shared" ca="1" si="2588"/>
        <v/>
      </c>
      <c r="H2590" s="49" t="str">
        <f t="shared" ca="1" si="2588"/>
        <v/>
      </c>
      <c r="I2590" s="49" t="str">
        <f t="shared" ca="1" si="2588"/>
        <v/>
      </c>
      <c r="J2590" s="49" t="str">
        <f t="shared" ca="1" si="2588"/>
        <v/>
      </c>
    </row>
    <row r="2591" spans="1:10" ht="25.5" x14ac:dyDescent="0.2">
      <c r="A2591" s="41" t="s">
        <v>2079</v>
      </c>
      <c r="B2591" s="41" t="s">
        <v>402</v>
      </c>
      <c r="C2591" s="41" t="s">
        <v>2080</v>
      </c>
      <c r="D2591" s="40"/>
      <c r="E2591" s="40"/>
      <c r="F2591" s="49" t="str">
        <f t="shared" ref="F2591:J2591" ca="1" si="2589">IFERROR(__xludf.DUMMYFUNCTION("if (A2591 &lt;&gt; """", GOOGLETRANSLATE(A2591, ""auto"", ""en""), """")"),"I work too hard")</f>
        <v>I work too hard</v>
      </c>
      <c r="G2591" s="49" t="str">
        <f t="shared" ca="1" si="2589"/>
        <v>I work too hard</v>
      </c>
      <c r="H2591" s="49" t="str">
        <f t="shared" ca="1" si="2589"/>
        <v>I work too hard</v>
      </c>
      <c r="I2591" s="49" t="str">
        <f t="shared" ca="1" si="2589"/>
        <v>I work too hard</v>
      </c>
      <c r="J2591" s="49" t="str">
        <f t="shared" ca="1" si="2589"/>
        <v>I work too hard</v>
      </c>
    </row>
    <row r="2592" spans="1:10" ht="12.75" x14ac:dyDescent="0.2">
      <c r="A2592" s="41" t="s">
        <v>2081</v>
      </c>
      <c r="B2592" s="40"/>
      <c r="C2592" s="40"/>
      <c r="D2592" s="40"/>
      <c r="E2592" s="40"/>
      <c r="F2592" s="49" t="str">
        <f t="shared" ref="F2592:J2592" ca="1" si="2590">IFERROR(__xludf.DUMMYFUNCTION("if (A2592 &lt;&gt; """", GOOGLETRANSLATE(A2592, ""auto"", ""en""), """")"),"I'm tired")</f>
        <v>I'm tired</v>
      </c>
      <c r="G2592" s="49" t="str">
        <f t="shared" ca="1" si="2590"/>
        <v>I'm tired</v>
      </c>
      <c r="H2592" s="49" t="str">
        <f t="shared" ca="1" si="2590"/>
        <v>I'm tired</v>
      </c>
      <c r="I2592" s="49" t="str">
        <f t="shared" ca="1" si="2590"/>
        <v>I'm tired</v>
      </c>
      <c r="J2592" s="49" t="str">
        <f t="shared" ca="1" si="2590"/>
        <v>I'm tired</v>
      </c>
    </row>
    <row r="2593" spans="1:10" ht="12.75" x14ac:dyDescent="0.2">
      <c r="A2593" s="41" t="s">
        <v>2082</v>
      </c>
      <c r="B2593" s="40"/>
      <c r="C2593" s="40"/>
      <c r="D2593" s="40"/>
      <c r="E2593" s="40"/>
      <c r="F2593" s="49" t="str">
        <f t="shared" ref="F2593:J2593" ca="1" si="2591">IFERROR(__xludf.DUMMYFUNCTION("if (A2593 &lt;&gt; """", GOOGLETRANSLATE(A2593, ""auto"", ""en""), """")"),"You tired")</f>
        <v>You tired</v>
      </c>
      <c r="G2593" s="49" t="str">
        <f t="shared" ca="1" si="2591"/>
        <v>You tired</v>
      </c>
      <c r="H2593" s="49" t="str">
        <f t="shared" ca="1" si="2591"/>
        <v>You tired</v>
      </c>
      <c r="I2593" s="49" t="str">
        <f t="shared" ca="1" si="2591"/>
        <v>You tired</v>
      </c>
      <c r="J2593" s="49" t="str">
        <f t="shared" ca="1" si="2591"/>
        <v>You tired</v>
      </c>
    </row>
    <row r="2594" spans="1:10" ht="25.5" x14ac:dyDescent="0.2">
      <c r="A2594" s="41" t="s">
        <v>2083</v>
      </c>
      <c r="B2594" s="40"/>
      <c r="C2594" s="40"/>
      <c r="D2594" s="40"/>
      <c r="E2594" s="40"/>
      <c r="F2594" s="49" t="str">
        <f t="shared" ref="F2594:J2594" ca="1" si="2592">IFERROR(__xludf.DUMMYFUNCTION("if (A2594 &lt;&gt; """", GOOGLETRANSLATE(A2594, ""auto"", ""en""), """")"),"It is exhausted")</f>
        <v>It is exhausted</v>
      </c>
      <c r="G2594" s="49" t="str">
        <f t="shared" ca="1" si="2592"/>
        <v>It is exhausted</v>
      </c>
      <c r="H2594" s="49" t="str">
        <f t="shared" ca="1" si="2592"/>
        <v>It is exhausted</v>
      </c>
      <c r="I2594" s="49" t="str">
        <f t="shared" ca="1" si="2592"/>
        <v>It is exhausted</v>
      </c>
      <c r="J2594" s="49" t="str">
        <f t="shared" ca="1" si="2592"/>
        <v>It is exhausted</v>
      </c>
    </row>
    <row r="2595" spans="1:10" ht="12.75" x14ac:dyDescent="0.2">
      <c r="A2595" s="41" t="s">
        <v>2084</v>
      </c>
      <c r="B2595" s="40"/>
      <c r="C2595" s="40"/>
      <c r="D2595" s="40"/>
      <c r="E2595" s="40"/>
      <c r="F2595" s="49" t="str">
        <f t="shared" ref="F2595:J2595" ca="1" si="2593">IFERROR(__xludf.DUMMYFUNCTION("if (A2595 &lt;&gt; """", GOOGLETRANSLATE(A2595, ""auto"", ""en""), """")"),"Have tired")</f>
        <v>Have tired</v>
      </c>
      <c r="G2595" s="49" t="str">
        <f t="shared" ca="1" si="2593"/>
        <v>Have tired</v>
      </c>
      <c r="H2595" s="49" t="str">
        <f t="shared" ca="1" si="2593"/>
        <v>Have tired</v>
      </c>
      <c r="I2595" s="49" t="str">
        <f t="shared" ca="1" si="2593"/>
        <v>Have tired</v>
      </c>
      <c r="J2595" s="49" t="str">
        <f t="shared" ca="1" si="2593"/>
        <v>Have tired</v>
      </c>
    </row>
    <row r="2596" spans="1:10" ht="12.75" x14ac:dyDescent="0.2">
      <c r="A2596" s="41" t="s">
        <v>2085</v>
      </c>
      <c r="B2596" s="40"/>
      <c r="C2596" s="40"/>
      <c r="D2596" s="40"/>
      <c r="E2596" s="40"/>
      <c r="F2596" s="49" t="str">
        <f t="shared" ref="F2596:J2596" ca="1" si="2594">IFERROR(__xludf.DUMMYFUNCTION("if (A2596 &lt;&gt; """", GOOGLETRANSLATE(A2596, ""auto"", ""en""), """")"),"I'm tired")</f>
        <v>I'm tired</v>
      </c>
      <c r="G2596" s="49" t="str">
        <f t="shared" ca="1" si="2594"/>
        <v>I'm tired</v>
      </c>
      <c r="H2596" s="49" t="str">
        <f t="shared" ca="1" si="2594"/>
        <v>I'm tired</v>
      </c>
      <c r="I2596" s="49" t="str">
        <f t="shared" ca="1" si="2594"/>
        <v>I'm tired</v>
      </c>
      <c r="J2596" s="49" t="str">
        <f t="shared" ca="1" si="2594"/>
        <v>I'm tired</v>
      </c>
    </row>
    <row r="2597" spans="1:10" ht="12.75" x14ac:dyDescent="0.2">
      <c r="A2597" s="40"/>
      <c r="B2597" s="40"/>
      <c r="C2597" s="40"/>
      <c r="D2597" s="40"/>
      <c r="E2597" s="40"/>
      <c r="F2597" s="49" t="str">
        <f t="shared" ref="F2597:J2597" ca="1" si="2595">IFERROR(__xludf.DUMMYFUNCTION("if (A2597 &lt;&gt; """", GOOGLETRANSLATE(A2597, ""auto"", ""en""), """")"),"")</f>
        <v/>
      </c>
      <c r="G2597" s="49" t="str">
        <f t="shared" ca="1" si="2595"/>
        <v/>
      </c>
      <c r="H2597" s="49" t="str">
        <f t="shared" ca="1" si="2595"/>
        <v/>
      </c>
      <c r="I2597" s="49" t="str">
        <f t="shared" ca="1" si="2595"/>
        <v/>
      </c>
      <c r="J2597" s="49" t="str">
        <f t="shared" ca="1" si="2595"/>
        <v/>
      </c>
    </row>
    <row r="2598" spans="1:10" ht="25.5" x14ac:dyDescent="0.2">
      <c r="A2598" s="41" t="s">
        <v>2086</v>
      </c>
      <c r="B2598" s="40"/>
      <c r="C2598" s="40"/>
      <c r="D2598" s="40"/>
      <c r="E2598" s="40"/>
      <c r="F2598" s="49" t="str">
        <f t="shared" ref="F2598:J2598" ca="1" si="2596">IFERROR(__xludf.DUMMYFUNCTION("if (A2598 &lt;&gt; """", GOOGLETRANSLATE(A2598, ""auto"", ""en""), """")"),"smalltalk.user.waits")</f>
        <v>smalltalk.user.waits</v>
      </c>
      <c r="G2598" s="49" t="str">
        <f t="shared" ca="1" si="2596"/>
        <v>smalltalk.user.waits</v>
      </c>
      <c r="H2598" s="49" t="str">
        <f t="shared" ca="1" si="2596"/>
        <v>smalltalk.user.waits</v>
      </c>
      <c r="I2598" s="49" t="str">
        <f t="shared" ca="1" si="2596"/>
        <v>smalltalk.user.waits</v>
      </c>
      <c r="J2598" s="49" t="str">
        <f t="shared" ca="1" si="2596"/>
        <v>smalltalk.user.waits</v>
      </c>
    </row>
    <row r="2599" spans="1:10" ht="12.75" x14ac:dyDescent="0.2">
      <c r="A2599" s="40"/>
      <c r="B2599" s="41" t="s">
        <v>398</v>
      </c>
      <c r="C2599" s="40"/>
      <c r="D2599" s="40"/>
      <c r="E2599" s="40"/>
      <c r="F2599" s="49" t="str">
        <f t="shared" ref="F2599:J2599" ca="1" si="2597">IFERROR(__xludf.DUMMYFUNCTION("if (A2599 &lt;&gt; """", GOOGLETRANSLATE(A2599, ""auto"", ""en""), """")"),"")</f>
        <v/>
      </c>
      <c r="G2599" s="49" t="str">
        <f t="shared" ca="1" si="2597"/>
        <v/>
      </c>
      <c r="H2599" s="49" t="str">
        <f t="shared" ca="1" si="2597"/>
        <v/>
      </c>
      <c r="I2599" s="49" t="str">
        <f t="shared" ca="1" si="2597"/>
        <v/>
      </c>
      <c r="J2599" s="49" t="str">
        <f t="shared" ca="1" si="2597"/>
        <v/>
      </c>
    </row>
    <row r="2600" spans="1:10" ht="12.75" x14ac:dyDescent="0.2">
      <c r="A2600" s="40"/>
      <c r="B2600" s="41" t="s">
        <v>399</v>
      </c>
      <c r="C2600" s="40"/>
      <c r="D2600" s="40"/>
      <c r="E2600" s="40"/>
      <c r="F2600" s="49" t="str">
        <f t="shared" ref="F2600:J2600" ca="1" si="2598">IFERROR(__xludf.DUMMYFUNCTION("if (A2600 &lt;&gt; """", GOOGLETRANSLATE(A2600, ""auto"", ""en""), """")"),"")</f>
        <v/>
      </c>
      <c r="G2600" s="49" t="str">
        <f t="shared" ca="1" si="2598"/>
        <v/>
      </c>
      <c r="H2600" s="49" t="str">
        <f t="shared" ca="1" si="2598"/>
        <v/>
      </c>
      <c r="I2600" s="49" t="str">
        <f t="shared" ca="1" si="2598"/>
        <v/>
      </c>
      <c r="J2600" s="49" t="str">
        <f t="shared" ca="1" si="2598"/>
        <v/>
      </c>
    </row>
    <row r="2601" spans="1:10" ht="12.75" x14ac:dyDescent="0.2">
      <c r="A2601" s="40"/>
      <c r="B2601" s="41" t="s">
        <v>400</v>
      </c>
      <c r="C2601" s="41" t="s">
        <v>2086</v>
      </c>
      <c r="D2601" s="40"/>
      <c r="E2601" s="40"/>
      <c r="F2601" s="49" t="str">
        <f t="shared" ref="F2601:J2601" ca="1" si="2599">IFERROR(__xludf.DUMMYFUNCTION("if (A2601 &lt;&gt; """", GOOGLETRANSLATE(A2601, ""auto"", ""en""), """")"),"")</f>
        <v/>
      </c>
      <c r="G2601" s="49" t="str">
        <f t="shared" ca="1" si="2599"/>
        <v/>
      </c>
      <c r="H2601" s="49" t="str">
        <f t="shared" ca="1" si="2599"/>
        <v/>
      </c>
      <c r="I2601" s="49" t="str">
        <f t="shared" ca="1" si="2599"/>
        <v/>
      </c>
      <c r="J2601" s="49" t="str">
        <f t="shared" ca="1" si="2599"/>
        <v/>
      </c>
    </row>
    <row r="2602" spans="1:10" ht="12.75" x14ac:dyDescent="0.2">
      <c r="A2602" s="40"/>
      <c r="B2602" s="41" t="s">
        <v>401</v>
      </c>
      <c r="C2602" s="40"/>
      <c r="D2602" s="40"/>
      <c r="E2602" s="40"/>
      <c r="F2602" s="49" t="str">
        <f t="shared" ref="F2602:J2602" ca="1" si="2600">IFERROR(__xludf.DUMMYFUNCTION("if (A2602 &lt;&gt; """", GOOGLETRANSLATE(A2602, ""auto"", ""en""), """")"),"")</f>
        <v/>
      </c>
      <c r="G2602" s="49" t="str">
        <f t="shared" ca="1" si="2600"/>
        <v/>
      </c>
      <c r="H2602" s="49" t="str">
        <f t="shared" ca="1" si="2600"/>
        <v/>
      </c>
      <c r="I2602" s="49" t="str">
        <f t="shared" ca="1" si="2600"/>
        <v/>
      </c>
      <c r="J2602" s="49" t="str">
        <f t="shared" ca="1" si="2600"/>
        <v/>
      </c>
    </row>
    <row r="2603" spans="1:10" ht="25.5" x14ac:dyDescent="0.2">
      <c r="A2603" s="41" t="s">
        <v>2087</v>
      </c>
      <c r="B2603" s="41" t="s">
        <v>402</v>
      </c>
      <c r="C2603" s="41" t="s">
        <v>2088</v>
      </c>
      <c r="D2603" s="40"/>
      <c r="E2603" s="40"/>
      <c r="F2603" s="49" t="str">
        <f t="shared" ref="F2603:J2603" ca="1" si="2601">IFERROR(__xludf.DUMMYFUNCTION("if (A2603 &lt;&gt; """", GOOGLETRANSLATE(A2603, ""auto"", ""en""), """")"),"waiting")</f>
        <v>waiting</v>
      </c>
      <c r="G2603" s="49" t="str">
        <f t="shared" ca="1" si="2601"/>
        <v>waiting</v>
      </c>
      <c r="H2603" s="49" t="str">
        <f t="shared" ca="1" si="2601"/>
        <v>waiting</v>
      </c>
      <c r="I2603" s="49" t="str">
        <f t="shared" ca="1" si="2601"/>
        <v>waiting</v>
      </c>
      <c r="J2603" s="49" t="str">
        <f t="shared" ca="1" si="2601"/>
        <v>waiting</v>
      </c>
    </row>
    <row r="2604" spans="1:10" ht="12.75" x14ac:dyDescent="0.2">
      <c r="A2604" s="41" t="s">
        <v>2089</v>
      </c>
      <c r="B2604" s="40"/>
      <c r="C2604" s="40"/>
      <c r="D2604" s="40"/>
      <c r="E2604" s="40"/>
      <c r="F2604" s="49" t="str">
        <f t="shared" ref="F2604:J2604" ca="1" si="2602">IFERROR(__xludf.DUMMYFUNCTION("if (A2604 &lt;&gt; """", GOOGLETRANSLATE(A2604, ""auto"", ""en""), """")"),"Still waiting")</f>
        <v>Still waiting</v>
      </c>
      <c r="G2604" s="49" t="str">
        <f t="shared" ca="1" si="2602"/>
        <v>Still waiting</v>
      </c>
      <c r="H2604" s="49" t="str">
        <f t="shared" ca="1" si="2602"/>
        <v>Still waiting</v>
      </c>
      <c r="I2604" s="49" t="str">
        <f t="shared" ca="1" si="2602"/>
        <v>Still waiting</v>
      </c>
      <c r="J2604" s="49" t="str">
        <f t="shared" ca="1" si="2602"/>
        <v>Still waiting</v>
      </c>
    </row>
    <row r="2605" spans="1:10" ht="12.75" x14ac:dyDescent="0.2">
      <c r="A2605" s="41" t="s">
        <v>2090</v>
      </c>
      <c r="B2605" s="40"/>
      <c r="C2605" s="40"/>
      <c r="D2605" s="40"/>
      <c r="E2605" s="40"/>
      <c r="F2605" s="49" t="str">
        <f t="shared" ref="F2605:J2605" ca="1" si="2603">IFERROR(__xludf.DUMMYFUNCTION("if (A2605 &lt;&gt; """", GOOGLETRANSLATE(A2605, ""auto"", ""en""), """")"),"wait")</f>
        <v>wait</v>
      </c>
      <c r="G2605" s="49" t="str">
        <f t="shared" ca="1" si="2603"/>
        <v>wait</v>
      </c>
      <c r="H2605" s="49" t="str">
        <f t="shared" ca="1" si="2603"/>
        <v>wait</v>
      </c>
      <c r="I2605" s="49" t="str">
        <f t="shared" ca="1" si="2603"/>
        <v>wait</v>
      </c>
      <c r="J2605" s="49" t="str">
        <f t="shared" ca="1" si="2603"/>
        <v>wait</v>
      </c>
    </row>
    <row r="2606" spans="1:10" ht="25.5" x14ac:dyDescent="0.2">
      <c r="A2606" s="41" t="s">
        <v>2091</v>
      </c>
      <c r="B2606" s="40"/>
      <c r="C2606" s="40"/>
      <c r="D2606" s="40"/>
      <c r="E2606" s="40"/>
      <c r="F2606" s="49" t="str">
        <f t="shared" ref="F2606:J2606" ca="1" si="2604">IFERROR(__xludf.DUMMYFUNCTION("if (A2606 &lt;&gt; """", GOOGLETRANSLATE(A2606, ""auto"", ""en""), """")"),"I can not wait anymore")</f>
        <v>I can not wait anymore</v>
      </c>
      <c r="G2606" s="49" t="str">
        <f t="shared" ca="1" si="2604"/>
        <v>I can not wait anymore</v>
      </c>
      <c r="H2606" s="49" t="str">
        <f t="shared" ca="1" si="2604"/>
        <v>I can not wait anymore</v>
      </c>
      <c r="I2606" s="49" t="str">
        <f t="shared" ca="1" si="2604"/>
        <v>I can not wait anymore</v>
      </c>
      <c r="J2606" s="49" t="str">
        <f t="shared" ca="1" si="2604"/>
        <v>I can not wait anymore</v>
      </c>
    </row>
    <row r="2607" spans="1:10" ht="25.5" x14ac:dyDescent="0.2">
      <c r="A2607" s="41" t="s">
        <v>2092</v>
      </c>
      <c r="B2607" s="40"/>
      <c r="C2607" s="40"/>
      <c r="D2607" s="40"/>
      <c r="E2607" s="40"/>
      <c r="F2607" s="49" t="str">
        <f t="shared" ref="F2607:J2607" ca="1" si="2605">IFERROR(__xludf.DUMMYFUNCTION("if (A2607 &lt;&gt; """", GOOGLETRANSLATE(A2607, ""auto"", ""en""), """")"),"How long wait do you need")</f>
        <v>How long wait do you need</v>
      </c>
      <c r="G2607" s="49" t="str">
        <f t="shared" ca="1" si="2605"/>
        <v>How long wait do you need</v>
      </c>
      <c r="H2607" s="49" t="str">
        <f t="shared" ca="1" si="2605"/>
        <v>How long wait do you need</v>
      </c>
      <c r="I2607" s="49" t="str">
        <f t="shared" ca="1" si="2605"/>
        <v>How long wait do you need</v>
      </c>
      <c r="J2607" s="49" t="str">
        <f t="shared" ca="1" si="2605"/>
        <v>How long wait do you need</v>
      </c>
    </row>
    <row r="2608" spans="1:10" ht="12.75" x14ac:dyDescent="0.2">
      <c r="A2608" s="40"/>
      <c r="B2608" s="41" t="s">
        <v>403</v>
      </c>
      <c r="C2608" s="41" t="s">
        <v>25</v>
      </c>
      <c r="D2608" s="41" t="s">
        <v>27</v>
      </c>
      <c r="E2608" s="40"/>
      <c r="F2608" s="49" t="str">
        <f t="shared" ref="F2608:J2608" ca="1" si="2606">IFERROR(__xludf.DUMMYFUNCTION("if (A2608 &lt;&gt; """", GOOGLETRANSLATE(A2608, ""auto"", ""en""), """")"),"")</f>
        <v/>
      </c>
      <c r="G2608" s="49" t="str">
        <f t="shared" ca="1" si="2606"/>
        <v/>
      </c>
      <c r="H2608" s="49" t="str">
        <f t="shared" ca="1" si="2606"/>
        <v/>
      </c>
      <c r="I2608" s="49" t="str">
        <f t="shared" ca="1" si="2606"/>
        <v/>
      </c>
      <c r="J2608" s="49" t="str">
        <f t="shared" ca="1" si="2606"/>
        <v/>
      </c>
    </row>
    <row r="2609" spans="1:10" ht="12.75" x14ac:dyDescent="0.2">
      <c r="A2609" s="40"/>
      <c r="B2609" s="41" t="s">
        <v>403</v>
      </c>
      <c r="C2609" s="41" t="s">
        <v>30</v>
      </c>
      <c r="D2609" s="41" t="s">
        <v>31</v>
      </c>
      <c r="E2609" s="40"/>
      <c r="F2609" s="49" t="str">
        <f t="shared" ref="F2609:J2609" ca="1" si="2607">IFERROR(__xludf.DUMMYFUNCTION("if (A2609 &lt;&gt; """", GOOGLETRANSLATE(A2609, ""auto"", ""en""), """")"),"")</f>
        <v/>
      </c>
      <c r="G2609" s="49" t="str">
        <f t="shared" ca="1" si="2607"/>
        <v/>
      </c>
      <c r="H2609" s="49" t="str">
        <f t="shared" ca="1" si="2607"/>
        <v/>
      </c>
      <c r="I2609" s="49" t="str">
        <f t="shared" ca="1" si="2607"/>
        <v/>
      </c>
      <c r="J2609" s="49" t="str">
        <f t="shared" ca="1" si="2607"/>
        <v/>
      </c>
    </row>
    <row r="2610" spans="1:10" ht="12.75" x14ac:dyDescent="0.2">
      <c r="A2610" s="40"/>
      <c r="B2610" s="41" t="s">
        <v>403</v>
      </c>
      <c r="C2610" s="41" t="s">
        <v>16</v>
      </c>
      <c r="D2610" s="41" t="s">
        <v>10</v>
      </c>
      <c r="E2610" s="40"/>
      <c r="F2610" s="49" t="str">
        <f t="shared" ref="F2610:J2610" ca="1" si="2608">IFERROR(__xludf.DUMMYFUNCTION("if (A2610 &lt;&gt; """", GOOGLETRANSLATE(A2610, ""auto"", ""en""), """")"),"")</f>
        <v/>
      </c>
      <c r="G2610" s="49" t="str">
        <f t="shared" ca="1" si="2608"/>
        <v/>
      </c>
      <c r="H2610" s="49" t="str">
        <f t="shared" ca="1" si="2608"/>
        <v/>
      </c>
      <c r="I2610" s="49" t="str">
        <f t="shared" ca="1" si="2608"/>
        <v/>
      </c>
      <c r="J2610" s="49" t="str">
        <f t="shared" ca="1" si="2608"/>
        <v/>
      </c>
    </row>
    <row r="2611" spans="1:10" ht="12.75" x14ac:dyDescent="0.2">
      <c r="A2611" s="40"/>
      <c r="B2611" s="40"/>
      <c r="C2611" s="40"/>
      <c r="D2611" s="40"/>
      <c r="E2611" s="40"/>
      <c r="F2611" s="49" t="str">
        <f t="shared" ref="F2611:J2611" ca="1" si="2609">IFERROR(__xludf.DUMMYFUNCTION("if (A2611 &lt;&gt; """", GOOGLETRANSLATE(A2611, ""auto"", ""en""), """")"),"")</f>
        <v/>
      </c>
      <c r="G2611" s="49" t="str">
        <f t="shared" ca="1" si="2609"/>
        <v/>
      </c>
      <c r="H2611" s="49" t="str">
        <f t="shared" ca="1" si="2609"/>
        <v/>
      </c>
      <c r="I2611" s="49" t="str">
        <f t="shared" ca="1" si="2609"/>
        <v/>
      </c>
      <c r="J2611" s="49" t="str">
        <f t="shared" ca="1" si="2609"/>
        <v/>
      </c>
    </row>
    <row r="2612" spans="1:10" ht="51" x14ac:dyDescent="0.2">
      <c r="A2612" s="41" t="s">
        <v>2093</v>
      </c>
      <c r="B2612" s="40"/>
      <c r="C2612" s="40"/>
      <c r="D2612" s="40"/>
      <c r="E2612" s="40"/>
      <c r="F2612" s="49" t="str">
        <f t="shared" ref="F2612:J2612" ca="1" si="2610">IFERROR(__xludf.DUMMYFUNCTION("if (A2612 &lt;&gt; """", GOOGLETRANSLATE(A2612, ""auto"", ""en""), """")"),"smalltalk.user.wants_to_see_agent_again")</f>
        <v>smalltalk.user.wants_to_see_agent_again</v>
      </c>
      <c r="G2612" s="49" t="str">
        <f t="shared" ca="1" si="2610"/>
        <v>smalltalk.user.wants_to_see_agent_again</v>
      </c>
      <c r="H2612" s="49" t="str">
        <f t="shared" ca="1" si="2610"/>
        <v>smalltalk.user.wants_to_see_agent_again</v>
      </c>
      <c r="I2612" s="49" t="str">
        <f t="shared" ca="1" si="2610"/>
        <v>smalltalk.user.wants_to_see_agent_again</v>
      </c>
      <c r="J2612" s="49" t="str">
        <f t="shared" ca="1" si="2610"/>
        <v>smalltalk.user.wants_to_see_agent_again</v>
      </c>
    </row>
    <row r="2613" spans="1:10" ht="12.75" x14ac:dyDescent="0.2">
      <c r="A2613" s="40"/>
      <c r="B2613" s="41" t="s">
        <v>398</v>
      </c>
      <c r="C2613" s="40"/>
      <c r="D2613" s="40"/>
      <c r="E2613" s="40"/>
      <c r="F2613" s="49" t="str">
        <f t="shared" ref="F2613:J2613" ca="1" si="2611">IFERROR(__xludf.DUMMYFUNCTION("if (A2613 &lt;&gt; """", GOOGLETRANSLATE(A2613, ""auto"", ""en""), """")"),"")</f>
        <v/>
      </c>
      <c r="G2613" s="49" t="str">
        <f t="shared" ca="1" si="2611"/>
        <v/>
      </c>
      <c r="H2613" s="49" t="str">
        <f t="shared" ca="1" si="2611"/>
        <v/>
      </c>
      <c r="I2613" s="49" t="str">
        <f t="shared" ca="1" si="2611"/>
        <v/>
      </c>
      <c r="J2613" s="49" t="str">
        <f t="shared" ca="1" si="2611"/>
        <v/>
      </c>
    </row>
    <row r="2614" spans="1:10" ht="12.75" x14ac:dyDescent="0.2">
      <c r="A2614" s="40"/>
      <c r="B2614" s="41" t="s">
        <v>399</v>
      </c>
      <c r="C2614" s="40"/>
      <c r="D2614" s="40"/>
      <c r="E2614" s="40"/>
      <c r="F2614" s="49" t="str">
        <f t="shared" ref="F2614:J2614" ca="1" si="2612">IFERROR(__xludf.DUMMYFUNCTION("if (A2614 &lt;&gt; """", GOOGLETRANSLATE(A2614, ""auto"", ""en""), """")"),"")</f>
        <v/>
      </c>
      <c r="G2614" s="49" t="str">
        <f t="shared" ca="1" si="2612"/>
        <v/>
      </c>
      <c r="H2614" s="49" t="str">
        <f t="shared" ca="1" si="2612"/>
        <v/>
      </c>
      <c r="I2614" s="49" t="str">
        <f t="shared" ca="1" si="2612"/>
        <v/>
      </c>
      <c r="J2614" s="49" t="str">
        <f t="shared" ca="1" si="2612"/>
        <v/>
      </c>
    </row>
    <row r="2615" spans="1:10" ht="25.5" x14ac:dyDescent="0.2">
      <c r="A2615" s="40"/>
      <c r="B2615" s="41" t="s">
        <v>400</v>
      </c>
      <c r="C2615" s="41" t="s">
        <v>2093</v>
      </c>
      <c r="D2615" s="40"/>
      <c r="E2615" s="40"/>
      <c r="F2615" s="49" t="str">
        <f t="shared" ref="F2615:J2615" ca="1" si="2613">IFERROR(__xludf.DUMMYFUNCTION("if (A2615 &lt;&gt; """", GOOGLETRANSLATE(A2615, ""auto"", ""en""), """")"),"")</f>
        <v/>
      </c>
      <c r="G2615" s="49" t="str">
        <f t="shared" ca="1" si="2613"/>
        <v/>
      </c>
      <c r="H2615" s="49" t="str">
        <f t="shared" ca="1" si="2613"/>
        <v/>
      </c>
      <c r="I2615" s="49" t="str">
        <f t="shared" ca="1" si="2613"/>
        <v/>
      </c>
      <c r="J2615" s="49" t="str">
        <f t="shared" ca="1" si="2613"/>
        <v/>
      </c>
    </row>
    <row r="2616" spans="1:10" ht="12.75" x14ac:dyDescent="0.2">
      <c r="A2616" s="40"/>
      <c r="B2616" s="41" t="s">
        <v>401</v>
      </c>
      <c r="C2616" s="40"/>
      <c r="D2616" s="40"/>
      <c r="E2616" s="40"/>
      <c r="F2616" s="49" t="str">
        <f t="shared" ref="F2616:J2616" ca="1" si="2614">IFERROR(__xludf.DUMMYFUNCTION("if (A2616 &lt;&gt; """", GOOGLETRANSLATE(A2616, ""auto"", ""en""), """")"),"")</f>
        <v/>
      </c>
      <c r="G2616" s="49" t="str">
        <f t="shared" ca="1" si="2614"/>
        <v/>
      </c>
      <c r="H2616" s="49" t="str">
        <f t="shared" ca="1" si="2614"/>
        <v/>
      </c>
      <c r="I2616" s="49" t="str">
        <f t="shared" ca="1" si="2614"/>
        <v/>
      </c>
      <c r="J2616" s="49" t="str">
        <f t="shared" ca="1" si="2614"/>
        <v/>
      </c>
    </row>
    <row r="2617" spans="1:10" ht="38.25" x14ac:dyDescent="0.2">
      <c r="A2617" s="41" t="s">
        <v>2094</v>
      </c>
      <c r="B2617" s="41" t="s">
        <v>402</v>
      </c>
      <c r="C2617" s="41" t="s">
        <v>2095</v>
      </c>
      <c r="D2617" s="40"/>
      <c r="E2617" s="40"/>
      <c r="F2617" s="49" t="str">
        <f t="shared" ref="F2617:J2617" ca="1" si="2615">IFERROR(__xludf.DUMMYFUNCTION("if (A2617 &lt;&gt; """", GOOGLETRANSLATE(A2617, ""auto"", ""en""), """")"),"We're looking forward to seeing you")</f>
        <v>We're looking forward to seeing you</v>
      </c>
      <c r="G2617" s="49" t="str">
        <f t="shared" ca="1" si="2615"/>
        <v>We're looking forward to seeing you</v>
      </c>
      <c r="H2617" s="49" t="str">
        <f t="shared" ca="1" si="2615"/>
        <v>We're looking forward to seeing you</v>
      </c>
      <c r="I2617" s="49" t="str">
        <f t="shared" ca="1" si="2615"/>
        <v>We're looking forward to seeing you</v>
      </c>
      <c r="J2617" s="49" t="str">
        <f t="shared" ca="1" si="2615"/>
        <v>We're looking forward to seeing you</v>
      </c>
    </row>
    <row r="2618" spans="1:10" ht="25.5" x14ac:dyDescent="0.2">
      <c r="A2618" s="41" t="s">
        <v>2096</v>
      </c>
      <c r="B2618" s="40"/>
      <c r="C2618" s="40"/>
      <c r="D2618" s="40"/>
      <c r="E2618" s="40"/>
      <c r="F2618" s="49" t="str">
        <f t="shared" ref="F2618:J2618" ca="1" si="2616">IFERROR(__xludf.DUMMYFUNCTION("if (A2618 &lt;&gt; """", GOOGLETRANSLATE(A2618, ""auto"", ""en""), """")"),"Also it does I can see you")</f>
        <v>Also it does I can see you</v>
      </c>
      <c r="G2618" s="49" t="str">
        <f t="shared" ca="1" si="2616"/>
        <v>Also it does I can see you</v>
      </c>
      <c r="H2618" s="49" t="str">
        <f t="shared" ca="1" si="2616"/>
        <v>Also it does I can see you</v>
      </c>
      <c r="I2618" s="49" t="str">
        <f t="shared" ca="1" si="2616"/>
        <v>Also it does I can see you</v>
      </c>
      <c r="J2618" s="49" t="str">
        <f t="shared" ca="1" si="2616"/>
        <v>Also it does I can see you</v>
      </c>
    </row>
    <row r="2619" spans="1:10" ht="38.25" x14ac:dyDescent="0.2">
      <c r="A2619" s="41" t="s">
        <v>2097</v>
      </c>
      <c r="B2619" s="40"/>
      <c r="C2619" s="40"/>
      <c r="D2619" s="40"/>
      <c r="E2619" s="40"/>
      <c r="F2619" s="49" t="str">
        <f t="shared" ref="F2619:J2619" ca="1" si="2617">IFERROR(__xludf.DUMMYFUNCTION("if (A2619 &lt;&gt; """", GOOGLETRANSLATE(A2619, ""auto"", ""en""), """")"),"Also I hope to be able to see you")</f>
        <v>Also I hope to be able to see you</v>
      </c>
      <c r="G2619" s="49" t="str">
        <f t="shared" ca="1" si="2617"/>
        <v>Also I hope to be able to see you</v>
      </c>
      <c r="H2619" s="49" t="str">
        <f t="shared" ca="1" si="2617"/>
        <v>Also I hope to be able to see you</v>
      </c>
      <c r="I2619" s="49" t="str">
        <f t="shared" ca="1" si="2617"/>
        <v>Also I hope to be able to see you</v>
      </c>
      <c r="J2619" s="49" t="str">
        <f t="shared" ca="1" si="2617"/>
        <v>Also I hope to be able to see you</v>
      </c>
    </row>
    <row r="2620" spans="1:10" ht="51" x14ac:dyDescent="0.2">
      <c r="A2620" s="41" t="s">
        <v>2098</v>
      </c>
      <c r="B2620" s="40"/>
      <c r="C2620" s="40"/>
      <c r="D2620" s="40"/>
      <c r="E2620" s="40"/>
      <c r="F2620" s="49" t="str">
        <f t="shared" ref="F2620:J2620" ca="1" si="2618">IFERROR(__xludf.DUMMYFUNCTION("if (A2620 &lt;&gt; """", GOOGLETRANSLATE(A2620, ""auto"", ""en""), """")"),"Also I'm happy When you are able to see you")</f>
        <v>Also I'm happy When you are able to see you</v>
      </c>
      <c r="G2620" s="49" t="str">
        <f t="shared" ca="1" si="2618"/>
        <v>Also I'm happy When you are able to see you</v>
      </c>
      <c r="H2620" s="49" t="str">
        <f t="shared" ca="1" si="2618"/>
        <v>Also I'm happy When you are able to see you</v>
      </c>
      <c r="I2620" s="49" t="str">
        <f t="shared" ca="1" si="2618"/>
        <v>Also I'm happy When you are able to see you</v>
      </c>
      <c r="J2620" s="49" t="str">
        <f t="shared" ca="1" si="2618"/>
        <v>Also I'm happy When you are able to see you</v>
      </c>
    </row>
    <row r="2621" spans="1:10" ht="12.75" x14ac:dyDescent="0.2">
      <c r="A2621" s="40"/>
      <c r="B2621" s="40"/>
      <c r="C2621" s="40"/>
      <c r="D2621" s="40"/>
      <c r="E2621" s="40"/>
      <c r="F2621" s="49" t="str">
        <f t="shared" ref="F2621:J2621" ca="1" si="2619">IFERROR(__xludf.DUMMYFUNCTION("if (A2621 &lt;&gt; """", GOOGLETRANSLATE(A2621, ""auto"", ""en""), """")"),"")</f>
        <v/>
      </c>
      <c r="G2621" s="49" t="str">
        <f t="shared" ca="1" si="2619"/>
        <v/>
      </c>
      <c r="H2621" s="49" t="str">
        <f t="shared" ca="1" si="2619"/>
        <v/>
      </c>
      <c r="I2621" s="49" t="str">
        <f t="shared" ca="1" si="2619"/>
        <v/>
      </c>
      <c r="J2621" s="49" t="str">
        <f t="shared" ca="1" si="2619"/>
        <v/>
      </c>
    </row>
    <row r="2622" spans="1:10" ht="38.25" x14ac:dyDescent="0.2">
      <c r="A2622" s="41" t="s">
        <v>2099</v>
      </c>
      <c r="B2622" s="40"/>
      <c r="C2622" s="40"/>
      <c r="D2622" s="40"/>
      <c r="E2622" s="40"/>
      <c r="F2622" s="49" t="str">
        <f t="shared" ref="F2622:J2622" ca="1" si="2620">IFERROR(__xludf.DUMMYFUNCTION("if (A2622 &lt;&gt; """", GOOGLETRANSLATE(A2622, ""auto"", ""en""), """")"),"smalltalk.user.wants_to_talk")</f>
        <v>smalltalk.user.wants_to_talk</v>
      </c>
      <c r="G2622" s="49" t="str">
        <f t="shared" ca="1" si="2620"/>
        <v>smalltalk.user.wants_to_talk</v>
      </c>
      <c r="H2622" s="49" t="str">
        <f t="shared" ca="1" si="2620"/>
        <v>smalltalk.user.wants_to_talk</v>
      </c>
      <c r="I2622" s="49" t="str">
        <f t="shared" ca="1" si="2620"/>
        <v>smalltalk.user.wants_to_talk</v>
      </c>
      <c r="J2622" s="49" t="str">
        <f t="shared" ca="1" si="2620"/>
        <v>smalltalk.user.wants_to_talk</v>
      </c>
    </row>
    <row r="2623" spans="1:10" ht="12.75" x14ac:dyDescent="0.2">
      <c r="A2623" s="40"/>
      <c r="B2623" s="41" t="s">
        <v>398</v>
      </c>
      <c r="C2623" s="40"/>
      <c r="D2623" s="40"/>
      <c r="E2623" s="40"/>
      <c r="F2623" s="49" t="str">
        <f t="shared" ref="F2623:J2623" ca="1" si="2621">IFERROR(__xludf.DUMMYFUNCTION("if (A2623 &lt;&gt; """", GOOGLETRANSLATE(A2623, ""auto"", ""en""), """")"),"")</f>
        <v/>
      </c>
      <c r="G2623" s="49" t="str">
        <f t="shared" ca="1" si="2621"/>
        <v/>
      </c>
      <c r="H2623" s="49" t="str">
        <f t="shared" ca="1" si="2621"/>
        <v/>
      </c>
      <c r="I2623" s="49" t="str">
        <f t="shared" ca="1" si="2621"/>
        <v/>
      </c>
      <c r="J2623" s="49" t="str">
        <f t="shared" ca="1" si="2621"/>
        <v/>
      </c>
    </row>
    <row r="2624" spans="1:10" ht="12.75" x14ac:dyDescent="0.2">
      <c r="A2624" s="40"/>
      <c r="B2624" s="41" t="s">
        <v>399</v>
      </c>
      <c r="C2624" s="40"/>
      <c r="D2624" s="40"/>
      <c r="E2624" s="40"/>
      <c r="F2624" s="49" t="str">
        <f t="shared" ref="F2624:J2624" ca="1" si="2622">IFERROR(__xludf.DUMMYFUNCTION("if (A2624 &lt;&gt; """", GOOGLETRANSLATE(A2624, ""auto"", ""en""), """")"),"")</f>
        <v/>
      </c>
      <c r="G2624" s="49" t="str">
        <f t="shared" ca="1" si="2622"/>
        <v/>
      </c>
      <c r="H2624" s="49" t="str">
        <f t="shared" ca="1" si="2622"/>
        <v/>
      </c>
      <c r="I2624" s="49" t="str">
        <f t="shared" ca="1" si="2622"/>
        <v/>
      </c>
      <c r="J2624" s="49" t="str">
        <f t="shared" ca="1" si="2622"/>
        <v/>
      </c>
    </row>
    <row r="2625" spans="1:10" ht="12.75" x14ac:dyDescent="0.2">
      <c r="A2625" s="40"/>
      <c r="B2625" s="41" t="s">
        <v>400</v>
      </c>
      <c r="C2625" s="41" t="s">
        <v>2099</v>
      </c>
      <c r="D2625" s="40"/>
      <c r="E2625" s="40"/>
      <c r="F2625" s="49" t="str">
        <f t="shared" ref="F2625:J2625" ca="1" si="2623">IFERROR(__xludf.DUMMYFUNCTION("if (A2625 &lt;&gt; """", GOOGLETRANSLATE(A2625, ""auto"", ""en""), """")"),"")</f>
        <v/>
      </c>
      <c r="G2625" s="49" t="str">
        <f t="shared" ca="1" si="2623"/>
        <v/>
      </c>
      <c r="H2625" s="49" t="str">
        <f t="shared" ca="1" si="2623"/>
        <v/>
      </c>
      <c r="I2625" s="49" t="str">
        <f t="shared" ca="1" si="2623"/>
        <v/>
      </c>
      <c r="J2625" s="49" t="str">
        <f t="shared" ca="1" si="2623"/>
        <v/>
      </c>
    </row>
    <row r="2626" spans="1:10" ht="12.75" x14ac:dyDescent="0.2">
      <c r="A2626" s="40"/>
      <c r="B2626" s="41" t="s">
        <v>401</v>
      </c>
      <c r="C2626" s="40"/>
      <c r="D2626" s="40"/>
      <c r="E2626" s="40"/>
      <c r="F2626" s="49" t="str">
        <f t="shared" ref="F2626:J2626" ca="1" si="2624">IFERROR(__xludf.DUMMYFUNCTION("if (A2626 &lt;&gt; """", GOOGLETRANSLATE(A2626, ""auto"", ""en""), """")"),"")</f>
        <v/>
      </c>
      <c r="G2626" s="49" t="str">
        <f t="shared" ca="1" si="2624"/>
        <v/>
      </c>
      <c r="H2626" s="49" t="str">
        <f t="shared" ca="1" si="2624"/>
        <v/>
      </c>
      <c r="I2626" s="49" t="str">
        <f t="shared" ca="1" si="2624"/>
        <v/>
      </c>
      <c r="J2626" s="49" t="str">
        <f t="shared" ca="1" si="2624"/>
        <v/>
      </c>
    </row>
    <row r="2627" spans="1:10" ht="38.25" x14ac:dyDescent="0.2">
      <c r="A2627" s="41" t="s">
        <v>2100</v>
      </c>
      <c r="B2627" s="41" t="s">
        <v>402</v>
      </c>
      <c r="C2627" s="41" t="s">
        <v>2101</v>
      </c>
      <c r="D2627" s="40"/>
      <c r="E2627" s="40"/>
      <c r="F2627" s="49" t="str">
        <f t="shared" ref="F2627:J2627" ca="1" si="2625">IFERROR(__xludf.DUMMYFUNCTION("if (A2627 &lt;&gt; """", GOOGLETRANSLATE(A2627, ""auto"", ""en""), """")"),"Let's do something talk")</f>
        <v>Let's do something talk</v>
      </c>
      <c r="G2627" s="49" t="str">
        <f t="shared" ca="1" si="2625"/>
        <v>Let's do something talk</v>
      </c>
      <c r="H2627" s="49" t="str">
        <f t="shared" ca="1" si="2625"/>
        <v>Let's do something talk</v>
      </c>
      <c r="I2627" s="49" t="str">
        <f t="shared" ca="1" si="2625"/>
        <v>Let's do something talk</v>
      </c>
      <c r="J2627" s="49" t="str">
        <f t="shared" ca="1" si="2625"/>
        <v>Let's do something talk</v>
      </c>
    </row>
    <row r="2628" spans="1:10" ht="25.5" x14ac:dyDescent="0.2">
      <c r="A2628" s="41" t="s">
        <v>2102</v>
      </c>
      <c r="B2628" s="40"/>
      <c r="C2628" s="40"/>
      <c r="D2628" s="40"/>
      <c r="E2628" s="40"/>
      <c r="F2628" s="49" t="str">
        <f t="shared" ref="F2628:J2628" ca="1" si="2626">IFERROR(__xludf.DUMMYFUNCTION("if (A2628 &lt;&gt; """", GOOGLETRANSLATE(A2628, ""auto"", ""en""), """")"),"Let's talk a little")</f>
        <v>Let's talk a little</v>
      </c>
      <c r="G2628" s="49" t="str">
        <f t="shared" ca="1" si="2626"/>
        <v>Let's talk a little</v>
      </c>
      <c r="H2628" s="49" t="str">
        <f t="shared" ca="1" si="2626"/>
        <v>Let's talk a little</v>
      </c>
      <c r="I2628" s="49" t="str">
        <f t="shared" ca="1" si="2626"/>
        <v>Let's talk a little</v>
      </c>
      <c r="J2628" s="49" t="str">
        <f t="shared" ca="1" si="2626"/>
        <v>Let's talk a little</v>
      </c>
    </row>
    <row r="2629" spans="1:10" ht="25.5" x14ac:dyDescent="0.2">
      <c r="A2629" s="41" t="s">
        <v>2103</v>
      </c>
      <c r="B2629" s="40"/>
      <c r="C2629" s="40"/>
      <c r="D2629" s="40"/>
      <c r="E2629" s="40"/>
      <c r="F2629" s="49" t="str">
        <f t="shared" ref="F2629:J2629" ca="1" si="2627">IFERROR(__xludf.DUMMYFUNCTION("if (A2629 &lt;&gt; """", GOOGLETRANSLATE(A2629, ""auto"", ""en""), """")"),"Are you sure you want now")</f>
        <v>Are you sure you want now</v>
      </c>
      <c r="G2629" s="49" t="str">
        <f t="shared" ca="1" si="2627"/>
        <v>Are you sure you want now</v>
      </c>
      <c r="H2629" s="49" t="str">
        <f t="shared" ca="1" si="2627"/>
        <v>Are you sure you want now</v>
      </c>
      <c r="I2629" s="49" t="str">
        <f t="shared" ca="1" si="2627"/>
        <v>Are you sure you want now</v>
      </c>
      <c r="J2629" s="49" t="str">
        <f t="shared" ca="1" si="2627"/>
        <v>Are you sure you want now</v>
      </c>
    </row>
    <row r="2630" spans="1:10" ht="25.5" x14ac:dyDescent="0.2">
      <c r="A2630" s="41" t="s">
        <v>2104</v>
      </c>
      <c r="B2630" s="40"/>
      <c r="C2630" s="40"/>
      <c r="D2630" s="40"/>
      <c r="E2630" s="40"/>
      <c r="F2630" s="49" t="str">
        <f t="shared" ref="F2630:J2630" ca="1" si="2628">IFERROR(__xludf.DUMMYFUNCTION("if (A2630 &lt;&gt; """", GOOGLETRANSLATE(A2630, ""auto"", ""en""), """")"),"Is the story may be the")</f>
        <v>Is the story may be the</v>
      </c>
      <c r="G2630" s="49" t="str">
        <f t="shared" ca="1" si="2628"/>
        <v>Is the story may be the</v>
      </c>
      <c r="H2630" s="49" t="str">
        <f t="shared" ca="1" si="2628"/>
        <v>Is the story may be the</v>
      </c>
      <c r="I2630" s="49" t="str">
        <f t="shared" ca="1" si="2628"/>
        <v>Is the story may be the</v>
      </c>
      <c r="J2630" s="49" t="str">
        <f t="shared" ca="1" si="2628"/>
        <v>Is the story may be the</v>
      </c>
    </row>
    <row r="2631" spans="1:10" ht="12.75" x14ac:dyDescent="0.2">
      <c r="A2631" s="41" t="s">
        <v>2105</v>
      </c>
      <c r="B2631" s="40"/>
      <c r="C2631" s="40"/>
      <c r="D2631" s="40"/>
      <c r="E2631" s="40"/>
      <c r="F2631" s="49" t="str">
        <f t="shared" ref="F2631:J2631" ca="1" si="2629">IFERROR(__xludf.DUMMYFUNCTION("if (A2631 &lt;&gt; """", GOOGLETRANSLATE(A2631, ""auto"", ""en""), """")"),"I'd like to talk")</f>
        <v>I'd like to talk</v>
      </c>
      <c r="G2631" s="49" t="str">
        <f t="shared" ca="1" si="2629"/>
        <v>I'd like to talk</v>
      </c>
      <c r="H2631" s="49" t="str">
        <f t="shared" ca="1" si="2629"/>
        <v>I'd like to talk</v>
      </c>
      <c r="I2631" s="49" t="str">
        <f t="shared" ca="1" si="2629"/>
        <v>I'd like to talk</v>
      </c>
      <c r="J2631" s="49" t="str">
        <f t="shared" ca="1" si="2629"/>
        <v>I'd like to talk</v>
      </c>
    </row>
    <row r="2632" spans="1:10" ht="12.75" x14ac:dyDescent="0.2">
      <c r="A2632" s="41" t="s">
        <v>1307</v>
      </c>
      <c r="B2632" s="40"/>
      <c r="C2632" s="40"/>
      <c r="D2632" s="40"/>
      <c r="E2632" s="40"/>
      <c r="F2632" s="49" t="str">
        <f t="shared" ref="F2632:J2632" ca="1" si="2630">IFERROR(__xludf.DUMMYFUNCTION("if (A2632 &lt;&gt; """", GOOGLETRANSLATE(A2632, ""auto"", ""en""), """")"),"please talk")</f>
        <v>please talk</v>
      </c>
      <c r="G2632" s="49" t="str">
        <f t="shared" ca="1" si="2630"/>
        <v>please talk</v>
      </c>
      <c r="H2632" s="49" t="str">
        <f t="shared" ca="1" si="2630"/>
        <v>please talk</v>
      </c>
      <c r="I2632" s="49" t="str">
        <f t="shared" ca="1" si="2630"/>
        <v>please talk</v>
      </c>
      <c r="J2632" s="49" t="str">
        <f t="shared" ca="1" si="2630"/>
        <v>please talk</v>
      </c>
    </row>
    <row r="2633" spans="1:10" ht="12.75" x14ac:dyDescent="0.2">
      <c r="A2633" s="41" t="s">
        <v>2106</v>
      </c>
      <c r="B2633" s="40"/>
      <c r="C2633" s="40"/>
      <c r="D2633" s="40"/>
      <c r="E2633" s="40"/>
      <c r="F2633" s="49" t="str">
        <f t="shared" ref="F2633:J2633" ca="1" si="2631">IFERROR(__xludf.DUMMYFUNCTION("if (A2633 &lt;&gt; """", GOOGLETRANSLATE(A2633, ""auto"", ""en""), """")"),"Let's talk")</f>
        <v>Let's talk</v>
      </c>
      <c r="G2633" s="49" t="str">
        <f t="shared" ca="1" si="2631"/>
        <v>Let's talk</v>
      </c>
      <c r="H2633" s="49" t="str">
        <f t="shared" ca="1" si="2631"/>
        <v>Let's talk</v>
      </c>
      <c r="I2633" s="49" t="str">
        <f t="shared" ca="1" si="2631"/>
        <v>Let's talk</v>
      </c>
      <c r="J2633" s="49" t="str">
        <f t="shared" ca="1" si="2631"/>
        <v>Let's talk</v>
      </c>
    </row>
    <row r="2634" spans="1:10" ht="12.75" x14ac:dyDescent="0.2">
      <c r="A2634" s="41" t="s">
        <v>2108</v>
      </c>
      <c r="B2634" s="40"/>
      <c r="C2634" s="40"/>
      <c r="D2634" s="40"/>
      <c r="E2634" s="40"/>
      <c r="F2634" s="49" t="str">
        <f t="shared" ref="F2634:J2634" ca="1" si="2632">IFERROR(__xludf.DUMMYFUNCTION("if (A2634 &lt;&gt; """", GOOGLETRANSLATE(A2634, ""auto"", ""en""), """")"),"I want to talk")</f>
        <v>I want to talk</v>
      </c>
      <c r="G2634" s="49" t="str">
        <f t="shared" ca="1" si="2632"/>
        <v>I want to talk</v>
      </c>
      <c r="H2634" s="49" t="str">
        <f t="shared" ca="1" si="2632"/>
        <v>I want to talk</v>
      </c>
      <c r="I2634" s="49" t="str">
        <f t="shared" ca="1" si="2632"/>
        <v>I want to talk</v>
      </c>
      <c r="J2634" s="49" t="str">
        <f t="shared" ca="1" si="2632"/>
        <v>I want to talk</v>
      </c>
    </row>
    <row r="2635" spans="1:10" ht="25.5" x14ac:dyDescent="0.2">
      <c r="A2635" s="41" t="s">
        <v>2109</v>
      </c>
      <c r="B2635" s="40"/>
      <c r="C2635" s="40"/>
      <c r="D2635" s="40"/>
      <c r="E2635" s="40"/>
      <c r="F2635" s="49" t="str">
        <f t="shared" ref="F2635:J2635" ca="1" si="2633">IFERROR(__xludf.DUMMYFUNCTION("if (A2635 &lt;&gt; """", GOOGLETRANSLATE(A2635, ""auto"", ""en""), """")"),"There is a need to talk")</f>
        <v>There is a need to talk</v>
      </c>
      <c r="G2635" s="49" t="str">
        <f t="shared" ca="1" si="2633"/>
        <v>There is a need to talk</v>
      </c>
      <c r="H2635" s="49" t="str">
        <f t="shared" ca="1" si="2633"/>
        <v>There is a need to talk</v>
      </c>
      <c r="I2635" s="49" t="str">
        <f t="shared" ca="1" si="2633"/>
        <v>There is a need to talk</v>
      </c>
      <c r="J2635" s="49" t="str">
        <f t="shared" ca="1" si="2633"/>
        <v>There is a need to talk</v>
      </c>
    </row>
    <row r="2636" spans="1:10" ht="25.5" x14ac:dyDescent="0.2">
      <c r="A2636" s="41" t="s">
        <v>2110</v>
      </c>
      <c r="B2636" s="40"/>
      <c r="C2636" s="40"/>
      <c r="D2636" s="40"/>
      <c r="E2636" s="40"/>
      <c r="F2636" s="49" t="str">
        <f t="shared" ref="F2636:J2636" ca="1" si="2634">IFERROR(__xludf.DUMMYFUNCTION("if (A2636 &lt;&gt; """", GOOGLETRANSLATE(A2636, ""auto"", ""en""), """")"),"Do you want to talk")</f>
        <v>Do you want to talk</v>
      </c>
      <c r="G2636" s="49" t="str">
        <f t="shared" ca="1" si="2634"/>
        <v>Do you want to talk</v>
      </c>
      <c r="H2636" s="49" t="str">
        <f t="shared" ca="1" si="2634"/>
        <v>Do you want to talk</v>
      </c>
      <c r="I2636" s="49" t="str">
        <f t="shared" ca="1" si="2634"/>
        <v>Do you want to talk</v>
      </c>
      <c r="J2636" s="49" t="str">
        <f t="shared" ca="1" si="2634"/>
        <v>Do you want to talk</v>
      </c>
    </row>
    <row r="2637" spans="1:10" ht="12.75" x14ac:dyDescent="0.2">
      <c r="A2637" s="40"/>
      <c r="B2637" s="41" t="s">
        <v>403</v>
      </c>
      <c r="C2637" s="41" t="s">
        <v>25</v>
      </c>
      <c r="D2637" s="41" t="s">
        <v>27</v>
      </c>
      <c r="E2637" s="40"/>
      <c r="F2637" s="49" t="str">
        <f t="shared" ref="F2637:J2637" ca="1" si="2635">IFERROR(__xludf.DUMMYFUNCTION("if (A2637 &lt;&gt; """", GOOGLETRANSLATE(A2637, ""auto"", ""en""), """")"),"")</f>
        <v/>
      </c>
      <c r="G2637" s="49" t="str">
        <f t="shared" ca="1" si="2635"/>
        <v/>
      </c>
      <c r="H2637" s="49" t="str">
        <f t="shared" ca="1" si="2635"/>
        <v/>
      </c>
      <c r="I2637" s="49" t="str">
        <f t="shared" ca="1" si="2635"/>
        <v/>
      </c>
      <c r="J2637" s="49" t="str">
        <f t="shared" ca="1" si="2635"/>
        <v/>
      </c>
    </row>
    <row r="2638" spans="1:10" ht="12.75" x14ac:dyDescent="0.2">
      <c r="A2638" s="40"/>
      <c r="B2638" s="41" t="s">
        <v>403</v>
      </c>
      <c r="C2638" s="41" t="s">
        <v>30</v>
      </c>
      <c r="D2638" s="41" t="s">
        <v>31</v>
      </c>
      <c r="E2638" s="40"/>
      <c r="F2638" s="49" t="str">
        <f t="shared" ref="F2638:J2638" ca="1" si="2636">IFERROR(__xludf.DUMMYFUNCTION("if (A2638 &lt;&gt; """", GOOGLETRANSLATE(A2638, ""auto"", ""en""), """")"),"")</f>
        <v/>
      </c>
      <c r="G2638" s="49" t="str">
        <f t="shared" ca="1" si="2636"/>
        <v/>
      </c>
      <c r="H2638" s="49" t="str">
        <f t="shared" ca="1" si="2636"/>
        <v/>
      </c>
      <c r="I2638" s="49" t="str">
        <f t="shared" ca="1" si="2636"/>
        <v/>
      </c>
      <c r="J2638" s="49" t="str">
        <f t="shared" ca="1" si="2636"/>
        <v/>
      </c>
    </row>
    <row r="2639" spans="1:10" ht="12.75" x14ac:dyDescent="0.2">
      <c r="A2639" s="40"/>
      <c r="B2639" s="41" t="s">
        <v>403</v>
      </c>
      <c r="C2639" s="41" t="s">
        <v>16</v>
      </c>
      <c r="D2639" s="41" t="s">
        <v>10</v>
      </c>
      <c r="E2639" s="40"/>
      <c r="F2639" s="49" t="str">
        <f t="shared" ref="F2639:J2639" ca="1" si="2637">IFERROR(__xludf.DUMMYFUNCTION("if (A2639 &lt;&gt; """", GOOGLETRANSLATE(A2639, ""auto"", ""en""), """")"),"")</f>
        <v/>
      </c>
      <c r="G2639" s="49" t="str">
        <f t="shared" ca="1" si="2637"/>
        <v/>
      </c>
      <c r="H2639" s="49" t="str">
        <f t="shared" ca="1" si="2637"/>
        <v/>
      </c>
      <c r="I2639" s="49" t="str">
        <f t="shared" ca="1" si="2637"/>
        <v/>
      </c>
      <c r="J2639" s="49" t="str">
        <f t="shared" ca="1" si="2637"/>
        <v/>
      </c>
    </row>
    <row r="2640" spans="1:10" ht="12.75" x14ac:dyDescent="0.2">
      <c r="A2640" s="40"/>
      <c r="B2640" s="40"/>
      <c r="C2640" s="40"/>
      <c r="D2640" s="40"/>
      <c r="E2640" s="40"/>
      <c r="F2640" s="49" t="str">
        <f t="shared" ref="F2640:J2640" ca="1" si="2638">IFERROR(__xludf.DUMMYFUNCTION("if (A2640 &lt;&gt; """", GOOGLETRANSLATE(A2640, ""auto"", ""en""), """")"),"")</f>
        <v/>
      </c>
      <c r="G2640" s="49" t="str">
        <f t="shared" ca="1" si="2638"/>
        <v/>
      </c>
      <c r="H2640" s="49" t="str">
        <f t="shared" ca="1" si="2638"/>
        <v/>
      </c>
      <c r="I2640" s="49" t="str">
        <f t="shared" ca="1" si="2638"/>
        <v/>
      </c>
      <c r="J2640" s="49" t="str">
        <f t="shared" ca="1" si="2638"/>
        <v/>
      </c>
    </row>
    <row r="2641" spans="1:10" ht="25.5" x14ac:dyDescent="0.2">
      <c r="A2641" s="41" t="s">
        <v>2111</v>
      </c>
      <c r="B2641" s="40"/>
      <c r="C2641" s="40"/>
      <c r="D2641" s="40"/>
      <c r="E2641" s="40"/>
      <c r="F2641" s="49" t="str">
        <f t="shared" ref="F2641:J2641" ca="1" si="2639">IFERROR(__xludf.DUMMYFUNCTION("if (A2641 &lt;&gt; """", GOOGLETRANSLATE(A2641, ""auto"", ""en""), """")"),"smalltalk.user.will_be_back")</f>
        <v>smalltalk.user.will_be_back</v>
      </c>
      <c r="G2641" s="49" t="str">
        <f t="shared" ca="1" si="2639"/>
        <v>smalltalk.user.will_be_back</v>
      </c>
      <c r="H2641" s="49" t="str">
        <f t="shared" ca="1" si="2639"/>
        <v>smalltalk.user.will_be_back</v>
      </c>
      <c r="I2641" s="49" t="str">
        <f t="shared" ca="1" si="2639"/>
        <v>smalltalk.user.will_be_back</v>
      </c>
      <c r="J2641" s="49" t="str">
        <f t="shared" ca="1" si="2639"/>
        <v>smalltalk.user.will_be_back</v>
      </c>
    </row>
    <row r="2642" spans="1:10" ht="12.75" x14ac:dyDescent="0.2">
      <c r="A2642" s="40"/>
      <c r="B2642" s="41" t="s">
        <v>398</v>
      </c>
      <c r="C2642" s="40"/>
      <c r="D2642" s="40"/>
      <c r="E2642" s="40"/>
      <c r="F2642" s="49" t="str">
        <f t="shared" ref="F2642:J2642" ca="1" si="2640">IFERROR(__xludf.DUMMYFUNCTION("if (A2642 &lt;&gt; """", GOOGLETRANSLATE(A2642, ""auto"", ""en""), """")"),"")</f>
        <v/>
      </c>
      <c r="G2642" s="49" t="str">
        <f t="shared" ca="1" si="2640"/>
        <v/>
      </c>
      <c r="H2642" s="49" t="str">
        <f t="shared" ca="1" si="2640"/>
        <v/>
      </c>
      <c r="I2642" s="49" t="str">
        <f t="shared" ca="1" si="2640"/>
        <v/>
      </c>
      <c r="J2642" s="49" t="str">
        <f t="shared" ca="1" si="2640"/>
        <v/>
      </c>
    </row>
    <row r="2643" spans="1:10" ht="12.75" x14ac:dyDescent="0.2">
      <c r="A2643" s="40"/>
      <c r="B2643" s="41" t="s">
        <v>399</v>
      </c>
      <c r="C2643" s="40"/>
      <c r="D2643" s="40"/>
      <c r="E2643" s="40"/>
      <c r="F2643" s="49" t="str">
        <f t="shared" ref="F2643:J2643" ca="1" si="2641">IFERROR(__xludf.DUMMYFUNCTION("if (A2643 &lt;&gt; """", GOOGLETRANSLATE(A2643, ""auto"", ""en""), """")"),"")</f>
        <v/>
      </c>
      <c r="G2643" s="49" t="str">
        <f t="shared" ca="1" si="2641"/>
        <v/>
      </c>
      <c r="H2643" s="49" t="str">
        <f t="shared" ca="1" si="2641"/>
        <v/>
      </c>
      <c r="I2643" s="49" t="str">
        <f t="shared" ca="1" si="2641"/>
        <v/>
      </c>
      <c r="J2643" s="49" t="str">
        <f t="shared" ca="1" si="2641"/>
        <v/>
      </c>
    </row>
    <row r="2644" spans="1:10" ht="12.75" x14ac:dyDescent="0.2">
      <c r="A2644" s="40"/>
      <c r="B2644" s="41" t="s">
        <v>400</v>
      </c>
      <c r="C2644" s="41" t="s">
        <v>2111</v>
      </c>
      <c r="D2644" s="40"/>
      <c r="E2644" s="40"/>
      <c r="F2644" s="49" t="str">
        <f t="shared" ref="F2644:J2644" ca="1" si="2642">IFERROR(__xludf.DUMMYFUNCTION("if (A2644 &lt;&gt; """", GOOGLETRANSLATE(A2644, ""auto"", ""en""), """")"),"")</f>
        <v/>
      </c>
      <c r="G2644" s="49" t="str">
        <f t="shared" ca="1" si="2642"/>
        <v/>
      </c>
      <c r="H2644" s="49" t="str">
        <f t="shared" ca="1" si="2642"/>
        <v/>
      </c>
      <c r="I2644" s="49" t="str">
        <f t="shared" ca="1" si="2642"/>
        <v/>
      </c>
      <c r="J2644" s="49" t="str">
        <f t="shared" ca="1" si="2642"/>
        <v/>
      </c>
    </row>
    <row r="2645" spans="1:10" ht="12.75" x14ac:dyDescent="0.2">
      <c r="A2645" s="40"/>
      <c r="B2645" s="41" t="s">
        <v>401</v>
      </c>
      <c r="C2645" s="40"/>
      <c r="D2645" s="40"/>
      <c r="E2645" s="40"/>
      <c r="F2645" s="49" t="str">
        <f t="shared" ref="F2645:J2645" ca="1" si="2643">IFERROR(__xludf.DUMMYFUNCTION("if (A2645 &lt;&gt; """", GOOGLETRANSLATE(A2645, ""auto"", ""en""), """")"),"")</f>
        <v/>
      </c>
      <c r="G2645" s="49" t="str">
        <f t="shared" ca="1" si="2643"/>
        <v/>
      </c>
      <c r="H2645" s="49" t="str">
        <f t="shared" ca="1" si="2643"/>
        <v/>
      </c>
      <c r="I2645" s="49" t="str">
        <f t="shared" ca="1" si="2643"/>
        <v/>
      </c>
      <c r="J2645" s="49" t="str">
        <f t="shared" ca="1" si="2643"/>
        <v/>
      </c>
    </row>
    <row r="2646" spans="1:10" ht="38.25" x14ac:dyDescent="0.2">
      <c r="A2646" s="41" t="s">
        <v>2112</v>
      </c>
      <c r="B2646" s="41" t="s">
        <v>402</v>
      </c>
      <c r="C2646" s="41" t="s">
        <v>2113</v>
      </c>
      <c r="D2646" s="40"/>
      <c r="E2646" s="40"/>
      <c r="F2646" s="49" t="str">
        <f t="shared" ref="F2646:J2646" ca="1" si="2644">IFERROR(__xludf.DUMMYFUNCTION("if (A2646 &lt;&gt; """", GOOGLETRANSLATE(A2646, ""auto"", ""en""), """")"),"Immediately return you so please wait")</f>
        <v>Immediately return you so please wait</v>
      </c>
      <c r="G2646" s="49" t="str">
        <f t="shared" ca="1" si="2644"/>
        <v>Immediately return you so please wait</v>
      </c>
      <c r="H2646" s="49" t="str">
        <f t="shared" ca="1" si="2644"/>
        <v>Immediately return you so please wait</v>
      </c>
      <c r="I2646" s="49" t="str">
        <f t="shared" ca="1" si="2644"/>
        <v>Immediately return you so please wait</v>
      </c>
      <c r="J2646" s="49" t="str">
        <f t="shared" ca="1" si="2644"/>
        <v>Immediately return you so please wait</v>
      </c>
    </row>
    <row r="2647" spans="1:10" ht="25.5" x14ac:dyDescent="0.2">
      <c r="A2647" s="41" t="s">
        <v>2114</v>
      </c>
      <c r="B2647" s="40"/>
      <c r="C2647" s="40"/>
      <c r="D2647" s="40"/>
      <c r="E2647" s="40"/>
      <c r="F2647" s="49" t="str">
        <f t="shared" ref="F2647:J2647" ca="1" si="2645">IFERROR(__xludf.DUMMYFUNCTION("if (A2647 &lt;&gt; """", GOOGLETRANSLATE(A2647, ""auto"", ""en""), """")"),"It will return in 5 minutes")</f>
        <v>It will return in 5 minutes</v>
      </c>
      <c r="G2647" s="49" t="str">
        <f t="shared" ca="1" si="2645"/>
        <v>It will return in 5 minutes</v>
      </c>
      <c r="H2647" s="49" t="str">
        <f t="shared" ca="1" si="2645"/>
        <v>It will return in 5 minutes</v>
      </c>
      <c r="I2647" s="49" t="str">
        <f t="shared" ca="1" si="2645"/>
        <v>It will return in 5 minutes</v>
      </c>
      <c r="J2647" s="49" t="str">
        <f t="shared" ca="1" si="2645"/>
        <v>It will return in 5 minutes</v>
      </c>
    </row>
    <row r="2648" spans="1:10" ht="12.75" x14ac:dyDescent="0.2">
      <c r="A2648" s="41" t="s">
        <v>2115</v>
      </c>
      <c r="B2648" s="40"/>
      <c r="C2648" s="40"/>
      <c r="D2648" s="40"/>
      <c r="E2648" s="40"/>
      <c r="F2648" s="49" t="str">
        <f t="shared" ref="F2648:J2648" ca="1" si="2646">IFERROR(__xludf.DUMMYFUNCTION("if (A2648 &lt;&gt; """", GOOGLETRANSLATE(A2648, ""auto"", ""en""), """")"),"Be right back")</f>
        <v>Be right back</v>
      </c>
      <c r="G2648" s="49" t="str">
        <f t="shared" ca="1" si="2646"/>
        <v>Be right back</v>
      </c>
      <c r="H2648" s="49" t="str">
        <f t="shared" ca="1" si="2646"/>
        <v>Be right back</v>
      </c>
      <c r="I2648" s="49" t="str">
        <f t="shared" ca="1" si="2646"/>
        <v>Be right back</v>
      </c>
      <c r="J2648" s="49" t="str">
        <f t="shared" ca="1" si="2646"/>
        <v>Be right back</v>
      </c>
    </row>
    <row r="2649" spans="1:10" ht="25.5" x14ac:dyDescent="0.2">
      <c r="A2649" s="41" t="s">
        <v>2116</v>
      </c>
      <c r="B2649" s="40"/>
      <c r="C2649" s="40"/>
      <c r="D2649" s="40"/>
      <c r="E2649" s="40"/>
      <c r="F2649" s="49" t="str">
        <f t="shared" ref="F2649:J2649" ca="1" si="2647">IFERROR(__xludf.DUMMYFUNCTION("if (A2649 &lt;&gt; """", GOOGLETRANSLATE(A2649, ""auto"", ""en""), """")"),"It returns always")</f>
        <v>It returns always</v>
      </c>
      <c r="G2649" s="49" t="str">
        <f t="shared" ca="1" si="2647"/>
        <v>It returns always</v>
      </c>
      <c r="H2649" s="49" t="str">
        <f t="shared" ca="1" si="2647"/>
        <v>It returns always</v>
      </c>
      <c r="I2649" s="49" t="str">
        <f t="shared" ca="1" si="2647"/>
        <v>It returns always</v>
      </c>
      <c r="J2649" s="49" t="str">
        <f t="shared" ca="1" si="2647"/>
        <v>It returns always</v>
      </c>
    </row>
    <row r="2650" spans="1:10" ht="25.5" x14ac:dyDescent="0.2">
      <c r="A2650" s="41" t="s">
        <v>2117</v>
      </c>
      <c r="B2650" s="40"/>
      <c r="C2650" s="40"/>
      <c r="D2650" s="40"/>
      <c r="E2650" s="40"/>
      <c r="F2650" s="49" t="str">
        <f t="shared" ref="F2650:J2650" ca="1" si="2648">IFERROR(__xludf.DUMMYFUNCTION("if (A2650 &lt;&gt; """", GOOGLETRANSLATE(A2650, ""auto"", ""en""), """")"),"Please wait a few minutes")</f>
        <v>Please wait a few minutes</v>
      </c>
      <c r="G2650" s="49" t="str">
        <f t="shared" ca="1" si="2648"/>
        <v>Please wait a few minutes</v>
      </c>
      <c r="H2650" s="49" t="str">
        <f t="shared" ca="1" si="2648"/>
        <v>Please wait a few minutes</v>
      </c>
      <c r="I2650" s="49" t="str">
        <f t="shared" ca="1" si="2648"/>
        <v>Please wait a few minutes</v>
      </c>
      <c r="J2650" s="49" t="str">
        <f t="shared" ca="1" si="2648"/>
        <v>Please wait a few minutes</v>
      </c>
    </row>
    <row r="2651" spans="1:10" ht="12.75" x14ac:dyDescent="0.2">
      <c r="A2651" s="40"/>
      <c r="B2651" s="40"/>
      <c r="C2651" s="40"/>
      <c r="D2651" s="40"/>
      <c r="E2651" s="40"/>
      <c r="F2651" s="49" t="str">
        <f t="shared" ref="F2651:J2651" ca="1" si="2649">IFERROR(__xludf.DUMMYFUNCTION("if (A2651 &lt;&gt; """", GOOGLETRANSLATE(A2651, ""auto"", ""en""), """")"),"")</f>
        <v/>
      </c>
      <c r="G2651" s="49" t="str">
        <f t="shared" ca="1" si="2649"/>
        <v/>
      </c>
      <c r="H2651" s="49" t="str">
        <f t="shared" ca="1" si="2649"/>
        <v/>
      </c>
      <c r="I2651" s="49" t="str">
        <f t="shared" ca="1" si="2649"/>
        <v/>
      </c>
      <c r="J2651" s="49" t="str">
        <f t="shared" ca="1" si="2649"/>
        <v/>
      </c>
    </row>
    <row r="2652" spans="1:10" ht="38.25" x14ac:dyDescent="0.2">
      <c r="A2652" s="41" t="s">
        <v>2118</v>
      </c>
      <c r="B2652" s="40"/>
      <c r="C2652" s="40"/>
      <c r="D2652" s="40"/>
      <c r="E2652" s="40"/>
      <c r="F2652" s="49" t="str">
        <f t="shared" ref="F2652:J2652" ca="1" si="2650">IFERROR(__xludf.DUMMYFUNCTION("if (A2652 &lt;&gt; """", GOOGLETRANSLATE(A2652, ""auto"", ""en""), """")"),"smalltalk.user.will_call_agent_later")</f>
        <v>smalltalk.user.will_call_agent_later</v>
      </c>
      <c r="G2652" s="49" t="str">
        <f t="shared" ca="1" si="2650"/>
        <v>smalltalk.user.will_call_agent_later</v>
      </c>
      <c r="H2652" s="49" t="str">
        <f t="shared" ca="1" si="2650"/>
        <v>smalltalk.user.will_call_agent_later</v>
      </c>
      <c r="I2652" s="49" t="str">
        <f t="shared" ca="1" si="2650"/>
        <v>smalltalk.user.will_call_agent_later</v>
      </c>
      <c r="J2652" s="49" t="str">
        <f t="shared" ca="1" si="2650"/>
        <v>smalltalk.user.will_call_agent_later</v>
      </c>
    </row>
    <row r="2653" spans="1:10" ht="12.75" x14ac:dyDescent="0.2">
      <c r="A2653" s="40"/>
      <c r="B2653" s="41" t="s">
        <v>398</v>
      </c>
      <c r="C2653" s="40"/>
      <c r="D2653" s="40"/>
      <c r="E2653" s="40"/>
      <c r="F2653" s="49" t="str">
        <f t="shared" ref="F2653:J2653" ca="1" si="2651">IFERROR(__xludf.DUMMYFUNCTION("if (A2653 &lt;&gt; """", GOOGLETRANSLATE(A2653, ""auto"", ""en""), """")"),"")</f>
        <v/>
      </c>
      <c r="G2653" s="49" t="str">
        <f t="shared" ca="1" si="2651"/>
        <v/>
      </c>
      <c r="H2653" s="49" t="str">
        <f t="shared" ca="1" si="2651"/>
        <v/>
      </c>
      <c r="I2653" s="49" t="str">
        <f t="shared" ca="1" si="2651"/>
        <v/>
      </c>
      <c r="J2653" s="49" t="str">
        <f t="shared" ca="1" si="2651"/>
        <v/>
      </c>
    </row>
    <row r="2654" spans="1:10" ht="12.75" x14ac:dyDescent="0.2">
      <c r="A2654" s="40"/>
      <c r="B2654" s="41" t="s">
        <v>399</v>
      </c>
      <c r="C2654" s="40"/>
      <c r="D2654" s="40"/>
      <c r="E2654" s="40"/>
      <c r="F2654" s="49" t="str">
        <f t="shared" ref="F2654:J2654" ca="1" si="2652">IFERROR(__xludf.DUMMYFUNCTION("if (A2654 &lt;&gt; """", GOOGLETRANSLATE(A2654, ""auto"", ""en""), """")"),"")</f>
        <v/>
      </c>
      <c r="G2654" s="49" t="str">
        <f t="shared" ca="1" si="2652"/>
        <v/>
      </c>
      <c r="H2654" s="49" t="str">
        <f t="shared" ca="1" si="2652"/>
        <v/>
      </c>
      <c r="I2654" s="49" t="str">
        <f t="shared" ca="1" si="2652"/>
        <v/>
      </c>
      <c r="J2654" s="49" t="str">
        <f t="shared" ca="1" si="2652"/>
        <v/>
      </c>
    </row>
    <row r="2655" spans="1:10" ht="12.75" x14ac:dyDescent="0.2">
      <c r="A2655" s="40"/>
      <c r="B2655" s="41" t="s">
        <v>400</v>
      </c>
      <c r="C2655" s="41" t="s">
        <v>2118</v>
      </c>
      <c r="D2655" s="40"/>
      <c r="E2655" s="40"/>
      <c r="F2655" s="49" t="str">
        <f t="shared" ref="F2655:J2655" ca="1" si="2653">IFERROR(__xludf.DUMMYFUNCTION("if (A2655 &lt;&gt; """", GOOGLETRANSLATE(A2655, ""auto"", ""en""), """")"),"")</f>
        <v/>
      </c>
      <c r="G2655" s="49" t="str">
        <f t="shared" ca="1" si="2653"/>
        <v/>
      </c>
      <c r="H2655" s="49" t="str">
        <f t="shared" ca="1" si="2653"/>
        <v/>
      </c>
      <c r="I2655" s="49" t="str">
        <f t="shared" ca="1" si="2653"/>
        <v/>
      </c>
      <c r="J2655" s="49" t="str">
        <f t="shared" ca="1" si="2653"/>
        <v/>
      </c>
    </row>
    <row r="2656" spans="1:10" ht="12.75" x14ac:dyDescent="0.2">
      <c r="A2656" s="40"/>
      <c r="B2656" s="41" t="s">
        <v>401</v>
      </c>
      <c r="C2656" s="40"/>
      <c r="D2656" s="40"/>
      <c r="E2656" s="40"/>
      <c r="F2656" s="49" t="str">
        <f t="shared" ref="F2656:J2656" ca="1" si="2654">IFERROR(__xludf.DUMMYFUNCTION("if (A2656 &lt;&gt; """", GOOGLETRANSLATE(A2656, ""auto"", ""en""), """")"),"")</f>
        <v/>
      </c>
      <c r="G2656" s="49" t="str">
        <f t="shared" ca="1" si="2654"/>
        <v/>
      </c>
      <c r="H2656" s="49" t="str">
        <f t="shared" ca="1" si="2654"/>
        <v/>
      </c>
      <c r="I2656" s="49" t="str">
        <f t="shared" ca="1" si="2654"/>
        <v/>
      </c>
      <c r="J2656" s="49" t="str">
        <f t="shared" ca="1" si="2654"/>
        <v/>
      </c>
    </row>
    <row r="2657" spans="1:10" ht="25.5" x14ac:dyDescent="0.2">
      <c r="A2657" s="41" t="s">
        <v>2119</v>
      </c>
      <c r="B2657" s="41" t="s">
        <v>402</v>
      </c>
      <c r="C2657" s="41" t="s">
        <v>20</v>
      </c>
      <c r="D2657" s="40"/>
      <c r="E2657" s="40"/>
      <c r="F2657" s="49" t="str">
        <f t="shared" ref="F2657:J2657" ca="1" si="2655">IFERROR(__xludf.DUMMYFUNCTION("if (A2657 &lt;&gt; """", GOOGLETRANSLATE(A2657, ""auto"", ""en""), """")"),"I will see you around")</f>
        <v>I will see you around</v>
      </c>
      <c r="G2657" s="49" t="str">
        <f t="shared" ca="1" si="2655"/>
        <v>I will see you around</v>
      </c>
      <c r="H2657" s="49" t="str">
        <f t="shared" ca="1" si="2655"/>
        <v>I will see you around</v>
      </c>
      <c r="I2657" s="49" t="str">
        <f t="shared" ca="1" si="2655"/>
        <v>I will see you around</v>
      </c>
      <c r="J2657" s="49" t="str">
        <f t="shared" ca="1" si="2655"/>
        <v>I will see you around</v>
      </c>
    </row>
    <row r="2658" spans="1:10" ht="38.25" x14ac:dyDescent="0.2">
      <c r="A2658" s="41" t="s">
        <v>2120</v>
      </c>
      <c r="B2658" s="40"/>
      <c r="C2658" s="40"/>
      <c r="D2658" s="40"/>
      <c r="E2658" s="40"/>
      <c r="F2658" s="49" t="str">
        <f t="shared" ref="F2658:J2658" ca="1" si="2656">IFERROR(__xludf.DUMMYFUNCTION("if (A2658 &lt;&gt; """", GOOGLETRANSLATE(A2658, ""auto"", ""en""), """")"),"In addition to contact from here")</f>
        <v>In addition to contact from here</v>
      </c>
      <c r="G2658" s="49" t="str">
        <f t="shared" ca="1" si="2656"/>
        <v>In addition to contact from here</v>
      </c>
      <c r="H2658" s="49" t="str">
        <f t="shared" ca="1" si="2656"/>
        <v>In addition to contact from here</v>
      </c>
      <c r="I2658" s="49" t="str">
        <f t="shared" ca="1" si="2656"/>
        <v>In addition to contact from here</v>
      </c>
      <c r="J2658" s="49" t="str">
        <f t="shared" ca="1" si="2656"/>
        <v>In addition to contact from here</v>
      </c>
    </row>
    <row r="2659" spans="1:10" ht="12.75" x14ac:dyDescent="0.2">
      <c r="A2659" s="41" t="s">
        <v>2122</v>
      </c>
      <c r="B2659" s="40"/>
      <c r="C2659" s="40"/>
      <c r="D2659" s="40"/>
      <c r="E2659" s="40"/>
      <c r="F2659" s="49" t="str">
        <f t="shared" ref="F2659:J2659" ca="1" si="2657">IFERROR(__xludf.DUMMYFUNCTION("if (A2659 &lt;&gt; """", GOOGLETRANSLATE(A2659, ""auto"", ""en""), """")"),"The Contact")</f>
        <v>The Contact</v>
      </c>
      <c r="G2659" s="49" t="str">
        <f t="shared" ca="1" si="2657"/>
        <v>The Contact</v>
      </c>
      <c r="H2659" s="49" t="str">
        <f t="shared" ca="1" si="2657"/>
        <v>The Contact</v>
      </c>
      <c r="I2659" s="49" t="str">
        <f t="shared" ca="1" si="2657"/>
        <v>The Contact</v>
      </c>
      <c r="J2659" s="49" t="str">
        <f t="shared" ca="1" si="2657"/>
        <v>The Contact</v>
      </c>
    </row>
    <row r="2660" spans="1:10" ht="38.25" x14ac:dyDescent="0.2">
      <c r="A2660" s="41" t="s">
        <v>2123</v>
      </c>
      <c r="B2660" s="40"/>
      <c r="C2660" s="40"/>
      <c r="D2660" s="40"/>
      <c r="E2660" s="40"/>
      <c r="F2660" s="49" t="str">
        <f t="shared" ref="F2660:J2660" ca="1" si="2658">IFERROR(__xludf.DUMMYFUNCTION("if (A2660 &lt;&gt; """", GOOGLETRANSLATE(A2660, ""auto"", ""en""), """")"),"Also I would like to contact us")</f>
        <v>Also I would like to contact us</v>
      </c>
      <c r="G2660" s="49" t="str">
        <f t="shared" ca="1" si="2658"/>
        <v>Also I would like to contact us</v>
      </c>
      <c r="H2660" s="49" t="str">
        <f t="shared" ca="1" si="2658"/>
        <v>Also I would like to contact us</v>
      </c>
      <c r="I2660" s="49" t="str">
        <f t="shared" ca="1" si="2658"/>
        <v>Also I would like to contact us</v>
      </c>
      <c r="J2660" s="49" t="str">
        <f t="shared" ca="1" si="2658"/>
        <v>Also I would like to contact us</v>
      </c>
    </row>
    <row r="2661" spans="1:10" ht="12.75" x14ac:dyDescent="0.2">
      <c r="A2661" s="41" t="s">
        <v>2124</v>
      </c>
      <c r="B2661" s="40"/>
      <c r="C2661" s="40"/>
      <c r="D2661" s="40"/>
      <c r="E2661" s="40"/>
      <c r="F2661" s="49" t="str">
        <f t="shared" ref="F2661:J2661" ca="1" si="2659">IFERROR(__xludf.DUMMYFUNCTION("if (A2661 &lt;&gt; """", GOOGLETRANSLATE(A2661, ""auto"", ""en""), """")"),"The Contact")</f>
        <v>The Contact</v>
      </c>
      <c r="G2661" s="49" t="str">
        <f t="shared" ca="1" si="2659"/>
        <v>The Contact</v>
      </c>
      <c r="H2661" s="49" t="str">
        <f t="shared" ca="1" si="2659"/>
        <v>The Contact</v>
      </c>
      <c r="I2661" s="49" t="str">
        <f t="shared" ca="1" si="2659"/>
        <v>The Contact</v>
      </c>
      <c r="J2661" s="49" t="str">
        <f t="shared" ca="1" si="2659"/>
        <v>The Contact</v>
      </c>
    </row>
    <row r="2662" spans="1:10" ht="12.75" x14ac:dyDescent="0.2">
      <c r="A2662" s="40"/>
      <c r="B2662" s="40"/>
      <c r="C2662" s="40"/>
      <c r="D2662" s="40"/>
      <c r="E2662" s="40"/>
      <c r="F2662" s="49" t="str">
        <f t="shared" ref="F2662:J2662" ca="1" si="2660">IFERROR(__xludf.DUMMYFUNCTION("if (A2662 &lt;&gt; """", GOOGLETRANSLATE(A2662, ""auto"", ""en""), """")"),"")</f>
        <v/>
      </c>
      <c r="G2662" s="49" t="str">
        <f t="shared" ca="1" si="2660"/>
        <v/>
      </c>
      <c r="H2662" s="49" t="str">
        <f t="shared" ca="1" si="2660"/>
        <v/>
      </c>
      <c r="I2662" s="49" t="str">
        <f t="shared" ca="1" si="2660"/>
        <v/>
      </c>
      <c r="J2662" s="49" t="str">
        <f t="shared" ca="1" si="2660"/>
        <v/>
      </c>
    </row>
    <row r="2663" spans="1:10" ht="63.75" x14ac:dyDescent="0.2">
      <c r="A2663" s="41" t="s">
        <v>2125</v>
      </c>
      <c r="B2663" s="40"/>
      <c r="C2663" s="40"/>
      <c r="D2663" s="40"/>
      <c r="E2663" s="40"/>
      <c r="F2663" s="49" t="str">
        <f t="shared" ref="F2663:J2663" ca="1" si="2661">IFERROR(__xludf.DUMMYFUNCTION("if (A2663 &lt;&gt; """", GOOGLETRANSLATE(A2663, ""auto"", ""en""), """")"),"weather - context_weather - comment_activity")</f>
        <v>weather - context_weather - comment_activity</v>
      </c>
      <c r="G2663" s="49" t="str">
        <f t="shared" ca="1" si="2661"/>
        <v>weather - context_weather - comment_activity</v>
      </c>
      <c r="H2663" s="49" t="str">
        <f t="shared" ca="1" si="2661"/>
        <v>weather - context_weather - comment_activity</v>
      </c>
      <c r="I2663" s="49" t="str">
        <f t="shared" ca="1" si="2661"/>
        <v>weather - context_weather - comment_activity</v>
      </c>
      <c r="J2663" s="49" t="str">
        <f t="shared" ca="1" si="2661"/>
        <v>weather - context_weather - comment_activity</v>
      </c>
    </row>
    <row r="2664" spans="1:10" ht="12.75" x14ac:dyDescent="0.2">
      <c r="A2664" s="40"/>
      <c r="B2664" s="41" t="s">
        <v>398</v>
      </c>
      <c r="C2664" s="41" t="s">
        <v>2198</v>
      </c>
      <c r="D2664" s="40"/>
      <c r="E2664" s="40"/>
      <c r="F2664" s="49" t="str">
        <f t="shared" ref="F2664:J2664" ca="1" si="2662">IFERROR(__xludf.DUMMYFUNCTION("if (A2664 &lt;&gt; """", GOOGLETRANSLATE(A2664, ""auto"", ""en""), """")"),"")</f>
        <v/>
      </c>
      <c r="G2664" s="49" t="str">
        <f t="shared" ca="1" si="2662"/>
        <v/>
      </c>
      <c r="H2664" s="49" t="str">
        <f t="shared" ca="1" si="2662"/>
        <v/>
      </c>
      <c r="I2664" s="49" t="str">
        <f t="shared" ca="1" si="2662"/>
        <v/>
      </c>
      <c r="J2664" s="49" t="str">
        <f t="shared" ca="1" si="2662"/>
        <v/>
      </c>
    </row>
    <row r="2665" spans="1:10" ht="12.75" x14ac:dyDescent="0.2">
      <c r="A2665" s="40"/>
      <c r="B2665" s="41" t="s">
        <v>399</v>
      </c>
      <c r="C2665" s="41" t="s">
        <v>2198</v>
      </c>
      <c r="D2665" s="40"/>
      <c r="E2665" s="40"/>
      <c r="F2665" s="49" t="str">
        <f t="shared" ref="F2665:J2665" ca="1" si="2663">IFERROR(__xludf.DUMMYFUNCTION("if (A2665 &lt;&gt; """", GOOGLETRANSLATE(A2665, ""auto"", ""en""), """")"),"")</f>
        <v/>
      </c>
      <c r="G2665" s="49" t="str">
        <f t="shared" ca="1" si="2663"/>
        <v/>
      </c>
      <c r="H2665" s="49" t="str">
        <f t="shared" ca="1" si="2663"/>
        <v/>
      </c>
      <c r="I2665" s="49" t="str">
        <f t="shared" ca="1" si="2663"/>
        <v/>
      </c>
      <c r="J2665" s="49" t="str">
        <f t="shared" ca="1" si="2663"/>
        <v/>
      </c>
    </row>
    <row r="2666" spans="1:10" ht="12.75" x14ac:dyDescent="0.2">
      <c r="A2666" s="40"/>
      <c r="B2666" s="41" t="s">
        <v>400</v>
      </c>
      <c r="C2666" s="41" t="s">
        <v>2244</v>
      </c>
      <c r="D2666" s="40"/>
      <c r="E2666" s="40"/>
      <c r="F2666" s="49" t="str">
        <f t="shared" ref="F2666:J2666" ca="1" si="2664">IFERROR(__xludf.DUMMYFUNCTION("if (A2666 &lt;&gt; """", GOOGLETRANSLATE(A2666, ""auto"", ""en""), """")"),"")</f>
        <v/>
      </c>
      <c r="G2666" s="49" t="str">
        <f t="shared" ca="1" si="2664"/>
        <v/>
      </c>
      <c r="H2666" s="49" t="str">
        <f t="shared" ca="1" si="2664"/>
        <v/>
      </c>
      <c r="I2666" s="49" t="str">
        <f t="shared" ca="1" si="2664"/>
        <v/>
      </c>
      <c r="J2666" s="49" t="str">
        <f t="shared" ca="1" si="2664"/>
        <v/>
      </c>
    </row>
    <row r="2667" spans="1:10" ht="12.75" x14ac:dyDescent="0.2">
      <c r="A2667" s="40"/>
      <c r="B2667" s="41" t="s">
        <v>401</v>
      </c>
      <c r="C2667" s="40"/>
      <c r="D2667" s="40"/>
      <c r="E2667" s="40"/>
      <c r="F2667" s="49" t="str">
        <f t="shared" ref="F2667:J2667" ca="1" si="2665">IFERROR(__xludf.DUMMYFUNCTION("if (A2667 &lt;&gt; """", GOOGLETRANSLATE(A2667, ""auto"", ""en""), """")"),"")</f>
        <v/>
      </c>
      <c r="G2667" s="49" t="str">
        <f t="shared" ca="1" si="2665"/>
        <v/>
      </c>
      <c r="H2667" s="49" t="str">
        <f t="shared" ca="1" si="2665"/>
        <v/>
      </c>
      <c r="I2667" s="49" t="str">
        <f t="shared" ca="1" si="2665"/>
        <v/>
      </c>
      <c r="J2667" s="49" t="str">
        <f t="shared" ca="1" si="2665"/>
        <v/>
      </c>
    </row>
    <row r="2668" spans="1:10" ht="12.75" x14ac:dyDescent="0.2">
      <c r="A2668" s="41" t="s">
        <v>1571</v>
      </c>
      <c r="B2668" s="40"/>
      <c r="C2668" s="40"/>
      <c r="D2668" s="40"/>
      <c r="E2668" s="40"/>
      <c r="F2668" s="49" t="str">
        <f t="shared" ref="F2668:J2668" ca="1" si="2666">IFERROR(__xludf.DUMMYFUNCTION("if (A2668 &lt;&gt; """", GOOGLETRANSLATE(A2668, ""auto"", ""en""), """")"),"Skiing")</f>
        <v>Skiing</v>
      </c>
      <c r="G2668" s="49" t="str">
        <f t="shared" ca="1" si="2666"/>
        <v>Skiing</v>
      </c>
      <c r="H2668" s="49" t="str">
        <f t="shared" ca="1" si="2666"/>
        <v>Skiing</v>
      </c>
      <c r="I2668" s="49" t="str">
        <f t="shared" ca="1" si="2666"/>
        <v>Skiing</v>
      </c>
      <c r="J2668" s="49" t="str">
        <f t="shared" ca="1" si="2666"/>
        <v>Skiing</v>
      </c>
    </row>
    <row r="2669" spans="1:10" ht="12.75" x14ac:dyDescent="0.2">
      <c r="A2669" s="41" t="s">
        <v>2126</v>
      </c>
      <c r="B2669" s="40"/>
      <c r="C2669" s="40"/>
      <c r="D2669" s="40"/>
      <c r="E2669" s="40"/>
      <c r="F2669" s="49" t="str">
        <f t="shared" ref="F2669:J2669" ca="1" si="2667">IFERROR(__xludf.DUMMYFUNCTION("if (A2669 &lt;&gt; """", GOOGLETRANSLATE(A2669, ""auto"", ""en""), """")"),"So skating?")</f>
        <v>So skating?</v>
      </c>
      <c r="G2669" s="49" t="str">
        <f t="shared" ca="1" si="2667"/>
        <v>So skating?</v>
      </c>
      <c r="H2669" s="49" t="str">
        <f t="shared" ca="1" si="2667"/>
        <v>So skating?</v>
      </c>
      <c r="I2669" s="49" t="str">
        <f t="shared" ca="1" si="2667"/>
        <v>So skating?</v>
      </c>
      <c r="J2669" s="49" t="str">
        <f t="shared" ca="1" si="2667"/>
        <v>So skating?</v>
      </c>
    </row>
    <row r="2670" spans="1:10" ht="12.75" x14ac:dyDescent="0.2">
      <c r="A2670" s="41" t="s">
        <v>2127</v>
      </c>
      <c r="B2670" s="40"/>
      <c r="C2670" s="40"/>
      <c r="D2670" s="40"/>
      <c r="E2670" s="40"/>
      <c r="F2670" s="49" t="str">
        <f t="shared" ref="F2670:J2670" ca="1" si="2668">IFERROR(__xludf.DUMMYFUNCTION("if (A2670 &lt;&gt; """", GOOGLETRANSLATE(A2670, ""auto"", ""en""), """")"),"How swim?")</f>
        <v>How swim?</v>
      </c>
      <c r="G2670" s="49" t="str">
        <f t="shared" ca="1" si="2668"/>
        <v>How swim?</v>
      </c>
      <c r="H2670" s="49" t="str">
        <f t="shared" ca="1" si="2668"/>
        <v>How swim?</v>
      </c>
      <c r="I2670" s="49" t="str">
        <f t="shared" ca="1" si="2668"/>
        <v>How swim?</v>
      </c>
      <c r="J2670" s="49" t="str">
        <f t="shared" ca="1" si="2668"/>
        <v>How swim?</v>
      </c>
    </row>
    <row r="2671" spans="1:10" ht="12.75" x14ac:dyDescent="0.2">
      <c r="A2671" s="40"/>
      <c r="B2671" s="41" t="s">
        <v>422</v>
      </c>
      <c r="C2671" s="41" t="s">
        <v>2128</v>
      </c>
      <c r="D2671" s="41" t="s">
        <v>2129</v>
      </c>
      <c r="E2671" s="40"/>
      <c r="F2671" s="49" t="str">
        <f t="shared" ref="F2671:J2671" ca="1" si="2669">IFERROR(__xludf.DUMMYFUNCTION("if (A2671 &lt;&gt; """", GOOGLETRANSLATE(A2671, ""auto"", ""en""), """")"),"")</f>
        <v/>
      </c>
      <c r="G2671" s="49" t="str">
        <f t="shared" ca="1" si="2669"/>
        <v/>
      </c>
      <c r="H2671" s="49" t="str">
        <f t="shared" ca="1" si="2669"/>
        <v/>
      </c>
      <c r="I2671" s="49" t="str">
        <f t="shared" ca="1" si="2669"/>
        <v/>
      </c>
      <c r="J2671" s="49" t="str">
        <f t="shared" ca="1" si="2669"/>
        <v/>
      </c>
    </row>
    <row r="2672" spans="1:10" ht="12.75" x14ac:dyDescent="0.2">
      <c r="A2672" s="40"/>
      <c r="B2672" s="40"/>
      <c r="C2672" s="40"/>
      <c r="D2672" s="40"/>
      <c r="E2672" s="40"/>
      <c r="F2672" s="49" t="str">
        <f t="shared" ref="F2672:J2672" ca="1" si="2670">IFERROR(__xludf.DUMMYFUNCTION("if (A2672 &lt;&gt; """", GOOGLETRANSLATE(A2672, ""auto"", ""en""), """")"),"")</f>
        <v/>
      </c>
      <c r="G2672" s="49" t="str">
        <f t="shared" ca="1" si="2670"/>
        <v/>
      </c>
      <c r="H2672" s="49" t="str">
        <f t="shared" ca="1" si="2670"/>
        <v/>
      </c>
      <c r="I2672" s="49" t="str">
        <f t="shared" ca="1" si="2670"/>
        <v/>
      </c>
      <c r="J2672" s="49" t="str">
        <f t="shared" ca="1" si="2670"/>
        <v/>
      </c>
    </row>
    <row r="2673" spans="1:10" ht="76.5" x14ac:dyDescent="0.2">
      <c r="A2673" s="41" t="s">
        <v>2130</v>
      </c>
      <c r="B2673" s="40"/>
      <c r="C2673" s="40"/>
      <c r="D2673" s="40"/>
      <c r="E2673" s="40"/>
      <c r="F2673" s="49" t="str">
        <f t="shared" ref="F2673:J2673" ca="1" si="2671">IFERROR(__xludf.DUMMYFUNCTION("if (A2673 &lt;&gt; """", GOOGLETRANSLATE(A2673, ""auto"", ""en""), """")"),"weather - context_weather - comment_address &amp; date-time")</f>
        <v>weather - context_weather - comment_address &amp; date-time</v>
      </c>
      <c r="G2673" s="49" t="str">
        <f t="shared" ca="1" si="2671"/>
        <v>weather - context_weather - comment_address &amp; date-time</v>
      </c>
      <c r="H2673" s="49" t="str">
        <f t="shared" ca="1" si="2671"/>
        <v>weather - context_weather - comment_address &amp; date-time</v>
      </c>
      <c r="I2673" s="49" t="str">
        <f t="shared" ca="1" si="2671"/>
        <v>weather - context_weather - comment_address &amp; date-time</v>
      </c>
      <c r="J2673" s="49" t="str">
        <f t="shared" ca="1" si="2671"/>
        <v>weather - context_weather - comment_address &amp; date-time</v>
      </c>
    </row>
    <row r="2674" spans="1:10" ht="12.75" x14ac:dyDescent="0.2">
      <c r="A2674" s="40"/>
      <c r="B2674" s="41" t="s">
        <v>398</v>
      </c>
      <c r="C2674" s="41" t="s">
        <v>2198</v>
      </c>
      <c r="D2674" s="40"/>
      <c r="E2674" s="40"/>
      <c r="F2674" s="49" t="str">
        <f t="shared" ref="F2674:J2674" ca="1" si="2672">IFERROR(__xludf.DUMMYFUNCTION("if (A2674 &lt;&gt; """", GOOGLETRANSLATE(A2674, ""auto"", ""en""), """")"),"")</f>
        <v/>
      </c>
      <c r="G2674" s="49" t="str">
        <f t="shared" ca="1" si="2672"/>
        <v/>
      </c>
      <c r="H2674" s="49" t="str">
        <f t="shared" ca="1" si="2672"/>
        <v/>
      </c>
      <c r="I2674" s="49" t="str">
        <f t="shared" ca="1" si="2672"/>
        <v/>
      </c>
      <c r="J2674" s="49" t="str">
        <f t="shared" ca="1" si="2672"/>
        <v/>
      </c>
    </row>
    <row r="2675" spans="1:10" ht="12.75" x14ac:dyDescent="0.2">
      <c r="A2675" s="40"/>
      <c r="B2675" s="41" t="s">
        <v>399</v>
      </c>
      <c r="C2675" s="41" t="s">
        <v>2198</v>
      </c>
      <c r="D2675" s="40"/>
      <c r="E2675" s="40"/>
      <c r="F2675" s="49" t="str">
        <f t="shared" ref="F2675:J2675" ca="1" si="2673">IFERROR(__xludf.DUMMYFUNCTION("if (A2675 &lt;&gt; """", GOOGLETRANSLATE(A2675, ""auto"", ""en""), """")"),"")</f>
        <v/>
      </c>
      <c r="G2675" s="49" t="str">
        <f t="shared" ca="1" si="2673"/>
        <v/>
      </c>
      <c r="H2675" s="49" t="str">
        <f t="shared" ca="1" si="2673"/>
        <v/>
      </c>
      <c r="I2675" s="49" t="str">
        <f t="shared" ca="1" si="2673"/>
        <v/>
      </c>
      <c r="J2675" s="49" t="str">
        <f t="shared" ca="1" si="2673"/>
        <v/>
      </c>
    </row>
    <row r="2676" spans="1:10" ht="12.75" x14ac:dyDescent="0.2">
      <c r="A2676" s="40"/>
      <c r="B2676" s="41" t="s">
        <v>400</v>
      </c>
      <c r="C2676" s="41" t="s">
        <v>2244</v>
      </c>
      <c r="D2676" s="40"/>
      <c r="E2676" s="40"/>
      <c r="F2676" s="49" t="str">
        <f t="shared" ref="F2676:J2676" ca="1" si="2674">IFERROR(__xludf.DUMMYFUNCTION("if (A2676 &lt;&gt; """", GOOGLETRANSLATE(A2676, ""auto"", ""en""), """")"),"")</f>
        <v/>
      </c>
      <c r="G2676" s="49" t="str">
        <f t="shared" ca="1" si="2674"/>
        <v/>
      </c>
      <c r="H2676" s="49" t="str">
        <f t="shared" ca="1" si="2674"/>
        <v/>
      </c>
      <c r="I2676" s="49" t="str">
        <f t="shared" ca="1" si="2674"/>
        <v/>
      </c>
      <c r="J2676" s="49" t="str">
        <f t="shared" ca="1" si="2674"/>
        <v/>
      </c>
    </row>
    <row r="2677" spans="1:10" ht="12.75" x14ac:dyDescent="0.2">
      <c r="A2677" s="40"/>
      <c r="B2677" s="41" t="s">
        <v>401</v>
      </c>
      <c r="C2677" s="40"/>
      <c r="D2677" s="40"/>
      <c r="E2677" s="40"/>
      <c r="F2677" s="49" t="str">
        <f t="shared" ref="F2677:J2677" ca="1" si="2675">IFERROR(__xludf.DUMMYFUNCTION("if (A2677 &lt;&gt; """", GOOGLETRANSLATE(A2677, ""auto"", ""en""), """")"),"")</f>
        <v/>
      </c>
      <c r="G2677" s="49" t="str">
        <f t="shared" ca="1" si="2675"/>
        <v/>
      </c>
      <c r="H2677" s="49" t="str">
        <f t="shared" ca="1" si="2675"/>
        <v/>
      </c>
      <c r="I2677" s="49" t="str">
        <f t="shared" ca="1" si="2675"/>
        <v/>
      </c>
      <c r="J2677" s="49" t="str">
        <f t="shared" ca="1" si="2675"/>
        <v/>
      </c>
    </row>
    <row r="2678" spans="1:10" ht="25.5" x14ac:dyDescent="0.2">
      <c r="A2678" s="41" t="s">
        <v>2131</v>
      </c>
      <c r="B2678" s="40"/>
      <c r="C2678" s="40"/>
      <c r="D2678" s="40"/>
      <c r="E2678" s="40"/>
      <c r="F2678" s="49" t="str">
        <f t="shared" ref="F2678:J2678" ca="1" si="2676">IFERROR(__xludf.DUMMYFUNCTION("if (A2678 &lt;&gt; """", GOOGLETRANSLATE(A2678, ""auto"", ""en""), """")"),"How Fukuoka tomorrow")</f>
        <v>How Fukuoka tomorrow</v>
      </c>
      <c r="G2678" s="49" t="str">
        <f t="shared" ca="1" si="2676"/>
        <v>How Fukuoka tomorrow</v>
      </c>
      <c r="H2678" s="49" t="str">
        <f t="shared" ca="1" si="2676"/>
        <v>How Fukuoka tomorrow</v>
      </c>
      <c r="I2678" s="49" t="str">
        <f t="shared" ca="1" si="2676"/>
        <v>How Fukuoka tomorrow</v>
      </c>
      <c r="J2678" s="49" t="str">
        <f t="shared" ca="1" si="2676"/>
        <v>How Fukuoka tomorrow</v>
      </c>
    </row>
    <row r="2679" spans="1:10" ht="25.5" x14ac:dyDescent="0.2">
      <c r="A2679" s="41" t="s">
        <v>2132</v>
      </c>
      <c r="B2679" s="40"/>
      <c r="C2679" s="40"/>
      <c r="D2679" s="40"/>
      <c r="E2679" s="40"/>
      <c r="F2679" s="49" t="str">
        <f t="shared" ref="F2679:J2679" ca="1" si="2677">IFERROR(__xludf.DUMMYFUNCTION("if (A2679 &lt;&gt; """", GOOGLETRANSLATE(A2679, ""auto"", ""en""), """")"),"This weekend in Moscow")</f>
        <v>This weekend in Moscow</v>
      </c>
      <c r="G2679" s="49" t="str">
        <f t="shared" ca="1" si="2677"/>
        <v>This weekend in Moscow</v>
      </c>
      <c r="H2679" s="49" t="str">
        <f t="shared" ca="1" si="2677"/>
        <v>This weekend in Moscow</v>
      </c>
      <c r="I2679" s="49" t="str">
        <f t="shared" ca="1" si="2677"/>
        <v>This weekend in Moscow</v>
      </c>
      <c r="J2679" s="49" t="str">
        <f t="shared" ca="1" si="2677"/>
        <v>This weekend in Moscow</v>
      </c>
    </row>
    <row r="2680" spans="1:10" ht="38.25" x14ac:dyDescent="0.2">
      <c r="A2680" s="41" t="s">
        <v>2133</v>
      </c>
      <c r="B2680" s="40"/>
      <c r="C2680" s="40"/>
      <c r="D2680" s="40"/>
      <c r="E2680" s="40"/>
      <c r="F2680" s="49" t="str">
        <f t="shared" ref="F2680:J2680" ca="1" si="2678">IFERROR(__xludf.DUMMYFUNCTION("if (A2680 &lt;&gt; """", GOOGLETRANSLATE(A2680, ""auto"", ""en""), """")"),"So how about next Friday in Paris")</f>
        <v>So how about next Friday in Paris</v>
      </c>
      <c r="G2680" s="49" t="str">
        <f t="shared" ca="1" si="2678"/>
        <v>So how about next Friday in Paris</v>
      </c>
      <c r="H2680" s="49" t="str">
        <f t="shared" ca="1" si="2678"/>
        <v>So how about next Friday in Paris</v>
      </c>
      <c r="I2680" s="49" t="str">
        <f t="shared" ca="1" si="2678"/>
        <v>So how about next Friday in Paris</v>
      </c>
      <c r="J2680" s="49" t="str">
        <f t="shared" ca="1" si="2678"/>
        <v>So how about next Friday in Paris</v>
      </c>
    </row>
    <row r="2681" spans="1:10" ht="25.5" x14ac:dyDescent="0.2">
      <c r="A2681" s="41" t="s">
        <v>2134</v>
      </c>
      <c r="B2681" s="40"/>
      <c r="C2681" s="40"/>
      <c r="D2681" s="40"/>
      <c r="E2681" s="40"/>
      <c r="F2681" s="49" t="str">
        <f t="shared" ref="F2681:J2681" ca="1" si="2679">IFERROR(__xludf.DUMMYFUNCTION("if (A2681 &lt;&gt; """", GOOGLETRANSLATE(A2681, ""auto"", ""en""), """")"),"Tomorrow in Madrid")</f>
        <v>Tomorrow in Madrid</v>
      </c>
      <c r="G2681" s="49" t="str">
        <f t="shared" ca="1" si="2679"/>
        <v>Tomorrow in Madrid</v>
      </c>
      <c r="H2681" s="49" t="str">
        <f t="shared" ca="1" si="2679"/>
        <v>Tomorrow in Madrid</v>
      </c>
      <c r="I2681" s="49" t="str">
        <f t="shared" ca="1" si="2679"/>
        <v>Tomorrow in Madrid</v>
      </c>
      <c r="J2681" s="49" t="str">
        <f t="shared" ca="1" si="2679"/>
        <v>Tomorrow in Madrid</v>
      </c>
    </row>
    <row r="2682" spans="1:10" ht="12.75" x14ac:dyDescent="0.2">
      <c r="A2682" s="40"/>
      <c r="B2682" s="41" t="s">
        <v>422</v>
      </c>
      <c r="C2682" s="41" t="s">
        <v>2135</v>
      </c>
      <c r="D2682" s="41" t="s">
        <v>808</v>
      </c>
      <c r="E2682" s="40"/>
      <c r="F2682" s="49" t="str">
        <f t="shared" ref="F2682:J2682" ca="1" si="2680">IFERROR(__xludf.DUMMYFUNCTION("if (A2682 &lt;&gt; """", GOOGLETRANSLATE(A2682, ""auto"", ""en""), """")"),"")</f>
        <v/>
      </c>
      <c r="G2682" s="49" t="str">
        <f t="shared" ca="1" si="2680"/>
        <v/>
      </c>
      <c r="H2682" s="49" t="str">
        <f t="shared" ca="1" si="2680"/>
        <v/>
      </c>
      <c r="I2682" s="49" t="str">
        <f t="shared" ca="1" si="2680"/>
        <v/>
      </c>
      <c r="J2682" s="49" t="str">
        <f t="shared" ca="1" si="2680"/>
        <v/>
      </c>
    </row>
    <row r="2683" spans="1:10" ht="12.75" x14ac:dyDescent="0.2">
      <c r="A2683" s="40"/>
      <c r="B2683" s="41" t="s">
        <v>422</v>
      </c>
      <c r="C2683" s="41" t="s">
        <v>2136</v>
      </c>
      <c r="D2683" s="41" t="s">
        <v>2137</v>
      </c>
      <c r="E2683" s="40"/>
      <c r="F2683" s="49" t="str">
        <f t="shared" ref="F2683:J2683" ca="1" si="2681">IFERROR(__xludf.DUMMYFUNCTION("if (A2683 &lt;&gt; """", GOOGLETRANSLATE(A2683, ""auto"", ""en""), """")"),"")</f>
        <v/>
      </c>
      <c r="G2683" s="49" t="str">
        <f t="shared" ca="1" si="2681"/>
        <v/>
      </c>
      <c r="H2683" s="49" t="str">
        <f t="shared" ca="1" si="2681"/>
        <v/>
      </c>
      <c r="I2683" s="49" t="str">
        <f t="shared" ca="1" si="2681"/>
        <v/>
      </c>
      <c r="J2683" s="49" t="str">
        <f t="shared" ca="1" si="2681"/>
        <v/>
      </c>
    </row>
    <row r="2684" spans="1:10" ht="12.75" x14ac:dyDescent="0.2">
      <c r="A2684" s="40"/>
      <c r="B2684" s="40"/>
      <c r="C2684" s="40"/>
      <c r="D2684" s="40"/>
      <c r="E2684" s="40"/>
      <c r="F2684" s="49" t="str">
        <f t="shared" ref="F2684:J2684" ca="1" si="2682">IFERROR(__xludf.DUMMYFUNCTION("if (A2684 &lt;&gt; """", GOOGLETRANSLATE(A2684, ""auto"", ""en""), """")"),"")</f>
        <v/>
      </c>
      <c r="G2684" s="49" t="str">
        <f t="shared" ca="1" si="2682"/>
        <v/>
      </c>
      <c r="H2684" s="49" t="str">
        <f t="shared" ca="1" si="2682"/>
        <v/>
      </c>
      <c r="I2684" s="49" t="str">
        <f t="shared" ca="1" si="2682"/>
        <v/>
      </c>
      <c r="J2684" s="49" t="str">
        <f t="shared" ca="1" si="2682"/>
        <v/>
      </c>
    </row>
    <row r="2685" spans="1:10" ht="63.75" x14ac:dyDescent="0.2">
      <c r="A2685" s="41" t="s">
        <v>2138</v>
      </c>
      <c r="B2685" s="40"/>
      <c r="C2685" s="40"/>
      <c r="D2685" s="40"/>
      <c r="E2685" s="40"/>
      <c r="F2685" s="49" t="str">
        <f t="shared" ref="F2685:J2685" ca="1" si="2683">IFERROR(__xludf.DUMMYFUNCTION("if (A2685 &lt;&gt; """", GOOGLETRANSLATE(A2685, ""auto"", ""en""), """")"),"weather - context_weather - comment_address")</f>
        <v>weather - context_weather - comment_address</v>
      </c>
      <c r="G2685" s="49" t="str">
        <f t="shared" ca="1" si="2683"/>
        <v>weather - context_weather - comment_address</v>
      </c>
      <c r="H2685" s="49" t="str">
        <f t="shared" ca="1" si="2683"/>
        <v>weather - context_weather - comment_address</v>
      </c>
      <c r="I2685" s="49" t="str">
        <f t="shared" ca="1" si="2683"/>
        <v>weather - context_weather - comment_address</v>
      </c>
      <c r="J2685" s="49" t="str">
        <f t="shared" ca="1" si="2683"/>
        <v>weather - context_weather - comment_address</v>
      </c>
    </row>
    <row r="2686" spans="1:10" ht="12.75" x14ac:dyDescent="0.2">
      <c r="A2686" s="40"/>
      <c r="B2686" s="41" t="s">
        <v>398</v>
      </c>
      <c r="C2686" s="41" t="s">
        <v>2198</v>
      </c>
      <c r="D2686" s="40"/>
      <c r="E2686" s="40"/>
      <c r="F2686" s="49" t="str">
        <f t="shared" ref="F2686:J2686" ca="1" si="2684">IFERROR(__xludf.DUMMYFUNCTION("if (A2686 &lt;&gt; """", GOOGLETRANSLATE(A2686, ""auto"", ""en""), """")"),"")</f>
        <v/>
      </c>
      <c r="G2686" s="49" t="str">
        <f t="shared" ca="1" si="2684"/>
        <v/>
      </c>
      <c r="H2686" s="49" t="str">
        <f t="shared" ca="1" si="2684"/>
        <v/>
      </c>
      <c r="I2686" s="49" t="str">
        <f t="shared" ca="1" si="2684"/>
        <v/>
      </c>
      <c r="J2686" s="49" t="str">
        <f t="shared" ca="1" si="2684"/>
        <v/>
      </c>
    </row>
    <row r="2687" spans="1:10" ht="12.75" x14ac:dyDescent="0.2">
      <c r="A2687" s="40"/>
      <c r="B2687" s="41" t="s">
        <v>399</v>
      </c>
      <c r="C2687" s="41" t="s">
        <v>2198</v>
      </c>
      <c r="D2687" s="40"/>
      <c r="E2687" s="40"/>
      <c r="F2687" s="49" t="str">
        <f t="shared" ref="F2687:J2687" ca="1" si="2685">IFERROR(__xludf.DUMMYFUNCTION("if (A2687 &lt;&gt; """", GOOGLETRANSLATE(A2687, ""auto"", ""en""), """")"),"")</f>
        <v/>
      </c>
      <c r="G2687" s="49" t="str">
        <f t="shared" ca="1" si="2685"/>
        <v/>
      </c>
      <c r="H2687" s="49" t="str">
        <f t="shared" ca="1" si="2685"/>
        <v/>
      </c>
      <c r="I2687" s="49" t="str">
        <f t="shared" ca="1" si="2685"/>
        <v/>
      </c>
      <c r="J2687" s="49" t="str">
        <f t="shared" ca="1" si="2685"/>
        <v/>
      </c>
    </row>
    <row r="2688" spans="1:10" ht="12.75" x14ac:dyDescent="0.2">
      <c r="A2688" s="40"/>
      <c r="B2688" s="41" t="s">
        <v>400</v>
      </c>
      <c r="C2688" s="41" t="s">
        <v>2244</v>
      </c>
      <c r="D2688" s="40"/>
      <c r="E2688" s="40"/>
      <c r="F2688" s="49" t="str">
        <f t="shared" ref="F2688:J2688" ca="1" si="2686">IFERROR(__xludf.DUMMYFUNCTION("if (A2688 &lt;&gt; """", GOOGLETRANSLATE(A2688, ""auto"", ""en""), """")"),"")</f>
        <v/>
      </c>
      <c r="G2688" s="49" t="str">
        <f t="shared" ca="1" si="2686"/>
        <v/>
      </c>
      <c r="H2688" s="49" t="str">
        <f t="shared" ca="1" si="2686"/>
        <v/>
      </c>
      <c r="I2688" s="49" t="str">
        <f t="shared" ca="1" si="2686"/>
        <v/>
      </c>
      <c r="J2688" s="49" t="str">
        <f t="shared" ca="1" si="2686"/>
        <v/>
      </c>
    </row>
    <row r="2689" spans="1:10" ht="12.75" x14ac:dyDescent="0.2">
      <c r="A2689" s="40"/>
      <c r="B2689" s="41" t="s">
        <v>401</v>
      </c>
      <c r="C2689" s="40"/>
      <c r="D2689" s="40"/>
      <c r="E2689" s="40"/>
      <c r="F2689" s="49" t="str">
        <f t="shared" ref="F2689:J2689" ca="1" si="2687">IFERROR(__xludf.DUMMYFUNCTION("if (A2689 &lt;&gt; """", GOOGLETRANSLATE(A2689, ""auto"", ""en""), """")"),"")</f>
        <v/>
      </c>
      <c r="G2689" s="49" t="str">
        <f t="shared" ca="1" si="2687"/>
        <v/>
      </c>
      <c r="H2689" s="49" t="str">
        <f t="shared" ca="1" si="2687"/>
        <v/>
      </c>
      <c r="I2689" s="49" t="str">
        <f t="shared" ca="1" si="2687"/>
        <v/>
      </c>
      <c r="J2689" s="49" t="str">
        <f t="shared" ca="1" si="2687"/>
        <v/>
      </c>
    </row>
    <row r="2690" spans="1:10" ht="38.25" x14ac:dyDescent="0.2">
      <c r="A2690" s="41" t="s">
        <v>2139</v>
      </c>
      <c r="B2690" s="40"/>
      <c r="C2690" s="40"/>
      <c r="D2690" s="40"/>
      <c r="E2690" s="40"/>
      <c r="F2690" s="49" t="str">
        <f t="shared" ref="F2690:J2690" ca="1" si="2688">IFERROR(__xludf.DUMMYFUNCTION("if (A2690 &lt;&gt; """", GOOGLETRANSLATE(A2690, ""auto"", ""en""), """")"),"What happens Sendai")</f>
        <v>What happens Sendai</v>
      </c>
      <c r="G2690" s="49" t="str">
        <f t="shared" ca="1" si="2688"/>
        <v>What happens Sendai</v>
      </c>
      <c r="H2690" s="49" t="str">
        <f t="shared" ca="1" si="2688"/>
        <v>What happens Sendai</v>
      </c>
      <c r="I2690" s="49" t="str">
        <f t="shared" ca="1" si="2688"/>
        <v>What happens Sendai</v>
      </c>
      <c r="J2690" s="49" t="str">
        <f t="shared" ca="1" si="2688"/>
        <v>What happens Sendai</v>
      </c>
    </row>
    <row r="2691" spans="1:10" ht="38.25" x14ac:dyDescent="0.2">
      <c r="A2691" s="41" t="s">
        <v>2140</v>
      </c>
      <c r="B2691" s="40"/>
      <c r="C2691" s="40"/>
      <c r="D2691" s="40"/>
      <c r="E2691" s="40"/>
      <c r="F2691" s="49" t="str">
        <f t="shared" ref="F2691:J2691" ca="1" si="2689">IFERROR(__xludf.DUMMYFUNCTION("if (A2691 &lt;&gt; """", GOOGLETRANSLATE(A2691, ""auto"", ""en""), """")"),"Examine the San Francisco")</f>
        <v>Examine the San Francisco</v>
      </c>
      <c r="G2691" s="49" t="str">
        <f t="shared" ca="1" si="2689"/>
        <v>Examine the San Francisco</v>
      </c>
      <c r="H2691" s="49" t="str">
        <f t="shared" ca="1" si="2689"/>
        <v>Examine the San Francisco</v>
      </c>
      <c r="I2691" s="49" t="str">
        <f t="shared" ca="1" si="2689"/>
        <v>Examine the San Francisco</v>
      </c>
      <c r="J2691" s="49" t="str">
        <f t="shared" ca="1" si="2689"/>
        <v>Examine the San Francisco</v>
      </c>
    </row>
    <row r="2692" spans="1:10" ht="38.25" x14ac:dyDescent="0.2">
      <c r="A2692" s="41" t="s">
        <v>2141</v>
      </c>
      <c r="B2692" s="40"/>
      <c r="C2692" s="40"/>
      <c r="D2692" s="40"/>
      <c r="E2692" s="40"/>
      <c r="F2692" s="49" t="str">
        <f t="shared" ref="F2692:J2692" ca="1" si="2690">IFERROR(__xludf.DUMMYFUNCTION("if (A2692 &lt;&gt; """", GOOGLETRANSLATE(A2692, ""auto"", ""en""), """")"),"What about the Saitama City")</f>
        <v>What about the Saitama City</v>
      </c>
      <c r="G2692" s="49" t="str">
        <f t="shared" ca="1" si="2690"/>
        <v>What about the Saitama City</v>
      </c>
      <c r="H2692" s="49" t="str">
        <f t="shared" ca="1" si="2690"/>
        <v>What about the Saitama City</v>
      </c>
      <c r="I2692" s="49" t="str">
        <f t="shared" ca="1" si="2690"/>
        <v>What about the Saitama City</v>
      </c>
      <c r="J2692" s="49" t="str">
        <f t="shared" ca="1" si="2690"/>
        <v>What about the Saitama City</v>
      </c>
    </row>
    <row r="2693" spans="1:10" ht="25.5" x14ac:dyDescent="0.2">
      <c r="A2693" s="41" t="s">
        <v>2142</v>
      </c>
      <c r="B2693" s="40"/>
      <c r="C2693" s="40"/>
      <c r="D2693" s="40"/>
      <c r="E2693" s="40"/>
      <c r="F2693" s="49" t="str">
        <f t="shared" ref="F2693:J2693" ca="1" si="2691">IFERROR(__xludf.DUMMYFUNCTION("if (A2693 &lt;&gt; """", GOOGLETRANSLATE(A2693, ""auto"", ""en""), """")"),"Current of Niigata City")</f>
        <v>Current of Niigata City</v>
      </c>
      <c r="G2693" s="49" t="str">
        <f t="shared" ca="1" si="2691"/>
        <v>Current of Niigata City</v>
      </c>
      <c r="H2693" s="49" t="str">
        <f t="shared" ca="1" si="2691"/>
        <v>Current of Niigata City</v>
      </c>
      <c r="I2693" s="49" t="str">
        <f t="shared" ca="1" si="2691"/>
        <v>Current of Niigata City</v>
      </c>
      <c r="J2693" s="49" t="str">
        <f t="shared" ca="1" si="2691"/>
        <v>Current of Niigata City</v>
      </c>
    </row>
    <row r="2694" spans="1:10" ht="12.75" x14ac:dyDescent="0.2">
      <c r="A2694" s="41" t="s">
        <v>2143</v>
      </c>
      <c r="B2694" s="40"/>
      <c r="C2694" s="40"/>
      <c r="D2694" s="40"/>
      <c r="E2694" s="40"/>
      <c r="F2694" s="49" t="str">
        <f t="shared" ref="F2694:J2694" ca="1" si="2692">IFERROR(__xludf.DUMMYFUNCTION("if (A2694 &lt;&gt; """", GOOGLETRANSLATE(A2694, ""auto"", ""en""), """")"),"How Okinawa")</f>
        <v>How Okinawa</v>
      </c>
      <c r="G2694" s="49" t="str">
        <f t="shared" ca="1" si="2692"/>
        <v>How Okinawa</v>
      </c>
      <c r="H2694" s="49" t="str">
        <f t="shared" ca="1" si="2692"/>
        <v>How Okinawa</v>
      </c>
      <c r="I2694" s="49" t="str">
        <f t="shared" ca="1" si="2692"/>
        <v>How Okinawa</v>
      </c>
      <c r="J2694" s="49" t="str">
        <f t="shared" ca="1" si="2692"/>
        <v>How Okinawa</v>
      </c>
    </row>
    <row r="2695" spans="1:10" ht="12.75" x14ac:dyDescent="0.2">
      <c r="A2695" s="41" t="s">
        <v>2144</v>
      </c>
      <c r="B2695" s="40"/>
      <c r="C2695" s="40"/>
      <c r="D2695" s="40"/>
      <c r="E2695" s="40"/>
      <c r="F2695" s="49" t="str">
        <f t="shared" ref="F2695:J2695" ca="1" si="2693">IFERROR(__xludf.DUMMYFUNCTION("if (A2695 &lt;&gt; """", GOOGLETRANSLATE(A2695, ""auto"", ""en""), """")"),"So London")</f>
        <v>So London</v>
      </c>
      <c r="G2695" s="49" t="str">
        <f t="shared" ca="1" si="2693"/>
        <v>So London</v>
      </c>
      <c r="H2695" s="49" t="str">
        <f t="shared" ca="1" si="2693"/>
        <v>So London</v>
      </c>
      <c r="I2695" s="49" t="str">
        <f t="shared" ca="1" si="2693"/>
        <v>So London</v>
      </c>
      <c r="J2695" s="49" t="str">
        <f t="shared" ca="1" si="2693"/>
        <v>So London</v>
      </c>
    </row>
    <row r="2696" spans="1:10" ht="12.75" x14ac:dyDescent="0.2">
      <c r="A2696" s="41" t="s">
        <v>2145</v>
      </c>
      <c r="B2696" s="40"/>
      <c r="C2696" s="40"/>
      <c r="D2696" s="40"/>
      <c r="E2696" s="40"/>
      <c r="F2696" s="49" t="str">
        <f t="shared" ref="F2696:J2696" ca="1" si="2694">IFERROR(__xludf.DUMMYFUNCTION("if (A2696 &lt;&gt; """", GOOGLETRANSLATE(A2696, ""auto"", ""en""), """")"),"Paris")</f>
        <v>Paris</v>
      </c>
      <c r="G2696" s="49" t="str">
        <f t="shared" ca="1" si="2694"/>
        <v>Paris</v>
      </c>
      <c r="H2696" s="49" t="str">
        <f t="shared" ca="1" si="2694"/>
        <v>Paris</v>
      </c>
      <c r="I2696" s="49" t="str">
        <f t="shared" ca="1" si="2694"/>
        <v>Paris</v>
      </c>
      <c r="J2696" s="49" t="str">
        <f t="shared" ca="1" si="2694"/>
        <v>Paris</v>
      </c>
    </row>
    <row r="2697" spans="1:10" ht="12.75" x14ac:dyDescent="0.2">
      <c r="A2697" s="41" t="s">
        <v>2146</v>
      </c>
      <c r="B2697" s="40"/>
      <c r="C2697" s="40"/>
      <c r="D2697" s="40"/>
      <c r="E2697" s="40"/>
      <c r="F2697" s="49" t="str">
        <f t="shared" ref="F2697:J2697" ca="1" si="2695">IFERROR(__xludf.DUMMYFUNCTION("if (A2697 &lt;&gt; """", GOOGLETRANSLATE(A2697, ""auto"", ""en""), """")"),"Tokyo")</f>
        <v>Tokyo</v>
      </c>
      <c r="G2697" s="49" t="str">
        <f t="shared" ca="1" si="2695"/>
        <v>Tokyo</v>
      </c>
      <c r="H2697" s="49" t="str">
        <f t="shared" ca="1" si="2695"/>
        <v>Tokyo</v>
      </c>
      <c r="I2697" s="49" t="str">
        <f t="shared" ca="1" si="2695"/>
        <v>Tokyo</v>
      </c>
      <c r="J2697" s="49" t="str">
        <f t="shared" ca="1" si="2695"/>
        <v>Tokyo</v>
      </c>
    </row>
    <row r="2698" spans="1:10" ht="12.75" x14ac:dyDescent="0.2">
      <c r="A2698" s="40"/>
      <c r="B2698" s="41" t="s">
        <v>422</v>
      </c>
      <c r="C2698" s="41" t="s">
        <v>2135</v>
      </c>
      <c r="D2698" s="41" t="s">
        <v>808</v>
      </c>
      <c r="E2698" s="40"/>
      <c r="F2698" s="49" t="str">
        <f t="shared" ref="F2698:J2698" ca="1" si="2696">IFERROR(__xludf.DUMMYFUNCTION("if (A2698 &lt;&gt; """", GOOGLETRANSLATE(A2698, ""auto"", ""en""), """")"),"")</f>
        <v/>
      </c>
      <c r="G2698" s="49" t="str">
        <f t="shared" ca="1" si="2696"/>
        <v/>
      </c>
      <c r="H2698" s="49" t="str">
        <f t="shared" ca="1" si="2696"/>
        <v/>
      </c>
      <c r="I2698" s="49" t="str">
        <f t="shared" ca="1" si="2696"/>
        <v/>
      </c>
      <c r="J2698" s="49" t="str">
        <f t="shared" ca="1" si="2696"/>
        <v/>
      </c>
    </row>
    <row r="2699" spans="1:10" ht="12.75" x14ac:dyDescent="0.2">
      <c r="A2699" s="40"/>
      <c r="B2699" s="40"/>
      <c r="C2699" s="40"/>
      <c r="D2699" s="40"/>
      <c r="E2699" s="40"/>
      <c r="F2699" s="49" t="str">
        <f t="shared" ref="F2699:J2699" ca="1" si="2697">IFERROR(__xludf.DUMMYFUNCTION("if (A2699 &lt;&gt; """", GOOGLETRANSLATE(A2699, ""auto"", ""en""), """")"),"")</f>
        <v/>
      </c>
      <c r="G2699" s="49" t="str">
        <f t="shared" ca="1" si="2697"/>
        <v/>
      </c>
      <c r="H2699" s="49" t="str">
        <f t="shared" ca="1" si="2697"/>
        <v/>
      </c>
      <c r="I2699" s="49" t="str">
        <f t="shared" ca="1" si="2697"/>
        <v/>
      </c>
      <c r="J2699" s="49" t="str">
        <f t="shared" ca="1" si="2697"/>
        <v/>
      </c>
    </row>
    <row r="2700" spans="1:10" ht="63.75" x14ac:dyDescent="0.2">
      <c r="A2700" s="41" t="s">
        <v>2147</v>
      </c>
      <c r="B2700" s="40"/>
      <c r="C2700" s="40"/>
      <c r="D2700" s="40"/>
      <c r="E2700" s="40"/>
      <c r="F2700" s="49" t="str">
        <f t="shared" ref="F2700:J2700" ca="1" si="2698">IFERROR(__xludf.DUMMYFUNCTION("if (A2700 &lt;&gt; """", GOOGLETRANSLATE(A2700, ""auto"", ""en""), """")"),"weather - context_weather - comment_condition")</f>
        <v>weather - context_weather - comment_condition</v>
      </c>
      <c r="G2700" s="49" t="str">
        <f t="shared" ca="1" si="2698"/>
        <v>weather - context_weather - comment_condition</v>
      </c>
      <c r="H2700" s="49" t="str">
        <f t="shared" ca="1" si="2698"/>
        <v>weather - context_weather - comment_condition</v>
      </c>
      <c r="I2700" s="49" t="str">
        <f t="shared" ca="1" si="2698"/>
        <v>weather - context_weather - comment_condition</v>
      </c>
      <c r="J2700" s="49" t="str">
        <f t="shared" ca="1" si="2698"/>
        <v>weather - context_weather - comment_condition</v>
      </c>
    </row>
    <row r="2701" spans="1:10" ht="12.75" x14ac:dyDescent="0.2">
      <c r="A2701" s="40"/>
      <c r="B2701" s="41" t="s">
        <v>398</v>
      </c>
      <c r="C2701" s="41" t="s">
        <v>2198</v>
      </c>
      <c r="D2701" s="40"/>
      <c r="E2701" s="40"/>
      <c r="F2701" s="49" t="str">
        <f t="shared" ref="F2701:J2701" ca="1" si="2699">IFERROR(__xludf.DUMMYFUNCTION("if (A2701 &lt;&gt; """", GOOGLETRANSLATE(A2701, ""auto"", ""en""), """")"),"")</f>
        <v/>
      </c>
      <c r="G2701" s="49" t="str">
        <f t="shared" ca="1" si="2699"/>
        <v/>
      </c>
      <c r="H2701" s="49" t="str">
        <f t="shared" ca="1" si="2699"/>
        <v/>
      </c>
      <c r="I2701" s="49" t="str">
        <f t="shared" ca="1" si="2699"/>
        <v/>
      </c>
      <c r="J2701" s="49" t="str">
        <f t="shared" ca="1" si="2699"/>
        <v/>
      </c>
    </row>
    <row r="2702" spans="1:10" ht="12.75" x14ac:dyDescent="0.2">
      <c r="A2702" s="40"/>
      <c r="B2702" s="41" t="s">
        <v>399</v>
      </c>
      <c r="C2702" s="41" t="s">
        <v>2198</v>
      </c>
      <c r="D2702" s="40"/>
      <c r="E2702" s="40"/>
      <c r="F2702" s="49" t="str">
        <f t="shared" ref="F2702:J2702" ca="1" si="2700">IFERROR(__xludf.DUMMYFUNCTION("if (A2702 &lt;&gt; """", GOOGLETRANSLATE(A2702, ""auto"", ""en""), """")"),"")</f>
        <v/>
      </c>
      <c r="G2702" s="49" t="str">
        <f t="shared" ca="1" si="2700"/>
        <v/>
      </c>
      <c r="H2702" s="49" t="str">
        <f t="shared" ca="1" si="2700"/>
        <v/>
      </c>
      <c r="I2702" s="49" t="str">
        <f t="shared" ca="1" si="2700"/>
        <v/>
      </c>
      <c r="J2702" s="49" t="str">
        <f t="shared" ca="1" si="2700"/>
        <v/>
      </c>
    </row>
    <row r="2703" spans="1:10" ht="12.75" x14ac:dyDescent="0.2">
      <c r="A2703" s="40"/>
      <c r="B2703" s="41" t="s">
        <v>400</v>
      </c>
      <c r="C2703" s="41" t="s">
        <v>2244</v>
      </c>
      <c r="D2703" s="40"/>
      <c r="E2703" s="40"/>
      <c r="F2703" s="49" t="str">
        <f t="shared" ref="F2703:J2703" ca="1" si="2701">IFERROR(__xludf.DUMMYFUNCTION("if (A2703 &lt;&gt; """", GOOGLETRANSLATE(A2703, ""auto"", ""en""), """")"),"")</f>
        <v/>
      </c>
      <c r="G2703" s="49" t="str">
        <f t="shared" ca="1" si="2701"/>
        <v/>
      </c>
      <c r="H2703" s="49" t="str">
        <f t="shared" ca="1" si="2701"/>
        <v/>
      </c>
      <c r="I2703" s="49" t="str">
        <f t="shared" ca="1" si="2701"/>
        <v/>
      </c>
      <c r="J2703" s="49" t="str">
        <f t="shared" ca="1" si="2701"/>
        <v/>
      </c>
    </row>
    <row r="2704" spans="1:10" ht="12.75" x14ac:dyDescent="0.2">
      <c r="A2704" s="40"/>
      <c r="B2704" s="41" t="s">
        <v>401</v>
      </c>
      <c r="C2704" s="40"/>
      <c r="D2704" s="40"/>
      <c r="E2704" s="40"/>
      <c r="F2704" s="49" t="str">
        <f t="shared" ref="F2704:J2704" ca="1" si="2702">IFERROR(__xludf.DUMMYFUNCTION("if (A2704 &lt;&gt; """", GOOGLETRANSLATE(A2704, ""auto"", ""en""), """")"),"")</f>
        <v/>
      </c>
      <c r="G2704" s="49" t="str">
        <f t="shared" ca="1" si="2702"/>
        <v/>
      </c>
      <c r="H2704" s="49" t="str">
        <f t="shared" ca="1" si="2702"/>
        <v/>
      </c>
      <c r="I2704" s="49" t="str">
        <f t="shared" ca="1" si="2702"/>
        <v/>
      </c>
      <c r="J2704" s="49" t="str">
        <f t="shared" ca="1" si="2702"/>
        <v/>
      </c>
    </row>
    <row r="2705" spans="1:10" ht="25.5" x14ac:dyDescent="0.2">
      <c r="A2705" s="41" t="s">
        <v>2148</v>
      </c>
      <c r="B2705" s="40"/>
      <c r="C2705" s="40"/>
      <c r="D2705" s="40"/>
      <c r="E2705" s="40"/>
      <c r="F2705" s="49" t="str">
        <f t="shared" ref="F2705:J2705" ca="1" si="2703">IFERROR(__xludf.DUMMYFUNCTION("if (A2705 &lt;&gt; """", GOOGLETRANSLATE(A2705, ""auto"", ""en""), """")"),"How about snow")</f>
        <v>How about snow</v>
      </c>
      <c r="G2705" s="49" t="str">
        <f t="shared" ca="1" si="2703"/>
        <v>How about snow</v>
      </c>
      <c r="H2705" s="49" t="str">
        <f t="shared" ca="1" si="2703"/>
        <v>How about snow</v>
      </c>
      <c r="I2705" s="49" t="str">
        <f t="shared" ca="1" si="2703"/>
        <v>How about snow</v>
      </c>
      <c r="J2705" s="49" t="str">
        <f t="shared" ca="1" si="2703"/>
        <v>How about snow</v>
      </c>
    </row>
    <row r="2706" spans="1:10" ht="12.75" x14ac:dyDescent="0.2">
      <c r="A2706" s="41" t="s">
        <v>2149</v>
      </c>
      <c r="B2706" s="40"/>
      <c r="C2706" s="40"/>
      <c r="D2706" s="40"/>
      <c r="E2706" s="40"/>
      <c r="F2706" s="49" t="str">
        <f t="shared" ref="F2706:J2706" ca="1" si="2704">IFERROR(__xludf.DUMMYFUNCTION("if (A2706 &lt;&gt; """", GOOGLETRANSLATE(A2706, ""auto"", ""en""), """")"),"So rain")</f>
        <v>So rain</v>
      </c>
      <c r="G2706" s="49" t="str">
        <f t="shared" ca="1" si="2704"/>
        <v>So rain</v>
      </c>
      <c r="H2706" s="49" t="str">
        <f t="shared" ca="1" si="2704"/>
        <v>So rain</v>
      </c>
      <c r="I2706" s="49" t="str">
        <f t="shared" ca="1" si="2704"/>
        <v>So rain</v>
      </c>
      <c r="J2706" s="49" t="str">
        <f t="shared" ca="1" si="2704"/>
        <v>So rain</v>
      </c>
    </row>
    <row r="2707" spans="1:10" ht="12.75" x14ac:dyDescent="0.2">
      <c r="A2707" s="40"/>
      <c r="B2707" s="41" t="s">
        <v>422</v>
      </c>
      <c r="C2707" s="41" t="s">
        <v>2150</v>
      </c>
      <c r="D2707" s="41" t="s">
        <v>2151</v>
      </c>
      <c r="E2707" s="40"/>
      <c r="F2707" s="49" t="str">
        <f t="shared" ref="F2707:J2707" ca="1" si="2705">IFERROR(__xludf.DUMMYFUNCTION("if (A2707 &lt;&gt; """", GOOGLETRANSLATE(A2707, ""auto"", ""en""), """")"),"")</f>
        <v/>
      </c>
      <c r="G2707" s="49" t="str">
        <f t="shared" ca="1" si="2705"/>
        <v/>
      </c>
      <c r="H2707" s="49" t="str">
        <f t="shared" ca="1" si="2705"/>
        <v/>
      </c>
      <c r="I2707" s="49" t="str">
        <f t="shared" ca="1" si="2705"/>
        <v/>
      </c>
      <c r="J2707" s="49" t="str">
        <f t="shared" ca="1" si="2705"/>
        <v/>
      </c>
    </row>
    <row r="2708" spans="1:10" ht="12.75" x14ac:dyDescent="0.2">
      <c r="A2708" s="40"/>
      <c r="B2708" s="40"/>
      <c r="C2708" s="40"/>
      <c r="D2708" s="40"/>
      <c r="E2708" s="40"/>
      <c r="F2708" s="49" t="str">
        <f t="shared" ref="F2708:J2708" ca="1" si="2706">IFERROR(__xludf.DUMMYFUNCTION("if (A2708 &lt;&gt; """", GOOGLETRANSLATE(A2708, ""auto"", ""en""), """")"),"")</f>
        <v/>
      </c>
      <c r="G2708" s="49" t="str">
        <f t="shared" ca="1" si="2706"/>
        <v/>
      </c>
      <c r="H2708" s="49" t="str">
        <f t="shared" ca="1" si="2706"/>
        <v/>
      </c>
      <c r="I2708" s="49" t="str">
        <f t="shared" ca="1" si="2706"/>
        <v/>
      </c>
      <c r="J2708" s="49" t="str">
        <f t="shared" ca="1" si="2706"/>
        <v/>
      </c>
    </row>
    <row r="2709" spans="1:10" ht="63.75" x14ac:dyDescent="0.2">
      <c r="A2709" s="41" t="s">
        <v>2152</v>
      </c>
      <c r="B2709" s="40"/>
      <c r="C2709" s="40"/>
      <c r="D2709" s="40"/>
      <c r="E2709" s="40"/>
      <c r="F2709" s="49" t="str">
        <f t="shared" ref="F2709:J2709" ca="1" si="2707">IFERROR(__xludf.DUMMYFUNCTION("if (A2709 &lt;&gt; """", GOOGLETRANSLATE(A2709, ""auto"", ""en""), """")"),"weather - context_weather - comment_date time")</f>
        <v>weather - context_weather - comment_date time</v>
      </c>
      <c r="G2709" s="49" t="str">
        <f t="shared" ca="1" si="2707"/>
        <v>weather - context_weather - comment_date time</v>
      </c>
      <c r="H2709" s="49" t="str">
        <f t="shared" ca="1" si="2707"/>
        <v>weather - context_weather - comment_date time</v>
      </c>
      <c r="I2709" s="49" t="str">
        <f t="shared" ca="1" si="2707"/>
        <v>weather - context_weather - comment_date time</v>
      </c>
      <c r="J2709" s="49" t="str">
        <f t="shared" ca="1" si="2707"/>
        <v>weather - context_weather - comment_date time</v>
      </c>
    </row>
    <row r="2710" spans="1:10" ht="12.75" x14ac:dyDescent="0.2">
      <c r="A2710" s="40"/>
      <c r="B2710" s="41" t="s">
        <v>398</v>
      </c>
      <c r="C2710" s="41" t="s">
        <v>2198</v>
      </c>
      <c r="D2710" s="40"/>
      <c r="E2710" s="40"/>
      <c r="F2710" s="49" t="str">
        <f t="shared" ref="F2710:J2710" ca="1" si="2708">IFERROR(__xludf.DUMMYFUNCTION("if (A2710 &lt;&gt; """", GOOGLETRANSLATE(A2710, ""auto"", ""en""), """")"),"")</f>
        <v/>
      </c>
      <c r="G2710" s="49" t="str">
        <f t="shared" ca="1" si="2708"/>
        <v/>
      </c>
      <c r="H2710" s="49" t="str">
        <f t="shared" ca="1" si="2708"/>
        <v/>
      </c>
      <c r="I2710" s="49" t="str">
        <f t="shared" ca="1" si="2708"/>
        <v/>
      </c>
      <c r="J2710" s="49" t="str">
        <f t="shared" ca="1" si="2708"/>
        <v/>
      </c>
    </row>
    <row r="2711" spans="1:10" ht="12.75" x14ac:dyDescent="0.2">
      <c r="A2711" s="40"/>
      <c r="B2711" s="41" t="s">
        <v>399</v>
      </c>
      <c r="C2711" s="41" t="s">
        <v>2198</v>
      </c>
      <c r="D2711" s="40"/>
      <c r="E2711" s="40"/>
      <c r="F2711" s="49" t="str">
        <f t="shared" ref="F2711:J2711" ca="1" si="2709">IFERROR(__xludf.DUMMYFUNCTION("if (A2711 &lt;&gt; """", GOOGLETRANSLATE(A2711, ""auto"", ""en""), """")"),"")</f>
        <v/>
      </c>
      <c r="G2711" s="49" t="str">
        <f t="shared" ca="1" si="2709"/>
        <v/>
      </c>
      <c r="H2711" s="49" t="str">
        <f t="shared" ca="1" si="2709"/>
        <v/>
      </c>
      <c r="I2711" s="49" t="str">
        <f t="shared" ca="1" si="2709"/>
        <v/>
      </c>
      <c r="J2711" s="49" t="str">
        <f t="shared" ca="1" si="2709"/>
        <v/>
      </c>
    </row>
    <row r="2712" spans="1:10" ht="12.75" x14ac:dyDescent="0.2">
      <c r="A2712" s="40"/>
      <c r="B2712" s="41" t="s">
        <v>400</v>
      </c>
      <c r="C2712" s="41" t="s">
        <v>2244</v>
      </c>
      <c r="D2712" s="40"/>
      <c r="E2712" s="40"/>
      <c r="F2712" s="49" t="str">
        <f t="shared" ref="F2712:J2712" ca="1" si="2710">IFERROR(__xludf.DUMMYFUNCTION("if (A2712 &lt;&gt; """", GOOGLETRANSLATE(A2712, ""auto"", ""en""), """")"),"")</f>
        <v/>
      </c>
      <c r="G2712" s="49" t="str">
        <f t="shared" ca="1" si="2710"/>
        <v/>
      </c>
      <c r="H2712" s="49" t="str">
        <f t="shared" ca="1" si="2710"/>
        <v/>
      </c>
      <c r="I2712" s="49" t="str">
        <f t="shared" ca="1" si="2710"/>
        <v/>
      </c>
      <c r="J2712" s="49" t="str">
        <f t="shared" ca="1" si="2710"/>
        <v/>
      </c>
    </row>
    <row r="2713" spans="1:10" ht="12.75" x14ac:dyDescent="0.2">
      <c r="A2713" s="40"/>
      <c r="B2713" s="41" t="s">
        <v>401</v>
      </c>
      <c r="C2713" s="40"/>
      <c r="D2713" s="40"/>
      <c r="E2713" s="40"/>
      <c r="F2713" s="49" t="str">
        <f t="shared" ref="F2713:J2713" ca="1" si="2711">IFERROR(__xludf.DUMMYFUNCTION("if (A2713 &lt;&gt; """", GOOGLETRANSLATE(A2713, ""auto"", ""en""), """")"),"")</f>
        <v/>
      </c>
      <c r="G2713" s="49" t="str">
        <f t="shared" ca="1" si="2711"/>
        <v/>
      </c>
      <c r="H2713" s="49" t="str">
        <f t="shared" ca="1" si="2711"/>
        <v/>
      </c>
      <c r="I2713" s="49" t="str">
        <f t="shared" ca="1" si="2711"/>
        <v/>
      </c>
      <c r="J2713" s="49" t="str">
        <f t="shared" ca="1" si="2711"/>
        <v/>
      </c>
    </row>
    <row r="2714" spans="1:10" ht="25.5" x14ac:dyDescent="0.2">
      <c r="A2714" s="41" t="s">
        <v>2153</v>
      </c>
      <c r="B2714" s="40"/>
      <c r="C2714" s="40"/>
      <c r="D2714" s="40"/>
      <c r="E2714" s="40"/>
      <c r="F2714" s="49" t="str">
        <f t="shared" ref="F2714:J2714" ca="1" si="2712">IFERROR(__xludf.DUMMYFUNCTION("if (A2714 &lt;&gt; """", GOOGLETRANSLATE(A2714, ""auto"", ""en""), """")"),"What about Saturday")</f>
        <v>What about Saturday</v>
      </c>
      <c r="G2714" s="49" t="str">
        <f t="shared" ca="1" si="2712"/>
        <v>What about Saturday</v>
      </c>
      <c r="H2714" s="49" t="str">
        <f t="shared" ca="1" si="2712"/>
        <v>What about Saturday</v>
      </c>
      <c r="I2714" s="49" t="str">
        <f t="shared" ca="1" si="2712"/>
        <v>What about Saturday</v>
      </c>
      <c r="J2714" s="49" t="str">
        <f t="shared" ca="1" si="2712"/>
        <v>What about Saturday</v>
      </c>
    </row>
    <row r="2715" spans="1:10" ht="12.75" x14ac:dyDescent="0.2">
      <c r="A2715" s="41" t="s">
        <v>2154</v>
      </c>
      <c r="B2715" s="40"/>
      <c r="C2715" s="40"/>
      <c r="D2715" s="40"/>
      <c r="E2715" s="40"/>
      <c r="F2715" s="49" t="str">
        <f t="shared" ref="F2715:J2715" ca="1" si="2713">IFERROR(__xludf.DUMMYFUNCTION("if (A2715 &lt;&gt; """", GOOGLETRANSLATE(A2715, ""auto"", ""en""), """")"),"So next week")</f>
        <v>So next week</v>
      </c>
      <c r="G2715" s="49" t="str">
        <f t="shared" ca="1" si="2713"/>
        <v>So next week</v>
      </c>
      <c r="H2715" s="49" t="str">
        <f t="shared" ca="1" si="2713"/>
        <v>So next week</v>
      </c>
      <c r="I2715" s="49" t="str">
        <f t="shared" ca="1" si="2713"/>
        <v>So next week</v>
      </c>
      <c r="J2715" s="49" t="str">
        <f t="shared" ca="1" si="2713"/>
        <v>So next week</v>
      </c>
    </row>
    <row r="2716" spans="1:10" ht="12.75" x14ac:dyDescent="0.2">
      <c r="A2716" s="41" t="s">
        <v>2155</v>
      </c>
      <c r="B2716" s="40"/>
      <c r="C2716" s="40"/>
      <c r="D2716" s="40"/>
      <c r="E2716" s="40"/>
      <c r="F2716" s="49" t="str">
        <f t="shared" ref="F2716:J2716" ca="1" si="2714">IFERROR(__xludf.DUMMYFUNCTION("if (A2716 &lt;&gt; """", GOOGLETRANSLATE(A2716, ""auto"", ""en""), """")"),"So tomorrow")</f>
        <v>So tomorrow</v>
      </c>
      <c r="G2716" s="49" t="str">
        <f t="shared" ca="1" si="2714"/>
        <v>So tomorrow</v>
      </c>
      <c r="H2716" s="49" t="str">
        <f t="shared" ca="1" si="2714"/>
        <v>So tomorrow</v>
      </c>
      <c r="I2716" s="49" t="str">
        <f t="shared" ca="1" si="2714"/>
        <v>So tomorrow</v>
      </c>
      <c r="J2716" s="49" t="str">
        <f t="shared" ca="1" si="2714"/>
        <v>So tomorrow</v>
      </c>
    </row>
    <row r="2717" spans="1:10" ht="38.25" x14ac:dyDescent="0.2">
      <c r="A2717" s="41" t="s">
        <v>2156</v>
      </c>
      <c r="B2717" s="40"/>
      <c r="C2717" s="40"/>
      <c r="D2717" s="40"/>
      <c r="E2717" s="40"/>
      <c r="F2717" s="49" t="str">
        <f t="shared" ref="F2717:J2717" ca="1" si="2715">IFERROR(__xludf.DUMMYFUNCTION("if (A2717 &lt;&gt; """", GOOGLETRANSLATE(A2717, ""auto"", ""en""), """")"),"What happens today")</f>
        <v>What happens today</v>
      </c>
      <c r="G2717" s="49" t="str">
        <f t="shared" ca="1" si="2715"/>
        <v>What happens today</v>
      </c>
      <c r="H2717" s="49" t="str">
        <f t="shared" ca="1" si="2715"/>
        <v>What happens today</v>
      </c>
      <c r="I2717" s="49" t="str">
        <f t="shared" ca="1" si="2715"/>
        <v>What happens today</v>
      </c>
      <c r="J2717" s="49" t="str">
        <f t="shared" ca="1" si="2715"/>
        <v>What happens today</v>
      </c>
    </row>
    <row r="2718" spans="1:10" ht="25.5" x14ac:dyDescent="0.2">
      <c r="A2718" s="41" t="s">
        <v>2157</v>
      </c>
      <c r="B2718" s="40"/>
      <c r="C2718" s="40"/>
      <c r="D2718" s="40"/>
      <c r="E2718" s="40"/>
      <c r="F2718" s="49" t="str">
        <f t="shared" ref="F2718:J2718" ca="1" si="2716">IFERROR(__xludf.DUMMYFUNCTION("if (A2718 &lt;&gt; """", GOOGLETRANSLATE(A2718, ""auto"", ""en""), """")"),"5:00 vary sometimes")</f>
        <v>5:00 vary sometimes</v>
      </c>
      <c r="G2718" s="49" t="str">
        <f t="shared" ca="1" si="2716"/>
        <v>5:00 vary sometimes</v>
      </c>
      <c r="H2718" s="49" t="str">
        <f t="shared" ca="1" si="2716"/>
        <v>5:00 vary sometimes</v>
      </c>
      <c r="I2718" s="49" t="str">
        <f t="shared" ca="1" si="2716"/>
        <v>5:00 vary sometimes</v>
      </c>
      <c r="J2718" s="49" t="str">
        <f t="shared" ca="1" si="2716"/>
        <v>5:00 vary sometimes</v>
      </c>
    </row>
    <row r="2719" spans="1:10" ht="12.75" x14ac:dyDescent="0.2">
      <c r="A2719" s="41" t="s">
        <v>2158</v>
      </c>
      <c r="B2719" s="40"/>
      <c r="C2719" s="40"/>
      <c r="D2719" s="40"/>
      <c r="E2719" s="40"/>
      <c r="F2719" s="49" t="str">
        <f t="shared" ref="F2719:J2719" ca="1" si="2717">IFERROR(__xludf.DUMMYFUNCTION("if (A2719 &lt;&gt; """", GOOGLETRANSLATE(A2719, ""auto"", ""en""), """")"),"Wednesday")</f>
        <v>Wednesday</v>
      </c>
      <c r="G2719" s="49" t="str">
        <f t="shared" ca="1" si="2717"/>
        <v>Wednesday</v>
      </c>
      <c r="H2719" s="49" t="str">
        <f t="shared" ca="1" si="2717"/>
        <v>Wednesday</v>
      </c>
      <c r="I2719" s="49" t="str">
        <f t="shared" ca="1" si="2717"/>
        <v>Wednesday</v>
      </c>
      <c r="J2719" s="49" t="str">
        <f t="shared" ca="1" si="2717"/>
        <v>Wednesday</v>
      </c>
    </row>
    <row r="2720" spans="1:10" ht="25.5" x14ac:dyDescent="0.2">
      <c r="A2720" s="41" t="s">
        <v>2159</v>
      </c>
      <c r="B2720" s="40"/>
      <c r="C2720" s="40"/>
      <c r="D2720" s="40"/>
      <c r="E2720" s="40"/>
      <c r="F2720" s="49" t="str">
        <f t="shared" ref="F2720:J2720" ca="1" si="2718">IFERROR(__xludf.DUMMYFUNCTION("if (A2720 &lt;&gt; """", GOOGLETRANSLATE(A2720, ""auto"", ""en""), """")"),"So how about tomorrow")</f>
        <v>So how about tomorrow</v>
      </c>
      <c r="G2720" s="49" t="str">
        <f t="shared" ca="1" si="2718"/>
        <v>So how about tomorrow</v>
      </c>
      <c r="H2720" s="49" t="str">
        <f t="shared" ca="1" si="2718"/>
        <v>So how about tomorrow</v>
      </c>
      <c r="I2720" s="49" t="str">
        <f t="shared" ca="1" si="2718"/>
        <v>So how about tomorrow</v>
      </c>
      <c r="J2720" s="49" t="str">
        <f t="shared" ca="1" si="2718"/>
        <v>So how about tomorrow</v>
      </c>
    </row>
    <row r="2721" spans="1:10" ht="25.5" x14ac:dyDescent="0.2">
      <c r="A2721" s="41" t="s">
        <v>2160</v>
      </c>
      <c r="B2721" s="40"/>
      <c r="C2721" s="40"/>
      <c r="D2721" s="40"/>
      <c r="E2721" s="40"/>
      <c r="F2721" s="49" t="str">
        <f t="shared" ref="F2721:J2721" ca="1" si="2719">IFERROR(__xludf.DUMMYFUNCTION("if (A2721 &lt;&gt; """", GOOGLETRANSLATE(A2721, ""auto"", ""en""), """")"),"How about tomorrow")</f>
        <v>How about tomorrow</v>
      </c>
      <c r="G2721" s="49" t="str">
        <f t="shared" ca="1" si="2719"/>
        <v>How about tomorrow</v>
      </c>
      <c r="H2721" s="49" t="str">
        <f t="shared" ca="1" si="2719"/>
        <v>How about tomorrow</v>
      </c>
      <c r="I2721" s="49" t="str">
        <f t="shared" ca="1" si="2719"/>
        <v>How about tomorrow</v>
      </c>
      <c r="J2721" s="49" t="str">
        <f t="shared" ca="1" si="2719"/>
        <v>How about tomorrow</v>
      </c>
    </row>
    <row r="2722" spans="1:10" ht="25.5" x14ac:dyDescent="0.2">
      <c r="A2722" s="41" t="s">
        <v>2161</v>
      </c>
      <c r="B2722" s="40"/>
      <c r="C2722" s="40"/>
      <c r="D2722" s="40"/>
      <c r="E2722" s="40"/>
      <c r="F2722" s="49" t="str">
        <f t="shared" ref="F2722:J2722" ca="1" si="2720">IFERROR(__xludf.DUMMYFUNCTION("if (A2722 &lt;&gt; """", GOOGLETRANSLATE(A2722, ""auto"", ""en""), """")"),"Examine the next Monday")</f>
        <v>Examine the next Monday</v>
      </c>
      <c r="G2722" s="49" t="str">
        <f t="shared" ca="1" si="2720"/>
        <v>Examine the next Monday</v>
      </c>
      <c r="H2722" s="49" t="str">
        <f t="shared" ca="1" si="2720"/>
        <v>Examine the next Monday</v>
      </c>
      <c r="I2722" s="49" t="str">
        <f t="shared" ca="1" si="2720"/>
        <v>Examine the next Monday</v>
      </c>
      <c r="J2722" s="49" t="str">
        <f t="shared" ca="1" si="2720"/>
        <v>Examine the next Monday</v>
      </c>
    </row>
    <row r="2723" spans="1:10" ht="25.5" x14ac:dyDescent="0.2">
      <c r="A2723" s="41" t="s">
        <v>2162</v>
      </c>
      <c r="B2723" s="40"/>
      <c r="C2723" s="40"/>
      <c r="D2723" s="40"/>
      <c r="E2723" s="40"/>
      <c r="F2723" s="49" t="str">
        <f t="shared" ref="F2723:J2723" ca="1" si="2721">IFERROR(__xludf.DUMMYFUNCTION("if (A2723 &lt;&gt; """", GOOGLETRANSLATE(A2723, ""auto"", ""en""), """")"),"Examine the next week")</f>
        <v>Examine the next week</v>
      </c>
      <c r="G2723" s="49" t="str">
        <f t="shared" ca="1" si="2721"/>
        <v>Examine the next week</v>
      </c>
      <c r="H2723" s="49" t="str">
        <f t="shared" ca="1" si="2721"/>
        <v>Examine the next week</v>
      </c>
      <c r="I2723" s="49" t="str">
        <f t="shared" ca="1" si="2721"/>
        <v>Examine the next week</v>
      </c>
      <c r="J2723" s="49" t="str">
        <f t="shared" ca="1" si="2721"/>
        <v>Examine the next week</v>
      </c>
    </row>
    <row r="2724" spans="1:10" ht="12.75" x14ac:dyDescent="0.2">
      <c r="A2724" s="40"/>
      <c r="B2724" s="41" t="s">
        <v>422</v>
      </c>
      <c r="C2724" s="41" t="s">
        <v>2136</v>
      </c>
      <c r="D2724" s="41" t="s">
        <v>2137</v>
      </c>
      <c r="E2724" s="40"/>
      <c r="F2724" s="49" t="str">
        <f t="shared" ref="F2724:J2724" ca="1" si="2722">IFERROR(__xludf.DUMMYFUNCTION("if (A2724 &lt;&gt; """", GOOGLETRANSLATE(A2724, ""auto"", ""en""), """")"),"")</f>
        <v/>
      </c>
      <c r="G2724" s="49" t="str">
        <f t="shared" ca="1" si="2722"/>
        <v/>
      </c>
      <c r="H2724" s="49" t="str">
        <f t="shared" ca="1" si="2722"/>
        <v/>
      </c>
      <c r="I2724" s="49" t="str">
        <f t="shared" ca="1" si="2722"/>
        <v/>
      </c>
      <c r="J2724" s="49" t="str">
        <f t="shared" ca="1" si="2722"/>
        <v/>
      </c>
    </row>
    <row r="2725" spans="1:10" ht="12.75" x14ac:dyDescent="0.2">
      <c r="A2725" s="40"/>
      <c r="B2725" s="40"/>
      <c r="C2725" s="40"/>
      <c r="D2725" s="40"/>
      <c r="E2725" s="40"/>
      <c r="F2725" s="49" t="str">
        <f t="shared" ref="F2725:J2725" ca="1" si="2723">IFERROR(__xludf.DUMMYFUNCTION("if (A2725 &lt;&gt; """", GOOGLETRANSLATE(A2725, ""auto"", ""en""), """")"),"")</f>
        <v/>
      </c>
      <c r="G2725" s="49" t="str">
        <f t="shared" ca="1" si="2723"/>
        <v/>
      </c>
      <c r="H2725" s="49" t="str">
        <f t="shared" ca="1" si="2723"/>
        <v/>
      </c>
      <c r="I2725" s="49" t="str">
        <f t="shared" ca="1" si="2723"/>
        <v/>
      </c>
      <c r="J2725" s="49" t="str">
        <f t="shared" ca="1" si="2723"/>
        <v/>
      </c>
    </row>
    <row r="2726" spans="1:10" ht="63.75" x14ac:dyDescent="0.2">
      <c r="A2726" s="41" t="s">
        <v>2163</v>
      </c>
      <c r="B2726" s="40"/>
      <c r="C2726" s="40"/>
      <c r="D2726" s="40"/>
      <c r="E2726" s="40"/>
      <c r="F2726" s="49" t="str">
        <f t="shared" ref="F2726:J2726" ca="1" si="2724">IFERROR(__xludf.DUMMYFUNCTION("if (A2726 &lt;&gt; """", GOOGLETRANSLATE(A2726, ""auto"", ""en""), """")"),"weather - context_weather - comment_outfit")</f>
        <v>weather - context_weather - comment_outfit</v>
      </c>
      <c r="G2726" s="49" t="str">
        <f t="shared" ca="1" si="2724"/>
        <v>weather - context_weather - comment_outfit</v>
      </c>
      <c r="H2726" s="49" t="str">
        <f t="shared" ca="1" si="2724"/>
        <v>weather - context_weather - comment_outfit</v>
      </c>
      <c r="I2726" s="49" t="str">
        <f t="shared" ca="1" si="2724"/>
        <v>weather - context_weather - comment_outfit</v>
      </c>
      <c r="J2726" s="49" t="str">
        <f t="shared" ca="1" si="2724"/>
        <v>weather - context_weather - comment_outfit</v>
      </c>
    </row>
    <row r="2727" spans="1:10" ht="12.75" x14ac:dyDescent="0.2">
      <c r="A2727" s="40"/>
      <c r="B2727" s="41" t="s">
        <v>398</v>
      </c>
      <c r="C2727" s="41" t="s">
        <v>2198</v>
      </c>
      <c r="D2727" s="40"/>
      <c r="E2727" s="40"/>
      <c r="F2727" s="49" t="str">
        <f t="shared" ref="F2727:J2727" ca="1" si="2725">IFERROR(__xludf.DUMMYFUNCTION("if (A2727 &lt;&gt; """", GOOGLETRANSLATE(A2727, ""auto"", ""en""), """")"),"")</f>
        <v/>
      </c>
      <c r="G2727" s="49" t="str">
        <f t="shared" ca="1" si="2725"/>
        <v/>
      </c>
      <c r="H2727" s="49" t="str">
        <f t="shared" ca="1" si="2725"/>
        <v/>
      </c>
      <c r="I2727" s="49" t="str">
        <f t="shared" ca="1" si="2725"/>
        <v/>
      </c>
      <c r="J2727" s="49" t="str">
        <f t="shared" ca="1" si="2725"/>
        <v/>
      </c>
    </row>
    <row r="2728" spans="1:10" ht="12.75" x14ac:dyDescent="0.2">
      <c r="A2728" s="40"/>
      <c r="B2728" s="41" t="s">
        <v>399</v>
      </c>
      <c r="C2728" s="41" t="s">
        <v>2198</v>
      </c>
      <c r="D2728" s="40"/>
      <c r="E2728" s="40"/>
      <c r="F2728" s="49" t="str">
        <f t="shared" ref="F2728:J2728" ca="1" si="2726">IFERROR(__xludf.DUMMYFUNCTION("if (A2728 &lt;&gt; """", GOOGLETRANSLATE(A2728, ""auto"", ""en""), """")"),"")</f>
        <v/>
      </c>
      <c r="G2728" s="49" t="str">
        <f t="shared" ca="1" si="2726"/>
        <v/>
      </c>
      <c r="H2728" s="49" t="str">
        <f t="shared" ca="1" si="2726"/>
        <v/>
      </c>
      <c r="I2728" s="49" t="str">
        <f t="shared" ca="1" si="2726"/>
        <v/>
      </c>
      <c r="J2728" s="49" t="str">
        <f t="shared" ca="1" si="2726"/>
        <v/>
      </c>
    </row>
    <row r="2729" spans="1:10" ht="12.75" x14ac:dyDescent="0.2">
      <c r="A2729" s="40"/>
      <c r="B2729" s="41" t="s">
        <v>400</v>
      </c>
      <c r="C2729" s="41" t="s">
        <v>2244</v>
      </c>
      <c r="D2729" s="40"/>
      <c r="E2729" s="40"/>
      <c r="F2729" s="49" t="str">
        <f t="shared" ref="F2729:J2729" ca="1" si="2727">IFERROR(__xludf.DUMMYFUNCTION("if (A2729 &lt;&gt; """", GOOGLETRANSLATE(A2729, ""auto"", ""en""), """")"),"")</f>
        <v/>
      </c>
      <c r="G2729" s="49" t="str">
        <f t="shared" ca="1" si="2727"/>
        <v/>
      </c>
      <c r="H2729" s="49" t="str">
        <f t="shared" ca="1" si="2727"/>
        <v/>
      </c>
      <c r="I2729" s="49" t="str">
        <f t="shared" ca="1" si="2727"/>
        <v/>
      </c>
      <c r="J2729" s="49" t="str">
        <f t="shared" ca="1" si="2727"/>
        <v/>
      </c>
    </row>
    <row r="2730" spans="1:10" ht="12.75" x14ac:dyDescent="0.2">
      <c r="A2730" s="40"/>
      <c r="B2730" s="41" t="s">
        <v>401</v>
      </c>
      <c r="C2730" s="40"/>
      <c r="D2730" s="40"/>
      <c r="E2730" s="40"/>
      <c r="F2730" s="49" t="str">
        <f t="shared" ref="F2730:J2730" ca="1" si="2728">IFERROR(__xludf.DUMMYFUNCTION("if (A2730 &lt;&gt; """", GOOGLETRANSLATE(A2730, ""auto"", ""en""), """")"),"")</f>
        <v/>
      </c>
      <c r="G2730" s="49" t="str">
        <f t="shared" ca="1" si="2728"/>
        <v/>
      </c>
      <c r="H2730" s="49" t="str">
        <f t="shared" ca="1" si="2728"/>
        <v/>
      </c>
      <c r="I2730" s="49" t="str">
        <f t="shared" ca="1" si="2728"/>
        <v/>
      </c>
      <c r="J2730" s="49" t="str">
        <f t="shared" ca="1" si="2728"/>
        <v/>
      </c>
    </row>
    <row r="2731" spans="1:10" ht="12.75" x14ac:dyDescent="0.2">
      <c r="A2731" s="41" t="s">
        <v>2164</v>
      </c>
      <c r="B2731" s="40"/>
      <c r="C2731" s="40"/>
      <c r="D2731" s="40"/>
      <c r="E2731" s="40"/>
      <c r="F2731" s="49" t="str">
        <f t="shared" ref="F2731:J2731" ca="1" si="2729">IFERROR(__xludf.DUMMYFUNCTION("if (A2731 &lt;&gt; """", GOOGLETRANSLATE(A2731, ""auto"", ""en""), """")"),"So raincoats")</f>
        <v>So raincoats</v>
      </c>
      <c r="G2731" s="49" t="str">
        <f t="shared" ca="1" si="2729"/>
        <v>So raincoats</v>
      </c>
      <c r="H2731" s="49" t="str">
        <f t="shared" ca="1" si="2729"/>
        <v>So raincoats</v>
      </c>
      <c r="I2731" s="49" t="str">
        <f t="shared" ca="1" si="2729"/>
        <v>So raincoats</v>
      </c>
      <c r="J2731" s="49" t="str">
        <f t="shared" ca="1" si="2729"/>
        <v>So raincoats</v>
      </c>
    </row>
    <row r="2732" spans="1:10" ht="12.75" x14ac:dyDescent="0.2">
      <c r="A2732" s="41" t="s">
        <v>2165</v>
      </c>
      <c r="B2732" s="40"/>
      <c r="C2732" s="40"/>
      <c r="D2732" s="40"/>
      <c r="E2732" s="40"/>
      <c r="F2732" s="49" t="str">
        <f t="shared" ref="F2732:J2732" ca="1" si="2730">IFERROR(__xludf.DUMMYFUNCTION("if (A2732 &lt;&gt; """", GOOGLETRANSLATE(A2732, ""auto"", ""en""), """")"),"Court is")</f>
        <v>Court is</v>
      </c>
      <c r="G2732" s="49" t="str">
        <f t="shared" ca="1" si="2730"/>
        <v>Court is</v>
      </c>
      <c r="H2732" s="49" t="str">
        <f t="shared" ca="1" si="2730"/>
        <v>Court is</v>
      </c>
      <c r="I2732" s="49" t="str">
        <f t="shared" ca="1" si="2730"/>
        <v>Court is</v>
      </c>
      <c r="J2732" s="49" t="str">
        <f t="shared" ca="1" si="2730"/>
        <v>Court is</v>
      </c>
    </row>
    <row r="2733" spans="1:10" ht="25.5" x14ac:dyDescent="0.2">
      <c r="A2733" s="41" t="s">
        <v>2166</v>
      </c>
      <c r="B2733" s="40"/>
      <c r="C2733" s="40"/>
      <c r="D2733" s="40"/>
      <c r="E2733" s="40"/>
      <c r="F2733" s="49" t="str">
        <f t="shared" ref="F2733:J2733" ca="1" si="2731">IFERROR(__xludf.DUMMYFUNCTION("if (A2733 &lt;&gt; """", GOOGLETRANSLATE(A2733, ""auto"", ""en""), """")"),"What about raincoat")</f>
        <v>What about raincoat</v>
      </c>
      <c r="G2733" s="49" t="str">
        <f t="shared" ca="1" si="2731"/>
        <v>What about raincoat</v>
      </c>
      <c r="H2733" s="49" t="str">
        <f t="shared" ca="1" si="2731"/>
        <v>What about raincoat</v>
      </c>
      <c r="I2733" s="49" t="str">
        <f t="shared" ca="1" si="2731"/>
        <v>What about raincoat</v>
      </c>
      <c r="J2733" s="49" t="str">
        <f t="shared" ca="1" si="2731"/>
        <v>What about raincoat</v>
      </c>
    </row>
    <row r="2734" spans="1:10" ht="12.75" x14ac:dyDescent="0.2">
      <c r="A2734" s="41" t="s">
        <v>2167</v>
      </c>
      <c r="B2734" s="40"/>
      <c r="C2734" s="40"/>
      <c r="D2734" s="40"/>
      <c r="E2734" s="40"/>
      <c r="F2734" s="49" t="str">
        <f t="shared" ref="F2734:J2734" ca="1" si="2732">IFERROR(__xludf.DUMMYFUNCTION("if (A2734 &lt;&gt; """", GOOGLETRANSLATE(A2734, ""auto"", ""en""), """")"),"So umbrella")</f>
        <v>So umbrella</v>
      </c>
      <c r="G2734" s="49" t="str">
        <f t="shared" ca="1" si="2732"/>
        <v>So umbrella</v>
      </c>
      <c r="H2734" s="49" t="str">
        <f t="shared" ca="1" si="2732"/>
        <v>So umbrella</v>
      </c>
      <c r="I2734" s="49" t="str">
        <f t="shared" ca="1" si="2732"/>
        <v>So umbrella</v>
      </c>
      <c r="J2734" s="49" t="str">
        <f t="shared" ca="1" si="2732"/>
        <v>So umbrella</v>
      </c>
    </row>
    <row r="2735" spans="1:10" ht="25.5" x14ac:dyDescent="0.2">
      <c r="A2735" s="41" t="s">
        <v>2168</v>
      </c>
      <c r="B2735" s="40"/>
      <c r="C2735" s="40"/>
      <c r="D2735" s="40"/>
      <c r="E2735" s="40"/>
      <c r="F2735" s="49" t="str">
        <f t="shared" ref="F2735:J2735" ca="1" si="2733">IFERROR(__xludf.DUMMYFUNCTION("if (A2735 &lt;&gt; """", GOOGLETRANSLATE(A2735, ""auto"", ""en""), """")"),"In my umbrella")</f>
        <v>In my umbrella</v>
      </c>
      <c r="G2735" s="49" t="str">
        <f t="shared" ca="1" si="2733"/>
        <v>In my umbrella</v>
      </c>
      <c r="H2735" s="49" t="str">
        <f t="shared" ca="1" si="2733"/>
        <v>In my umbrella</v>
      </c>
      <c r="I2735" s="49" t="str">
        <f t="shared" ca="1" si="2733"/>
        <v>In my umbrella</v>
      </c>
      <c r="J2735" s="49" t="str">
        <f t="shared" ca="1" si="2733"/>
        <v>In my umbrella</v>
      </c>
    </row>
    <row r="2736" spans="1:10" ht="12.75" x14ac:dyDescent="0.2">
      <c r="A2736" s="41" t="s">
        <v>2169</v>
      </c>
      <c r="B2736" s="40"/>
      <c r="C2736" s="40"/>
      <c r="D2736" s="40"/>
      <c r="E2736" s="40"/>
      <c r="F2736" s="49" t="str">
        <f t="shared" ref="F2736:J2736" ca="1" si="2734">IFERROR(__xludf.DUMMYFUNCTION("if (A2736 &lt;&gt; """", GOOGLETRANSLATE(A2736, ""auto"", ""en""), """")"),"How scarf")</f>
        <v>How scarf</v>
      </c>
      <c r="G2736" s="49" t="str">
        <f t="shared" ca="1" si="2734"/>
        <v>How scarf</v>
      </c>
      <c r="H2736" s="49" t="str">
        <f t="shared" ca="1" si="2734"/>
        <v>How scarf</v>
      </c>
      <c r="I2736" s="49" t="str">
        <f t="shared" ca="1" si="2734"/>
        <v>How scarf</v>
      </c>
      <c r="J2736" s="49" t="str">
        <f t="shared" ca="1" si="2734"/>
        <v>How scarf</v>
      </c>
    </row>
    <row r="2737" spans="1:10" ht="25.5" x14ac:dyDescent="0.2">
      <c r="A2737" s="41" t="s">
        <v>2170</v>
      </c>
      <c r="B2737" s="40"/>
      <c r="C2737" s="40"/>
      <c r="D2737" s="40"/>
      <c r="E2737" s="40"/>
      <c r="F2737" s="49" t="str">
        <f t="shared" ref="F2737:J2737" ca="1" si="2735">IFERROR(__xludf.DUMMYFUNCTION("if (A2737 &lt;&gt; """", GOOGLETRANSLATE(A2737, ""auto"", ""en""), """")"),"How about sunglasses")</f>
        <v>How about sunglasses</v>
      </c>
      <c r="G2737" s="49" t="str">
        <f t="shared" ca="1" si="2735"/>
        <v>How about sunglasses</v>
      </c>
      <c r="H2737" s="49" t="str">
        <f t="shared" ca="1" si="2735"/>
        <v>How about sunglasses</v>
      </c>
      <c r="I2737" s="49" t="str">
        <f t="shared" ca="1" si="2735"/>
        <v>How about sunglasses</v>
      </c>
      <c r="J2737" s="49" t="str">
        <f t="shared" ca="1" si="2735"/>
        <v>How about sunglasses</v>
      </c>
    </row>
    <row r="2738" spans="1:10" ht="12.75" x14ac:dyDescent="0.2">
      <c r="A2738" s="40"/>
      <c r="B2738" s="41" t="s">
        <v>422</v>
      </c>
      <c r="C2738" s="41" t="s">
        <v>2171</v>
      </c>
      <c r="D2738" s="41" t="s">
        <v>2172</v>
      </c>
      <c r="E2738" s="40"/>
      <c r="F2738" s="49" t="str">
        <f t="shared" ref="F2738:J2738" ca="1" si="2736">IFERROR(__xludf.DUMMYFUNCTION("if (A2738 &lt;&gt; """", GOOGLETRANSLATE(A2738, ""auto"", ""en""), """")"),"")</f>
        <v/>
      </c>
      <c r="G2738" s="49" t="str">
        <f t="shared" ca="1" si="2736"/>
        <v/>
      </c>
      <c r="H2738" s="49" t="str">
        <f t="shared" ca="1" si="2736"/>
        <v/>
      </c>
      <c r="I2738" s="49" t="str">
        <f t="shared" ca="1" si="2736"/>
        <v/>
      </c>
      <c r="J2738" s="49" t="str">
        <f t="shared" ca="1" si="2736"/>
        <v/>
      </c>
    </row>
    <row r="2739" spans="1:10" ht="12.75" x14ac:dyDescent="0.2">
      <c r="A2739" s="40"/>
      <c r="B2739" s="40"/>
      <c r="C2739" s="40"/>
      <c r="D2739" s="40"/>
      <c r="E2739" s="40"/>
      <c r="F2739" s="49" t="str">
        <f t="shared" ref="F2739:J2739" ca="1" si="2737">IFERROR(__xludf.DUMMYFUNCTION("if (A2739 &lt;&gt; """", GOOGLETRANSLATE(A2739, ""auto"", ""en""), """")"),"")</f>
        <v/>
      </c>
      <c r="G2739" s="49" t="str">
        <f t="shared" ca="1" si="2737"/>
        <v/>
      </c>
      <c r="H2739" s="49" t="str">
        <f t="shared" ca="1" si="2737"/>
        <v/>
      </c>
      <c r="I2739" s="49" t="str">
        <f t="shared" ca="1" si="2737"/>
        <v/>
      </c>
      <c r="J2739" s="49" t="str">
        <f t="shared" ca="1" si="2737"/>
        <v/>
      </c>
    </row>
    <row r="2740" spans="1:10" ht="25.5" x14ac:dyDescent="0.2">
      <c r="A2740" s="41" t="s">
        <v>2173</v>
      </c>
      <c r="B2740" s="40"/>
      <c r="C2740" s="40"/>
      <c r="D2740" s="40"/>
      <c r="E2740" s="40"/>
      <c r="F2740" s="49" t="str">
        <f t="shared" ref="F2740:J2740" ca="1" si="2738">IFERROR(__xludf.DUMMYFUNCTION("if (A2740 &lt;&gt; """", GOOGLETRANSLATE(A2740, ""auto"", ""en""), """")"),"weather.activity")</f>
        <v>weather.activity</v>
      </c>
      <c r="G2740" s="49" t="str">
        <f t="shared" ca="1" si="2738"/>
        <v>weather.activity</v>
      </c>
      <c r="H2740" s="49" t="str">
        <f t="shared" ca="1" si="2738"/>
        <v>weather.activity</v>
      </c>
      <c r="I2740" s="49" t="str">
        <f t="shared" ca="1" si="2738"/>
        <v>weather.activity</v>
      </c>
      <c r="J2740" s="49" t="str">
        <f t="shared" ca="1" si="2738"/>
        <v>weather.activity</v>
      </c>
    </row>
    <row r="2741" spans="1:10" ht="12.75" x14ac:dyDescent="0.2">
      <c r="A2741" s="40"/>
      <c r="B2741" s="41" t="s">
        <v>398</v>
      </c>
      <c r="C2741" s="40"/>
      <c r="D2741" s="40"/>
      <c r="E2741" s="40"/>
      <c r="F2741" s="49" t="str">
        <f t="shared" ref="F2741:J2741" ca="1" si="2739">IFERROR(__xludf.DUMMYFUNCTION("if (A2741 &lt;&gt; """", GOOGLETRANSLATE(A2741, ""auto"", ""en""), """")"),"")</f>
        <v/>
      </c>
      <c r="G2741" s="49" t="str">
        <f t="shared" ca="1" si="2739"/>
        <v/>
      </c>
      <c r="H2741" s="49" t="str">
        <f t="shared" ca="1" si="2739"/>
        <v/>
      </c>
      <c r="I2741" s="49" t="str">
        <f t="shared" ca="1" si="2739"/>
        <v/>
      </c>
      <c r="J2741" s="49" t="str">
        <f t="shared" ca="1" si="2739"/>
        <v/>
      </c>
    </row>
    <row r="2742" spans="1:10" ht="12.75" x14ac:dyDescent="0.2">
      <c r="A2742" s="40"/>
      <c r="B2742" s="41" t="s">
        <v>399</v>
      </c>
      <c r="C2742" s="41" t="s">
        <v>2198</v>
      </c>
      <c r="D2742" s="40"/>
      <c r="E2742" s="40"/>
      <c r="F2742" s="49" t="str">
        <f t="shared" ref="F2742:J2742" ca="1" si="2740">IFERROR(__xludf.DUMMYFUNCTION("if (A2742 &lt;&gt; """", GOOGLETRANSLATE(A2742, ""auto"", ""en""), """")"),"")</f>
        <v/>
      </c>
      <c r="G2742" s="49" t="str">
        <f t="shared" ca="1" si="2740"/>
        <v/>
      </c>
      <c r="H2742" s="49" t="str">
        <f t="shared" ca="1" si="2740"/>
        <v/>
      </c>
      <c r="I2742" s="49" t="str">
        <f t="shared" ca="1" si="2740"/>
        <v/>
      </c>
      <c r="J2742" s="49" t="str">
        <f t="shared" ca="1" si="2740"/>
        <v/>
      </c>
    </row>
    <row r="2743" spans="1:10" ht="12.75" x14ac:dyDescent="0.2">
      <c r="A2743" s="40"/>
      <c r="B2743" s="41" t="s">
        <v>400</v>
      </c>
      <c r="C2743" s="41" t="s">
        <v>2173</v>
      </c>
      <c r="D2743" s="40"/>
      <c r="E2743" s="40"/>
      <c r="F2743" s="49" t="str">
        <f t="shared" ref="F2743:J2743" ca="1" si="2741">IFERROR(__xludf.DUMMYFUNCTION("if (A2743 &lt;&gt; """", GOOGLETRANSLATE(A2743, ""auto"", ""en""), """")"),"")</f>
        <v/>
      </c>
      <c r="G2743" s="49" t="str">
        <f t="shared" ca="1" si="2741"/>
        <v/>
      </c>
      <c r="H2743" s="49" t="str">
        <f t="shared" ca="1" si="2741"/>
        <v/>
      </c>
      <c r="I2743" s="49" t="str">
        <f t="shared" ca="1" si="2741"/>
        <v/>
      </c>
      <c r="J2743" s="49" t="str">
        <f t="shared" ca="1" si="2741"/>
        <v/>
      </c>
    </row>
    <row r="2744" spans="1:10" ht="12.75" x14ac:dyDescent="0.2">
      <c r="A2744" s="40"/>
      <c r="B2744" s="41" t="s">
        <v>401</v>
      </c>
      <c r="C2744" s="40"/>
      <c r="D2744" s="40"/>
      <c r="E2744" s="40"/>
      <c r="F2744" s="49" t="str">
        <f t="shared" ref="F2744:J2744" ca="1" si="2742">IFERROR(__xludf.DUMMYFUNCTION("if (A2744 &lt;&gt; """", GOOGLETRANSLATE(A2744, ""auto"", ""en""), """")"),"")</f>
        <v/>
      </c>
      <c r="G2744" s="49" t="str">
        <f t="shared" ca="1" si="2742"/>
        <v/>
      </c>
      <c r="H2744" s="49" t="str">
        <f t="shared" ca="1" si="2742"/>
        <v/>
      </c>
      <c r="I2744" s="49" t="str">
        <f t="shared" ca="1" si="2742"/>
        <v/>
      </c>
      <c r="J2744" s="49" t="str">
        <f t="shared" ca="1" si="2742"/>
        <v/>
      </c>
    </row>
    <row r="2745" spans="1:10" ht="38.25" x14ac:dyDescent="0.2">
      <c r="A2745" s="41" t="s">
        <v>2174</v>
      </c>
      <c r="B2745" s="40"/>
      <c r="C2745" s="40"/>
      <c r="D2745" s="40"/>
      <c r="E2745" s="40"/>
      <c r="F2745" s="49" t="str">
        <f t="shared" ref="F2745:J2745" ca="1" si="2743">IFERROR(__xludf.DUMMYFUNCTION("if (A2745 &lt;&gt; """", GOOGLETRANSLATE(A2745, ""auto"", ""en""), """")"),"I'm going to ski today, Dekirukana")</f>
        <v>I'm going to ski today, Dekirukana</v>
      </c>
      <c r="G2745" s="49" t="str">
        <f t="shared" ca="1" si="2743"/>
        <v>I'm going to ski today, Dekirukana</v>
      </c>
      <c r="H2745" s="49" t="str">
        <f t="shared" ca="1" si="2743"/>
        <v>I'm going to ski today, Dekirukana</v>
      </c>
      <c r="I2745" s="49" t="str">
        <f t="shared" ca="1" si="2743"/>
        <v>I'm going to ski today, Dekirukana</v>
      </c>
      <c r="J2745" s="49" t="str">
        <f t="shared" ca="1" si="2743"/>
        <v>I'm going to ski today, Dekirukana</v>
      </c>
    </row>
    <row r="2746" spans="1:10" ht="25.5" x14ac:dyDescent="0.2">
      <c r="A2746" s="41" t="s">
        <v>2175</v>
      </c>
      <c r="B2746" s="40"/>
      <c r="C2746" s="40"/>
      <c r="D2746" s="40"/>
      <c r="E2746" s="40"/>
      <c r="F2746" s="49" t="str">
        <f t="shared" ref="F2746:J2746" ca="1" si="2744">IFERROR(__xludf.DUMMYFUNCTION("if (A2746 &lt;&gt; """", GOOGLETRANSLATE(A2746, ""auto"", ""en""), """")"),"You can go to the surfing")</f>
        <v>You can go to the surfing</v>
      </c>
      <c r="G2746" s="49" t="str">
        <f t="shared" ca="1" si="2744"/>
        <v>You can go to the surfing</v>
      </c>
      <c r="H2746" s="49" t="str">
        <f t="shared" ca="1" si="2744"/>
        <v>You can go to the surfing</v>
      </c>
      <c r="I2746" s="49" t="str">
        <f t="shared" ca="1" si="2744"/>
        <v>You can go to the surfing</v>
      </c>
      <c r="J2746" s="49" t="str">
        <f t="shared" ca="1" si="2744"/>
        <v>You can go to the surfing</v>
      </c>
    </row>
    <row r="2747" spans="1:10" ht="25.5" x14ac:dyDescent="0.2">
      <c r="A2747" s="41" t="s">
        <v>2176</v>
      </c>
      <c r="B2747" s="40"/>
      <c r="C2747" s="40"/>
      <c r="D2747" s="40"/>
      <c r="E2747" s="40"/>
      <c r="F2747" s="49" t="str">
        <f t="shared" ref="F2747:J2747" ca="1" si="2745">IFERROR(__xludf.DUMMYFUNCTION("if (A2747 &lt;&gt; """", GOOGLETRANSLATE(A2747, ""auto"", ""en""), """")"),"Go to climb Mount Fuji")</f>
        <v>Go to climb Mount Fuji</v>
      </c>
      <c r="G2747" s="49" t="str">
        <f t="shared" ca="1" si="2745"/>
        <v>Go to climb Mount Fuji</v>
      </c>
      <c r="H2747" s="49" t="str">
        <f t="shared" ca="1" si="2745"/>
        <v>Go to climb Mount Fuji</v>
      </c>
      <c r="I2747" s="49" t="str">
        <f t="shared" ca="1" si="2745"/>
        <v>Go to climb Mount Fuji</v>
      </c>
      <c r="J2747" s="49" t="str">
        <f t="shared" ca="1" si="2745"/>
        <v>Go to climb Mount Fuji</v>
      </c>
    </row>
    <row r="2748" spans="1:10" ht="25.5" x14ac:dyDescent="0.2">
      <c r="A2748" s="41" t="s">
        <v>2177</v>
      </c>
      <c r="B2748" s="40"/>
      <c r="C2748" s="40"/>
      <c r="D2748" s="40"/>
      <c r="E2748" s="40"/>
      <c r="F2748" s="49" t="str">
        <f t="shared" ref="F2748:J2748" ca="1" si="2746">IFERROR(__xludf.DUMMYFUNCTION("if (A2748 &lt;&gt; """", GOOGLETRANSLATE(A2748, ""auto"", ""en""), """")"),"Good weather to take a walk")</f>
        <v>Good weather to take a walk</v>
      </c>
      <c r="G2748" s="49" t="str">
        <f t="shared" ca="1" si="2746"/>
        <v>Good weather to take a walk</v>
      </c>
      <c r="H2748" s="49" t="str">
        <f t="shared" ca="1" si="2746"/>
        <v>Good weather to take a walk</v>
      </c>
      <c r="I2748" s="49" t="str">
        <f t="shared" ca="1" si="2746"/>
        <v>Good weather to take a walk</v>
      </c>
      <c r="J2748" s="49" t="str">
        <f t="shared" ca="1" si="2746"/>
        <v>Good weather to take a walk</v>
      </c>
    </row>
    <row r="2749" spans="1:10" ht="51" x14ac:dyDescent="0.2">
      <c r="A2749" s="41" t="s">
        <v>2178</v>
      </c>
      <c r="B2749" s="40"/>
      <c r="C2749" s="40"/>
      <c r="D2749" s="40"/>
      <c r="E2749" s="40"/>
      <c r="F2749" s="49" t="str">
        <f t="shared" ref="F2749:J2749" ca="1" si="2747">IFERROR(__xludf.DUMMYFUNCTION("if (A2749 &lt;&gt; """", GOOGLETRANSLATE(A2749, ""auto"", ""en""), """")"),"Good weather much play Frisbee outside")</f>
        <v>Good weather much play Frisbee outside</v>
      </c>
      <c r="G2749" s="49" t="str">
        <f t="shared" ca="1" si="2747"/>
        <v>Good weather much play Frisbee outside</v>
      </c>
      <c r="H2749" s="49" t="str">
        <f t="shared" ca="1" si="2747"/>
        <v>Good weather much play Frisbee outside</v>
      </c>
      <c r="I2749" s="49" t="str">
        <f t="shared" ca="1" si="2747"/>
        <v>Good weather much play Frisbee outside</v>
      </c>
      <c r="J2749" s="49" t="str">
        <f t="shared" ca="1" si="2747"/>
        <v>Good weather much play Frisbee outside</v>
      </c>
    </row>
    <row r="2750" spans="1:10" ht="25.5" x14ac:dyDescent="0.2">
      <c r="A2750" s="41" t="s">
        <v>2179</v>
      </c>
      <c r="B2750" s="40"/>
      <c r="C2750" s="40"/>
      <c r="D2750" s="40"/>
      <c r="E2750" s="40"/>
      <c r="F2750" s="49" t="str">
        <f t="shared" ref="F2750:J2750" ca="1" si="2748">IFERROR(__xludf.DUMMYFUNCTION("if (A2750 &lt;&gt; """", GOOGLETRANSLATE(A2750, ""auto"", ""en""), """")"),"Just good to hike tomorrow")</f>
        <v>Just good to hike tomorrow</v>
      </c>
      <c r="G2750" s="49" t="str">
        <f t="shared" ca="1" si="2748"/>
        <v>Just good to hike tomorrow</v>
      </c>
      <c r="H2750" s="49" t="str">
        <f t="shared" ca="1" si="2748"/>
        <v>Just good to hike tomorrow</v>
      </c>
      <c r="I2750" s="49" t="str">
        <f t="shared" ca="1" si="2748"/>
        <v>Just good to hike tomorrow</v>
      </c>
      <c r="J2750" s="49" t="str">
        <f t="shared" ca="1" si="2748"/>
        <v>Just good to hike tomorrow</v>
      </c>
    </row>
    <row r="2751" spans="1:10" ht="51" x14ac:dyDescent="0.2">
      <c r="A2751" s="41" t="s">
        <v>2180</v>
      </c>
      <c r="B2751" s="40"/>
      <c r="C2751" s="40"/>
      <c r="D2751" s="40"/>
      <c r="E2751" s="40"/>
      <c r="F2751" s="49" t="str">
        <f t="shared" ref="F2751:J2751" ca="1" si="2749">IFERROR(__xludf.DUMMYFUNCTION("if (A2751 &lt;&gt; """", GOOGLETRANSLATE(A2751, ""auto"", ""en""), """")"),"I think the weather is not suitable for Frisbee")</f>
        <v>I think the weather is not suitable for Frisbee</v>
      </c>
      <c r="G2751" s="49" t="str">
        <f t="shared" ca="1" si="2749"/>
        <v>I think the weather is not suitable for Frisbee</v>
      </c>
      <c r="H2751" s="49" t="str">
        <f t="shared" ca="1" si="2749"/>
        <v>I think the weather is not suitable for Frisbee</v>
      </c>
      <c r="I2751" s="49" t="str">
        <f t="shared" ca="1" si="2749"/>
        <v>I think the weather is not suitable for Frisbee</v>
      </c>
      <c r="J2751" s="49" t="str">
        <f t="shared" ca="1" si="2749"/>
        <v>I think the weather is not suitable for Frisbee</v>
      </c>
    </row>
    <row r="2752" spans="1:10" ht="38.25" x14ac:dyDescent="0.2">
      <c r="A2752" s="41" t="s">
        <v>2181</v>
      </c>
      <c r="B2752" s="40"/>
      <c r="C2752" s="40"/>
      <c r="D2752" s="40"/>
      <c r="E2752" s="40"/>
      <c r="F2752" s="49" t="str">
        <f t="shared" ref="F2752:J2752" ca="1" si="2750">IFERROR(__xludf.DUMMYFUNCTION("if (A2752 &lt;&gt; """", GOOGLETRANSLATE(A2752, ""auto"", ""en""), """")"),"Weather Is good to snowball fight")</f>
        <v>Weather Is good to snowball fight</v>
      </c>
      <c r="G2752" s="49" t="str">
        <f t="shared" ca="1" si="2750"/>
        <v>Weather Is good to snowball fight</v>
      </c>
      <c r="H2752" s="49" t="str">
        <f t="shared" ca="1" si="2750"/>
        <v>Weather Is good to snowball fight</v>
      </c>
      <c r="I2752" s="49" t="str">
        <f t="shared" ca="1" si="2750"/>
        <v>Weather Is good to snowball fight</v>
      </c>
      <c r="J2752" s="49" t="str">
        <f t="shared" ca="1" si="2750"/>
        <v>Weather Is good to snowball fight</v>
      </c>
    </row>
    <row r="2753" spans="1:10" ht="38.25" x14ac:dyDescent="0.2">
      <c r="A2753" s="41" t="s">
        <v>2182</v>
      </c>
      <c r="B2753" s="40"/>
      <c r="C2753" s="40"/>
      <c r="D2753" s="40"/>
      <c r="E2753" s="40"/>
      <c r="F2753" s="49" t="str">
        <f t="shared" ref="F2753:J2753" ca="1" si="2751">IFERROR(__xludf.DUMMYFUNCTION("if (A2753 &lt;&gt; """", GOOGLETRANSLATE(A2753, ""auto"", ""en""), """")"),"I think that's a good weather to cycling")</f>
        <v>I think that's a good weather to cycling</v>
      </c>
      <c r="G2753" s="49" t="str">
        <f t="shared" ca="1" si="2751"/>
        <v>I think that's a good weather to cycling</v>
      </c>
      <c r="H2753" s="49" t="str">
        <f t="shared" ca="1" si="2751"/>
        <v>I think that's a good weather to cycling</v>
      </c>
      <c r="I2753" s="49" t="str">
        <f t="shared" ca="1" si="2751"/>
        <v>I think that's a good weather to cycling</v>
      </c>
      <c r="J2753" s="49" t="str">
        <f t="shared" ca="1" si="2751"/>
        <v>I think that's a good weather to cycling</v>
      </c>
    </row>
    <row r="2754" spans="1:10" ht="25.5" x14ac:dyDescent="0.2">
      <c r="A2754" s="41" t="s">
        <v>2183</v>
      </c>
      <c r="B2754" s="40"/>
      <c r="C2754" s="40"/>
      <c r="D2754" s="40"/>
      <c r="E2754" s="40"/>
      <c r="F2754" s="49" t="str">
        <f t="shared" ref="F2754:J2754" ca="1" si="2752">IFERROR(__xludf.DUMMYFUNCTION("if (A2754 &lt;&gt; """", GOOGLETRANSLATE(A2754, ""auto"", ""en""), """")"),"Should I go for a run")</f>
        <v>Should I go for a run</v>
      </c>
      <c r="G2754" s="49" t="str">
        <f t="shared" ca="1" si="2752"/>
        <v>Should I go for a run</v>
      </c>
      <c r="H2754" s="49" t="str">
        <f t="shared" ca="1" si="2752"/>
        <v>Should I go for a run</v>
      </c>
      <c r="I2754" s="49" t="str">
        <f t="shared" ca="1" si="2752"/>
        <v>Should I go for a run</v>
      </c>
      <c r="J2754" s="49" t="str">
        <f t="shared" ca="1" si="2752"/>
        <v>Should I go for a run</v>
      </c>
    </row>
    <row r="2755" spans="1:10" ht="12.75" x14ac:dyDescent="0.2">
      <c r="A2755" s="40"/>
      <c r="B2755" s="41" t="s">
        <v>422</v>
      </c>
      <c r="C2755" s="41" t="s">
        <v>2128</v>
      </c>
      <c r="D2755" s="41" t="s">
        <v>2129</v>
      </c>
      <c r="E2755" s="40"/>
      <c r="F2755" s="49" t="str">
        <f t="shared" ref="F2755:J2755" ca="1" si="2753">IFERROR(__xludf.DUMMYFUNCTION("if (A2755 &lt;&gt; """", GOOGLETRANSLATE(A2755, ""auto"", ""en""), """")"),"")</f>
        <v/>
      </c>
      <c r="G2755" s="49" t="str">
        <f t="shared" ca="1" si="2753"/>
        <v/>
      </c>
      <c r="H2755" s="49" t="str">
        <f t="shared" ca="1" si="2753"/>
        <v/>
      </c>
      <c r="I2755" s="49" t="str">
        <f t="shared" ca="1" si="2753"/>
        <v/>
      </c>
      <c r="J2755" s="49" t="str">
        <f t="shared" ca="1" si="2753"/>
        <v/>
      </c>
    </row>
    <row r="2756" spans="1:10" ht="12.75" x14ac:dyDescent="0.2">
      <c r="A2756" s="40"/>
      <c r="B2756" s="41" t="s">
        <v>422</v>
      </c>
      <c r="C2756" s="41" t="s">
        <v>2136</v>
      </c>
      <c r="D2756" s="41" t="s">
        <v>2137</v>
      </c>
      <c r="E2756" s="40"/>
      <c r="F2756" s="49" t="str">
        <f t="shared" ref="F2756:J2756" ca="1" si="2754">IFERROR(__xludf.DUMMYFUNCTION("if (A2756 &lt;&gt; """", GOOGLETRANSLATE(A2756, ""auto"", ""en""), """")"),"")</f>
        <v/>
      </c>
      <c r="G2756" s="49" t="str">
        <f t="shared" ca="1" si="2754"/>
        <v/>
      </c>
      <c r="H2756" s="49" t="str">
        <f t="shared" ca="1" si="2754"/>
        <v/>
      </c>
      <c r="I2756" s="49" t="str">
        <f t="shared" ca="1" si="2754"/>
        <v/>
      </c>
      <c r="J2756" s="49" t="str">
        <f t="shared" ca="1" si="2754"/>
        <v/>
      </c>
    </row>
    <row r="2757" spans="1:10" ht="12.75" x14ac:dyDescent="0.2">
      <c r="A2757" s="40"/>
      <c r="B2757" s="41" t="s">
        <v>422</v>
      </c>
      <c r="C2757" s="41" t="s">
        <v>2135</v>
      </c>
      <c r="D2757" s="41" t="s">
        <v>808</v>
      </c>
      <c r="E2757" s="40"/>
      <c r="F2757" s="49" t="str">
        <f t="shared" ref="F2757:J2757" ca="1" si="2755">IFERROR(__xludf.DUMMYFUNCTION("if (A2757 &lt;&gt; """", GOOGLETRANSLATE(A2757, ""auto"", ""en""), """")"),"")</f>
        <v/>
      </c>
      <c r="G2757" s="49" t="str">
        <f t="shared" ca="1" si="2755"/>
        <v/>
      </c>
      <c r="H2757" s="49" t="str">
        <f t="shared" ca="1" si="2755"/>
        <v/>
      </c>
      <c r="I2757" s="49" t="str">
        <f t="shared" ca="1" si="2755"/>
        <v/>
      </c>
      <c r="J2757" s="49" t="str">
        <f t="shared" ca="1" si="2755"/>
        <v/>
      </c>
    </row>
    <row r="2758" spans="1:10" ht="12.75" x14ac:dyDescent="0.2">
      <c r="A2758" s="40"/>
      <c r="B2758" s="40"/>
      <c r="C2758" s="40"/>
      <c r="D2758" s="40"/>
      <c r="E2758" s="40"/>
      <c r="F2758" s="49" t="str">
        <f t="shared" ref="F2758:J2758" ca="1" si="2756">IFERROR(__xludf.DUMMYFUNCTION("if (A2758 &lt;&gt; """", GOOGLETRANSLATE(A2758, ""auto"", ""en""), """")"),"")</f>
        <v/>
      </c>
      <c r="G2758" s="49" t="str">
        <f t="shared" ca="1" si="2756"/>
        <v/>
      </c>
      <c r="H2758" s="49" t="str">
        <f t="shared" ca="1" si="2756"/>
        <v/>
      </c>
      <c r="I2758" s="49" t="str">
        <f t="shared" ca="1" si="2756"/>
        <v/>
      </c>
      <c r="J2758" s="49" t="str">
        <f t="shared" ca="1" si="2756"/>
        <v/>
      </c>
    </row>
    <row r="2759" spans="1:10" ht="25.5" x14ac:dyDescent="0.2">
      <c r="A2759" s="41" t="s">
        <v>2184</v>
      </c>
      <c r="B2759" s="40"/>
      <c r="C2759" s="40"/>
      <c r="D2759" s="40"/>
      <c r="E2759" s="40"/>
      <c r="F2759" s="49" t="str">
        <f t="shared" ref="F2759:J2759" ca="1" si="2757">IFERROR(__xludf.DUMMYFUNCTION("if (A2759 &lt;&gt; """", GOOGLETRANSLATE(A2759, ""auto"", ""en""), """")"),"weather.condition")</f>
        <v>weather.condition</v>
      </c>
      <c r="G2759" s="49" t="str">
        <f t="shared" ca="1" si="2757"/>
        <v>weather.condition</v>
      </c>
      <c r="H2759" s="49" t="str">
        <f t="shared" ca="1" si="2757"/>
        <v>weather.condition</v>
      </c>
      <c r="I2759" s="49" t="str">
        <f t="shared" ca="1" si="2757"/>
        <v>weather.condition</v>
      </c>
      <c r="J2759" s="49" t="str">
        <f t="shared" ca="1" si="2757"/>
        <v>weather.condition</v>
      </c>
    </row>
    <row r="2760" spans="1:10" ht="12.75" x14ac:dyDescent="0.2">
      <c r="A2760" s="40"/>
      <c r="B2760" s="41" t="s">
        <v>398</v>
      </c>
      <c r="C2760" s="40"/>
      <c r="D2760" s="40"/>
      <c r="E2760" s="40"/>
      <c r="F2760" s="49" t="str">
        <f t="shared" ref="F2760:J2760" ca="1" si="2758">IFERROR(__xludf.DUMMYFUNCTION("if (A2760 &lt;&gt; """", GOOGLETRANSLATE(A2760, ""auto"", ""en""), """")"),"")</f>
        <v/>
      </c>
      <c r="G2760" s="49" t="str">
        <f t="shared" ca="1" si="2758"/>
        <v/>
      </c>
      <c r="H2760" s="49" t="str">
        <f t="shared" ca="1" si="2758"/>
        <v/>
      </c>
      <c r="I2760" s="49" t="str">
        <f t="shared" ca="1" si="2758"/>
        <v/>
      </c>
      <c r="J2760" s="49" t="str">
        <f t="shared" ca="1" si="2758"/>
        <v/>
      </c>
    </row>
    <row r="2761" spans="1:10" ht="12.75" x14ac:dyDescent="0.2">
      <c r="A2761" s="40"/>
      <c r="B2761" s="41" t="s">
        <v>399</v>
      </c>
      <c r="C2761" s="41" t="s">
        <v>2198</v>
      </c>
      <c r="D2761" s="40"/>
      <c r="E2761" s="40"/>
      <c r="F2761" s="49" t="str">
        <f t="shared" ref="F2761:J2761" ca="1" si="2759">IFERROR(__xludf.DUMMYFUNCTION("if (A2761 &lt;&gt; """", GOOGLETRANSLATE(A2761, ""auto"", ""en""), """")"),"")</f>
        <v/>
      </c>
      <c r="G2761" s="49" t="str">
        <f t="shared" ca="1" si="2759"/>
        <v/>
      </c>
      <c r="H2761" s="49" t="str">
        <f t="shared" ca="1" si="2759"/>
        <v/>
      </c>
      <c r="I2761" s="49" t="str">
        <f t="shared" ca="1" si="2759"/>
        <v/>
      </c>
      <c r="J2761" s="49" t="str">
        <f t="shared" ca="1" si="2759"/>
        <v/>
      </c>
    </row>
    <row r="2762" spans="1:10" ht="12.75" x14ac:dyDescent="0.2">
      <c r="A2762" s="40"/>
      <c r="B2762" s="41" t="s">
        <v>400</v>
      </c>
      <c r="C2762" s="41" t="s">
        <v>2184</v>
      </c>
      <c r="D2762" s="40"/>
      <c r="E2762" s="40"/>
      <c r="F2762" s="49" t="str">
        <f t="shared" ref="F2762:J2762" ca="1" si="2760">IFERROR(__xludf.DUMMYFUNCTION("if (A2762 &lt;&gt; """", GOOGLETRANSLATE(A2762, ""auto"", ""en""), """")"),"")</f>
        <v/>
      </c>
      <c r="G2762" s="49" t="str">
        <f t="shared" ca="1" si="2760"/>
        <v/>
      </c>
      <c r="H2762" s="49" t="str">
        <f t="shared" ca="1" si="2760"/>
        <v/>
      </c>
      <c r="I2762" s="49" t="str">
        <f t="shared" ca="1" si="2760"/>
        <v/>
      </c>
      <c r="J2762" s="49" t="str">
        <f t="shared" ca="1" si="2760"/>
        <v/>
      </c>
    </row>
    <row r="2763" spans="1:10" ht="12.75" x14ac:dyDescent="0.2">
      <c r="A2763" s="40"/>
      <c r="B2763" s="41" t="s">
        <v>401</v>
      </c>
      <c r="C2763" s="40"/>
      <c r="D2763" s="40"/>
      <c r="E2763" s="40"/>
      <c r="F2763" s="49" t="str">
        <f t="shared" ref="F2763:J2763" ca="1" si="2761">IFERROR(__xludf.DUMMYFUNCTION("if (A2763 &lt;&gt; """", GOOGLETRANSLATE(A2763, ""auto"", ""en""), """")"),"")</f>
        <v/>
      </c>
      <c r="G2763" s="49" t="str">
        <f t="shared" ca="1" si="2761"/>
        <v/>
      </c>
      <c r="H2763" s="49" t="str">
        <f t="shared" ca="1" si="2761"/>
        <v/>
      </c>
      <c r="I2763" s="49" t="str">
        <f t="shared" ca="1" si="2761"/>
        <v/>
      </c>
      <c r="J2763" s="49" t="str">
        <f t="shared" ca="1" si="2761"/>
        <v/>
      </c>
    </row>
    <row r="2764" spans="1:10" ht="38.25" x14ac:dyDescent="0.2">
      <c r="A2764" s="41" t="s">
        <v>2185</v>
      </c>
      <c r="B2764" s="40"/>
      <c r="C2764" s="40"/>
      <c r="D2764" s="40"/>
      <c r="E2764" s="40"/>
      <c r="F2764" s="49" t="str">
        <f t="shared" ref="F2764:J2764" ca="1" si="2762">IFERROR(__xludf.DUMMYFUNCTION("if (A2764 &lt;&gt; """", GOOGLETRANSLATE(A2764, ""auto"", ""en""), """")"),"Do you get off the rain late at night")</f>
        <v>Do you get off the rain late at night</v>
      </c>
      <c r="G2764" s="49" t="str">
        <f t="shared" ca="1" si="2762"/>
        <v>Do you get off the rain late at night</v>
      </c>
      <c r="H2764" s="49" t="str">
        <f t="shared" ca="1" si="2762"/>
        <v>Do you get off the rain late at night</v>
      </c>
      <c r="I2764" s="49" t="str">
        <f t="shared" ca="1" si="2762"/>
        <v>Do you get off the rain late at night</v>
      </c>
      <c r="J2764" s="49" t="str">
        <f t="shared" ca="1" si="2762"/>
        <v>Do you get off the rain late at night</v>
      </c>
    </row>
    <row r="2765" spans="1:10" ht="63.75" x14ac:dyDescent="0.2">
      <c r="A2765" s="41" t="s">
        <v>2186</v>
      </c>
      <c r="B2765" s="40"/>
      <c r="C2765" s="40"/>
      <c r="D2765" s="40"/>
      <c r="E2765" s="40"/>
      <c r="F2765" s="49" t="str">
        <f t="shared" ref="F2765:J2765" ca="1" si="2763">IFERROR(__xludf.DUMMYFUNCTION("if (A2765 &lt;&gt; """", GOOGLETRANSLATE(A2765, ""auto"", ""en""), """")"),"The weather forecast Do you have a Sapporo snow today")</f>
        <v>The weather forecast Do you have a Sapporo snow today</v>
      </c>
      <c r="G2765" s="49" t="str">
        <f t="shared" ca="1" si="2763"/>
        <v>The weather forecast Do you have a Sapporo snow today</v>
      </c>
      <c r="H2765" s="49" t="str">
        <f t="shared" ca="1" si="2763"/>
        <v>The weather forecast Do you have a Sapporo snow today</v>
      </c>
      <c r="I2765" s="49" t="str">
        <f t="shared" ca="1" si="2763"/>
        <v>The weather forecast Do you have a Sapporo snow today</v>
      </c>
      <c r="J2765" s="49" t="str">
        <f t="shared" ca="1" si="2763"/>
        <v>The weather forecast Do you have a Sapporo snow today</v>
      </c>
    </row>
    <row r="2766" spans="1:10" ht="25.5" x14ac:dyDescent="0.2">
      <c r="A2766" s="41" t="s">
        <v>2187</v>
      </c>
      <c r="B2766" s="40"/>
      <c r="C2766" s="40"/>
      <c r="D2766" s="40"/>
      <c r="E2766" s="40"/>
      <c r="F2766" s="49" t="str">
        <f t="shared" ref="F2766:J2766" ca="1" si="2764">IFERROR(__xludf.DUMMYFUNCTION("if (A2766 &lt;&gt; """", GOOGLETRANSLATE(A2766, ""auto"", ""en""), """")"),"Or a full next Friday rain")</f>
        <v>Or a full next Friday rain</v>
      </c>
      <c r="G2766" s="49" t="str">
        <f t="shared" ca="1" si="2764"/>
        <v>Or a full next Friday rain</v>
      </c>
      <c r="H2766" s="49" t="str">
        <f t="shared" ca="1" si="2764"/>
        <v>Or a full next Friday rain</v>
      </c>
      <c r="I2766" s="49" t="str">
        <f t="shared" ca="1" si="2764"/>
        <v>Or a full next Friday rain</v>
      </c>
      <c r="J2766" s="49" t="str">
        <f t="shared" ca="1" si="2764"/>
        <v>Or a full next Friday rain</v>
      </c>
    </row>
    <row r="2767" spans="1:10" ht="25.5" x14ac:dyDescent="0.2">
      <c r="A2767" s="41" t="s">
        <v>2188</v>
      </c>
      <c r="B2767" s="40"/>
      <c r="C2767" s="40"/>
      <c r="D2767" s="40"/>
      <c r="E2767" s="40"/>
      <c r="F2767" s="49" t="str">
        <f t="shared" ref="F2767:J2767" ca="1" si="2765">IFERROR(__xludf.DUMMYFUNCTION("if (A2767 &lt;&gt; """", GOOGLETRANSLATE(A2767, ""auto"", ""en""), """")"),"Forecast that snow today")</f>
        <v>Forecast that snow today</v>
      </c>
      <c r="G2767" s="49" t="str">
        <f t="shared" ca="1" si="2765"/>
        <v>Forecast that snow today</v>
      </c>
      <c r="H2767" s="49" t="str">
        <f t="shared" ca="1" si="2765"/>
        <v>Forecast that snow today</v>
      </c>
      <c r="I2767" s="49" t="str">
        <f t="shared" ca="1" si="2765"/>
        <v>Forecast that snow today</v>
      </c>
      <c r="J2767" s="49" t="str">
        <f t="shared" ca="1" si="2765"/>
        <v>Forecast that snow today</v>
      </c>
    </row>
    <row r="2768" spans="1:10" ht="38.25" x14ac:dyDescent="0.2">
      <c r="A2768" s="41" t="s">
        <v>2189</v>
      </c>
      <c r="B2768" s="40"/>
      <c r="C2768" s="40"/>
      <c r="D2768" s="40"/>
      <c r="E2768" s="40"/>
      <c r="F2768" s="49" t="str">
        <f t="shared" ref="F2768:J2768" ca="1" si="2766">IFERROR(__xludf.DUMMYFUNCTION("if (A2768 &lt;&gt; """", GOOGLETRANSLATE(A2768, ""auto"", ""en""), """")"),"Or tomorrow in Paris will be the rain")</f>
        <v>Or tomorrow in Paris will be the rain</v>
      </c>
      <c r="G2768" s="49" t="str">
        <f t="shared" ca="1" si="2766"/>
        <v>Or tomorrow in Paris will be the rain</v>
      </c>
      <c r="H2768" s="49" t="str">
        <f t="shared" ca="1" si="2766"/>
        <v>Or tomorrow in Paris will be the rain</v>
      </c>
      <c r="I2768" s="49" t="str">
        <f t="shared" ca="1" si="2766"/>
        <v>Or tomorrow in Paris will be the rain</v>
      </c>
      <c r="J2768" s="49" t="str">
        <f t="shared" ca="1" si="2766"/>
        <v>Or tomorrow in Paris will be the rain</v>
      </c>
    </row>
    <row r="2769" spans="1:10" ht="25.5" x14ac:dyDescent="0.2">
      <c r="A2769" s="41" t="s">
        <v>2190</v>
      </c>
      <c r="B2769" s="40"/>
      <c r="C2769" s="40"/>
      <c r="D2769" s="40"/>
      <c r="E2769" s="40"/>
      <c r="F2769" s="49" t="str">
        <f t="shared" ref="F2769:J2769" ca="1" si="2767">IFERROR(__xludf.DUMMYFUNCTION("if (A2769 &lt;&gt; """", GOOGLETRANSLATE(A2769, ""auto"", ""en""), """")"),"Become snow today")</f>
        <v>Become snow today</v>
      </c>
      <c r="G2769" s="49" t="str">
        <f t="shared" ca="1" si="2767"/>
        <v>Become snow today</v>
      </c>
      <c r="H2769" s="49" t="str">
        <f t="shared" ca="1" si="2767"/>
        <v>Become snow today</v>
      </c>
      <c r="I2769" s="49" t="str">
        <f t="shared" ca="1" si="2767"/>
        <v>Become snow today</v>
      </c>
      <c r="J2769" s="49" t="str">
        <f t="shared" ca="1" si="2767"/>
        <v>Become snow today</v>
      </c>
    </row>
    <row r="2770" spans="1:10" ht="25.5" x14ac:dyDescent="0.2">
      <c r="A2770" s="41" t="s">
        <v>2191</v>
      </c>
      <c r="B2770" s="40"/>
      <c r="C2770" s="40"/>
      <c r="D2770" s="40"/>
      <c r="E2770" s="40"/>
      <c r="F2770" s="49" t="str">
        <f t="shared" ref="F2770:J2770" ca="1" si="2768">IFERROR(__xludf.DUMMYFUNCTION("if (A2770 &lt;&gt; """", GOOGLETRANSLATE(A2770, ""auto"", ""en""), """")"),"Or rain has been falling")</f>
        <v>Or rain has been falling</v>
      </c>
      <c r="G2770" s="49" t="str">
        <f t="shared" ca="1" si="2768"/>
        <v>Or rain has been falling</v>
      </c>
      <c r="H2770" s="49" t="str">
        <f t="shared" ca="1" si="2768"/>
        <v>Or rain has been falling</v>
      </c>
      <c r="I2770" s="49" t="str">
        <f t="shared" ca="1" si="2768"/>
        <v>Or rain has been falling</v>
      </c>
      <c r="J2770" s="49" t="str">
        <f t="shared" ca="1" si="2768"/>
        <v>Or rain has been falling</v>
      </c>
    </row>
    <row r="2771" spans="1:10" ht="12.75" x14ac:dyDescent="0.2">
      <c r="A2771" s="41" t="s">
        <v>2192</v>
      </c>
      <c r="B2771" s="40"/>
      <c r="C2771" s="40"/>
      <c r="D2771" s="40"/>
      <c r="E2771" s="40"/>
      <c r="F2771" s="49" t="str">
        <f t="shared" ref="F2771:J2771" ca="1" si="2769">IFERROR(__xludf.DUMMYFUNCTION("if (A2771 &lt;&gt; """", GOOGLETRANSLATE(A2771, ""auto"", ""en""), """")"),"The rain but")</f>
        <v>The rain but</v>
      </c>
      <c r="G2771" s="49" t="str">
        <f t="shared" ca="1" si="2769"/>
        <v>The rain but</v>
      </c>
      <c r="H2771" s="49" t="str">
        <f t="shared" ca="1" si="2769"/>
        <v>The rain but</v>
      </c>
      <c r="I2771" s="49" t="str">
        <f t="shared" ca="1" si="2769"/>
        <v>The rain but</v>
      </c>
      <c r="J2771" s="49" t="str">
        <f t="shared" ca="1" si="2769"/>
        <v>The rain but</v>
      </c>
    </row>
    <row r="2772" spans="1:10" ht="25.5" x14ac:dyDescent="0.2">
      <c r="A2772" s="41" t="s">
        <v>2193</v>
      </c>
      <c r="B2772" s="40"/>
      <c r="C2772" s="40"/>
      <c r="D2772" s="40"/>
      <c r="E2772" s="40"/>
      <c r="F2772" s="49" t="str">
        <f t="shared" ref="F2772:J2772" ca="1" si="2770">IFERROR(__xludf.DUMMYFUNCTION("if (A2772 &lt;&gt; """", GOOGLETRANSLATE(A2772, ""auto"", ""en""), """")"),"Or rain is falling")</f>
        <v>Or rain is falling</v>
      </c>
      <c r="G2772" s="49" t="str">
        <f t="shared" ca="1" si="2770"/>
        <v>Or rain is falling</v>
      </c>
      <c r="H2772" s="49" t="str">
        <f t="shared" ca="1" si="2770"/>
        <v>Or rain is falling</v>
      </c>
      <c r="I2772" s="49" t="str">
        <f t="shared" ca="1" si="2770"/>
        <v>Or rain is falling</v>
      </c>
      <c r="J2772" s="49" t="str">
        <f t="shared" ca="1" si="2770"/>
        <v>Or rain is falling</v>
      </c>
    </row>
    <row r="2773" spans="1:10" ht="38.25" x14ac:dyDescent="0.2">
      <c r="A2773" s="41" t="s">
        <v>2194</v>
      </c>
      <c r="B2773" s="40"/>
      <c r="C2773" s="40"/>
      <c r="D2773" s="40"/>
      <c r="E2773" s="40"/>
      <c r="F2773" s="49" t="str">
        <f t="shared" ref="F2773:J2773" ca="1" si="2771">IFERROR(__xludf.DUMMYFUNCTION("if (A2773 &lt;&gt; """", GOOGLETRANSLATE(A2773, ""auto"", ""en""), """")"),"Next week Friday, rain falls")</f>
        <v>Next week Friday, rain falls</v>
      </c>
      <c r="G2773" s="49" t="str">
        <f t="shared" ca="1" si="2771"/>
        <v>Next week Friday, rain falls</v>
      </c>
      <c r="H2773" s="49" t="str">
        <f t="shared" ca="1" si="2771"/>
        <v>Next week Friday, rain falls</v>
      </c>
      <c r="I2773" s="49" t="str">
        <f t="shared" ca="1" si="2771"/>
        <v>Next week Friday, rain falls</v>
      </c>
      <c r="J2773" s="49" t="str">
        <f t="shared" ca="1" si="2771"/>
        <v>Next week Friday, rain falls</v>
      </c>
    </row>
    <row r="2774" spans="1:10" ht="25.5" x14ac:dyDescent="0.2">
      <c r="A2774" s="41" t="s">
        <v>2195</v>
      </c>
      <c r="B2774" s="40"/>
      <c r="C2774" s="40"/>
      <c r="D2774" s="40"/>
      <c r="E2774" s="40"/>
      <c r="F2774" s="49" t="str">
        <f t="shared" ref="F2774:J2774" ca="1" si="2772">IFERROR(__xludf.DUMMYFUNCTION("if (A2774 &lt;&gt; """", GOOGLETRANSLATE(A2774, ""auto"", ""en""), """")"),"The rain late at night")</f>
        <v>The rain late at night</v>
      </c>
      <c r="G2774" s="49" t="str">
        <f t="shared" ca="1" si="2772"/>
        <v>The rain late at night</v>
      </c>
      <c r="H2774" s="49" t="str">
        <f t="shared" ca="1" si="2772"/>
        <v>The rain late at night</v>
      </c>
      <c r="I2774" s="49" t="str">
        <f t="shared" ca="1" si="2772"/>
        <v>The rain late at night</v>
      </c>
      <c r="J2774" s="49" t="str">
        <f t="shared" ca="1" si="2772"/>
        <v>The rain late at night</v>
      </c>
    </row>
    <row r="2775" spans="1:10" ht="12.75" x14ac:dyDescent="0.2">
      <c r="A2775" s="41" t="s">
        <v>2196</v>
      </c>
      <c r="B2775" s="40"/>
      <c r="C2775" s="40"/>
      <c r="D2775" s="40"/>
      <c r="E2775" s="40"/>
      <c r="F2775" s="49" t="str">
        <f t="shared" ref="F2775:J2775" ca="1" si="2773">IFERROR(__xludf.DUMMYFUNCTION("if (A2775 &lt;&gt; """", GOOGLETRANSLATE(A2775, ""auto"", ""en""), """")"),"Snow forecast")</f>
        <v>Snow forecast</v>
      </c>
      <c r="G2775" s="49" t="str">
        <f t="shared" ca="1" si="2773"/>
        <v>Snow forecast</v>
      </c>
      <c r="H2775" s="49" t="str">
        <f t="shared" ca="1" si="2773"/>
        <v>Snow forecast</v>
      </c>
      <c r="I2775" s="49" t="str">
        <f t="shared" ca="1" si="2773"/>
        <v>Snow forecast</v>
      </c>
      <c r="J2775" s="49" t="str">
        <f t="shared" ca="1" si="2773"/>
        <v>Snow forecast</v>
      </c>
    </row>
    <row r="2776" spans="1:10" ht="12.75" x14ac:dyDescent="0.2">
      <c r="A2776" s="40"/>
      <c r="B2776" s="41" t="s">
        <v>422</v>
      </c>
      <c r="C2776" s="41" t="s">
        <v>2136</v>
      </c>
      <c r="D2776" s="41" t="s">
        <v>2137</v>
      </c>
      <c r="E2776" s="40"/>
      <c r="F2776" s="49" t="str">
        <f t="shared" ref="F2776:J2776" ca="1" si="2774">IFERROR(__xludf.DUMMYFUNCTION("if (A2776 &lt;&gt; """", GOOGLETRANSLATE(A2776, ""auto"", ""en""), """")"),"")</f>
        <v/>
      </c>
      <c r="G2776" s="49" t="str">
        <f t="shared" ca="1" si="2774"/>
        <v/>
      </c>
      <c r="H2776" s="49" t="str">
        <f t="shared" ca="1" si="2774"/>
        <v/>
      </c>
      <c r="I2776" s="49" t="str">
        <f t="shared" ca="1" si="2774"/>
        <v/>
      </c>
      <c r="J2776" s="49" t="str">
        <f t="shared" ca="1" si="2774"/>
        <v/>
      </c>
    </row>
    <row r="2777" spans="1:10" ht="12.75" x14ac:dyDescent="0.2">
      <c r="A2777" s="40"/>
      <c r="B2777" s="41" t="s">
        <v>422</v>
      </c>
      <c r="C2777" s="41" t="s">
        <v>2197</v>
      </c>
      <c r="D2777" s="41" t="s">
        <v>2151</v>
      </c>
      <c r="E2777" s="40"/>
      <c r="F2777" s="49" t="str">
        <f t="shared" ref="F2777:J2777" ca="1" si="2775">IFERROR(__xludf.DUMMYFUNCTION("if (A2777 &lt;&gt; """", GOOGLETRANSLATE(A2777, ""auto"", ""en""), """")"),"")</f>
        <v/>
      </c>
      <c r="G2777" s="49" t="str">
        <f t="shared" ca="1" si="2775"/>
        <v/>
      </c>
      <c r="H2777" s="49" t="str">
        <f t="shared" ca="1" si="2775"/>
        <v/>
      </c>
      <c r="I2777" s="49" t="str">
        <f t="shared" ca="1" si="2775"/>
        <v/>
      </c>
      <c r="J2777" s="49" t="str">
        <f t="shared" ca="1" si="2775"/>
        <v/>
      </c>
    </row>
    <row r="2778" spans="1:10" ht="12.75" x14ac:dyDescent="0.2">
      <c r="A2778" s="40"/>
      <c r="B2778" s="41" t="s">
        <v>422</v>
      </c>
      <c r="C2778" s="41" t="s">
        <v>2135</v>
      </c>
      <c r="D2778" s="41" t="s">
        <v>808</v>
      </c>
      <c r="E2778" s="40"/>
      <c r="F2778" s="49" t="str">
        <f t="shared" ref="F2778:J2778" ca="1" si="2776">IFERROR(__xludf.DUMMYFUNCTION("if (A2778 &lt;&gt; """", GOOGLETRANSLATE(A2778, ""auto"", ""en""), """")"),"")</f>
        <v/>
      </c>
      <c r="G2778" s="49" t="str">
        <f t="shared" ca="1" si="2776"/>
        <v/>
      </c>
      <c r="H2778" s="49" t="str">
        <f t="shared" ca="1" si="2776"/>
        <v/>
      </c>
      <c r="I2778" s="49" t="str">
        <f t="shared" ca="1" si="2776"/>
        <v/>
      </c>
      <c r="J2778" s="49" t="str">
        <f t="shared" ca="1" si="2776"/>
        <v/>
      </c>
    </row>
    <row r="2779" spans="1:10" ht="12.75" x14ac:dyDescent="0.2">
      <c r="A2779" s="40"/>
      <c r="B2779" s="40"/>
      <c r="C2779" s="40"/>
      <c r="D2779" s="40"/>
      <c r="E2779" s="40"/>
      <c r="F2779" s="49" t="str">
        <f t="shared" ref="F2779:J2779" ca="1" si="2777">IFERROR(__xludf.DUMMYFUNCTION("if (A2779 &lt;&gt; """", GOOGLETRANSLATE(A2779, ""auto"", ""en""), """")"),"")</f>
        <v/>
      </c>
      <c r="G2779" s="49" t="str">
        <f t="shared" ca="1" si="2777"/>
        <v/>
      </c>
      <c r="H2779" s="49" t="str">
        <f t="shared" ca="1" si="2777"/>
        <v/>
      </c>
      <c r="I2779" s="49" t="str">
        <f t="shared" ca="1" si="2777"/>
        <v/>
      </c>
      <c r="J2779" s="49" t="str">
        <f t="shared" ca="1" si="2777"/>
        <v/>
      </c>
    </row>
    <row r="2780" spans="1:10" ht="12.75" x14ac:dyDescent="0.2">
      <c r="A2780" s="41" t="s">
        <v>2198</v>
      </c>
      <c r="B2780" s="40"/>
      <c r="C2780" s="40"/>
      <c r="D2780" s="40"/>
      <c r="E2780" s="40"/>
      <c r="F2780" s="49" t="str">
        <f t="shared" ref="F2780:J2780" ca="1" si="2778">IFERROR(__xludf.DUMMYFUNCTION("if (A2780 &lt;&gt; """", GOOGLETRANSLATE(A2780, ""auto"", ""en""), """")"),"weather")</f>
        <v>weather</v>
      </c>
      <c r="G2780" s="49" t="str">
        <f t="shared" ca="1" si="2778"/>
        <v>weather</v>
      </c>
      <c r="H2780" s="49" t="str">
        <f t="shared" ca="1" si="2778"/>
        <v>weather</v>
      </c>
      <c r="I2780" s="49" t="str">
        <f t="shared" ca="1" si="2778"/>
        <v>weather</v>
      </c>
      <c r="J2780" s="49" t="str">
        <f t="shared" ca="1" si="2778"/>
        <v>weather</v>
      </c>
    </row>
    <row r="2781" spans="1:10" ht="12.75" x14ac:dyDescent="0.2">
      <c r="A2781" s="40"/>
      <c r="B2781" s="41" t="s">
        <v>398</v>
      </c>
      <c r="C2781" s="40"/>
      <c r="D2781" s="40"/>
      <c r="E2781" s="40"/>
      <c r="F2781" s="49" t="str">
        <f t="shared" ref="F2781:J2781" ca="1" si="2779">IFERROR(__xludf.DUMMYFUNCTION("if (A2781 &lt;&gt; """", GOOGLETRANSLATE(A2781, ""auto"", ""en""), """")"),"")</f>
        <v/>
      </c>
      <c r="G2781" s="49" t="str">
        <f t="shared" ca="1" si="2779"/>
        <v/>
      </c>
      <c r="H2781" s="49" t="str">
        <f t="shared" ca="1" si="2779"/>
        <v/>
      </c>
      <c r="I2781" s="49" t="str">
        <f t="shared" ca="1" si="2779"/>
        <v/>
      </c>
      <c r="J2781" s="49" t="str">
        <f t="shared" ca="1" si="2779"/>
        <v/>
      </c>
    </row>
    <row r="2782" spans="1:10" ht="12.75" x14ac:dyDescent="0.2">
      <c r="A2782" s="40"/>
      <c r="B2782" s="41" t="s">
        <v>399</v>
      </c>
      <c r="C2782" s="41" t="s">
        <v>2198</v>
      </c>
      <c r="D2782" s="40"/>
      <c r="E2782" s="40"/>
      <c r="F2782" s="49" t="str">
        <f t="shared" ref="F2782:J2782" ca="1" si="2780">IFERROR(__xludf.DUMMYFUNCTION("if (A2782 &lt;&gt; """", GOOGLETRANSLATE(A2782, ""auto"", ""en""), """")"),"")</f>
        <v/>
      </c>
      <c r="G2782" s="49" t="str">
        <f t="shared" ca="1" si="2780"/>
        <v/>
      </c>
      <c r="H2782" s="49" t="str">
        <f t="shared" ca="1" si="2780"/>
        <v/>
      </c>
      <c r="I2782" s="49" t="str">
        <f t="shared" ca="1" si="2780"/>
        <v/>
      </c>
      <c r="J2782" s="49" t="str">
        <f t="shared" ca="1" si="2780"/>
        <v/>
      </c>
    </row>
    <row r="2783" spans="1:10" ht="12.75" x14ac:dyDescent="0.2">
      <c r="A2783" s="40"/>
      <c r="B2783" s="41" t="s">
        <v>400</v>
      </c>
      <c r="C2783" s="41" t="s">
        <v>2198</v>
      </c>
      <c r="D2783" s="40"/>
      <c r="E2783" s="40"/>
      <c r="F2783" s="49" t="str">
        <f t="shared" ref="F2783:J2783" ca="1" si="2781">IFERROR(__xludf.DUMMYFUNCTION("if (A2783 &lt;&gt; """", GOOGLETRANSLATE(A2783, ""auto"", ""en""), """")"),"")</f>
        <v/>
      </c>
      <c r="G2783" s="49" t="str">
        <f t="shared" ca="1" si="2781"/>
        <v/>
      </c>
      <c r="H2783" s="49" t="str">
        <f t="shared" ca="1" si="2781"/>
        <v/>
      </c>
      <c r="I2783" s="49" t="str">
        <f t="shared" ca="1" si="2781"/>
        <v/>
      </c>
      <c r="J2783" s="49" t="str">
        <f t="shared" ca="1" si="2781"/>
        <v/>
      </c>
    </row>
    <row r="2784" spans="1:10" ht="12.75" x14ac:dyDescent="0.2">
      <c r="A2784" s="40"/>
      <c r="B2784" s="41" t="s">
        <v>401</v>
      </c>
      <c r="C2784" s="40"/>
      <c r="D2784" s="40"/>
      <c r="E2784" s="40"/>
      <c r="F2784" s="49" t="str">
        <f t="shared" ref="F2784:J2784" ca="1" si="2782">IFERROR(__xludf.DUMMYFUNCTION("if (A2784 &lt;&gt; """", GOOGLETRANSLATE(A2784, ""auto"", ""en""), """")"),"")</f>
        <v/>
      </c>
      <c r="G2784" s="49" t="str">
        <f t="shared" ca="1" si="2782"/>
        <v/>
      </c>
      <c r="H2784" s="49" t="str">
        <f t="shared" ca="1" si="2782"/>
        <v/>
      </c>
      <c r="I2784" s="49" t="str">
        <f t="shared" ca="1" si="2782"/>
        <v/>
      </c>
      <c r="J2784" s="49" t="str">
        <f t="shared" ca="1" si="2782"/>
        <v/>
      </c>
    </row>
    <row r="2785" spans="1:10" ht="25.5" x14ac:dyDescent="0.2">
      <c r="A2785" s="41" t="s">
        <v>2199</v>
      </c>
      <c r="B2785" s="40"/>
      <c r="C2785" s="40"/>
      <c r="D2785" s="40"/>
      <c r="E2785" s="40"/>
      <c r="F2785" s="49" t="str">
        <f t="shared" ref="F2785:J2785" ca="1" si="2783">IFERROR(__xludf.DUMMYFUNCTION("if (A2785 &lt;&gt; """", GOOGLETRANSLATE(A2785, ""auto"", ""en""), """")"),"Hawaii Weather")</f>
        <v>Hawaii Weather</v>
      </c>
      <c r="G2785" s="49" t="str">
        <f t="shared" ca="1" si="2783"/>
        <v>Hawaii Weather</v>
      </c>
      <c r="H2785" s="49" t="str">
        <f t="shared" ca="1" si="2783"/>
        <v>Hawaii Weather</v>
      </c>
      <c r="I2785" s="49" t="str">
        <f t="shared" ca="1" si="2783"/>
        <v>Hawaii Weather</v>
      </c>
      <c r="J2785" s="49" t="str">
        <f t="shared" ca="1" si="2783"/>
        <v>Hawaii Weather</v>
      </c>
    </row>
    <row r="2786" spans="1:10" ht="25.5" x14ac:dyDescent="0.2">
      <c r="A2786" s="41" t="s">
        <v>2200</v>
      </c>
      <c r="B2786" s="40"/>
      <c r="C2786" s="40"/>
      <c r="D2786" s="40"/>
      <c r="E2786" s="40"/>
      <c r="F2786" s="49" t="str">
        <f t="shared" ref="F2786:J2786" ca="1" si="2784">IFERROR(__xludf.DUMMYFUNCTION("if (A2786 &lt;&gt; """", GOOGLETRANSLATE(A2786, ""auto"", ""en""), """")"),"Weather in Yokohama")</f>
        <v>Weather in Yokohama</v>
      </c>
      <c r="G2786" s="49" t="str">
        <f t="shared" ca="1" si="2784"/>
        <v>Weather in Yokohama</v>
      </c>
      <c r="H2786" s="49" t="str">
        <f t="shared" ca="1" si="2784"/>
        <v>Weather in Yokohama</v>
      </c>
      <c r="I2786" s="49" t="str">
        <f t="shared" ca="1" si="2784"/>
        <v>Weather in Yokohama</v>
      </c>
      <c r="J2786" s="49" t="str">
        <f t="shared" ca="1" si="2784"/>
        <v>Weather in Yokohama</v>
      </c>
    </row>
    <row r="2787" spans="1:10" ht="38.25" x14ac:dyDescent="0.2">
      <c r="A2787" s="41" t="s">
        <v>2201</v>
      </c>
      <c r="B2787" s="40"/>
      <c r="C2787" s="40"/>
      <c r="D2787" s="40"/>
      <c r="E2787" s="40"/>
      <c r="F2787" s="49" t="str">
        <f t="shared" ref="F2787:J2787" ca="1" si="2785">IFERROR(__xludf.DUMMYFUNCTION("if (A2787 &lt;&gt; """", GOOGLETRANSLATE(A2787, ""auto"", ""en""), """")"),"London weather after 5 days")</f>
        <v>London weather after 5 days</v>
      </c>
      <c r="G2787" s="49" t="str">
        <f t="shared" ca="1" si="2785"/>
        <v>London weather after 5 days</v>
      </c>
      <c r="H2787" s="49" t="str">
        <f t="shared" ca="1" si="2785"/>
        <v>London weather after 5 days</v>
      </c>
      <c r="I2787" s="49" t="str">
        <f t="shared" ca="1" si="2785"/>
        <v>London weather after 5 days</v>
      </c>
      <c r="J2787" s="49" t="str">
        <f t="shared" ca="1" si="2785"/>
        <v>London weather after 5 days</v>
      </c>
    </row>
    <row r="2788" spans="1:10" ht="38.25" x14ac:dyDescent="0.2">
      <c r="A2788" s="41" t="s">
        <v>2202</v>
      </c>
      <c r="B2788" s="40"/>
      <c r="C2788" s="40"/>
      <c r="D2788" s="40"/>
      <c r="E2788" s="40"/>
      <c r="F2788" s="49" t="str">
        <f t="shared" ref="F2788:J2788" ca="1" si="2786">IFERROR(__xludf.DUMMYFUNCTION("if (A2788 &lt;&gt; """", GOOGLETRANSLATE(A2788, ""auto"", ""en""), """")"),"In degrees Celsius Tokyo weather")</f>
        <v>In degrees Celsius Tokyo weather</v>
      </c>
      <c r="G2788" s="49" t="str">
        <f t="shared" ca="1" si="2786"/>
        <v>In degrees Celsius Tokyo weather</v>
      </c>
      <c r="H2788" s="49" t="str">
        <f t="shared" ca="1" si="2786"/>
        <v>In degrees Celsius Tokyo weather</v>
      </c>
      <c r="I2788" s="49" t="str">
        <f t="shared" ca="1" si="2786"/>
        <v>In degrees Celsius Tokyo weather</v>
      </c>
      <c r="J2788" s="49" t="str">
        <f t="shared" ca="1" si="2786"/>
        <v>In degrees Celsius Tokyo weather</v>
      </c>
    </row>
    <row r="2789" spans="1:10" ht="25.5" x14ac:dyDescent="0.2">
      <c r="A2789" s="41" t="s">
        <v>2203</v>
      </c>
      <c r="B2789" s="40"/>
      <c r="C2789" s="40"/>
      <c r="D2789" s="40"/>
      <c r="E2789" s="40"/>
      <c r="F2789" s="49" t="str">
        <f t="shared" ref="F2789:J2789" ca="1" si="2787">IFERROR(__xludf.DUMMYFUNCTION("if (A2789 &lt;&gt; """", GOOGLETRANSLATE(A2789, ""auto"", ""en""), """")"),"Weather in Osaka")</f>
        <v>Weather in Osaka</v>
      </c>
      <c r="G2789" s="49" t="str">
        <f t="shared" ca="1" si="2787"/>
        <v>Weather in Osaka</v>
      </c>
      <c r="H2789" s="49" t="str">
        <f t="shared" ca="1" si="2787"/>
        <v>Weather in Osaka</v>
      </c>
      <c r="I2789" s="49" t="str">
        <f t="shared" ca="1" si="2787"/>
        <v>Weather in Osaka</v>
      </c>
      <c r="J2789" s="49" t="str">
        <f t="shared" ca="1" si="2787"/>
        <v>Weather in Osaka</v>
      </c>
    </row>
    <row r="2790" spans="1:10" ht="25.5" x14ac:dyDescent="0.2">
      <c r="A2790" s="41" t="s">
        <v>2204</v>
      </c>
      <c r="B2790" s="40"/>
      <c r="C2790" s="40"/>
      <c r="D2790" s="40"/>
      <c r="E2790" s="40"/>
      <c r="F2790" s="49" t="str">
        <f t="shared" ref="F2790:J2790" ca="1" si="2788">IFERROR(__xludf.DUMMYFUNCTION("if (A2790 &lt;&gt; """", GOOGLETRANSLATE(A2790, ""auto"", ""en""), """")"),"What is the weather today")</f>
        <v>What is the weather today</v>
      </c>
      <c r="G2790" s="49" t="str">
        <f t="shared" ca="1" si="2788"/>
        <v>What is the weather today</v>
      </c>
      <c r="H2790" s="49" t="str">
        <f t="shared" ca="1" si="2788"/>
        <v>What is the weather today</v>
      </c>
      <c r="I2790" s="49" t="str">
        <f t="shared" ca="1" si="2788"/>
        <v>What is the weather today</v>
      </c>
      <c r="J2790" s="49" t="str">
        <f t="shared" ca="1" si="2788"/>
        <v>What is the weather today</v>
      </c>
    </row>
    <row r="2791" spans="1:10" ht="38.25" x14ac:dyDescent="0.2">
      <c r="A2791" s="41" t="s">
        <v>2205</v>
      </c>
      <c r="B2791" s="40"/>
      <c r="C2791" s="40"/>
      <c r="D2791" s="40"/>
      <c r="E2791" s="40"/>
      <c r="F2791" s="49" t="str">
        <f t="shared" ref="F2791:J2791" ca="1" si="2789">IFERROR(__xludf.DUMMYFUNCTION("if (A2791 &lt;&gt; """", GOOGLETRANSLATE(A2791, ""auto"", ""en""), """")"),"Fukuoka weather of tomorrow")</f>
        <v>Fukuoka weather of tomorrow</v>
      </c>
      <c r="G2791" s="49" t="str">
        <f t="shared" ca="1" si="2789"/>
        <v>Fukuoka weather of tomorrow</v>
      </c>
      <c r="H2791" s="49" t="str">
        <f t="shared" ca="1" si="2789"/>
        <v>Fukuoka weather of tomorrow</v>
      </c>
      <c r="I2791" s="49" t="str">
        <f t="shared" ca="1" si="2789"/>
        <v>Fukuoka weather of tomorrow</v>
      </c>
      <c r="J2791" s="49" t="str">
        <f t="shared" ca="1" si="2789"/>
        <v>Fukuoka weather of tomorrow</v>
      </c>
    </row>
    <row r="2792" spans="1:10" ht="38.25" x14ac:dyDescent="0.2">
      <c r="A2792" s="41" t="s">
        <v>2206</v>
      </c>
      <c r="B2792" s="40"/>
      <c r="C2792" s="40"/>
      <c r="D2792" s="40"/>
      <c r="E2792" s="40"/>
      <c r="F2792" s="49" t="str">
        <f t="shared" ref="F2792:J2792" ca="1" si="2790">IFERROR(__xludf.DUMMYFUNCTION("if (A2792 &lt;&gt; """", GOOGLETRANSLATE(A2792, ""auto"", ""en""), """")"),"New York weather of tomorrow")</f>
        <v>New York weather of tomorrow</v>
      </c>
      <c r="G2792" s="49" t="str">
        <f t="shared" ca="1" si="2790"/>
        <v>New York weather of tomorrow</v>
      </c>
      <c r="H2792" s="49" t="str">
        <f t="shared" ca="1" si="2790"/>
        <v>New York weather of tomorrow</v>
      </c>
      <c r="I2792" s="49" t="str">
        <f t="shared" ca="1" si="2790"/>
        <v>New York weather of tomorrow</v>
      </c>
      <c r="J2792" s="49" t="str">
        <f t="shared" ca="1" si="2790"/>
        <v>New York weather of tomorrow</v>
      </c>
    </row>
    <row r="2793" spans="1:10" ht="51" x14ac:dyDescent="0.2">
      <c r="A2793" s="41" t="s">
        <v>2207</v>
      </c>
      <c r="B2793" s="40"/>
      <c r="C2793" s="40"/>
      <c r="D2793" s="40"/>
      <c r="E2793" s="40"/>
      <c r="F2793" s="49" t="str">
        <f t="shared" ref="F2793:J2793" ca="1" si="2791">IFERROR(__xludf.DUMMYFUNCTION("if (A2793 &lt;&gt; """", GOOGLETRANSLATE(A2793, ""auto"", ""en""), """")"),"Please tell me the weather forecast for Hong Kong")</f>
        <v>Please tell me the weather forecast for Hong Kong</v>
      </c>
      <c r="G2793" s="49" t="str">
        <f t="shared" ca="1" si="2791"/>
        <v>Please tell me the weather forecast for Hong Kong</v>
      </c>
      <c r="H2793" s="49" t="str">
        <f t="shared" ca="1" si="2791"/>
        <v>Please tell me the weather forecast for Hong Kong</v>
      </c>
      <c r="I2793" s="49" t="str">
        <f t="shared" ca="1" si="2791"/>
        <v>Please tell me the weather forecast for Hong Kong</v>
      </c>
      <c r="J2793" s="49" t="str">
        <f t="shared" ca="1" si="2791"/>
        <v>Please tell me the weather forecast for Hong Kong</v>
      </c>
    </row>
    <row r="2794" spans="1:10" ht="25.5" x14ac:dyDescent="0.2">
      <c r="A2794" s="41" t="s">
        <v>2208</v>
      </c>
      <c r="B2794" s="40"/>
      <c r="C2794" s="40"/>
      <c r="D2794" s="40"/>
      <c r="E2794" s="40"/>
      <c r="F2794" s="49" t="str">
        <f t="shared" ref="F2794:J2794" ca="1" si="2792">IFERROR(__xludf.DUMMYFUNCTION("if (A2794 &lt;&gt; """", GOOGLETRANSLATE(A2794, ""auto"", ""en""), """")"),"Weather, Kobe")</f>
        <v>Weather, Kobe</v>
      </c>
      <c r="G2794" s="49" t="str">
        <f t="shared" ca="1" si="2792"/>
        <v>Weather, Kobe</v>
      </c>
      <c r="H2794" s="49" t="str">
        <f t="shared" ca="1" si="2792"/>
        <v>Weather, Kobe</v>
      </c>
      <c r="I2794" s="49" t="str">
        <f t="shared" ca="1" si="2792"/>
        <v>Weather, Kobe</v>
      </c>
      <c r="J2794" s="49" t="str">
        <f t="shared" ca="1" si="2792"/>
        <v>Weather, Kobe</v>
      </c>
    </row>
    <row r="2795" spans="1:10" ht="25.5" x14ac:dyDescent="0.2">
      <c r="A2795" s="41" t="s">
        <v>2209</v>
      </c>
      <c r="B2795" s="40"/>
      <c r="C2795" s="40"/>
      <c r="D2795" s="40"/>
      <c r="E2795" s="40"/>
      <c r="F2795" s="49" t="str">
        <f t="shared" ref="F2795:J2795" ca="1" si="2793">IFERROR(__xludf.DUMMYFUNCTION("if (A2795 &lt;&gt; """", GOOGLETRANSLATE(A2795, ""auto"", ""en""), """")"),"Weekend of weather")</f>
        <v>Weekend of weather</v>
      </c>
      <c r="G2795" s="49" t="str">
        <f t="shared" ca="1" si="2793"/>
        <v>Weekend of weather</v>
      </c>
      <c r="H2795" s="49" t="str">
        <f t="shared" ca="1" si="2793"/>
        <v>Weekend of weather</v>
      </c>
      <c r="I2795" s="49" t="str">
        <f t="shared" ca="1" si="2793"/>
        <v>Weekend of weather</v>
      </c>
      <c r="J2795" s="49" t="str">
        <f t="shared" ca="1" si="2793"/>
        <v>Weekend of weather</v>
      </c>
    </row>
    <row r="2796" spans="1:10" ht="63.75" x14ac:dyDescent="0.2">
      <c r="A2796" s="41" t="s">
        <v>2210</v>
      </c>
      <c r="B2796" s="40"/>
      <c r="C2796" s="40"/>
      <c r="D2796" s="40"/>
      <c r="E2796" s="40"/>
      <c r="F2796" s="49" t="str">
        <f t="shared" ref="F2796:J2796" ca="1" si="2794">IFERROR(__xludf.DUMMYFUNCTION("if (A2796 &lt;&gt; """", GOOGLETRANSLATE(A2796, ""auto"", ""en""), """")"),"What to become this evening in London weather")</f>
        <v>What to become this evening in London weather</v>
      </c>
      <c r="G2796" s="49" t="str">
        <f t="shared" ca="1" si="2794"/>
        <v>What to become this evening in London weather</v>
      </c>
      <c r="H2796" s="49" t="str">
        <f t="shared" ca="1" si="2794"/>
        <v>What to become this evening in London weather</v>
      </c>
      <c r="I2796" s="49" t="str">
        <f t="shared" ca="1" si="2794"/>
        <v>What to become this evening in London weather</v>
      </c>
      <c r="J2796" s="49" t="str">
        <f t="shared" ca="1" si="2794"/>
        <v>What to become this evening in London weather</v>
      </c>
    </row>
    <row r="2797" spans="1:10" ht="51" x14ac:dyDescent="0.2">
      <c r="A2797" s="41" t="s">
        <v>2211</v>
      </c>
      <c r="B2797" s="40"/>
      <c r="C2797" s="40"/>
      <c r="D2797" s="40"/>
      <c r="E2797" s="40"/>
      <c r="F2797" s="49" t="str">
        <f t="shared" ref="F2797:J2797" ca="1" si="2795">IFERROR(__xludf.DUMMYFUNCTION("if (A2797 &lt;&gt; """", GOOGLETRANSLATE(A2797, ""auto"", ""en""), """")"),"What will happen tomorrow's weather")</f>
        <v>What will happen tomorrow's weather</v>
      </c>
      <c r="G2797" s="49" t="str">
        <f t="shared" ca="1" si="2795"/>
        <v>What will happen tomorrow's weather</v>
      </c>
      <c r="H2797" s="49" t="str">
        <f t="shared" ca="1" si="2795"/>
        <v>What will happen tomorrow's weather</v>
      </c>
      <c r="I2797" s="49" t="str">
        <f t="shared" ca="1" si="2795"/>
        <v>What will happen tomorrow's weather</v>
      </c>
      <c r="J2797" s="49" t="str">
        <f t="shared" ca="1" si="2795"/>
        <v>What will happen tomorrow's weather</v>
      </c>
    </row>
    <row r="2798" spans="1:10" ht="25.5" x14ac:dyDescent="0.2">
      <c r="A2798" s="41" t="s">
        <v>2212</v>
      </c>
      <c r="B2798" s="40"/>
      <c r="C2798" s="40"/>
      <c r="D2798" s="40"/>
      <c r="E2798" s="40"/>
      <c r="F2798" s="49" t="str">
        <f t="shared" ref="F2798:J2798" ca="1" si="2796">IFERROR(__xludf.DUMMYFUNCTION("if (A2798 &lt;&gt; """", GOOGLETRANSLATE(A2798, ""auto"", ""en""), """")"),"weather forecast")</f>
        <v>weather forecast</v>
      </c>
      <c r="G2798" s="49" t="str">
        <f t="shared" ca="1" si="2796"/>
        <v>weather forecast</v>
      </c>
      <c r="H2798" s="49" t="str">
        <f t="shared" ca="1" si="2796"/>
        <v>weather forecast</v>
      </c>
      <c r="I2798" s="49" t="str">
        <f t="shared" ca="1" si="2796"/>
        <v>weather forecast</v>
      </c>
      <c r="J2798" s="49" t="str">
        <f t="shared" ca="1" si="2796"/>
        <v>weather forecast</v>
      </c>
    </row>
    <row r="2799" spans="1:10" ht="25.5" x14ac:dyDescent="0.2">
      <c r="A2799" s="41" t="s">
        <v>2213</v>
      </c>
      <c r="B2799" s="40"/>
      <c r="C2799" s="40"/>
      <c r="D2799" s="40"/>
      <c r="E2799" s="40"/>
      <c r="F2799" s="49" t="str">
        <f t="shared" ref="F2799:J2799" ca="1" si="2797">IFERROR(__xludf.DUMMYFUNCTION("if (A2799 &lt;&gt; """", GOOGLETRANSLATE(A2799, ""auto"", ""en""), """")"),"What is the weather")</f>
        <v>What is the weather</v>
      </c>
      <c r="G2799" s="49" t="str">
        <f t="shared" ca="1" si="2797"/>
        <v>What is the weather</v>
      </c>
      <c r="H2799" s="49" t="str">
        <f t="shared" ca="1" si="2797"/>
        <v>What is the weather</v>
      </c>
      <c r="I2799" s="49" t="str">
        <f t="shared" ca="1" si="2797"/>
        <v>What is the weather</v>
      </c>
      <c r="J2799" s="49" t="str">
        <f t="shared" ca="1" si="2797"/>
        <v>What is the weather</v>
      </c>
    </row>
    <row r="2800" spans="1:10" ht="38.25" x14ac:dyDescent="0.2">
      <c r="A2800" s="41" t="s">
        <v>2214</v>
      </c>
      <c r="B2800" s="40"/>
      <c r="C2800" s="40"/>
      <c r="D2800" s="40"/>
      <c r="E2800" s="40"/>
      <c r="F2800" s="49" t="str">
        <f t="shared" ref="F2800:J2800" ca="1" si="2798">IFERROR(__xludf.DUMMYFUNCTION("if (A2800 &lt;&gt; """", GOOGLETRANSLATE(A2800, ""auto"", ""en""), """")"),"What is the weather in Sendai")</f>
        <v>What is the weather in Sendai</v>
      </c>
      <c r="G2800" s="49" t="str">
        <f t="shared" ca="1" si="2798"/>
        <v>What is the weather in Sendai</v>
      </c>
      <c r="H2800" s="49" t="str">
        <f t="shared" ca="1" si="2798"/>
        <v>What is the weather in Sendai</v>
      </c>
      <c r="I2800" s="49" t="str">
        <f t="shared" ca="1" si="2798"/>
        <v>What is the weather in Sendai</v>
      </c>
      <c r="J2800" s="49" t="str">
        <f t="shared" ca="1" si="2798"/>
        <v>What is the weather in Sendai</v>
      </c>
    </row>
    <row r="2801" spans="1:10" ht="25.5" x14ac:dyDescent="0.2">
      <c r="A2801" s="41" t="s">
        <v>2215</v>
      </c>
      <c r="B2801" s="40"/>
      <c r="C2801" s="40"/>
      <c r="D2801" s="40"/>
      <c r="E2801" s="40"/>
      <c r="F2801" s="49" t="str">
        <f t="shared" ref="F2801:J2801" ca="1" si="2799">IFERROR(__xludf.DUMMYFUNCTION("if (A2801 &lt;&gt; """", GOOGLETRANSLATE(A2801, ""auto"", ""en""), """")"),"What about weather")</f>
        <v>What about weather</v>
      </c>
      <c r="G2801" s="49" t="str">
        <f t="shared" ca="1" si="2799"/>
        <v>What about weather</v>
      </c>
      <c r="H2801" s="49" t="str">
        <f t="shared" ca="1" si="2799"/>
        <v>What about weather</v>
      </c>
      <c r="I2801" s="49" t="str">
        <f t="shared" ca="1" si="2799"/>
        <v>What about weather</v>
      </c>
      <c r="J2801" s="49" t="str">
        <f t="shared" ca="1" si="2799"/>
        <v>What about weather</v>
      </c>
    </row>
    <row r="2802" spans="1:10" ht="25.5" x14ac:dyDescent="0.2">
      <c r="A2802" s="41" t="s">
        <v>2216</v>
      </c>
      <c r="B2802" s="40"/>
      <c r="C2802" s="40"/>
      <c r="D2802" s="40"/>
      <c r="E2802" s="40"/>
      <c r="F2802" s="49" t="str">
        <f t="shared" ref="F2802:J2802" ca="1" si="2800">IFERROR(__xludf.DUMMYFUNCTION("if (A2802 &lt;&gt; """", GOOGLETRANSLATE(A2802, ""auto"", ""en""), """")"),"What is the weather")</f>
        <v>What is the weather</v>
      </c>
      <c r="G2802" s="49" t="str">
        <f t="shared" ca="1" si="2800"/>
        <v>What is the weather</v>
      </c>
      <c r="H2802" s="49" t="str">
        <f t="shared" ca="1" si="2800"/>
        <v>What is the weather</v>
      </c>
      <c r="I2802" s="49" t="str">
        <f t="shared" ca="1" si="2800"/>
        <v>What is the weather</v>
      </c>
      <c r="J2802" s="49" t="str">
        <f t="shared" ca="1" si="2800"/>
        <v>What is the weather</v>
      </c>
    </row>
    <row r="2803" spans="1:10" ht="12.75" x14ac:dyDescent="0.2">
      <c r="A2803" s="40"/>
      <c r="B2803" s="41" t="s">
        <v>422</v>
      </c>
      <c r="C2803" s="41" t="s">
        <v>2136</v>
      </c>
      <c r="D2803" s="41" t="s">
        <v>2137</v>
      </c>
      <c r="E2803" s="40"/>
      <c r="F2803" s="49" t="str">
        <f t="shared" ref="F2803:J2803" ca="1" si="2801">IFERROR(__xludf.DUMMYFUNCTION("if (A2803 &lt;&gt; """", GOOGLETRANSLATE(A2803, ""auto"", ""en""), """")"),"")</f>
        <v/>
      </c>
      <c r="G2803" s="49" t="str">
        <f t="shared" ca="1" si="2801"/>
        <v/>
      </c>
      <c r="H2803" s="49" t="str">
        <f t="shared" ca="1" si="2801"/>
        <v/>
      </c>
      <c r="I2803" s="49" t="str">
        <f t="shared" ca="1" si="2801"/>
        <v/>
      </c>
      <c r="J2803" s="49" t="str">
        <f t="shared" ca="1" si="2801"/>
        <v/>
      </c>
    </row>
    <row r="2804" spans="1:10" ht="12.75" x14ac:dyDescent="0.2">
      <c r="A2804" s="40"/>
      <c r="B2804" s="41" t="s">
        <v>422</v>
      </c>
      <c r="C2804" s="41" t="s">
        <v>2217</v>
      </c>
      <c r="D2804" s="41" t="s">
        <v>2218</v>
      </c>
      <c r="E2804" s="40"/>
      <c r="F2804" s="49" t="str">
        <f t="shared" ref="F2804:J2804" ca="1" si="2802">IFERROR(__xludf.DUMMYFUNCTION("if (A2804 &lt;&gt; """", GOOGLETRANSLATE(A2804, ""auto"", ""en""), """")"),"")</f>
        <v/>
      </c>
      <c r="G2804" s="49" t="str">
        <f t="shared" ca="1" si="2802"/>
        <v/>
      </c>
      <c r="H2804" s="49" t="str">
        <f t="shared" ca="1" si="2802"/>
        <v/>
      </c>
      <c r="I2804" s="49" t="str">
        <f t="shared" ca="1" si="2802"/>
        <v/>
      </c>
      <c r="J2804" s="49" t="str">
        <f t="shared" ca="1" si="2802"/>
        <v/>
      </c>
    </row>
    <row r="2805" spans="1:10" ht="12.75" x14ac:dyDescent="0.2">
      <c r="A2805" s="40"/>
      <c r="B2805" s="41" t="s">
        <v>422</v>
      </c>
      <c r="C2805" s="41" t="s">
        <v>2135</v>
      </c>
      <c r="D2805" s="41" t="s">
        <v>808</v>
      </c>
      <c r="E2805" s="40"/>
      <c r="F2805" s="49" t="str">
        <f t="shared" ref="F2805:J2805" ca="1" si="2803">IFERROR(__xludf.DUMMYFUNCTION("if (A2805 &lt;&gt; """", GOOGLETRANSLATE(A2805, ""auto"", ""en""), """")"),"")</f>
        <v/>
      </c>
      <c r="G2805" s="49" t="str">
        <f t="shared" ca="1" si="2803"/>
        <v/>
      </c>
      <c r="H2805" s="49" t="str">
        <f t="shared" ca="1" si="2803"/>
        <v/>
      </c>
      <c r="I2805" s="49" t="str">
        <f t="shared" ca="1" si="2803"/>
        <v/>
      </c>
      <c r="J2805" s="49" t="str">
        <f t="shared" ca="1" si="2803"/>
        <v/>
      </c>
    </row>
    <row r="2806" spans="1:10" ht="12.75" x14ac:dyDescent="0.2">
      <c r="A2806" s="40"/>
      <c r="B2806" s="40"/>
      <c r="C2806" s="40"/>
      <c r="D2806" s="40"/>
      <c r="E2806" s="40"/>
      <c r="F2806" s="49" t="str">
        <f t="shared" ref="F2806:J2806" ca="1" si="2804">IFERROR(__xludf.DUMMYFUNCTION("if (A2806 &lt;&gt; """", GOOGLETRANSLATE(A2806, ""auto"", ""en""), """")"),"")</f>
        <v/>
      </c>
      <c r="G2806" s="49" t="str">
        <f t="shared" ca="1" si="2804"/>
        <v/>
      </c>
      <c r="H2806" s="49" t="str">
        <f t="shared" ca="1" si="2804"/>
        <v/>
      </c>
      <c r="I2806" s="49" t="str">
        <f t="shared" ca="1" si="2804"/>
        <v/>
      </c>
      <c r="J2806" s="49" t="str">
        <f t="shared" ca="1" si="2804"/>
        <v/>
      </c>
    </row>
    <row r="2807" spans="1:10" ht="12.75" x14ac:dyDescent="0.2">
      <c r="A2807" s="41" t="s">
        <v>2219</v>
      </c>
      <c r="B2807" s="40"/>
      <c r="C2807" s="40"/>
      <c r="D2807" s="40"/>
      <c r="E2807" s="40"/>
      <c r="F2807" s="49" t="str">
        <f t="shared" ref="F2807:J2807" ca="1" si="2805">IFERROR(__xludf.DUMMYFUNCTION("if (A2807 &lt;&gt; """", GOOGLETRANSLATE(A2807, ""auto"", ""en""), """")"),"weather.outfit")</f>
        <v>weather.outfit</v>
      </c>
      <c r="G2807" s="49" t="str">
        <f t="shared" ca="1" si="2805"/>
        <v>weather.outfit</v>
      </c>
      <c r="H2807" s="49" t="str">
        <f t="shared" ca="1" si="2805"/>
        <v>weather.outfit</v>
      </c>
      <c r="I2807" s="49" t="str">
        <f t="shared" ca="1" si="2805"/>
        <v>weather.outfit</v>
      </c>
      <c r="J2807" s="49" t="str">
        <f t="shared" ca="1" si="2805"/>
        <v>weather.outfit</v>
      </c>
    </row>
    <row r="2808" spans="1:10" ht="12.75" x14ac:dyDescent="0.2">
      <c r="A2808" s="40"/>
      <c r="B2808" s="41" t="s">
        <v>398</v>
      </c>
      <c r="C2808" s="40"/>
      <c r="D2808" s="40"/>
      <c r="E2808" s="40"/>
      <c r="F2808" s="49" t="str">
        <f t="shared" ref="F2808:J2808" ca="1" si="2806">IFERROR(__xludf.DUMMYFUNCTION("if (A2808 &lt;&gt; """", GOOGLETRANSLATE(A2808, ""auto"", ""en""), """")"),"")</f>
        <v/>
      </c>
      <c r="G2808" s="49" t="str">
        <f t="shared" ca="1" si="2806"/>
        <v/>
      </c>
      <c r="H2808" s="49" t="str">
        <f t="shared" ca="1" si="2806"/>
        <v/>
      </c>
      <c r="I2808" s="49" t="str">
        <f t="shared" ca="1" si="2806"/>
        <v/>
      </c>
      <c r="J2808" s="49" t="str">
        <f t="shared" ca="1" si="2806"/>
        <v/>
      </c>
    </row>
    <row r="2809" spans="1:10" ht="12.75" x14ac:dyDescent="0.2">
      <c r="A2809" s="40"/>
      <c r="B2809" s="41" t="s">
        <v>399</v>
      </c>
      <c r="C2809" s="41" t="s">
        <v>2198</v>
      </c>
      <c r="D2809" s="40"/>
      <c r="E2809" s="40"/>
      <c r="F2809" s="49" t="str">
        <f t="shared" ref="F2809:J2809" ca="1" si="2807">IFERROR(__xludf.DUMMYFUNCTION("if (A2809 &lt;&gt; """", GOOGLETRANSLATE(A2809, ""auto"", ""en""), """")"),"")</f>
        <v/>
      </c>
      <c r="G2809" s="49" t="str">
        <f t="shared" ca="1" si="2807"/>
        <v/>
      </c>
      <c r="H2809" s="49" t="str">
        <f t="shared" ca="1" si="2807"/>
        <v/>
      </c>
      <c r="I2809" s="49" t="str">
        <f t="shared" ca="1" si="2807"/>
        <v/>
      </c>
      <c r="J2809" s="49" t="str">
        <f t="shared" ca="1" si="2807"/>
        <v/>
      </c>
    </row>
    <row r="2810" spans="1:10" ht="12.75" x14ac:dyDescent="0.2">
      <c r="A2810" s="40"/>
      <c r="B2810" s="41" t="s">
        <v>400</v>
      </c>
      <c r="C2810" s="41" t="s">
        <v>2219</v>
      </c>
      <c r="D2810" s="40"/>
      <c r="E2810" s="40"/>
      <c r="F2810" s="49" t="str">
        <f t="shared" ref="F2810:J2810" ca="1" si="2808">IFERROR(__xludf.DUMMYFUNCTION("if (A2810 &lt;&gt; """", GOOGLETRANSLATE(A2810, ""auto"", ""en""), """")"),"")</f>
        <v/>
      </c>
      <c r="G2810" s="49" t="str">
        <f t="shared" ca="1" si="2808"/>
        <v/>
      </c>
      <c r="H2810" s="49" t="str">
        <f t="shared" ca="1" si="2808"/>
        <v/>
      </c>
      <c r="I2810" s="49" t="str">
        <f t="shared" ca="1" si="2808"/>
        <v/>
      </c>
      <c r="J2810" s="49" t="str">
        <f t="shared" ca="1" si="2808"/>
        <v/>
      </c>
    </row>
    <row r="2811" spans="1:10" ht="12.75" x14ac:dyDescent="0.2">
      <c r="A2811" s="40"/>
      <c r="B2811" s="41" t="s">
        <v>401</v>
      </c>
      <c r="C2811" s="40"/>
      <c r="D2811" s="40"/>
      <c r="E2811" s="40"/>
      <c r="F2811" s="49" t="str">
        <f t="shared" ref="F2811:J2811" ca="1" si="2809">IFERROR(__xludf.DUMMYFUNCTION("if (A2811 &lt;&gt; """", GOOGLETRANSLATE(A2811, ""auto"", ""en""), """")"),"")</f>
        <v/>
      </c>
      <c r="G2811" s="49" t="str">
        <f t="shared" ca="1" si="2809"/>
        <v/>
      </c>
      <c r="H2811" s="49" t="str">
        <f t="shared" ca="1" si="2809"/>
        <v/>
      </c>
      <c r="I2811" s="49" t="str">
        <f t="shared" ca="1" si="2809"/>
        <v/>
      </c>
      <c r="J2811" s="49" t="str">
        <f t="shared" ca="1" si="2809"/>
        <v/>
      </c>
    </row>
    <row r="2812" spans="1:10" ht="63.75" x14ac:dyDescent="0.2">
      <c r="A2812" s="41" t="s">
        <v>2220</v>
      </c>
      <c r="B2812" s="40"/>
      <c r="C2812" s="40"/>
      <c r="D2812" s="40"/>
      <c r="E2812" s="40"/>
      <c r="F2812" s="49" t="str">
        <f t="shared" ref="F2812:J2812" ca="1" si="2810">IFERROR(__xludf.DUMMYFUNCTION("if (A2812 &lt;&gt; """", GOOGLETRANSLATE(A2812, ""auto"", ""en""), """")"),"Umbrella will be required in the next week Friday Sapporo")</f>
        <v>Umbrella will be required in the next week Friday Sapporo</v>
      </c>
      <c r="G2812" s="49" t="str">
        <f t="shared" ca="1" si="2810"/>
        <v>Umbrella will be required in the next week Friday Sapporo</v>
      </c>
      <c r="H2812" s="49" t="str">
        <f t="shared" ca="1" si="2810"/>
        <v>Umbrella will be required in the next week Friday Sapporo</v>
      </c>
      <c r="I2812" s="49" t="str">
        <f t="shared" ca="1" si="2810"/>
        <v>Umbrella will be required in the next week Friday Sapporo</v>
      </c>
      <c r="J2812" s="49" t="str">
        <f t="shared" ca="1" si="2810"/>
        <v>Umbrella will be required in the next week Friday Sapporo</v>
      </c>
    </row>
    <row r="2813" spans="1:10" ht="38.25" x14ac:dyDescent="0.2">
      <c r="A2813" s="41" t="s">
        <v>2221</v>
      </c>
      <c r="B2813" s="40"/>
      <c r="C2813" s="40"/>
      <c r="D2813" s="40"/>
      <c r="E2813" s="40"/>
      <c r="F2813" s="49" t="str">
        <f t="shared" ref="F2813:J2813" ca="1" si="2811">IFERROR(__xludf.DUMMYFUNCTION("if (A2813 &lt;&gt; """", GOOGLETRANSLATE(A2813, ""auto"", ""en""), """")"),"Is it better to the gloves in Asahikawa")</f>
        <v>Is it better to the gloves in Asahikawa</v>
      </c>
      <c r="G2813" s="49" t="str">
        <f t="shared" ca="1" si="2811"/>
        <v>Is it better to the gloves in Asahikawa</v>
      </c>
      <c r="H2813" s="49" t="str">
        <f t="shared" ca="1" si="2811"/>
        <v>Is it better to the gloves in Asahikawa</v>
      </c>
      <c r="I2813" s="49" t="str">
        <f t="shared" ca="1" si="2811"/>
        <v>Is it better to the gloves in Asahikawa</v>
      </c>
      <c r="J2813" s="49" t="str">
        <f t="shared" ca="1" si="2811"/>
        <v>Is it better to the gloves in Asahikawa</v>
      </c>
    </row>
    <row r="2814" spans="1:10" ht="38.25" x14ac:dyDescent="0.2">
      <c r="A2814" s="41" t="s">
        <v>2222</v>
      </c>
      <c r="B2814" s="40"/>
      <c r="C2814" s="40"/>
      <c r="D2814" s="40"/>
      <c r="E2814" s="40"/>
      <c r="F2814" s="49" t="str">
        <f t="shared" ref="F2814:J2814" ca="1" si="2812">IFERROR(__xludf.DUMMYFUNCTION("if (A2814 &lt;&gt; """", GOOGLETRANSLATE(A2814, ""auto"", ""en""), """")"),"Do you tomorrow coat is required")</f>
        <v>Do you tomorrow coat is required</v>
      </c>
      <c r="G2814" s="49" t="str">
        <f t="shared" ca="1" si="2812"/>
        <v>Do you tomorrow coat is required</v>
      </c>
      <c r="H2814" s="49" t="str">
        <f t="shared" ca="1" si="2812"/>
        <v>Do you tomorrow coat is required</v>
      </c>
      <c r="I2814" s="49" t="str">
        <f t="shared" ca="1" si="2812"/>
        <v>Do you tomorrow coat is required</v>
      </c>
      <c r="J2814" s="49" t="str">
        <f t="shared" ca="1" si="2812"/>
        <v>Do you tomorrow coat is required</v>
      </c>
    </row>
    <row r="2815" spans="1:10" ht="38.25" x14ac:dyDescent="0.2">
      <c r="A2815" s="41" t="s">
        <v>2223</v>
      </c>
      <c r="B2815" s="40"/>
      <c r="C2815" s="40"/>
      <c r="D2815" s="40"/>
      <c r="E2815" s="40"/>
      <c r="F2815" s="49" t="str">
        <f t="shared" ref="F2815:J2815" ca="1" si="2813">IFERROR(__xludf.DUMMYFUNCTION("if (A2815 &lt;&gt; """", GOOGLETRANSLATE(A2815, ""auto"", ""en""), """")"),"All you need is an umbrella in Tokyo")</f>
        <v>All you need is an umbrella in Tokyo</v>
      </c>
      <c r="G2815" s="49" t="str">
        <f t="shared" ca="1" si="2813"/>
        <v>All you need is an umbrella in Tokyo</v>
      </c>
      <c r="H2815" s="49" t="str">
        <f t="shared" ca="1" si="2813"/>
        <v>All you need is an umbrella in Tokyo</v>
      </c>
      <c r="I2815" s="49" t="str">
        <f t="shared" ca="1" si="2813"/>
        <v>All you need is an umbrella in Tokyo</v>
      </c>
      <c r="J2815" s="49" t="str">
        <f t="shared" ca="1" si="2813"/>
        <v>All you need is an umbrella in Tokyo</v>
      </c>
    </row>
    <row r="2816" spans="1:10" ht="38.25" x14ac:dyDescent="0.2">
      <c r="A2816" s="41" t="s">
        <v>2224</v>
      </c>
      <c r="B2816" s="40"/>
      <c r="C2816" s="40"/>
      <c r="D2816" s="40"/>
      <c r="E2816" s="40"/>
      <c r="F2816" s="49" t="str">
        <f t="shared" ref="F2816:J2816" ca="1" si="2814">IFERROR(__xludf.DUMMYFUNCTION("if (A2816 &lt;&gt; """", GOOGLETRANSLATE(A2816, ""auto"", ""en""), """")"),"Or sunglasses is necessary")</f>
        <v>Or sunglasses is necessary</v>
      </c>
      <c r="G2816" s="49" t="str">
        <f t="shared" ca="1" si="2814"/>
        <v>Or sunglasses is necessary</v>
      </c>
      <c r="H2816" s="49" t="str">
        <f t="shared" ca="1" si="2814"/>
        <v>Or sunglasses is necessary</v>
      </c>
      <c r="I2816" s="49" t="str">
        <f t="shared" ca="1" si="2814"/>
        <v>Or sunglasses is necessary</v>
      </c>
      <c r="J2816" s="49" t="str">
        <f t="shared" ca="1" si="2814"/>
        <v>Or sunglasses is necessary</v>
      </c>
    </row>
    <row r="2817" spans="1:10" ht="38.25" x14ac:dyDescent="0.2">
      <c r="A2817" s="41" t="s">
        <v>2225</v>
      </c>
      <c r="B2817" s="40"/>
      <c r="C2817" s="40"/>
      <c r="D2817" s="40"/>
      <c r="E2817" s="40"/>
      <c r="F2817" s="49" t="str">
        <f t="shared" ref="F2817:J2817" ca="1" si="2815">IFERROR(__xludf.DUMMYFUNCTION("if (A2817 &lt;&gt; """", GOOGLETRANSLATE(A2817, ""auto"", ""en""), """")"),"It is better with sunglasses")</f>
        <v>It is better with sunglasses</v>
      </c>
      <c r="G2817" s="49" t="str">
        <f t="shared" ca="1" si="2815"/>
        <v>It is better with sunglasses</v>
      </c>
      <c r="H2817" s="49" t="str">
        <f t="shared" ca="1" si="2815"/>
        <v>It is better with sunglasses</v>
      </c>
      <c r="I2817" s="49" t="str">
        <f t="shared" ca="1" si="2815"/>
        <v>It is better with sunglasses</v>
      </c>
      <c r="J2817" s="49" t="str">
        <f t="shared" ca="1" si="2815"/>
        <v>It is better with sunglasses</v>
      </c>
    </row>
    <row r="2818" spans="1:10" ht="38.25" x14ac:dyDescent="0.2">
      <c r="A2818" s="41" t="s">
        <v>2226</v>
      </c>
      <c r="B2818" s="40"/>
      <c r="C2818" s="40"/>
      <c r="D2818" s="40"/>
      <c r="E2818" s="40"/>
      <c r="F2818" s="49" t="str">
        <f t="shared" ref="F2818:J2818" ca="1" si="2816">IFERROR(__xludf.DUMMYFUNCTION("if (A2818 &lt;&gt; """", GOOGLETRANSLATE(A2818, ""auto"", ""en""), """")"),"The umbrella will be required")</f>
        <v>The umbrella will be required</v>
      </c>
      <c r="G2818" s="49" t="str">
        <f t="shared" ca="1" si="2816"/>
        <v>The umbrella will be required</v>
      </c>
      <c r="H2818" s="49" t="str">
        <f t="shared" ca="1" si="2816"/>
        <v>The umbrella will be required</v>
      </c>
      <c r="I2818" s="49" t="str">
        <f t="shared" ca="1" si="2816"/>
        <v>The umbrella will be required</v>
      </c>
      <c r="J2818" s="49" t="str">
        <f t="shared" ca="1" si="2816"/>
        <v>The umbrella will be required</v>
      </c>
    </row>
    <row r="2819" spans="1:10" ht="38.25" x14ac:dyDescent="0.2">
      <c r="A2819" s="41" t="s">
        <v>2227</v>
      </c>
      <c r="B2819" s="40"/>
      <c r="C2819" s="40"/>
      <c r="D2819" s="40"/>
      <c r="E2819" s="40"/>
      <c r="F2819" s="49" t="str">
        <f t="shared" ref="F2819:J2819" ca="1" si="2817">IFERROR(__xludf.DUMMYFUNCTION("if (A2819 &lt;&gt; """", GOOGLETRANSLATE(A2819, ""auto"", ""en""), """")"),"I think I'd rather there was a jacket")</f>
        <v>I think I'd rather there was a jacket</v>
      </c>
      <c r="G2819" s="49" t="str">
        <f t="shared" ca="1" si="2817"/>
        <v>I think I'd rather there was a jacket</v>
      </c>
      <c r="H2819" s="49" t="str">
        <f t="shared" ca="1" si="2817"/>
        <v>I think I'd rather there was a jacket</v>
      </c>
      <c r="I2819" s="49" t="str">
        <f t="shared" ca="1" si="2817"/>
        <v>I think I'd rather there was a jacket</v>
      </c>
      <c r="J2819" s="49" t="str">
        <f t="shared" ca="1" si="2817"/>
        <v>I think I'd rather there was a jacket</v>
      </c>
    </row>
    <row r="2820" spans="1:10" ht="38.25" x14ac:dyDescent="0.2">
      <c r="A2820" s="41" t="s">
        <v>2228</v>
      </c>
      <c r="B2820" s="40"/>
      <c r="C2820" s="40"/>
      <c r="D2820" s="40"/>
      <c r="E2820" s="40"/>
      <c r="F2820" s="49" t="str">
        <f t="shared" ref="F2820:J2820" ca="1" si="2818">IFERROR(__xludf.DUMMYFUNCTION("if (A2820 &lt;&gt; """", GOOGLETRANSLATE(A2820, ""auto"", ""en""), """")"),"It is better to wear a jacket today")</f>
        <v>It is better to wear a jacket today</v>
      </c>
      <c r="G2820" s="49" t="str">
        <f t="shared" ca="1" si="2818"/>
        <v>It is better to wear a jacket today</v>
      </c>
      <c r="H2820" s="49" t="str">
        <f t="shared" ca="1" si="2818"/>
        <v>It is better to wear a jacket today</v>
      </c>
      <c r="I2820" s="49" t="str">
        <f t="shared" ca="1" si="2818"/>
        <v>It is better to wear a jacket today</v>
      </c>
      <c r="J2820" s="49" t="str">
        <f t="shared" ca="1" si="2818"/>
        <v>It is better to wear a jacket today</v>
      </c>
    </row>
    <row r="2821" spans="1:10" ht="51" x14ac:dyDescent="0.2">
      <c r="A2821" s="41" t="s">
        <v>2229</v>
      </c>
      <c r="B2821" s="40"/>
      <c r="C2821" s="40"/>
      <c r="D2821" s="40"/>
      <c r="E2821" s="40"/>
      <c r="F2821" s="49" t="str">
        <f t="shared" ref="F2821:J2821" ca="1" si="2819">IFERROR(__xludf.DUMMYFUNCTION("if (A2821 &lt;&gt; """", GOOGLETRANSLATE(A2821, ""auto"", ""en""), """")"),"Do you this weekend will need the umbrella")</f>
        <v>Do you this weekend will need the umbrella</v>
      </c>
      <c r="G2821" s="49" t="str">
        <f t="shared" ca="1" si="2819"/>
        <v>Do you this weekend will need the umbrella</v>
      </c>
      <c r="H2821" s="49" t="str">
        <f t="shared" ca="1" si="2819"/>
        <v>Do you this weekend will need the umbrella</v>
      </c>
      <c r="I2821" s="49" t="str">
        <f t="shared" ca="1" si="2819"/>
        <v>Do you this weekend will need the umbrella</v>
      </c>
      <c r="J2821" s="49" t="str">
        <f t="shared" ca="1" si="2819"/>
        <v>Do you this weekend will need the umbrella</v>
      </c>
    </row>
    <row r="2822" spans="1:10" ht="51" x14ac:dyDescent="0.2">
      <c r="A2822" s="41" t="s">
        <v>2230</v>
      </c>
      <c r="B2822" s="40"/>
      <c r="C2822" s="40"/>
      <c r="D2822" s="40"/>
      <c r="E2822" s="40"/>
      <c r="F2822" s="49" t="str">
        <f t="shared" ref="F2822:J2822" ca="1" si="2820">IFERROR(__xludf.DUMMYFUNCTION("if (A2822 &lt;&gt; """", GOOGLETRANSLATE(A2822, ""auto"", ""en""), """")"),"It is better that there is sunglasses tomorrow")</f>
        <v>It is better that there is sunglasses tomorrow</v>
      </c>
      <c r="G2822" s="49" t="str">
        <f t="shared" ca="1" si="2820"/>
        <v>It is better that there is sunglasses tomorrow</v>
      </c>
      <c r="H2822" s="49" t="str">
        <f t="shared" ca="1" si="2820"/>
        <v>It is better that there is sunglasses tomorrow</v>
      </c>
      <c r="I2822" s="49" t="str">
        <f t="shared" ca="1" si="2820"/>
        <v>It is better that there is sunglasses tomorrow</v>
      </c>
      <c r="J2822" s="49" t="str">
        <f t="shared" ca="1" si="2820"/>
        <v>It is better that there is sunglasses tomorrow</v>
      </c>
    </row>
    <row r="2823" spans="1:10" ht="12.75" x14ac:dyDescent="0.2">
      <c r="A2823" s="40"/>
      <c r="B2823" s="41" t="s">
        <v>422</v>
      </c>
      <c r="C2823" s="41" t="s">
        <v>2171</v>
      </c>
      <c r="D2823" s="41" t="s">
        <v>2172</v>
      </c>
      <c r="E2823" s="40"/>
      <c r="F2823" s="49" t="str">
        <f t="shared" ref="F2823:J2823" ca="1" si="2821">IFERROR(__xludf.DUMMYFUNCTION("if (A2823 &lt;&gt; """", GOOGLETRANSLATE(A2823, ""auto"", ""en""), """")"),"")</f>
        <v/>
      </c>
      <c r="G2823" s="49" t="str">
        <f t="shared" ca="1" si="2821"/>
        <v/>
      </c>
      <c r="H2823" s="49" t="str">
        <f t="shared" ca="1" si="2821"/>
        <v/>
      </c>
      <c r="I2823" s="49" t="str">
        <f t="shared" ca="1" si="2821"/>
        <v/>
      </c>
      <c r="J2823" s="49" t="str">
        <f t="shared" ca="1" si="2821"/>
        <v/>
      </c>
    </row>
    <row r="2824" spans="1:10" ht="12.75" x14ac:dyDescent="0.2">
      <c r="A2824" s="40"/>
      <c r="B2824" s="41" t="s">
        <v>422</v>
      </c>
      <c r="C2824" s="41" t="s">
        <v>2135</v>
      </c>
      <c r="D2824" s="41" t="s">
        <v>808</v>
      </c>
      <c r="E2824" s="40"/>
      <c r="F2824" s="49" t="str">
        <f t="shared" ref="F2824:J2824" ca="1" si="2822">IFERROR(__xludf.DUMMYFUNCTION("if (A2824 &lt;&gt; """", GOOGLETRANSLATE(A2824, ""auto"", ""en""), """")"),"")</f>
        <v/>
      </c>
      <c r="G2824" s="49" t="str">
        <f t="shared" ca="1" si="2822"/>
        <v/>
      </c>
      <c r="H2824" s="49" t="str">
        <f t="shared" ca="1" si="2822"/>
        <v/>
      </c>
      <c r="I2824" s="49" t="str">
        <f t="shared" ca="1" si="2822"/>
        <v/>
      </c>
      <c r="J2824" s="49" t="str">
        <f t="shared" ca="1" si="2822"/>
        <v/>
      </c>
    </row>
    <row r="2825" spans="1:10" ht="12.75" x14ac:dyDescent="0.2">
      <c r="A2825" s="40"/>
      <c r="B2825" s="41" t="s">
        <v>422</v>
      </c>
      <c r="C2825" s="41" t="s">
        <v>2136</v>
      </c>
      <c r="D2825" s="41" t="s">
        <v>2137</v>
      </c>
      <c r="E2825" s="40"/>
      <c r="F2825" s="49" t="str">
        <f t="shared" ref="F2825:J2825" ca="1" si="2823">IFERROR(__xludf.DUMMYFUNCTION("if (A2825 &lt;&gt; """", GOOGLETRANSLATE(A2825, ""auto"", ""en""), """")"),"")</f>
        <v/>
      </c>
      <c r="G2825" s="49" t="str">
        <f t="shared" ca="1" si="2823"/>
        <v/>
      </c>
      <c r="H2825" s="49" t="str">
        <f t="shared" ca="1" si="2823"/>
        <v/>
      </c>
      <c r="I2825" s="49" t="str">
        <f t="shared" ca="1" si="2823"/>
        <v/>
      </c>
      <c r="J2825" s="49" t="str">
        <f t="shared" ca="1" si="2823"/>
        <v/>
      </c>
    </row>
    <row r="2826" spans="1:10" ht="12.75" x14ac:dyDescent="0.2">
      <c r="A2826" s="40"/>
      <c r="B2826" s="40"/>
      <c r="C2826" s="40"/>
      <c r="D2826" s="40"/>
      <c r="E2826" s="40"/>
      <c r="F2826" s="49" t="str">
        <f t="shared" ref="F2826:J2826" ca="1" si="2824">IFERROR(__xludf.DUMMYFUNCTION("if (A2826 &lt;&gt; """", GOOGLETRANSLATE(A2826, ""auto"", ""en""), """")"),"")</f>
        <v/>
      </c>
      <c r="G2826" s="49" t="str">
        <f t="shared" ca="1" si="2824"/>
        <v/>
      </c>
      <c r="H2826" s="49" t="str">
        <f t="shared" ca="1" si="2824"/>
        <v/>
      </c>
      <c r="I2826" s="49" t="str">
        <f t="shared" ca="1" si="2824"/>
        <v/>
      </c>
      <c r="J2826" s="49" t="str">
        <f t="shared" ca="1" si="2824"/>
        <v/>
      </c>
    </row>
    <row r="2827" spans="1:10" ht="25.5" x14ac:dyDescent="0.2">
      <c r="A2827" s="41" t="s">
        <v>2231</v>
      </c>
      <c r="B2827" s="40"/>
      <c r="C2827" s="40"/>
      <c r="D2827" s="40"/>
      <c r="E2827" s="40"/>
      <c r="F2827" s="49" t="str">
        <f t="shared" ref="F2827:J2827" ca="1" si="2825">IFERROR(__xludf.DUMMYFUNCTION("if (A2827 &lt;&gt; """", GOOGLETRANSLATE(A2827, ""auto"", ""en""), """")"),"weather.temperature")</f>
        <v>weather.temperature</v>
      </c>
      <c r="G2827" s="49" t="str">
        <f t="shared" ca="1" si="2825"/>
        <v>weather.temperature</v>
      </c>
      <c r="H2827" s="49" t="str">
        <f t="shared" ca="1" si="2825"/>
        <v>weather.temperature</v>
      </c>
      <c r="I2827" s="49" t="str">
        <f t="shared" ca="1" si="2825"/>
        <v>weather.temperature</v>
      </c>
      <c r="J2827" s="49" t="str">
        <f t="shared" ca="1" si="2825"/>
        <v>weather.temperature</v>
      </c>
    </row>
    <row r="2828" spans="1:10" ht="12.75" x14ac:dyDescent="0.2">
      <c r="A2828" s="40"/>
      <c r="B2828" s="41" t="s">
        <v>398</v>
      </c>
      <c r="C2828" s="40"/>
      <c r="D2828" s="40"/>
      <c r="E2828" s="40"/>
      <c r="F2828" s="49" t="str">
        <f t="shared" ref="F2828:J2828" ca="1" si="2826">IFERROR(__xludf.DUMMYFUNCTION("if (A2828 &lt;&gt; """", GOOGLETRANSLATE(A2828, ""auto"", ""en""), """")"),"")</f>
        <v/>
      </c>
      <c r="G2828" s="49" t="str">
        <f t="shared" ca="1" si="2826"/>
        <v/>
      </c>
      <c r="H2828" s="49" t="str">
        <f t="shared" ca="1" si="2826"/>
        <v/>
      </c>
      <c r="I2828" s="49" t="str">
        <f t="shared" ca="1" si="2826"/>
        <v/>
      </c>
      <c r="J2828" s="49" t="str">
        <f t="shared" ca="1" si="2826"/>
        <v/>
      </c>
    </row>
    <row r="2829" spans="1:10" ht="12.75" x14ac:dyDescent="0.2">
      <c r="A2829" s="40"/>
      <c r="B2829" s="41" t="s">
        <v>399</v>
      </c>
      <c r="C2829" s="41" t="s">
        <v>2198</v>
      </c>
      <c r="D2829" s="40"/>
      <c r="E2829" s="40"/>
      <c r="F2829" s="49" t="str">
        <f t="shared" ref="F2829:J2829" ca="1" si="2827">IFERROR(__xludf.DUMMYFUNCTION("if (A2829 &lt;&gt; """", GOOGLETRANSLATE(A2829, ""auto"", ""en""), """")"),"")</f>
        <v/>
      </c>
      <c r="G2829" s="49" t="str">
        <f t="shared" ca="1" si="2827"/>
        <v/>
      </c>
      <c r="H2829" s="49" t="str">
        <f t="shared" ca="1" si="2827"/>
        <v/>
      </c>
      <c r="I2829" s="49" t="str">
        <f t="shared" ca="1" si="2827"/>
        <v/>
      </c>
      <c r="J2829" s="49" t="str">
        <f t="shared" ca="1" si="2827"/>
        <v/>
      </c>
    </row>
    <row r="2830" spans="1:10" ht="12.75" x14ac:dyDescent="0.2">
      <c r="A2830" s="40"/>
      <c r="B2830" s="41" t="s">
        <v>400</v>
      </c>
      <c r="C2830" s="41" t="s">
        <v>2231</v>
      </c>
      <c r="D2830" s="40"/>
      <c r="E2830" s="40"/>
      <c r="F2830" s="49" t="str">
        <f t="shared" ref="F2830:J2830" ca="1" si="2828">IFERROR(__xludf.DUMMYFUNCTION("if (A2830 &lt;&gt; """", GOOGLETRANSLATE(A2830, ""auto"", ""en""), """")"),"")</f>
        <v/>
      </c>
      <c r="G2830" s="49" t="str">
        <f t="shared" ca="1" si="2828"/>
        <v/>
      </c>
      <c r="H2830" s="49" t="str">
        <f t="shared" ca="1" si="2828"/>
        <v/>
      </c>
      <c r="I2830" s="49" t="str">
        <f t="shared" ca="1" si="2828"/>
        <v/>
      </c>
      <c r="J2830" s="49" t="str">
        <f t="shared" ca="1" si="2828"/>
        <v/>
      </c>
    </row>
    <row r="2831" spans="1:10" ht="12.75" x14ac:dyDescent="0.2">
      <c r="A2831" s="40"/>
      <c r="B2831" s="41" t="s">
        <v>401</v>
      </c>
      <c r="C2831" s="40"/>
      <c r="D2831" s="40"/>
      <c r="E2831" s="40"/>
      <c r="F2831" s="49" t="str">
        <f t="shared" ref="F2831:J2831" ca="1" si="2829">IFERROR(__xludf.DUMMYFUNCTION("if (A2831 &lt;&gt; """", GOOGLETRANSLATE(A2831, ""auto"", ""en""), """")"),"")</f>
        <v/>
      </c>
      <c r="G2831" s="49" t="str">
        <f t="shared" ca="1" si="2829"/>
        <v/>
      </c>
      <c r="H2831" s="49" t="str">
        <f t="shared" ca="1" si="2829"/>
        <v/>
      </c>
      <c r="I2831" s="49" t="str">
        <f t="shared" ca="1" si="2829"/>
        <v/>
      </c>
      <c r="J2831" s="49" t="str">
        <f t="shared" ca="1" si="2829"/>
        <v/>
      </c>
    </row>
    <row r="2832" spans="1:10" ht="38.25" x14ac:dyDescent="0.2">
      <c r="A2832" s="41" t="s">
        <v>2232</v>
      </c>
      <c r="B2832" s="40"/>
      <c r="C2832" s="40"/>
      <c r="D2832" s="40"/>
      <c r="E2832" s="40"/>
      <c r="F2832" s="49" t="str">
        <f t="shared" ref="F2832:J2832" ca="1" si="2830">IFERROR(__xludf.DUMMYFUNCTION("if (A2832 &lt;&gt; """", GOOGLETRANSLATE(A2832, ""auto"", ""en""), """")"),"Many times is the tomorrow of temperature")</f>
        <v>Many times is the tomorrow of temperature</v>
      </c>
      <c r="G2832" s="49" t="str">
        <f t="shared" ca="1" si="2830"/>
        <v>Many times is the tomorrow of temperature</v>
      </c>
      <c r="H2832" s="49" t="str">
        <f t="shared" ca="1" si="2830"/>
        <v>Many times is the tomorrow of temperature</v>
      </c>
      <c r="I2832" s="49" t="str">
        <f t="shared" ca="1" si="2830"/>
        <v>Many times is the tomorrow of temperature</v>
      </c>
      <c r="J2832" s="49" t="str">
        <f t="shared" ca="1" si="2830"/>
        <v>Many times is the tomorrow of temperature</v>
      </c>
    </row>
    <row r="2833" spans="1:10" ht="63.75" x14ac:dyDescent="0.2">
      <c r="A2833" s="41" t="s">
        <v>2233</v>
      </c>
      <c r="B2833" s="40"/>
      <c r="C2833" s="40"/>
      <c r="D2833" s="40"/>
      <c r="E2833" s="40"/>
      <c r="F2833" s="49" t="str">
        <f t="shared" ref="F2833:J2833" ca="1" si="2831">IFERROR(__xludf.DUMMYFUNCTION("if (A2833 &lt;&gt; """", GOOGLETRANSLATE(A2833, ""auto"", ""en""), """")"),"Please tell me in Fahrenheit the temperature of Chiba")</f>
        <v>Please tell me in Fahrenheit the temperature of Chiba</v>
      </c>
      <c r="G2833" s="49" t="str">
        <f t="shared" ca="1" si="2831"/>
        <v>Please tell me in Fahrenheit the temperature of Chiba</v>
      </c>
      <c r="H2833" s="49" t="str">
        <f t="shared" ca="1" si="2831"/>
        <v>Please tell me in Fahrenheit the temperature of Chiba</v>
      </c>
      <c r="I2833" s="49" t="str">
        <f t="shared" ca="1" si="2831"/>
        <v>Please tell me in Fahrenheit the temperature of Chiba</v>
      </c>
      <c r="J2833" s="49" t="str">
        <f t="shared" ca="1" si="2831"/>
        <v>Please tell me in Fahrenheit the temperature of Chiba</v>
      </c>
    </row>
    <row r="2834" spans="1:10" ht="63.75" x14ac:dyDescent="0.2">
      <c r="A2834" s="41" t="s">
        <v>2234</v>
      </c>
      <c r="B2834" s="40"/>
      <c r="C2834" s="40"/>
      <c r="D2834" s="40"/>
      <c r="E2834" s="40"/>
      <c r="F2834" s="49" t="str">
        <f t="shared" ref="F2834:J2834" ca="1" si="2832">IFERROR(__xludf.DUMMYFUNCTION("if (A2834 &lt;&gt; """", GOOGLETRANSLATE(A2834, ""auto"", ""en""), """")"),"This Sunday, Sapporo is how much colder forecast")</f>
        <v>This Sunday, Sapporo is how much colder forecast</v>
      </c>
      <c r="G2834" s="49" t="str">
        <f t="shared" ca="1" si="2832"/>
        <v>This Sunday, Sapporo is how much colder forecast</v>
      </c>
      <c r="H2834" s="49" t="str">
        <f t="shared" ca="1" si="2832"/>
        <v>This Sunday, Sapporo is how much colder forecast</v>
      </c>
      <c r="I2834" s="49" t="str">
        <f t="shared" ca="1" si="2832"/>
        <v>This Sunday, Sapporo is how much colder forecast</v>
      </c>
      <c r="J2834" s="49" t="str">
        <f t="shared" ca="1" si="2832"/>
        <v>This Sunday, Sapporo is how much colder forecast</v>
      </c>
    </row>
    <row r="2835" spans="1:10" ht="25.5" x14ac:dyDescent="0.2">
      <c r="A2835" s="41" t="s">
        <v>2235</v>
      </c>
      <c r="B2835" s="40"/>
      <c r="C2835" s="40"/>
      <c r="D2835" s="40"/>
      <c r="E2835" s="40"/>
      <c r="F2835" s="49" t="str">
        <f t="shared" ref="F2835:J2835" ca="1" si="2833">IFERROR(__xludf.DUMMYFUNCTION("if (A2835 &lt;&gt; """", GOOGLETRANSLATE(A2835, ""auto"", ""en""), """")"),"Temperature of Bangkok")</f>
        <v>Temperature of Bangkok</v>
      </c>
      <c r="G2835" s="49" t="str">
        <f t="shared" ca="1" si="2833"/>
        <v>Temperature of Bangkok</v>
      </c>
      <c r="H2835" s="49" t="str">
        <f t="shared" ca="1" si="2833"/>
        <v>Temperature of Bangkok</v>
      </c>
      <c r="I2835" s="49" t="str">
        <f t="shared" ca="1" si="2833"/>
        <v>Temperature of Bangkok</v>
      </c>
      <c r="J2835" s="49" t="str">
        <f t="shared" ca="1" si="2833"/>
        <v>Temperature of Bangkok</v>
      </c>
    </row>
    <row r="2836" spans="1:10" ht="51" x14ac:dyDescent="0.2">
      <c r="A2836" s="41" t="s">
        <v>2236</v>
      </c>
      <c r="B2836" s="40"/>
      <c r="C2836" s="40"/>
      <c r="D2836" s="40"/>
      <c r="E2836" s="40"/>
      <c r="F2836" s="49" t="str">
        <f t="shared" ref="F2836:J2836" ca="1" si="2834">IFERROR(__xludf.DUMMYFUNCTION("if (A2836 &lt;&gt; """", GOOGLETRANSLATE(A2836, ""auto"", ""en""), """")"),"What are the Yokohama temperature of tomorrow")</f>
        <v>What are the Yokohama temperature of tomorrow</v>
      </c>
      <c r="G2836" s="49" t="str">
        <f t="shared" ca="1" si="2834"/>
        <v>What are the Yokohama temperature of tomorrow</v>
      </c>
      <c r="H2836" s="49" t="str">
        <f t="shared" ca="1" si="2834"/>
        <v>What are the Yokohama temperature of tomorrow</v>
      </c>
      <c r="I2836" s="49" t="str">
        <f t="shared" ca="1" si="2834"/>
        <v>What are the Yokohama temperature of tomorrow</v>
      </c>
      <c r="J2836" s="49" t="str">
        <f t="shared" ca="1" si="2834"/>
        <v>What are the Yokohama temperature of tomorrow</v>
      </c>
    </row>
    <row r="2837" spans="1:10" ht="51" x14ac:dyDescent="0.2">
      <c r="A2837" s="41" t="s">
        <v>2237</v>
      </c>
      <c r="B2837" s="40"/>
      <c r="C2837" s="40"/>
      <c r="D2837" s="40"/>
      <c r="E2837" s="40"/>
      <c r="F2837" s="49" t="str">
        <f t="shared" ref="F2837:J2837" ca="1" si="2835">IFERROR(__xludf.DUMMYFUNCTION("if (A2837 &lt;&gt; """", GOOGLETRANSLATE(A2837, ""auto"", ""en""), """")"),"Temperature of the Kawasaki City of Tomorrow")</f>
        <v>Temperature of the Kawasaki City of Tomorrow</v>
      </c>
      <c r="G2837" s="49" t="str">
        <f t="shared" ca="1" si="2835"/>
        <v>Temperature of the Kawasaki City of Tomorrow</v>
      </c>
      <c r="H2837" s="49" t="str">
        <f t="shared" ca="1" si="2835"/>
        <v>Temperature of the Kawasaki City of Tomorrow</v>
      </c>
      <c r="I2837" s="49" t="str">
        <f t="shared" ca="1" si="2835"/>
        <v>Temperature of the Kawasaki City of Tomorrow</v>
      </c>
      <c r="J2837" s="49" t="str">
        <f t="shared" ca="1" si="2835"/>
        <v>Temperature of the Kawasaki City of Tomorrow</v>
      </c>
    </row>
    <row r="2838" spans="1:10" ht="25.5" x14ac:dyDescent="0.2">
      <c r="A2838" s="41" t="s">
        <v>2238</v>
      </c>
      <c r="B2838" s="40"/>
      <c r="C2838" s="40"/>
      <c r="D2838" s="40"/>
      <c r="E2838" s="40"/>
      <c r="F2838" s="49" t="str">
        <f t="shared" ref="F2838:J2838" ca="1" si="2836">IFERROR(__xludf.DUMMYFUNCTION("if (A2838 &lt;&gt; """", GOOGLETRANSLATE(A2838, ""auto"", ""en""), """")"),"Or New York is cold")</f>
        <v>Or New York is cold</v>
      </c>
      <c r="G2838" s="49" t="str">
        <f t="shared" ca="1" si="2836"/>
        <v>Or New York is cold</v>
      </c>
      <c r="H2838" s="49" t="str">
        <f t="shared" ca="1" si="2836"/>
        <v>Or New York is cold</v>
      </c>
      <c r="I2838" s="49" t="str">
        <f t="shared" ca="1" si="2836"/>
        <v>Or New York is cold</v>
      </c>
      <c r="J2838" s="49" t="str">
        <f t="shared" ca="1" si="2836"/>
        <v>Or New York is cold</v>
      </c>
    </row>
    <row r="2839" spans="1:10" ht="12.75" x14ac:dyDescent="0.2">
      <c r="A2839" s="41" t="s">
        <v>2239</v>
      </c>
      <c r="B2839" s="40"/>
      <c r="C2839" s="40"/>
      <c r="D2839" s="40"/>
      <c r="E2839" s="40"/>
      <c r="F2839" s="49" t="str">
        <f t="shared" ref="F2839:J2839" ca="1" si="2837">IFERROR(__xludf.DUMMYFUNCTION("if (A2839 &lt;&gt; """", GOOGLETRANSLATE(A2839, ""auto"", ""en""), """")"),"Paris's warm")</f>
        <v>Paris's warm</v>
      </c>
      <c r="G2839" s="49" t="str">
        <f t="shared" ca="1" si="2837"/>
        <v>Paris's warm</v>
      </c>
      <c r="H2839" s="49" t="str">
        <f t="shared" ca="1" si="2837"/>
        <v>Paris's warm</v>
      </c>
      <c r="I2839" s="49" t="str">
        <f t="shared" ca="1" si="2837"/>
        <v>Paris's warm</v>
      </c>
      <c r="J2839" s="49" t="str">
        <f t="shared" ca="1" si="2837"/>
        <v>Paris's warm</v>
      </c>
    </row>
    <row r="2840" spans="1:10" ht="25.5" x14ac:dyDescent="0.2">
      <c r="A2840" s="41" t="s">
        <v>2240</v>
      </c>
      <c r="B2840" s="40"/>
      <c r="C2840" s="40"/>
      <c r="D2840" s="40"/>
      <c r="E2840" s="40"/>
      <c r="F2840" s="49" t="str">
        <f t="shared" ref="F2840:J2840" ca="1" si="2838">IFERROR(__xludf.DUMMYFUNCTION("if (A2840 &lt;&gt; """", GOOGLETRANSLATE(A2840, ""auto"", ""en""), """")"),"Okinawa is hot")</f>
        <v>Okinawa is hot</v>
      </c>
      <c r="G2840" s="49" t="str">
        <f t="shared" ca="1" si="2838"/>
        <v>Okinawa is hot</v>
      </c>
      <c r="H2840" s="49" t="str">
        <f t="shared" ca="1" si="2838"/>
        <v>Okinawa is hot</v>
      </c>
      <c r="I2840" s="49" t="str">
        <f t="shared" ca="1" si="2838"/>
        <v>Okinawa is hot</v>
      </c>
      <c r="J2840" s="49" t="str">
        <f t="shared" ca="1" si="2838"/>
        <v>Okinawa is hot</v>
      </c>
    </row>
    <row r="2841" spans="1:10" ht="12.75" x14ac:dyDescent="0.2">
      <c r="A2841" s="41" t="s">
        <v>2241</v>
      </c>
      <c r="B2841" s="40"/>
      <c r="C2841" s="40"/>
      <c r="D2841" s="40"/>
      <c r="E2841" s="40"/>
      <c r="F2841" s="49" t="str">
        <f t="shared" ref="F2841:J2841" ca="1" si="2839">IFERROR(__xludf.DUMMYFUNCTION("if (A2841 &lt;&gt; """", GOOGLETRANSLATE(A2841, ""auto"", ""en""), """")"),"Is it hot today")</f>
        <v>Is it hot today</v>
      </c>
      <c r="G2841" s="49" t="str">
        <f t="shared" ca="1" si="2839"/>
        <v>Is it hot today</v>
      </c>
      <c r="H2841" s="49" t="str">
        <f t="shared" ca="1" si="2839"/>
        <v>Is it hot today</v>
      </c>
      <c r="I2841" s="49" t="str">
        <f t="shared" ca="1" si="2839"/>
        <v>Is it hot today</v>
      </c>
      <c r="J2841" s="49" t="str">
        <f t="shared" ca="1" si="2839"/>
        <v>Is it hot today</v>
      </c>
    </row>
    <row r="2842" spans="1:10" ht="51" x14ac:dyDescent="0.2">
      <c r="A2842" s="41" t="s">
        <v>2242</v>
      </c>
      <c r="B2842" s="40"/>
      <c r="C2842" s="40"/>
      <c r="D2842" s="40"/>
      <c r="E2842" s="40"/>
      <c r="F2842" s="49" t="str">
        <f t="shared" ref="F2842:J2842" ca="1" si="2840">IFERROR(__xludf.DUMMYFUNCTION("if (A2842 &lt;&gt; """", GOOGLETRANSLATE(A2842, ""auto"", ""en""), """")"),"Now, know whether outside is cold")</f>
        <v>Now, know whether outside is cold</v>
      </c>
      <c r="G2842" s="49" t="str">
        <f t="shared" ca="1" si="2840"/>
        <v>Now, know whether outside is cold</v>
      </c>
      <c r="H2842" s="49" t="str">
        <f t="shared" ca="1" si="2840"/>
        <v>Now, know whether outside is cold</v>
      </c>
      <c r="I2842" s="49" t="str">
        <f t="shared" ca="1" si="2840"/>
        <v>Now, know whether outside is cold</v>
      </c>
      <c r="J2842" s="49" t="str">
        <f t="shared" ca="1" si="2840"/>
        <v>Now, know whether outside is cold</v>
      </c>
    </row>
    <row r="2843" spans="1:10" ht="12.75" x14ac:dyDescent="0.2">
      <c r="A2843" s="41" t="s">
        <v>2243</v>
      </c>
      <c r="B2843" s="40"/>
      <c r="C2843" s="40"/>
      <c r="D2843" s="40"/>
      <c r="E2843" s="40"/>
      <c r="F2843" s="49" t="str">
        <f t="shared" ref="F2843:J2843" ca="1" si="2841">IFERROR(__xludf.DUMMYFUNCTION("if (A2843 &lt;&gt; """", GOOGLETRANSLATE(A2843, ""auto"", ""en""), """")"),"temperature")</f>
        <v>temperature</v>
      </c>
      <c r="G2843" s="49" t="str">
        <f t="shared" ca="1" si="2841"/>
        <v>temperature</v>
      </c>
      <c r="H2843" s="49" t="str">
        <f t="shared" ca="1" si="2841"/>
        <v>temperature</v>
      </c>
      <c r="I2843" s="49" t="str">
        <f t="shared" ca="1" si="2841"/>
        <v>temperature</v>
      </c>
      <c r="J2843" s="49" t="str">
        <f t="shared" ca="1" si="2841"/>
        <v>temperature</v>
      </c>
    </row>
    <row r="2844" spans="1:10" ht="12.75" x14ac:dyDescent="0.2">
      <c r="A2844" s="40"/>
      <c r="B2844" s="41" t="s">
        <v>422</v>
      </c>
      <c r="C2844" s="41" t="s">
        <v>2135</v>
      </c>
      <c r="D2844" s="41" t="s">
        <v>808</v>
      </c>
      <c r="E2844" s="40"/>
      <c r="F2844" s="49" t="str">
        <f t="shared" ref="F2844:J2844" ca="1" si="2842">IFERROR(__xludf.DUMMYFUNCTION("if (A2844 &lt;&gt; """", GOOGLETRANSLATE(A2844, ""auto"", ""en""), """")"),"")</f>
        <v/>
      </c>
      <c r="G2844" s="49" t="str">
        <f t="shared" ca="1" si="2842"/>
        <v/>
      </c>
      <c r="H2844" s="49" t="str">
        <f t="shared" ca="1" si="2842"/>
        <v/>
      </c>
      <c r="I2844" s="49" t="str">
        <f t="shared" ca="1" si="2842"/>
        <v/>
      </c>
      <c r="J2844" s="49" t="str">
        <f t="shared" ca="1" si="2842"/>
        <v/>
      </c>
    </row>
    <row r="2845" spans="1:10" ht="12.75" x14ac:dyDescent="0.2">
      <c r="A2845" s="40"/>
      <c r="B2845" s="41" t="s">
        <v>422</v>
      </c>
      <c r="C2845" s="41" t="s">
        <v>836</v>
      </c>
      <c r="D2845" s="41" t="s">
        <v>837</v>
      </c>
      <c r="E2845" s="40"/>
      <c r="F2845" s="49" t="str">
        <f t="shared" ref="F2845:J2845" ca="1" si="2843">IFERROR(__xludf.DUMMYFUNCTION("if (A2845 &lt;&gt; """", GOOGLETRANSLATE(A2845, ""auto"", ""en""), """")"),"")</f>
        <v/>
      </c>
      <c r="G2845" s="49" t="str">
        <f t="shared" ca="1" si="2843"/>
        <v/>
      </c>
      <c r="H2845" s="49" t="str">
        <f t="shared" ca="1" si="2843"/>
        <v/>
      </c>
      <c r="I2845" s="49" t="str">
        <f t="shared" ca="1" si="2843"/>
        <v/>
      </c>
      <c r="J2845" s="49" t="str">
        <f t="shared" ca="1" si="2843"/>
        <v/>
      </c>
    </row>
    <row r="2846" spans="1:10" ht="12.75" x14ac:dyDescent="0.2">
      <c r="A2846" s="40"/>
      <c r="B2846" s="41" t="s">
        <v>422</v>
      </c>
      <c r="C2846" s="41" t="s">
        <v>2136</v>
      </c>
      <c r="D2846" s="41" t="s">
        <v>2137</v>
      </c>
      <c r="E2846" s="40"/>
      <c r="F2846" s="49" t="str">
        <f t="shared" ref="F2846:J2846" ca="1" si="2844">IFERROR(__xludf.DUMMYFUNCTION("if (A2846 &lt;&gt; """", GOOGLETRANSLATE(A2846, ""auto"", ""en""), """")"),"")</f>
        <v/>
      </c>
      <c r="G2846" s="49" t="str">
        <f t="shared" ca="1" si="2844"/>
        <v/>
      </c>
      <c r="H2846" s="49" t="str">
        <f t="shared" ca="1" si="2844"/>
        <v/>
      </c>
      <c r="I2846" s="49" t="str">
        <f t="shared" ca="1" si="2844"/>
        <v/>
      </c>
      <c r="J2846" s="49" t="str">
        <f t="shared" ca="1" si="2844"/>
        <v/>
      </c>
    </row>
    <row r="2847" spans="1:10" ht="12.75" x14ac:dyDescent="0.2">
      <c r="A2847" s="40"/>
      <c r="B2847" s="41" t="s">
        <v>422</v>
      </c>
      <c r="C2847" s="41" t="s">
        <v>2217</v>
      </c>
      <c r="D2847" s="41" t="s">
        <v>2218</v>
      </c>
      <c r="E2847" s="40"/>
      <c r="F2847" s="49" t="str">
        <f t="shared" ref="F2847:J2847" ca="1" si="2845">IFERROR(__xludf.DUMMYFUNCTION("if (A2847 &lt;&gt; """", GOOGLETRANSLATE(A2847, ""auto"", ""en""), """")"),"")</f>
        <v/>
      </c>
      <c r="G2847" s="49" t="str">
        <f t="shared" ca="1" si="2845"/>
        <v/>
      </c>
      <c r="H2847" s="49" t="str">
        <f t="shared" ca="1" si="2845"/>
        <v/>
      </c>
      <c r="I2847" s="49" t="str">
        <f t="shared" ca="1" si="2845"/>
        <v/>
      </c>
      <c r="J2847" s="49" t="str">
        <f t="shared" ca="1" si="2845"/>
        <v/>
      </c>
    </row>
    <row r="2848" spans="1:10" ht="12.75" x14ac:dyDescent="0.2">
      <c r="A2848" s="40"/>
      <c r="B2848" s="40"/>
      <c r="C2848" s="40"/>
      <c r="D2848" s="40"/>
      <c r="E2848" s="40"/>
      <c r="F2848" s="49" t="str">
        <f t="shared" ref="F2848:J2848" ca="1" si="2846">IFERROR(__xludf.DUMMYFUNCTION("if (A2848 &lt;&gt; """", GOOGLETRANSLATE(A2848, ""auto"", ""en""), """")"),"")</f>
        <v/>
      </c>
      <c r="G2848" s="49" t="str">
        <f t="shared" ca="1" si="2846"/>
        <v/>
      </c>
      <c r="H2848" s="49" t="str">
        <f t="shared" ca="1" si="2846"/>
        <v/>
      </c>
      <c r="I2848" s="49" t="str">
        <f t="shared" ca="1" si="2846"/>
        <v/>
      </c>
      <c r="J2848" s="49" t="str">
        <f t="shared" ca="1" si="2846"/>
        <v/>
      </c>
    </row>
    <row r="2849" spans="1:10" ht="12.75" x14ac:dyDescent="0.2">
      <c r="A2849" s="41" t="s">
        <v>45</v>
      </c>
      <c r="B2849" s="40"/>
      <c r="C2849" s="40"/>
      <c r="D2849" s="40"/>
      <c r="E2849" s="40"/>
      <c r="F2849" s="49" t="str">
        <f t="shared" ref="F2849:J2849" ca="1" si="2847">IFERROR(__xludf.DUMMYFUNCTION("if (A2849 &lt;&gt; """", GOOGLETRANSLATE(A2849, ""auto"", ""en""), """")"),"Z-Age")</f>
        <v>Z-Age</v>
      </c>
      <c r="G2849" s="49" t="str">
        <f t="shared" ca="1" si="2847"/>
        <v>Z-Age</v>
      </c>
      <c r="H2849" s="49" t="str">
        <f t="shared" ca="1" si="2847"/>
        <v>Z-Age</v>
      </c>
      <c r="I2849" s="49" t="str">
        <f t="shared" ca="1" si="2847"/>
        <v>Z-Age</v>
      </c>
      <c r="J2849" s="49" t="str">
        <f t="shared" ca="1" si="2847"/>
        <v>Z-Age</v>
      </c>
    </row>
    <row r="2850" spans="1:10" ht="12.75" x14ac:dyDescent="0.2">
      <c r="A2850" s="40"/>
      <c r="B2850" s="41" t="s">
        <v>398</v>
      </c>
      <c r="C2850" s="40"/>
      <c r="D2850" s="40"/>
      <c r="E2850" s="40"/>
      <c r="F2850" s="49" t="str">
        <f t="shared" ref="F2850:J2850" ca="1" si="2848">IFERROR(__xludf.DUMMYFUNCTION("if (A2850 &lt;&gt; """", GOOGLETRANSLATE(A2850, ""auto"", ""en""), """")"),"")</f>
        <v/>
      </c>
      <c r="G2850" s="49" t="str">
        <f t="shared" ca="1" si="2848"/>
        <v/>
      </c>
      <c r="H2850" s="49" t="str">
        <f t="shared" ca="1" si="2848"/>
        <v/>
      </c>
      <c r="I2850" s="49" t="str">
        <f t="shared" ca="1" si="2848"/>
        <v/>
      </c>
      <c r="J2850" s="49" t="str">
        <f t="shared" ca="1" si="2848"/>
        <v/>
      </c>
    </row>
    <row r="2851" spans="1:10" ht="12.75" x14ac:dyDescent="0.2">
      <c r="A2851" s="40"/>
      <c r="B2851" s="41" t="s">
        <v>399</v>
      </c>
      <c r="C2851" s="41" t="s">
        <v>926</v>
      </c>
      <c r="D2851" s="40"/>
      <c r="E2851" s="40"/>
      <c r="F2851" s="49" t="str">
        <f t="shared" ref="F2851:J2851" ca="1" si="2849">IFERROR(__xludf.DUMMYFUNCTION("if (A2851 &lt;&gt; """", GOOGLETRANSLATE(A2851, ""auto"", ""en""), """")"),"")</f>
        <v/>
      </c>
      <c r="G2851" s="49" t="str">
        <f t="shared" ca="1" si="2849"/>
        <v/>
      </c>
      <c r="H2851" s="49" t="str">
        <f t="shared" ca="1" si="2849"/>
        <v/>
      </c>
      <c r="I2851" s="49" t="str">
        <f t="shared" ca="1" si="2849"/>
        <v/>
      </c>
      <c r="J2851" s="49" t="str">
        <f t="shared" ca="1" si="2849"/>
        <v/>
      </c>
    </row>
    <row r="2852" spans="1:10" ht="12.75" x14ac:dyDescent="0.2">
      <c r="A2852" s="40"/>
      <c r="B2852" s="41" t="s">
        <v>400</v>
      </c>
      <c r="C2852" s="40"/>
      <c r="D2852" s="40"/>
      <c r="E2852" s="40"/>
      <c r="F2852" s="49" t="str">
        <f t="shared" ref="F2852:J2852" ca="1" si="2850">IFERROR(__xludf.DUMMYFUNCTION("if (A2852 &lt;&gt; """", GOOGLETRANSLATE(A2852, ""auto"", ""en""), """")"),"")</f>
        <v/>
      </c>
      <c r="G2852" s="49" t="str">
        <f t="shared" ca="1" si="2850"/>
        <v/>
      </c>
      <c r="H2852" s="49" t="str">
        <f t="shared" ca="1" si="2850"/>
        <v/>
      </c>
      <c r="I2852" s="49" t="str">
        <f t="shared" ca="1" si="2850"/>
        <v/>
      </c>
      <c r="J2852" s="49" t="str">
        <f t="shared" ca="1" si="2850"/>
        <v/>
      </c>
    </row>
    <row r="2853" spans="1:10" ht="12.75" x14ac:dyDescent="0.2">
      <c r="A2853" s="40"/>
      <c r="B2853" s="41" t="s">
        <v>401</v>
      </c>
      <c r="C2853" s="40"/>
      <c r="D2853" s="40"/>
      <c r="E2853" s="40"/>
      <c r="F2853" s="49" t="str">
        <f t="shared" ref="F2853:J2853" ca="1" si="2851">IFERROR(__xludf.DUMMYFUNCTION("if (A2853 &lt;&gt; """", GOOGLETRANSLATE(A2853, ""auto"", ""en""), """")"),"")</f>
        <v/>
      </c>
      <c r="G2853" s="49" t="str">
        <f t="shared" ca="1" si="2851"/>
        <v/>
      </c>
      <c r="H2853" s="49" t="str">
        <f t="shared" ca="1" si="2851"/>
        <v/>
      </c>
      <c r="I2853" s="49" t="str">
        <f t="shared" ca="1" si="2851"/>
        <v/>
      </c>
      <c r="J2853" s="49" t="str">
        <f t="shared" ca="1" si="2851"/>
        <v/>
      </c>
    </row>
    <row r="2854" spans="1:10" ht="25.5" x14ac:dyDescent="0.2">
      <c r="A2854" s="41" t="s">
        <v>66</v>
      </c>
      <c r="B2854" s="41" t="s">
        <v>402</v>
      </c>
      <c r="C2854" s="41" t="s">
        <v>809</v>
      </c>
      <c r="D2854" s="40"/>
      <c r="E2854" s="40"/>
      <c r="F2854" s="49" t="str">
        <f t="shared" ref="F2854:J2854" ca="1" si="2852">IFERROR(__xludf.DUMMYFUNCTION("if (A2854 &lt;&gt; """", GOOGLETRANSLATE(A2854, ""auto"", ""en""), """")"),"Your number")</f>
        <v>Your number</v>
      </c>
      <c r="G2854" s="49" t="str">
        <f t="shared" ca="1" si="2852"/>
        <v>Your number</v>
      </c>
      <c r="H2854" s="49" t="str">
        <f t="shared" ca="1" si="2852"/>
        <v>Your number</v>
      </c>
      <c r="I2854" s="49" t="str">
        <f t="shared" ca="1" si="2852"/>
        <v>Your number</v>
      </c>
      <c r="J2854" s="49" t="str">
        <f t="shared" ca="1" si="2852"/>
        <v>Your number</v>
      </c>
    </row>
    <row r="2855" spans="1:10" ht="12.75" x14ac:dyDescent="0.2">
      <c r="A2855" s="41" t="s">
        <v>65</v>
      </c>
      <c r="B2855" s="40"/>
      <c r="C2855" s="40"/>
      <c r="D2855" s="40"/>
      <c r="E2855" s="40"/>
      <c r="F2855" s="49" t="str">
        <f t="shared" ref="F2855:J2855" ca="1" si="2853">IFERROR(__xludf.DUMMYFUNCTION("if (A2855 &lt;&gt; """", GOOGLETRANSLATE(A2855, ""auto"", ""en""), """")"),"You how old")</f>
        <v>You how old</v>
      </c>
      <c r="G2855" s="49" t="str">
        <f t="shared" ca="1" si="2853"/>
        <v>You how old</v>
      </c>
      <c r="H2855" s="49" t="str">
        <f t="shared" ca="1" si="2853"/>
        <v>You how old</v>
      </c>
      <c r="I2855" s="49" t="str">
        <f t="shared" ca="1" si="2853"/>
        <v>You how old</v>
      </c>
      <c r="J2855" s="49" t="str">
        <f t="shared" ca="1" si="2853"/>
        <v>You how old</v>
      </c>
    </row>
    <row r="2856" spans="1:10" ht="25.5" x14ac:dyDescent="0.2">
      <c r="A2856" s="41" t="s">
        <v>64</v>
      </c>
      <c r="B2856" s="40"/>
      <c r="C2856" s="40"/>
      <c r="D2856" s="40"/>
      <c r="E2856" s="40"/>
      <c r="F2856" s="49" t="str">
        <f t="shared" ref="F2856:J2856" ca="1" si="2854">IFERROR(__xludf.DUMMYFUNCTION("if (A2856 &lt;&gt; """", GOOGLETRANSLATE(A2856, ""auto"", ""en""), """")"),"How old are you")</f>
        <v>How old are you</v>
      </c>
      <c r="G2856" s="49" t="str">
        <f t="shared" ca="1" si="2854"/>
        <v>How old are you</v>
      </c>
      <c r="H2856" s="49" t="str">
        <f t="shared" ca="1" si="2854"/>
        <v>How old are you</v>
      </c>
      <c r="I2856" s="49" t="str">
        <f t="shared" ca="1" si="2854"/>
        <v>How old are you</v>
      </c>
      <c r="J2856" s="49" t="str">
        <f t="shared" ca="1" si="2854"/>
        <v>How old are you</v>
      </c>
    </row>
    <row r="2857" spans="1:10" ht="12.75" x14ac:dyDescent="0.2">
      <c r="A2857" s="41" t="s">
        <v>63</v>
      </c>
      <c r="B2857" s="40"/>
      <c r="C2857" s="40"/>
      <c r="D2857" s="40"/>
      <c r="E2857" s="40"/>
      <c r="F2857" s="49" t="str">
        <f t="shared" ref="F2857:J2857" ca="1" si="2855">IFERROR(__xludf.DUMMYFUNCTION("if (A2857 &lt;&gt; """", GOOGLETRANSLATE(A2857, ""auto"", ""en""), """")"),"How old")</f>
        <v>How old</v>
      </c>
      <c r="G2857" s="49" t="str">
        <f t="shared" ca="1" si="2855"/>
        <v>How old</v>
      </c>
      <c r="H2857" s="49" t="str">
        <f t="shared" ca="1" si="2855"/>
        <v>How old</v>
      </c>
      <c r="I2857" s="49" t="str">
        <f t="shared" ca="1" si="2855"/>
        <v>How old</v>
      </c>
      <c r="J2857" s="49" t="str">
        <f t="shared" ca="1" si="2855"/>
        <v>How old</v>
      </c>
    </row>
    <row r="2858" spans="1:10" ht="12.75" x14ac:dyDescent="0.2">
      <c r="A2858" s="41" t="s">
        <v>61</v>
      </c>
      <c r="B2858" s="40"/>
      <c r="C2858" s="40"/>
      <c r="D2858" s="40"/>
      <c r="E2858" s="40"/>
      <c r="F2858" s="49" t="str">
        <f t="shared" ref="F2858:J2858" ca="1" si="2856">IFERROR(__xludf.DUMMYFUNCTION("if (A2858 &lt;&gt; """", GOOGLETRANSLATE(A2858, ""auto"", ""en""), """")"),"Many are you")</f>
        <v>Many are you</v>
      </c>
      <c r="G2858" s="49" t="str">
        <f t="shared" ca="1" si="2856"/>
        <v>Many are you</v>
      </c>
      <c r="H2858" s="49" t="str">
        <f t="shared" ca="1" si="2856"/>
        <v>Many are you</v>
      </c>
      <c r="I2858" s="49" t="str">
        <f t="shared" ca="1" si="2856"/>
        <v>Many are you</v>
      </c>
      <c r="J2858" s="49" t="str">
        <f t="shared" ca="1" si="2856"/>
        <v>Many are you</v>
      </c>
    </row>
    <row r="2859" spans="1:10" ht="12.75" x14ac:dyDescent="0.2">
      <c r="A2859" s="41" t="s">
        <v>57</v>
      </c>
      <c r="B2859" s="40"/>
      <c r="C2859" s="40"/>
      <c r="D2859" s="40"/>
      <c r="E2859" s="40"/>
      <c r="F2859" s="49" t="str">
        <f t="shared" ref="F2859:J2859" ca="1" si="2857">IFERROR(__xludf.DUMMYFUNCTION("if (A2859 &lt;&gt; """", GOOGLETRANSLATE(A2859, ""auto"", ""en""), """")"),"You some")</f>
        <v>You some</v>
      </c>
      <c r="G2859" s="49" t="str">
        <f t="shared" ca="1" si="2857"/>
        <v>You some</v>
      </c>
      <c r="H2859" s="49" t="str">
        <f t="shared" ca="1" si="2857"/>
        <v>You some</v>
      </c>
      <c r="I2859" s="49" t="str">
        <f t="shared" ca="1" si="2857"/>
        <v>You some</v>
      </c>
      <c r="J2859" s="49" t="str">
        <f t="shared" ca="1" si="2857"/>
        <v>You some</v>
      </c>
    </row>
    <row r="2860" spans="1:10" ht="12.75" x14ac:dyDescent="0.2">
      <c r="A2860" s="41" t="s">
        <v>54</v>
      </c>
      <c r="B2860" s="40"/>
      <c r="C2860" s="40"/>
      <c r="D2860" s="40"/>
      <c r="E2860" s="40"/>
      <c r="F2860" s="49" t="str">
        <f t="shared" ref="F2860:J2860" ca="1" si="2858">IFERROR(__xludf.DUMMYFUNCTION("if (A2860 &lt;&gt; """", GOOGLETRANSLATE(A2860, ""auto"", ""en""), """")"),"Age")</f>
        <v>Age</v>
      </c>
      <c r="G2860" s="49" t="str">
        <f t="shared" ca="1" si="2858"/>
        <v>Age</v>
      </c>
      <c r="H2860" s="49" t="str">
        <f t="shared" ca="1" si="2858"/>
        <v>Age</v>
      </c>
      <c r="I2860" s="49" t="str">
        <f t="shared" ca="1" si="2858"/>
        <v>Age</v>
      </c>
      <c r="J2860" s="49" t="str">
        <f t="shared" ca="1" si="2858"/>
        <v>Age</v>
      </c>
    </row>
    <row r="2861" spans="1:10" ht="12.75" x14ac:dyDescent="0.2">
      <c r="A2861" s="41" t="s">
        <v>52</v>
      </c>
      <c r="B2861" s="40"/>
      <c r="C2861" s="40"/>
      <c r="D2861" s="40"/>
      <c r="E2861" s="40"/>
      <c r="F2861" s="49" t="str">
        <f t="shared" ref="F2861:J2861" ca="1" si="2859">IFERROR(__xludf.DUMMYFUNCTION("if (A2861 &lt;&gt; """", GOOGLETRANSLATE(A2861, ""auto"", ""en""), """")"),"Year-old")</f>
        <v>Year-old</v>
      </c>
      <c r="G2861" s="49" t="str">
        <f t="shared" ca="1" si="2859"/>
        <v>Year-old</v>
      </c>
      <c r="H2861" s="49" t="str">
        <f t="shared" ca="1" si="2859"/>
        <v>Year-old</v>
      </c>
      <c r="I2861" s="49" t="str">
        <f t="shared" ca="1" si="2859"/>
        <v>Year-old</v>
      </c>
      <c r="J2861" s="49" t="str">
        <f t="shared" ca="1" si="2859"/>
        <v>Year-old</v>
      </c>
    </row>
    <row r="2862" spans="1:10" ht="12.75" x14ac:dyDescent="0.2">
      <c r="A2862" s="41" t="s">
        <v>50</v>
      </c>
      <c r="B2862" s="40"/>
      <c r="C2862" s="40"/>
      <c r="D2862" s="40"/>
      <c r="E2862" s="40"/>
      <c r="F2862" s="49" t="str">
        <f t="shared" ref="F2862:J2862" ca="1" si="2860">IFERROR(__xludf.DUMMYFUNCTION("if (A2862 &lt;&gt; """", GOOGLETRANSLATE(A2862, ""auto"", ""en""), """")"),"Year")</f>
        <v>Year</v>
      </c>
      <c r="G2862" s="49" t="str">
        <f t="shared" ca="1" si="2860"/>
        <v>Year</v>
      </c>
      <c r="H2862" s="49" t="str">
        <f t="shared" ca="1" si="2860"/>
        <v>Year</v>
      </c>
      <c r="I2862" s="49" t="str">
        <f t="shared" ca="1" si="2860"/>
        <v>Year</v>
      </c>
      <c r="J2862" s="49" t="str">
        <f t="shared" ca="1" si="2860"/>
        <v>Year</v>
      </c>
    </row>
    <row r="2863" spans="1:10" ht="25.5" x14ac:dyDescent="0.2">
      <c r="A2863" s="41" t="s">
        <v>49</v>
      </c>
      <c r="B2863" s="40"/>
      <c r="C2863" s="40"/>
      <c r="D2863" s="40"/>
      <c r="E2863" s="40"/>
      <c r="F2863" s="49" t="str">
        <f t="shared" ref="F2863:J2863" ca="1" si="2861">IFERROR(__xludf.DUMMYFUNCTION("if (A2863 &lt;&gt; """", GOOGLETRANSLATE(A2863, ""auto"", ""en""), """")"),"How old are you")</f>
        <v>How old are you</v>
      </c>
      <c r="G2863" s="49" t="str">
        <f t="shared" ca="1" si="2861"/>
        <v>How old are you</v>
      </c>
      <c r="H2863" s="49" t="str">
        <f t="shared" ca="1" si="2861"/>
        <v>How old are you</v>
      </c>
      <c r="I2863" s="49" t="str">
        <f t="shared" ca="1" si="2861"/>
        <v>How old are you</v>
      </c>
      <c r="J2863" s="49" t="str">
        <f t="shared" ca="1" si="2861"/>
        <v>How old are you</v>
      </c>
    </row>
    <row r="2864" spans="1:10" ht="12.75" x14ac:dyDescent="0.2">
      <c r="A2864" s="41" t="s">
        <v>46</v>
      </c>
      <c r="B2864" s="40"/>
      <c r="C2864" s="40"/>
      <c r="D2864" s="40"/>
      <c r="E2864" s="40"/>
      <c r="F2864" s="49" t="str">
        <f t="shared" ref="F2864:J2864" ca="1" si="2862">IFERROR(__xludf.DUMMYFUNCTION("if (A2864 &lt;&gt; """", GOOGLETRANSLATE(A2864, ""auto"", ""en""), """")"),"Some")</f>
        <v>Some</v>
      </c>
      <c r="G2864" s="49" t="str">
        <f t="shared" ca="1" si="2862"/>
        <v>Some</v>
      </c>
      <c r="H2864" s="49" t="str">
        <f t="shared" ca="1" si="2862"/>
        <v>Some</v>
      </c>
      <c r="I2864" s="49" t="str">
        <f t="shared" ca="1" si="2862"/>
        <v>Some</v>
      </c>
      <c r="J2864" s="49" t="str">
        <f t="shared" ca="1" si="2862"/>
        <v>Some</v>
      </c>
    </row>
    <row r="2865" spans="1:10" ht="12.75" x14ac:dyDescent="0.2">
      <c r="A2865" s="40"/>
      <c r="B2865" s="40"/>
      <c r="C2865" s="40"/>
      <c r="D2865" s="40"/>
      <c r="E2865" s="40"/>
      <c r="F2865" s="49" t="str">
        <f t="shared" ref="F2865:J2865" ca="1" si="2863">IFERROR(__xludf.DUMMYFUNCTION("if (A2865 &lt;&gt; """", GOOGLETRANSLATE(A2865, ""auto"", ""en""), """")"),"")</f>
        <v/>
      </c>
      <c r="G2865" s="49" t="str">
        <f t="shared" ca="1" si="2863"/>
        <v/>
      </c>
      <c r="H2865" s="49" t="str">
        <f t="shared" ca="1" si="2863"/>
        <v/>
      </c>
      <c r="I2865" s="49" t="str">
        <f t="shared" ca="1" si="2863"/>
        <v/>
      </c>
      <c r="J2865" s="49" t="str">
        <f t="shared" ca="1" si="2863"/>
        <v/>
      </c>
    </row>
    <row r="2866" spans="1:10" ht="25.5" x14ac:dyDescent="0.2">
      <c r="A2866" s="41" t="s">
        <v>945</v>
      </c>
      <c r="B2866" s="40"/>
      <c r="C2866" s="40"/>
      <c r="D2866" s="40"/>
      <c r="E2866" s="40"/>
      <c r="F2866" s="49" t="str">
        <f t="shared" ref="F2866:J2866" ca="1" si="2864">IFERROR(__xludf.DUMMYFUNCTION("if (A2866 &lt;&gt; """", GOOGLETRANSLATE(A2866, ""auto"", ""en""), """")"),"Z-AreYouReal - no")</f>
        <v>Z-AreYouReal - no</v>
      </c>
      <c r="G2866" s="49" t="str">
        <f t="shared" ca="1" si="2864"/>
        <v>Z-AreYouReal - no</v>
      </c>
      <c r="H2866" s="49" t="str">
        <f t="shared" ca="1" si="2864"/>
        <v>Z-AreYouReal - no</v>
      </c>
      <c r="I2866" s="49" t="str">
        <f t="shared" ca="1" si="2864"/>
        <v>Z-AreYouReal - no</v>
      </c>
      <c r="J2866" s="49" t="str">
        <f t="shared" ca="1" si="2864"/>
        <v>Z-AreYouReal - no</v>
      </c>
    </row>
    <row r="2867" spans="1:10" ht="12.75" x14ac:dyDescent="0.2">
      <c r="A2867" s="40"/>
      <c r="B2867" s="41" t="s">
        <v>398</v>
      </c>
      <c r="C2867" s="41" t="s">
        <v>949</v>
      </c>
      <c r="D2867" s="40"/>
      <c r="E2867" s="40"/>
      <c r="F2867" s="49" t="str">
        <f t="shared" ref="F2867:J2867" ca="1" si="2865">IFERROR(__xludf.DUMMYFUNCTION("if (A2867 &lt;&gt; """", GOOGLETRANSLATE(A2867, ""auto"", ""en""), """")"),"")</f>
        <v/>
      </c>
      <c r="G2867" s="49" t="str">
        <f t="shared" ca="1" si="2865"/>
        <v/>
      </c>
      <c r="H2867" s="49" t="str">
        <f t="shared" ca="1" si="2865"/>
        <v/>
      </c>
      <c r="I2867" s="49" t="str">
        <f t="shared" ca="1" si="2865"/>
        <v/>
      </c>
      <c r="J2867" s="49" t="str">
        <f t="shared" ca="1" si="2865"/>
        <v/>
      </c>
    </row>
    <row r="2868" spans="1:10" ht="12.75" x14ac:dyDescent="0.2">
      <c r="A2868" s="40"/>
      <c r="B2868" s="41" t="s">
        <v>399</v>
      </c>
      <c r="C2868" s="40"/>
      <c r="D2868" s="40"/>
      <c r="E2868" s="40"/>
      <c r="F2868" s="49" t="str">
        <f t="shared" ref="F2868:J2868" ca="1" si="2866">IFERROR(__xludf.DUMMYFUNCTION("if (A2868 &lt;&gt; """", GOOGLETRANSLATE(A2868, ""auto"", ""en""), """")"),"")</f>
        <v/>
      </c>
      <c r="G2868" s="49" t="str">
        <f t="shared" ca="1" si="2866"/>
        <v/>
      </c>
      <c r="H2868" s="49" t="str">
        <f t="shared" ca="1" si="2866"/>
        <v/>
      </c>
      <c r="I2868" s="49" t="str">
        <f t="shared" ca="1" si="2866"/>
        <v/>
      </c>
      <c r="J2868" s="49" t="str">
        <f t="shared" ca="1" si="2866"/>
        <v/>
      </c>
    </row>
    <row r="2869" spans="1:10" ht="12.75" x14ac:dyDescent="0.2">
      <c r="A2869" s="40"/>
      <c r="B2869" s="41" t="s">
        <v>400</v>
      </c>
      <c r="C2869" s="41" t="s">
        <v>952</v>
      </c>
      <c r="D2869" s="40"/>
      <c r="E2869" s="40"/>
      <c r="F2869" s="49" t="str">
        <f t="shared" ref="F2869:J2869" ca="1" si="2867">IFERROR(__xludf.DUMMYFUNCTION("if (A2869 &lt;&gt; """", GOOGLETRANSLATE(A2869, ""auto"", ""en""), """")"),"")</f>
        <v/>
      </c>
      <c r="G2869" s="49" t="str">
        <f t="shared" ca="1" si="2867"/>
        <v/>
      </c>
      <c r="H2869" s="49" t="str">
        <f t="shared" ca="1" si="2867"/>
        <v/>
      </c>
      <c r="I2869" s="49" t="str">
        <f t="shared" ca="1" si="2867"/>
        <v/>
      </c>
      <c r="J2869" s="49" t="str">
        <f t="shared" ca="1" si="2867"/>
        <v/>
      </c>
    </row>
    <row r="2870" spans="1:10" ht="12.75" x14ac:dyDescent="0.2">
      <c r="A2870" s="40"/>
      <c r="B2870" s="41" t="s">
        <v>401</v>
      </c>
      <c r="C2870" s="40"/>
      <c r="D2870" s="40"/>
      <c r="E2870" s="40"/>
      <c r="F2870" s="49" t="str">
        <f t="shared" ref="F2870:J2870" ca="1" si="2868">IFERROR(__xludf.DUMMYFUNCTION("if (A2870 &lt;&gt; """", GOOGLETRANSLATE(A2870, ""auto"", ""en""), """")"),"")</f>
        <v/>
      </c>
      <c r="G2870" s="49" t="str">
        <f t="shared" ca="1" si="2868"/>
        <v/>
      </c>
      <c r="H2870" s="49" t="str">
        <f t="shared" ca="1" si="2868"/>
        <v/>
      </c>
      <c r="I2870" s="49" t="str">
        <f t="shared" ca="1" si="2868"/>
        <v/>
      </c>
      <c r="J2870" s="49" t="str">
        <f t="shared" ca="1" si="2868"/>
        <v/>
      </c>
    </row>
    <row r="2871" spans="1:10" ht="12.75" x14ac:dyDescent="0.2">
      <c r="A2871" s="41" t="s">
        <v>956</v>
      </c>
      <c r="B2871" s="41" t="s">
        <v>402</v>
      </c>
      <c r="C2871" s="41" t="s">
        <v>958</v>
      </c>
      <c r="D2871" s="40"/>
      <c r="E2871" s="40"/>
      <c r="F2871" s="49" t="str">
        <f t="shared" ref="F2871:J2871" ca="1" si="2869">IFERROR(__xludf.DUMMYFUNCTION("if (A2871 &lt;&gt; """", GOOGLETRANSLATE(A2871, ""auto"", ""en""), """")"),"can not see")</f>
        <v>can not see</v>
      </c>
      <c r="G2871" s="49" t="str">
        <f t="shared" ca="1" si="2869"/>
        <v>can not see</v>
      </c>
      <c r="H2871" s="49" t="str">
        <f t="shared" ca="1" si="2869"/>
        <v>can not see</v>
      </c>
      <c r="I2871" s="49" t="str">
        <f t="shared" ca="1" si="2869"/>
        <v>can not see</v>
      </c>
      <c r="J2871" s="49" t="str">
        <f t="shared" ca="1" si="2869"/>
        <v>can not see</v>
      </c>
    </row>
    <row r="2872" spans="1:10" ht="25.5" x14ac:dyDescent="0.2">
      <c r="A2872" s="41" t="s">
        <v>960</v>
      </c>
      <c r="B2872" s="40"/>
      <c r="C2872" s="40"/>
      <c r="D2872" s="40"/>
      <c r="E2872" s="40"/>
      <c r="F2872" s="49" t="str">
        <f t="shared" ref="F2872:J2872" ca="1" si="2870">IFERROR(__xludf.DUMMYFUNCTION("if (A2872 &lt;&gt; """", GOOGLETRANSLATE(A2872, ""auto"", ""en""), """")"),"I do not do that")</f>
        <v>I do not do that</v>
      </c>
      <c r="G2872" s="49" t="str">
        <f t="shared" ca="1" si="2870"/>
        <v>I do not do that</v>
      </c>
      <c r="H2872" s="49" t="str">
        <f t="shared" ca="1" si="2870"/>
        <v>I do not do that</v>
      </c>
      <c r="I2872" s="49" t="str">
        <f t="shared" ca="1" si="2870"/>
        <v>I do not do that</v>
      </c>
      <c r="J2872" s="49" t="str">
        <f t="shared" ca="1" si="2870"/>
        <v>I do not do that</v>
      </c>
    </row>
    <row r="2873" spans="1:10" ht="12.75" x14ac:dyDescent="0.2">
      <c r="A2873" s="41" t="s">
        <v>963</v>
      </c>
      <c r="B2873" s="40"/>
      <c r="C2873" s="40"/>
      <c r="D2873" s="40"/>
      <c r="E2873" s="40"/>
      <c r="F2873" s="49" t="str">
        <f t="shared" ref="F2873:J2873" ca="1" si="2871">IFERROR(__xludf.DUMMYFUNCTION("if (A2873 &lt;&gt; """", GOOGLETRANSLATE(A2873, ""auto"", ""en""), """")"),"Disagreeable")</f>
        <v>Disagreeable</v>
      </c>
      <c r="G2873" s="49" t="str">
        <f t="shared" ca="1" si="2871"/>
        <v>Disagreeable</v>
      </c>
      <c r="H2873" s="49" t="str">
        <f t="shared" ca="1" si="2871"/>
        <v>Disagreeable</v>
      </c>
      <c r="I2873" s="49" t="str">
        <f t="shared" ca="1" si="2871"/>
        <v>Disagreeable</v>
      </c>
      <c r="J2873" s="49" t="str">
        <f t="shared" ca="1" si="2871"/>
        <v>Disagreeable</v>
      </c>
    </row>
    <row r="2874" spans="1:10" ht="12.75" x14ac:dyDescent="0.2">
      <c r="A2874" s="41" t="s">
        <v>966</v>
      </c>
      <c r="B2874" s="40"/>
      <c r="C2874" s="40"/>
      <c r="D2874" s="40"/>
      <c r="E2874" s="40"/>
      <c r="F2874" s="49" t="str">
        <f t="shared" ref="F2874:J2874" ca="1" si="2872">IFERROR(__xludf.DUMMYFUNCTION("if (A2874 &lt;&gt; """", GOOGLETRANSLATE(A2874, ""auto"", ""en""), """")"),"No")</f>
        <v>No</v>
      </c>
      <c r="G2874" s="49" t="str">
        <f t="shared" ca="1" si="2872"/>
        <v>No</v>
      </c>
      <c r="H2874" s="49" t="str">
        <f t="shared" ca="1" si="2872"/>
        <v>No</v>
      </c>
      <c r="I2874" s="49" t="str">
        <f t="shared" ca="1" si="2872"/>
        <v>No</v>
      </c>
      <c r="J2874" s="49" t="str">
        <f t="shared" ca="1" si="2872"/>
        <v>No</v>
      </c>
    </row>
    <row r="2875" spans="1:10" ht="12.75" x14ac:dyDescent="0.2">
      <c r="A2875" s="41" t="s">
        <v>968</v>
      </c>
      <c r="B2875" s="40"/>
      <c r="C2875" s="40"/>
      <c r="D2875" s="40"/>
      <c r="E2875" s="40"/>
      <c r="F2875" s="49" t="str">
        <f t="shared" ref="F2875:J2875" ca="1" si="2873">IFERROR(__xludf.DUMMYFUNCTION("if (A2875 &lt;&gt; """", GOOGLETRANSLATE(A2875, ""auto"", ""en""), """")"),"Uun")</f>
        <v>Uun</v>
      </c>
      <c r="G2875" s="49" t="str">
        <f t="shared" ca="1" si="2873"/>
        <v>Uun</v>
      </c>
      <c r="H2875" s="49" t="str">
        <f t="shared" ca="1" si="2873"/>
        <v>Uun</v>
      </c>
      <c r="I2875" s="49" t="str">
        <f t="shared" ca="1" si="2873"/>
        <v>Uun</v>
      </c>
      <c r="J2875" s="49" t="str">
        <f t="shared" ca="1" si="2873"/>
        <v>Uun</v>
      </c>
    </row>
    <row r="2876" spans="1:10" ht="12.75" x14ac:dyDescent="0.2">
      <c r="A2876" s="41" t="s">
        <v>970</v>
      </c>
      <c r="B2876" s="40"/>
      <c r="C2876" s="40"/>
      <c r="D2876" s="40"/>
      <c r="E2876" s="40"/>
      <c r="F2876" s="49" t="str">
        <f t="shared" ref="F2876:J2876" ca="1" si="2874">IFERROR(__xludf.DUMMYFUNCTION("if (A2876 &lt;&gt; """", GOOGLETRANSLATE(A2876, ""auto"", ""en""), """")"),"no")</f>
        <v>no</v>
      </c>
      <c r="G2876" s="49" t="str">
        <f t="shared" ca="1" si="2874"/>
        <v>no</v>
      </c>
      <c r="H2876" s="49" t="str">
        <f t="shared" ca="1" si="2874"/>
        <v>no</v>
      </c>
      <c r="I2876" s="49" t="str">
        <f t="shared" ca="1" si="2874"/>
        <v>no</v>
      </c>
      <c r="J2876" s="49" t="str">
        <f t="shared" ca="1" si="2874"/>
        <v>no</v>
      </c>
    </row>
    <row r="2877" spans="1:10" ht="12.75" x14ac:dyDescent="0.2">
      <c r="A2877" s="41" t="s">
        <v>972</v>
      </c>
      <c r="B2877" s="40"/>
      <c r="C2877" s="40"/>
      <c r="D2877" s="40"/>
      <c r="E2877" s="40"/>
      <c r="F2877" s="49" t="str">
        <f t="shared" ref="F2877:J2877" ca="1" si="2875">IFERROR(__xludf.DUMMYFUNCTION("if (A2877 &lt;&gt; """", GOOGLETRANSLATE(A2877, ""auto"", ""en""), """")"),"No")</f>
        <v>No</v>
      </c>
      <c r="G2877" s="49" t="str">
        <f t="shared" ca="1" si="2875"/>
        <v>No</v>
      </c>
      <c r="H2877" s="49" t="str">
        <f t="shared" ca="1" si="2875"/>
        <v>No</v>
      </c>
      <c r="I2877" s="49" t="str">
        <f t="shared" ca="1" si="2875"/>
        <v>No</v>
      </c>
      <c r="J2877" s="49" t="str">
        <f t="shared" ca="1" si="2875"/>
        <v>No</v>
      </c>
    </row>
    <row r="2878" spans="1:10" ht="12.75" x14ac:dyDescent="0.2">
      <c r="A2878" s="41" t="s">
        <v>975</v>
      </c>
      <c r="B2878" s="40"/>
      <c r="C2878" s="40"/>
      <c r="D2878" s="40"/>
      <c r="E2878" s="40"/>
      <c r="F2878" s="49" t="str">
        <f t="shared" ref="F2878:J2878" ca="1" si="2876">IFERROR(__xludf.DUMMYFUNCTION("if (A2878 &lt;&gt; """", GOOGLETRANSLATE(A2878, ""auto"", ""en""), """")"),"Do not")</f>
        <v>Do not</v>
      </c>
      <c r="G2878" s="49" t="str">
        <f t="shared" ca="1" si="2876"/>
        <v>Do not</v>
      </c>
      <c r="H2878" s="49" t="str">
        <f t="shared" ca="1" si="2876"/>
        <v>Do not</v>
      </c>
      <c r="I2878" s="49" t="str">
        <f t="shared" ca="1" si="2876"/>
        <v>Do not</v>
      </c>
      <c r="J2878" s="49" t="str">
        <f t="shared" ca="1" si="2876"/>
        <v>Do not</v>
      </c>
    </row>
    <row r="2879" spans="1:10" ht="12.75" x14ac:dyDescent="0.2">
      <c r="A2879" s="41" t="s">
        <v>978</v>
      </c>
      <c r="B2879" s="40"/>
      <c r="C2879" s="40"/>
      <c r="D2879" s="40"/>
      <c r="E2879" s="40"/>
      <c r="F2879" s="49" t="str">
        <f t="shared" ref="F2879:J2879" ca="1" si="2877">IFERROR(__xludf.DUMMYFUNCTION("if (A2879 &lt;&gt; """", GOOGLETRANSLATE(A2879, ""auto"", ""en""), """")"),"Do not do")</f>
        <v>Do not do</v>
      </c>
      <c r="G2879" s="49" t="str">
        <f t="shared" ca="1" si="2877"/>
        <v>Do not do</v>
      </c>
      <c r="H2879" s="49" t="str">
        <f t="shared" ca="1" si="2877"/>
        <v>Do not do</v>
      </c>
      <c r="I2879" s="49" t="str">
        <f t="shared" ca="1" si="2877"/>
        <v>Do not do</v>
      </c>
      <c r="J2879" s="49" t="str">
        <f t="shared" ca="1" si="2877"/>
        <v>Do not do</v>
      </c>
    </row>
    <row r="2880" spans="1:10" ht="12.75" x14ac:dyDescent="0.2">
      <c r="A2880" s="41" t="s">
        <v>980</v>
      </c>
      <c r="B2880" s="40"/>
      <c r="C2880" s="40"/>
      <c r="D2880" s="40"/>
      <c r="E2880" s="40"/>
      <c r="F2880" s="49" t="str">
        <f t="shared" ref="F2880:J2880" ca="1" si="2878">IFERROR(__xludf.DUMMYFUNCTION("if (A2880 &lt;&gt; """", GOOGLETRANSLATE(A2880, ""auto"", ""en""), """")"),"I do not need")</f>
        <v>I do not need</v>
      </c>
      <c r="G2880" s="49" t="str">
        <f t="shared" ca="1" si="2878"/>
        <v>I do not need</v>
      </c>
      <c r="H2880" s="49" t="str">
        <f t="shared" ca="1" si="2878"/>
        <v>I do not need</v>
      </c>
      <c r="I2880" s="49" t="str">
        <f t="shared" ca="1" si="2878"/>
        <v>I do not need</v>
      </c>
      <c r="J2880" s="49" t="str">
        <f t="shared" ca="1" si="2878"/>
        <v>I do not need</v>
      </c>
    </row>
    <row r="2881" spans="1:10" ht="12.75" x14ac:dyDescent="0.2">
      <c r="A2881" s="41" t="s">
        <v>981</v>
      </c>
      <c r="B2881" s="40"/>
      <c r="C2881" s="40"/>
      <c r="D2881" s="40"/>
      <c r="E2881" s="40"/>
      <c r="F2881" s="49" t="str">
        <f t="shared" ref="F2881:J2881" ca="1" si="2879">IFERROR(__xludf.DUMMYFUNCTION("if (A2881 &lt;&gt; """", GOOGLETRANSLATE(A2881, ""auto"", ""en""), """")"),"Should stop")</f>
        <v>Should stop</v>
      </c>
      <c r="G2881" s="49" t="str">
        <f t="shared" ca="1" si="2879"/>
        <v>Should stop</v>
      </c>
      <c r="H2881" s="49" t="str">
        <f t="shared" ca="1" si="2879"/>
        <v>Should stop</v>
      </c>
      <c r="I2881" s="49" t="str">
        <f t="shared" ca="1" si="2879"/>
        <v>Should stop</v>
      </c>
      <c r="J2881" s="49" t="str">
        <f t="shared" ca="1" si="2879"/>
        <v>Should stop</v>
      </c>
    </row>
    <row r="2882" spans="1:10" ht="25.5" x14ac:dyDescent="0.2">
      <c r="A2882" s="41" t="s">
        <v>983</v>
      </c>
      <c r="B2882" s="40"/>
      <c r="C2882" s="40"/>
      <c r="D2882" s="40"/>
      <c r="E2882" s="40"/>
      <c r="F2882" s="49" t="str">
        <f t="shared" ref="F2882:J2882" ca="1" si="2880">IFERROR(__xludf.DUMMYFUNCTION("if (A2882 &lt;&gt; """", GOOGLETRANSLATE(A2882, ""auto"", ""en""), """")"),"Am not interested")</f>
        <v>Am not interested</v>
      </c>
      <c r="G2882" s="49" t="str">
        <f t="shared" ca="1" si="2880"/>
        <v>Am not interested</v>
      </c>
      <c r="H2882" s="49" t="str">
        <f t="shared" ca="1" si="2880"/>
        <v>Am not interested</v>
      </c>
      <c r="I2882" s="49" t="str">
        <f t="shared" ca="1" si="2880"/>
        <v>Am not interested</v>
      </c>
      <c r="J2882" s="49" t="str">
        <f t="shared" ca="1" si="2880"/>
        <v>Am not interested</v>
      </c>
    </row>
    <row r="2883" spans="1:10" ht="12.75" x14ac:dyDescent="0.2">
      <c r="A2883" s="41" t="s">
        <v>985</v>
      </c>
      <c r="B2883" s="40"/>
      <c r="C2883" s="40"/>
      <c r="D2883" s="40"/>
      <c r="E2883" s="40"/>
      <c r="F2883" s="49" t="str">
        <f t="shared" ref="F2883:J2883" ca="1" si="2881">IFERROR(__xludf.DUMMYFUNCTION("if (A2883 &lt;&gt; """", GOOGLETRANSLATE(A2883, ""auto"", ""en""), """")"),"Disagree")</f>
        <v>Disagree</v>
      </c>
      <c r="G2883" s="49" t="str">
        <f t="shared" ca="1" si="2881"/>
        <v>Disagree</v>
      </c>
      <c r="H2883" s="49" t="str">
        <f t="shared" ca="1" si="2881"/>
        <v>Disagree</v>
      </c>
      <c r="I2883" s="49" t="str">
        <f t="shared" ca="1" si="2881"/>
        <v>Disagree</v>
      </c>
      <c r="J2883" s="49" t="str">
        <f t="shared" ca="1" si="2881"/>
        <v>Disagree</v>
      </c>
    </row>
    <row r="2884" spans="1:10" ht="12.75" x14ac:dyDescent="0.2">
      <c r="A2884" s="41" t="s">
        <v>987</v>
      </c>
      <c r="B2884" s="40"/>
      <c r="C2884" s="40"/>
      <c r="D2884" s="40"/>
      <c r="E2884" s="40"/>
      <c r="F2884" s="49" t="str">
        <f t="shared" ref="F2884:J2884" ca="1" si="2882">IFERROR(__xludf.DUMMYFUNCTION("if (A2884 &lt;&gt; """", GOOGLETRANSLATE(A2884, ""auto"", ""en""), """")"),"do not want to")</f>
        <v>do not want to</v>
      </c>
      <c r="G2884" s="49" t="str">
        <f t="shared" ca="1" si="2882"/>
        <v>do not want to</v>
      </c>
      <c r="H2884" s="49" t="str">
        <f t="shared" ca="1" si="2882"/>
        <v>do not want to</v>
      </c>
      <c r="I2884" s="49" t="str">
        <f t="shared" ca="1" si="2882"/>
        <v>do not want to</v>
      </c>
      <c r="J2884" s="49" t="str">
        <f t="shared" ca="1" si="2882"/>
        <v>do not want to</v>
      </c>
    </row>
    <row r="2885" spans="1:10" ht="12.75" x14ac:dyDescent="0.2">
      <c r="A2885" s="40"/>
      <c r="B2885" s="40"/>
      <c r="C2885" s="40"/>
      <c r="D2885" s="40"/>
      <c r="E2885" s="40"/>
      <c r="F2885" s="49" t="str">
        <f t="shared" ref="F2885:J2885" ca="1" si="2883">IFERROR(__xludf.DUMMYFUNCTION("if (A2885 &lt;&gt; """", GOOGLETRANSLATE(A2885, ""auto"", ""en""), """")"),"")</f>
        <v/>
      </c>
      <c r="G2885" s="49" t="str">
        <f t="shared" ca="1" si="2883"/>
        <v/>
      </c>
      <c r="H2885" s="49" t="str">
        <f t="shared" ca="1" si="2883"/>
        <v/>
      </c>
      <c r="I2885" s="49" t="str">
        <f t="shared" ca="1" si="2883"/>
        <v/>
      </c>
      <c r="J2885" s="49" t="str">
        <f t="shared" ca="1" si="2883"/>
        <v/>
      </c>
    </row>
    <row r="2886" spans="1:10" ht="25.5" x14ac:dyDescent="0.2">
      <c r="A2886" s="41" t="s">
        <v>991</v>
      </c>
      <c r="B2886" s="40"/>
      <c r="C2886" s="40"/>
      <c r="D2886" s="40"/>
      <c r="E2886" s="40"/>
      <c r="F2886" s="49" t="str">
        <f t="shared" ref="F2886:J2886" ca="1" si="2884">IFERROR(__xludf.DUMMYFUNCTION("if (A2886 &lt;&gt; """", GOOGLETRANSLATE(A2886, ""auto"", ""en""), """")"),"Z-AreYouReal - yes")</f>
        <v>Z-AreYouReal - yes</v>
      </c>
      <c r="G2886" s="49" t="str">
        <f t="shared" ca="1" si="2884"/>
        <v>Z-AreYouReal - yes</v>
      </c>
      <c r="H2886" s="49" t="str">
        <f t="shared" ca="1" si="2884"/>
        <v>Z-AreYouReal - yes</v>
      </c>
      <c r="I2886" s="49" t="str">
        <f t="shared" ca="1" si="2884"/>
        <v>Z-AreYouReal - yes</v>
      </c>
      <c r="J2886" s="49" t="str">
        <f t="shared" ca="1" si="2884"/>
        <v>Z-AreYouReal - yes</v>
      </c>
    </row>
    <row r="2887" spans="1:10" ht="12.75" x14ac:dyDescent="0.2">
      <c r="A2887" s="40"/>
      <c r="B2887" s="41" t="s">
        <v>398</v>
      </c>
      <c r="C2887" s="41" t="s">
        <v>949</v>
      </c>
      <c r="D2887" s="40"/>
      <c r="E2887" s="40"/>
      <c r="F2887" s="49" t="str">
        <f t="shared" ref="F2887:J2887" ca="1" si="2885">IFERROR(__xludf.DUMMYFUNCTION("if (A2887 &lt;&gt; """", GOOGLETRANSLATE(A2887, ""auto"", ""en""), """")"),"")</f>
        <v/>
      </c>
      <c r="G2887" s="49" t="str">
        <f t="shared" ca="1" si="2885"/>
        <v/>
      </c>
      <c r="H2887" s="49" t="str">
        <f t="shared" ca="1" si="2885"/>
        <v/>
      </c>
      <c r="I2887" s="49" t="str">
        <f t="shared" ca="1" si="2885"/>
        <v/>
      </c>
      <c r="J2887" s="49" t="str">
        <f t="shared" ca="1" si="2885"/>
        <v/>
      </c>
    </row>
    <row r="2888" spans="1:10" ht="12.75" x14ac:dyDescent="0.2">
      <c r="A2888" s="40"/>
      <c r="B2888" s="41" t="s">
        <v>399</v>
      </c>
      <c r="C2888" s="41" t="s">
        <v>1000</v>
      </c>
      <c r="D2888" s="40"/>
      <c r="E2888" s="40"/>
      <c r="F2888" s="49" t="str">
        <f t="shared" ref="F2888:J2888" ca="1" si="2886">IFERROR(__xludf.DUMMYFUNCTION("if (A2888 &lt;&gt; """", GOOGLETRANSLATE(A2888, ""auto"", ""en""), """")"),"")</f>
        <v/>
      </c>
      <c r="G2888" s="49" t="str">
        <f t="shared" ca="1" si="2886"/>
        <v/>
      </c>
      <c r="H2888" s="49" t="str">
        <f t="shared" ca="1" si="2886"/>
        <v/>
      </c>
      <c r="I2888" s="49" t="str">
        <f t="shared" ca="1" si="2886"/>
        <v/>
      </c>
      <c r="J2888" s="49" t="str">
        <f t="shared" ca="1" si="2886"/>
        <v/>
      </c>
    </row>
    <row r="2889" spans="1:10" ht="12.75" x14ac:dyDescent="0.2">
      <c r="A2889" s="40"/>
      <c r="B2889" s="41" t="s">
        <v>400</v>
      </c>
      <c r="C2889" s="41" t="s">
        <v>1003</v>
      </c>
      <c r="D2889" s="40"/>
      <c r="E2889" s="40"/>
      <c r="F2889" s="49" t="str">
        <f t="shared" ref="F2889:J2889" ca="1" si="2887">IFERROR(__xludf.DUMMYFUNCTION("if (A2889 &lt;&gt; """", GOOGLETRANSLATE(A2889, ""auto"", ""en""), """")"),"")</f>
        <v/>
      </c>
      <c r="G2889" s="49" t="str">
        <f t="shared" ca="1" si="2887"/>
        <v/>
      </c>
      <c r="H2889" s="49" t="str">
        <f t="shared" ca="1" si="2887"/>
        <v/>
      </c>
      <c r="I2889" s="49" t="str">
        <f t="shared" ca="1" si="2887"/>
        <v/>
      </c>
      <c r="J2889" s="49" t="str">
        <f t="shared" ca="1" si="2887"/>
        <v/>
      </c>
    </row>
    <row r="2890" spans="1:10" ht="12.75" x14ac:dyDescent="0.2">
      <c r="A2890" s="40"/>
      <c r="B2890" s="41" t="s">
        <v>401</v>
      </c>
      <c r="C2890" s="40"/>
      <c r="D2890" s="40"/>
      <c r="E2890" s="40"/>
      <c r="F2890" s="49" t="str">
        <f t="shared" ref="F2890:J2890" ca="1" si="2888">IFERROR(__xludf.DUMMYFUNCTION("if (A2890 &lt;&gt; """", GOOGLETRANSLATE(A2890, ""auto"", ""en""), """")"),"")</f>
        <v/>
      </c>
      <c r="G2890" s="49" t="str">
        <f t="shared" ca="1" si="2888"/>
        <v/>
      </c>
      <c r="H2890" s="49" t="str">
        <f t="shared" ca="1" si="2888"/>
        <v/>
      </c>
      <c r="I2890" s="49" t="str">
        <f t="shared" ca="1" si="2888"/>
        <v/>
      </c>
      <c r="J2890" s="49" t="str">
        <f t="shared" ca="1" si="2888"/>
        <v/>
      </c>
    </row>
    <row r="2891" spans="1:10" ht="12.75" x14ac:dyDescent="0.2">
      <c r="A2891" s="41" t="s">
        <v>1005</v>
      </c>
      <c r="B2891" s="41" t="s">
        <v>402</v>
      </c>
      <c r="C2891" s="41" t="s">
        <v>1007</v>
      </c>
      <c r="D2891" s="40"/>
      <c r="E2891" s="40"/>
      <c r="F2891" s="49" t="str">
        <f t="shared" ref="F2891:J2891" ca="1" si="2889">IFERROR(__xludf.DUMMYFUNCTION("if (A2891 &lt;&gt; """", GOOGLETRANSLATE(A2891, ""auto"", ""en""), """")"),"Look")</f>
        <v>Look</v>
      </c>
      <c r="G2891" s="49" t="str">
        <f t="shared" ca="1" si="2889"/>
        <v>Look</v>
      </c>
      <c r="H2891" s="49" t="str">
        <f t="shared" ca="1" si="2889"/>
        <v>Look</v>
      </c>
      <c r="I2891" s="49" t="str">
        <f t="shared" ca="1" si="2889"/>
        <v>Look</v>
      </c>
      <c r="J2891" s="49" t="str">
        <f t="shared" ca="1" si="2889"/>
        <v>Look</v>
      </c>
    </row>
    <row r="2892" spans="1:10" ht="12.75" x14ac:dyDescent="0.2">
      <c r="A2892" s="41" t="s">
        <v>1009</v>
      </c>
      <c r="B2892" s="40"/>
      <c r="C2892" s="40"/>
      <c r="D2892" s="40"/>
      <c r="E2892" s="40"/>
      <c r="F2892" s="49" t="str">
        <f t="shared" ref="F2892:J2892" ca="1" si="2890">IFERROR(__xludf.DUMMYFUNCTION("if (A2892 &lt;&gt; """", GOOGLETRANSLATE(A2892, ""auto"", ""en""), """")"),"appear")</f>
        <v>appear</v>
      </c>
      <c r="G2892" s="49" t="str">
        <f t="shared" ca="1" si="2890"/>
        <v>appear</v>
      </c>
      <c r="H2892" s="49" t="str">
        <f t="shared" ca="1" si="2890"/>
        <v>appear</v>
      </c>
      <c r="I2892" s="49" t="str">
        <f t="shared" ca="1" si="2890"/>
        <v>appear</v>
      </c>
      <c r="J2892" s="49" t="str">
        <f t="shared" ca="1" si="2890"/>
        <v>appear</v>
      </c>
    </row>
    <row r="2893" spans="1:10" ht="12.75" x14ac:dyDescent="0.2">
      <c r="A2893" s="41" t="s">
        <v>1010</v>
      </c>
      <c r="B2893" s="40"/>
      <c r="C2893" s="40"/>
      <c r="D2893" s="40"/>
      <c r="E2893" s="40"/>
      <c r="F2893" s="49" t="str">
        <f t="shared" ref="F2893:J2893" ca="1" si="2891">IFERROR(__xludf.DUMMYFUNCTION("if (A2893 &lt;&gt; """", GOOGLETRANSLATE(A2893, ""auto"", ""en""), """")"),"Yup")</f>
        <v>Yup</v>
      </c>
      <c r="G2893" s="49" t="str">
        <f t="shared" ca="1" si="2891"/>
        <v>Yup</v>
      </c>
      <c r="H2893" s="49" t="str">
        <f t="shared" ca="1" si="2891"/>
        <v>Yup</v>
      </c>
      <c r="I2893" s="49" t="str">
        <f t="shared" ca="1" si="2891"/>
        <v>Yup</v>
      </c>
      <c r="J2893" s="49" t="str">
        <f t="shared" ca="1" si="2891"/>
        <v>Yup</v>
      </c>
    </row>
    <row r="2894" spans="1:10" ht="12.75" x14ac:dyDescent="0.2">
      <c r="A2894" s="41" t="s">
        <v>1012</v>
      </c>
      <c r="B2894" s="40"/>
      <c r="C2894" s="40"/>
      <c r="D2894" s="40"/>
      <c r="E2894" s="40"/>
      <c r="F2894" s="49" t="str">
        <f t="shared" ref="F2894:J2894" ca="1" si="2892">IFERROR(__xludf.DUMMYFUNCTION("if (A2894 &lt;&gt; """", GOOGLETRANSLATE(A2894, ""auto"", ""en""), """")"),"Yes")</f>
        <v>Yes</v>
      </c>
      <c r="G2894" s="49" t="str">
        <f t="shared" ca="1" si="2892"/>
        <v>Yes</v>
      </c>
      <c r="H2894" s="49" t="str">
        <f t="shared" ca="1" si="2892"/>
        <v>Yes</v>
      </c>
      <c r="I2894" s="49" t="str">
        <f t="shared" ca="1" si="2892"/>
        <v>Yes</v>
      </c>
      <c r="J2894" s="49" t="str">
        <f t="shared" ca="1" si="2892"/>
        <v>Yes</v>
      </c>
    </row>
    <row r="2895" spans="1:10" ht="12.75" x14ac:dyDescent="0.2">
      <c r="A2895" s="41" t="s">
        <v>1014</v>
      </c>
      <c r="B2895" s="40"/>
      <c r="C2895" s="40"/>
      <c r="D2895" s="40"/>
      <c r="E2895" s="40"/>
      <c r="F2895" s="49" t="str">
        <f t="shared" ref="F2895:J2895" ca="1" si="2893">IFERROR(__xludf.DUMMYFUNCTION("if (A2895 &lt;&gt; """", GOOGLETRANSLATE(A2895, ""auto"", ""en""), """")"),"do it")</f>
        <v>do it</v>
      </c>
      <c r="G2895" s="49" t="str">
        <f t="shared" ca="1" si="2893"/>
        <v>do it</v>
      </c>
      <c r="H2895" s="49" t="str">
        <f t="shared" ca="1" si="2893"/>
        <v>do it</v>
      </c>
      <c r="I2895" s="49" t="str">
        <f t="shared" ca="1" si="2893"/>
        <v>do it</v>
      </c>
      <c r="J2895" s="49" t="str">
        <f t="shared" ca="1" si="2893"/>
        <v>do it</v>
      </c>
    </row>
    <row r="2896" spans="1:10" ht="12.75" x14ac:dyDescent="0.2">
      <c r="A2896" s="41" t="s">
        <v>1016</v>
      </c>
      <c r="B2896" s="40"/>
      <c r="C2896" s="40"/>
      <c r="D2896" s="40"/>
      <c r="E2896" s="40"/>
      <c r="F2896" s="49" t="str">
        <f t="shared" ref="F2896:J2896" ca="1" si="2894">IFERROR(__xludf.DUMMYFUNCTION("if (A2896 &lt;&gt; """", GOOGLETRANSLATE(A2896, ""auto"", ""en""), """")"),"OK")</f>
        <v>OK</v>
      </c>
      <c r="G2896" s="49" t="str">
        <f t="shared" ca="1" si="2894"/>
        <v>OK</v>
      </c>
      <c r="H2896" s="49" t="str">
        <f t="shared" ca="1" si="2894"/>
        <v>OK</v>
      </c>
      <c r="I2896" s="49" t="str">
        <f t="shared" ca="1" si="2894"/>
        <v>OK</v>
      </c>
      <c r="J2896" s="49" t="str">
        <f t="shared" ca="1" si="2894"/>
        <v>OK</v>
      </c>
    </row>
    <row r="2897" spans="1:10" ht="12.75" x14ac:dyDescent="0.2">
      <c r="A2897" s="41" t="s">
        <v>1017</v>
      </c>
      <c r="B2897" s="40"/>
      <c r="C2897" s="40"/>
      <c r="D2897" s="40"/>
      <c r="E2897" s="40"/>
      <c r="F2897" s="49" t="str">
        <f t="shared" ref="F2897:J2897" ca="1" si="2895">IFERROR(__xludf.DUMMYFUNCTION("if (A2897 &lt;&gt; """", GOOGLETRANSLATE(A2897, ""auto"", ""en""), """")"),"of course")</f>
        <v>of course</v>
      </c>
      <c r="G2897" s="49" t="str">
        <f t="shared" ca="1" si="2895"/>
        <v>of course</v>
      </c>
      <c r="H2897" s="49" t="str">
        <f t="shared" ca="1" si="2895"/>
        <v>of course</v>
      </c>
      <c r="I2897" s="49" t="str">
        <f t="shared" ca="1" si="2895"/>
        <v>of course</v>
      </c>
      <c r="J2897" s="49" t="str">
        <f t="shared" ca="1" si="2895"/>
        <v>of course</v>
      </c>
    </row>
    <row r="2898" spans="1:10" ht="12.75" x14ac:dyDescent="0.2">
      <c r="A2898" s="41" t="s">
        <v>1019</v>
      </c>
      <c r="B2898" s="40"/>
      <c r="C2898" s="40"/>
      <c r="D2898" s="40"/>
      <c r="E2898" s="40"/>
      <c r="F2898" s="49" t="str">
        <f t="shared" ref="F2898:J2898" ca="1" si="2896">IFERROR(__xludf.DUMMYFUNCTION("if (A2898 &lt;&gt; """", GOOGLETRANSLATE(A2898, ""auto"", ""en""), """")"),"Yeah")</f>
        <v>Yeah</v>
      </c>
      <c r="G2898" s="49" t="str">
        <f t="shared" ca="1" si="2896"/>
        <v>Yeah</v>
      </c>
      <c r="H2898" s="49" t="str">
        <f t="shared" ca="1" si="2896"/>
        <v>Yeah</v>
      </c>
      <c r="I2898" s="49" t="str">
        <f t="shared" ca="1" si="2896"/>
        <v>Yeah</v>
      </c>
      <c r="J2898" s="49" t="str">
        <f t="shared" ca="1" si="2896"/>
        <v>Yeah</v>
      </c>
    </row>
    <row r="2899" spans="1:10" ht="12.75" x14ac:dyDescent="0.2">
      <c r="A2899" s="41" t="s">
        <v>1021</v>
      </c>
      <c r="B2899" s="40"/>
      <c r="C2899" s="40"/>
      <c r="D2899" s="40"/>
      <c r="E2899" s="40"/>
      <c r="F2899" s="49" t="str">
        <f t="shared" ref="F2899:J2899" ca="1" si="2897">IFERROR(__xludf.DUMMYFUNCTION("if (A2899 &lt;&gt; """", GOOGLETRANSLATE(A2899, ""auto"", ""en""), """")"),"To do so")</f>
        <v>To do so</v>
      </c>
      <c r="G2899" s="49" t="str">
        <f t="shared" ca="1" si="2897"/>
        <v>To do so</v>
      </c>
      <c r="H2899" s="49" t="str">
        <f t="shared" ca="1" si="2897"/>
        <v>To do so</v>
      </c>
      <c r="I2899" s="49" t="str">
        <f t="shared" ca="1" si="2897"/>
        <v>To do so</v>
      </c>
      <c r="J2899" s="49" t="str">
        <f t="shared" ca="1" si="2897"/>
        <v>To do so</v>
      </c>
    </row>
    <row r="2900" spans="1:10" ht="12.75" x14ac:dyDescent="0.2">
      <c r="A2900" s="41" t="s">
        <v>1023</v>
      </c>
      <c r="B2900" s="40"/>
      <c r="C2900" s="40"/>
      <c r="D2900" s="40"/>
      <c r="E2900" s="40"/>
      <c r="F2900" s="49" t="str">
        <f t="shared" ref="F2900:J2900" ca="1" si="2898">IFERROR(__xludf.DUMMYFUNCTION("if (A2900 &lt;&gt; """", GOOGLETRANSLATE(A2900, ""auto"", ""en""), """")"),"agree")</f>
        <v>agree</v>
      </c>
      <c r="G2900" s="49" t="str">
        <f t="shared" ca="1" si="2898"/>
        <v>agree</v>
      </c>
      <c r="H2900" s="49" t="str">
        <f t="shared" ca="1" si="2898"/>
        <v>agree</v>
      </c>
      <c r="I2900" s="49" t="str">
        <f t="shared" ca="1" si="2898"/>
        <v>agree</v>
      </c>
      <c r="J2900" s="49" t="str">
        <f t="shared" ca="1" si="2898"/>
        <v>agree</v>
      </c>
    </row>
    <row r="2901" spans="1:10" ht="12.75" x14ac:dyDescent="0.2">
      <c r="A2901" s="41" t="s">
        <v>1025</v>
      </c>
      <c r="B2901" s="40"/>
      <c r="C2901" s="40"/>
      <c r="D2901" s="40"/>
      <c r="E2901" s="40"/>
      <c r="F2901" s="49" t="str">
        <f t="shared" ref="F2901:J2901" ca="1" si="2899">IFERROR(__xludf.DUMMYFUNCTION("if (A2901 &lt;&gt; """", GOOGLETRANSLATE(A2901, ""auto"", ""en""), """")"),"exactly")</f>
        <v>exactly</v>
      </c>
      <c r="G2901" s="49" t="str">
        <f t="shared" ca="1" si="2899"/>
        <v>exactly</v>
      </c>
      <c r="H2901" s="49" t="str">
        <f t="shared" ca="1" si="2899"/>
        <v>exactly</v>
      </c>
      <c r="I2901" s="49" t="str">
        <f t="shared" ca="1" si="2899"/>
        <v>exactly</v>
      </c>
      <c r="J2901" s="49" t="str">
        <f t="shared" ca="1" si="2899"/>
        <v>exactly</v>
      </c>
    </row>
    <row r="2902" spans="1:10" ht="12.75" x14ac:dyDescent="0.2">
      <c r="A2902" s="41" t="s">
        <v>1026</v>
      </c>
      <c r="B2902" s="40"/>
      <c r="C2902" s="40"/>
      <c r="D2902" s="40"/>
      <c r="E2902" s="40"/>
      <c r="F2902" s="49" t="str">
        <f t="shared" ref="F2902:J2902" ca="1" si="2900">IFERROR(__xludf.DUMMYFUNCTION("if (A2902 &lt;&gt; """", GOOGLETRANSLATE(A2902, ""auto"", ""en""), """")"),"Let's do so")</f>
        <v>Let's do so</v>
      </c>
      <c r="G2902" s="49" t="str">
        <f t="shared" ca="1" si="2900"/>
        <v>Let's do so</v>
      </c>
      <c r="H2902" s="49" t="str">
        <f t="shared" ca="1" si="2900"/>
        <v>Let's do so</v>
      </c>
      <c r="I2902" s="49" t="str">
        <f t="shared" ca="1" si="2900"/>
        <v>Let's do so</v>
      </c>
      <c r="J2902" s="49" t="str">
        <f t="shared" ca="1" si="2900"/>
        <v>Let's do so</v>
      </c>
    </row>
    <row r="2903" spans="1:10" ht="12.75" x14ac:dyDescent="0.2">
      <c r="A2903" s="41" t="s">
        <v>1030</v>
      </c>
      <c r="B2903" s="40"/>
      <c r="C2903" s="40"/>
      <c r="D2903" s="40"/>
      <c r="E2903" s="40"/>
      <c r="F2903" s="49" t="str">
        <f t="shared" ref="F2903:J2903" ca="1" si="2901">IFERROR(__xludf.DUMMYFUNCTION("if (A2903 &lt;&gt; """", GOOGLETRANSLATE(A2903, ""auto"", ""en""), """")"),"Agree")</f>
        <v>Agree</v>
      </c>
      <c r="G2903" s="49" t="str">
        <f t="shared" ca="1" si="2901"/>
        <v>Agree</v>
      </c>
      <c r="H2903" s="49" t="str">
        <f t="shared" ca="1" si="2901"/>
        <v>Agree</v>
      </c>
      <c r="I2903" s="49" t="str">
        <f t="shared" ca="1" si="2901"/>
        <v>Agree</v>
      </c>
      <c r="J2903" s="49" t="str">
        <f t="shared" ca="1" si="2901"/>
        <v>Agree</v>
      </c>
    </row>
    <row r="2904" spans="1:10" ht="12.75" x14ac:dyDescent="0.2">
      <c r="A2904" s="40"/>
      <c r="B2904" s="40"/>
      <c r="C2904" s="40"/>
      <c r="D2904" s="40"/>
      <c r="E2904" s="40"/>
      <c r="F2904" s="49" t="str">
        <f t="shared" ref="F2904:J2904" ca="1" si="2902">IFERROR(__xludf.DUMMYFUNCTION("if (A2904 &lt;&gt; """", GOOGLETRANSLATE(A2904, ""auto"", ""en""), """")"),"")</f>
        <v/>
      </c>
      <c r="G2904" s="49" t="str">
        <f t="shared" ca="1" si="2902"/>
        <v/>
      </c>
      <c r="H2904" s="49" t="str">
        <f t="shared" ca="1" si="2902"/>
        <v/>
      </c>
      <c r="I2904" s="49" t="str">
        <f t="shared" ca="1" si="2902"/>
        <v/>
      </c>
      <c r="J2904" s="49" t="str">
        <f t="shared" ca="1" si="2902"/>
        <v/>
      </c>
    </row>
    <row r="2905" spans="1:10" ht="12.75" x14ac:dyDescent="0.2">
      <c r="A2905" s="41" t="s">
        <v>67</v>
      </c>
      <c r="B2905" s="40"/>
      <c r="C2905" s="40"/>
      <c r="D2905" s="40"/>
      <c r="E2905" s="40"/>
      <c r="F2905" s="49" t="str">
        <f t="shared" ref="F2905:J2905" ca="1" si="2903">IFERROR(__xludf.DUMMYFUNCTION("if (A2905 &lt;&gt; """", GOOGLETRANSLATE(A2905, ""auto"", ""en""), """")"),"Z-AreYouReal")</f>
        <v>Z-AreYouReal</v>
      </c>
      <c r="G2905" s="49" t="str">
        <f t="shared" ca="1" si="2903"/>
        <v>Z-AreYouReal</v>
      </c>
      <c r="H2905" s="49" t="str">
        <f t="shared" ca="1" si="2903"/>
        <v>Z-AreYouReal</v>
      </c>
      <c r="I2905" s="49" t="str">
        <f t="shared" ca="1" si="2903"/>
        <v>Z-AreYouReal</v>
      </c>
      <c r="J2905" s="49" t="str">
        <f t="shared" ca="1" si="2903"/>
        <v>Z-AreYouReal</v>
      </c>
    </row>
    <row r="2906" spans="1:10" ht="12.75" x14ac:dyDescent="0.2">
      <c r="A2906" s="40"/>
      <c r="B2906" s="41" t="s">
        <v>398</v>
      </c>
      <c r="C2906" s="40"/>
      <c r="D2906" s="40"/>
      <c r="E2906" s="40"/>
      <c r="F2906" s="49" t="str">
        <f t="shared" ref="F2906:J2906" ca="1" si="2904">IFERROR(__xludf.DUMMYFUNCTION("if (A2906 &lt;&gt; """", GOOGLETRANSLATE(A2906, ""auto"", ""en""), """")"),"")</f>
        <v/>
      </c>
      <c r="G2906" s="49" t="str">
        <f t="shared" ca="1" si="2904"/>
        <v/>
      </c>
      <c r="H2906" s="49" t="str">
        <f t="shared" ca="1" si="2904"/>
        <v/>
      </c>
      <c r="I2906" s="49" t="str">
        <f t="shared" ca="1" si="2904"/>
        <v/>
      </c>
      <c r="J2906" s="49" t="str">
        <f t="shared" ca="1" si="2904"/>
        <v/>
      </c>
    </row>
    <row r="2907" spans="1:10" ht="12.75" x14ac:dyDescent="0.2">
      <c r="A2907" s="40"/>
      <c r="B2907" s="41" t="s">
        <v>399</v>
      </c>
      <c r="C2907" s="41" t="s">
        <v>949</v>
      </c>
      <c r="D2907" s="40"/>
      <c r="E2907" s="40"/>
      <c r="F2907" s="49" t="str">
        <f t="shared" ref="F2907:J2907" ca="1" si="2905">IFERROR(__xludf.DUMMYFUNCTION("if (A2907 &lt;&gt; """", GOOGLETRANSLATE(A2907, ""auto"", ""en""), """")"),"")</f>
        <v/>
      </c>
      <c r="G2907" s="49" t="str">
        <f t="shared" ca="1" si="2905"/>
        <v/>
      </c>
      <c r="H2907" s="49" t="str">
        <f t="shared" ca="1" si="2905"/>
        <v/>
      </c>
      <c r="I2907" s="49" t="str">
        <f t="shared" ca="1" si="2905"/>
        <v/>
      </c>
      <c r="J2907" s="49" t="str">
        <f t="shared" ca="1" si="2905"/>
        <v/>
      </c>
    </row>
    <row r="2908" spans="1:10" ht="12.75" x14ac:dyDescent="0.2">
      <c r="A2908" s="40"/>
      <c r="B2908" s="41" t="s">
        <v>400</v>
      </c>
      <c r="C2908" s="40"/>
      <c r="D2908" s="40"/>
      <c r="E2908" s="40"/>
      <c r="F2908" s="49" t="str">
        <f t="shared" ref="F2908:J2908" ca="1" si="2906">IFERROR(__xludf.DUMMYFUNCTION("if (A2908 &lt;&gt; """", GOOGLETRANSLATE(A2908, ""auto"", ""en""), """")"),"")</f>
        <v/>
      </c>
      <c r="G2908" s="49" t="str">
        <f t="shared" ca="1" si="2906"/>
        <v/>
      </c>
      <c r="H2908" s="49" t="str">
        <f t="shared" ca="1" si="2906"/>
        <v/>
      </c>
      <c r="I2908" s="49" t="str">
        <f t="shared" ca="1" si="2906"/>
        <v/>
      </c>
      <c r="J2908" s="49" t="str">
        <f t="shared" ca="1" si="2906"/>
        <v/>
      </c>
    </row>
    <row r="2909" spans="1:10" ht="12.75" x14ac:dyDescent="0.2">
      <c r="A2909" s="40"/>
      <c r="B2909" s="41" t="s">
        <v>401</v>
      </c>
      <c r="C2909" s="40"/>
      <c r="D2909" s="40"/>
      <c r="E2909" s="40"/>
      <c r="F2909" s="49" t="str">
        <f t="shared" ref="F2909:J2909" ca="1" si="2907">IFERROR(__xludf.DUMMYFUNCTION("if (A2909 &lt;&gt; """", GOOGLETRANSLATE(A2909, ""auto"", ""en""), """")"),"")</f>
        <v/>
      </c>
      <c r="G2909" s="49" t="str">
        <f t="shared" ca="1" si="2907"/>
        <v/>
      </c>
      <c r="H2909" s="49" t="str">
        <f t="shared" ca="1" si="2907"/>
        <v/>
      </c>
      <c r="I2909" s="49" t="str">
        <f t="shared" ca="1" si="2907"/>
        <v/>
      </c>
      <c r="J2909" s="49" t="str">
        <f t="shared" ca="1" si="2907"/>
        <v/>
      </c>
    </row>
    <row r="2910" spans="1:10" ht="38.25" x14ac:dyDescent="0.2">
      <c r="A2910" s="41" t="s">
        <v>89</v>
      </c>
      <c r="B2910" s="41" t="s">
        <v>402</v>
      </c>
      <c r="C2910" s="41" t="s">
        <v>1037</v>
      </c>
      <c r="D2910" s="40"/>
      <c r="E2910" s="40"/>
      <c r="F2910" s="49" t="str">
        <f t="shared" ref="F2910:J2910" ca="1" si="2908">IFERROR(__xludf.DUMMYFUNCTION("if (A2910 &lt;&gt; """", GOOGLETRANSLATE(A2910, ""auto"", ""en""), """")"),"seriously")</f>
        <v>seriously</v>
      </c>
      <c r="G2910" s="49" t="str">
        <f t="shared" ca="1" si="2908"/>
        <v>seriously</v>
      </c>
      <c r="H2910" s="49" t="str">
        <f t="shared" ca="1" si="2908"/>
        <v>seriously</v>
      </c>
      <c r="I2910" s="49" t="str">
        <f t="shared" ca="1" si="2908"/>
        <v>seriously</v>
      </c>
      <c r="J2910" s="49" t="str">
        <f t="shared" ca="1" si="2908"/>
        <v>seriously</v>
      </c>
    </row>
    <row r="2911" spans="1:10" ht="25.5" x14ac:dyDescent="0.2">
      <c r="A2911" s="41" t="s">
        <v>810</v>
      </c>
      <c r="B2911" s="40"/>
      <c r="C2911" s="40"/>
      <c r="D2911" s="40"/>
      <c r="E2911" s="40"/>
      <c r="F2911" s="49" t="str">
        <f t="shared" ref="F2911:J2911" ca="1" si="2909">IFERROR(__xludf.DUMMYFUNCTION("if (A2911 &lt;&gt; """", GOOGLETRANSLATE(A2911, ""auto"", ""en""), """")")," Seriously for the")</f>
        <v> Seriously for the</v>
      </c>
      <c r="G2911" s="49" t="str">
        <f t="shared" ca="1" si="2909"/>
        <v> Seriously for the</v>
      </c>
      <c r="H2911" s="49" t="str">
        <f t="shared" ca="1" si="2909"/>
        <v> Seriously for the</v>
      </c>
      <c r="I2911" s="49" t="str">
        <f t="shared" ca="1" si="2909"/>
        <v> Seriously for the</v>
      </c>
      <c r="J2911" s="49" t="str">
        <f t="shared" ca="1" si="2909"/>
        <v> Seriously for the</v>
      </c>
    </row>
    <row r="2912" spans="1:10" ht="12.75" x14ac:dyDescent="0.2">
      <c r="A2912" s="41" t="s">
        <v>85</v>
      </c>
      <c r="B2912" s="40"/>
      <c r="C2912" s="40"/>
      <c r="D2912" s="40"/>
      <c r="E2912" s="40"/>
      <c r="F2912" s="49" t="str">
        <f t="shared" ref="F2912:J2912" ca="1" si="2910">IFERROR(__xludf.DUMMYFUNCTION("if (A2912 &lt;&gt; """", GOOGLETRANSLATE(A2912, ""auto"", ""en""), """")"),"seriously")</f>
        <v>seriously</v>
      </c>
      <c r="G2912" s="49" t="str">
        <f t="shared" ca="1" si="2910"/>
        <v>seriously</v>
      </c>
      <c r="H2912" s="49" t="str">
        <f t="shared" ca="1" si="2910"/>
        <v>seriously</v>
      </c>
      <c r="I2912" s="49" t="str">
        <f t="shared" ca="1" si="2910"/>
        <v>seriously</v>
      </c>
      <c r="J2912" s="49" t="str">
        <f t="shared" ca="1" si="2910"/>
        <v>seriously</v>
      </c>
    </row>
    <row r="2913" spans="1:10" ht="12.75" x14ac:dyDescent="0.2">
      <c r="A2913" s="41" t="s">
        <v>82</v>
      </c>
      <c r="B2913" s="40"/>
      <c r="C2913" s="40"/>
      <c r="D2913" s="40"/>
      <c r="E2913" s="40"/>
      <c r="F2913" s="49" t="str">
        <f t="shared" ref="F2913:J2913" ca="1" si="2911">IFERROR(__xludf.DUMMYFUNCTION("if (A2913 &lt;&gt; """", GOOGLETRANSLATE(A2913, ""auto"", ""en""), """")"),"Really")</f>
        <v>Really</v>
      </c>
      <c r="G2913" s="49" t="str">
        <f t="shared" ca="1" si="2911"/>
        <v>Really</v>
      </c>
      <c r="H2913" s="49" t="str">
        <f t="shared" ca="1" si="2911"/>
        <v>Really</v>
      </c>
      <c r="I2913" s="49" t="str">
        <f t="shared" ca="1" si="2911"/>
        <v>Really</v>
      </c>
      <c r="J2913" s="49" t="str">
        <f t="shared" ca="1" si="2911"/>
        <v>Really</v>
      </c>
    </row>
    <row r="2914" spans="1:10" ht="12.75" x14ac:dyDescent="0.2">
      <c r="A2914" s="41" t="s">
        <v>811</v>
      </c>
      <c r="B2914" s="40"/>
      <c r="C2914" s="40"/>
      <c r="D2914" s="40"/>
      <c r="E2914" s="40"/>
      <c r="F2914" s="49" t="str">
        <f t="shared" ref="F2914:J2914" ca="1" si="2912">IFERROR(__xludf.DUMMYFUNCTION("if (A2914 &lt;&gt; """", GOOGLETRANSLATE(A2914, ""auto"", ""en""), """")")," Incredible")</f>
        <v> Incredible</v>
      </c>
      <c r="G2914" s="49" t="str">
        <f t="shared" ca="1" si="2912"/>
        <v> Incredible</v>
      </c>
      <c r="H2914" s="49" t="str">
        <f t="shared" ca="1" si="2912"/>
        <v> Incredible</v>
      </c>
      <c r="I2914" s="49" t="str">
        <f t="shared" ca="1" si="2912"/>
        <v> Incredible</v>
      </c>
      <c r="J2914" s="49" t="str">
        <f t="shared" ca="1" si="2912"/>
        <v> Incredible</v>
      </c>
    </row>
    <row r="2915" spans="1:10" ht="12.75" x14ac:dyDescent="0.2">
      <c r="A2915" s="41" t="s">
        <v>80</v>
      </c>
      <c r="B2915" s="40"/>
      <c r="C2915" s="40"/>
      <c r="D2915" s="40"/>
      <c r="E2915" s="40"/>
      <c r="F2915" s="49" t="str">
        <f t="shared" ref="F2915:J2915" ca="1" si="2913">IFERROR(__xludf.DUMMYFUNCTION("if (A2915 &lt;&gt; """", GOOGLETRANSLATE(A2915, ""auto"", ""en""), """")"),"U kidding me")</f>
        <v>U kidding me</v>
      </c>
      <c r="G2915" s="49" t="str">
        <f t="shared" ca="1" si="2913"/>
        <v>U kidding me</v>
      </c>
      <c r="H2915" s="49" t="str">
        <f t="shared" ca="1" si="2913"/>
        <v>U kidding me</v>
      </c>
      <c r="I2915" s="49" t="str">
        <f t="shared" ca="1" si="2913"/>
        <v>U kidding me</v>
      </c>
      <c r="J2915" s="49" t="str">
        <f t="shared" ca="1" si="2913"/>
        <v>U kidding me</v>
      </c>
    </row>
    <row r="2916" spans="1:10" ht="12.75" x14ac:dyDescent="0.2">
      <c r="A2916" s="41" t="s">
        <v>812</v>
      </c>
      <c r="B2916" s="40"/>
      <c r="C2916" s="40"/>
      <c r="D2916" s="40"/>
      <c r="E2916" s="40"/>
      <c r="F2916" s="49" t="str">
        <f t="shared" ref="F2916:J2916" ca="1" si="2914">IFERROR(__xludf.DUMMYFUNCTION("if (A2916 &lt;&gt; """", GOOGLETRANSLATE(A2916, ""auto"", ""en""), """")")," Lie")</f>
        <v> Lie</v>
      </c>
      <c r="G2916" s="49" t="str">
        <f t="shared" ca="1" si="2914"/>
        <v> Lie</v>
      </c>
      <c r="H2916" s="49" t="str">
        <f t="shared" ca="1" si="2914"/>
        <v> Lie</v>
      </c>
      <c r="I2916" s="49" t="str">
        <f t="shared" ca="1" si="2914"/>
        <v> Lie</v>
      </c>
      <c r="J2916" s="49" t="str">
        <f t="shared" ca="1" si="2914"/>
        <v> Lie</v>
      </c>
    </row>
    <row r="2917" spans="1:10" ht="12.75" x14ac:dyDescent="0.2">
      <c r="A2917" s="41" t="s">
        <v>813</v>
      </c>
      <c r="B2917" s="40"/>
      <c r="C2917" s="40"/>
      <c r="D2917" s="40"/>
      <c r="E2917" s="40"/>
      <c r="F2917" s="49" t="str">
        <f t="shared" ref="F2917:J2917" ca="1" si="2915">IFERROR(__xludf.DUMMYFUNCTION("if (A2917 &lt;&gt; """", GOOGLETRANSLATE(A2917, ""auto"", ""en""), """")")," Lie")</f>
        <v> Lie</v>
      </c>
      <c r="G2917" s="49" t="str">
        <f t="shared" ca="1" si="2915"/>
        <v> Lie</v>
      </c>
      <c r="H2917" s="49" t="str">
        <f t="shared" ca="1" si="2915"/>
        <v> Lie</v>
      </c>
      <c r="I2917" s="49" t="str">
        <f t="shared" ca="1" si="2915"/>
        <v> Lie</v>
      </c>
      <c r="J2917" s="49" t="str">
        <f t="shared" ca="1" si="2915"/>
        <v> Lie</v>
      </c>
    </row>
    <row r="2918" spans="1:10" ht="12.75" x14ac:dyDescent="0.2">
      <c r="A2918" s="41" t="s">
        <v>77</v>
      </c>
      <c r="B2918" s="40"/>
      <c r="C2918" s="40"/>
      <c r="D2918" s="40"/>
      <c r="E2918" s="40"/>
      <c r="F2918" s="49" t="str">
        <f t="shared" ref="F2918:J2918" ca="1" si="2916">IFERROR(__xludf.DUMMYFUNCTION("if (A2918 &lt;&gt; """", GOOGLETRANSLATE(A2918, ""auto"", ""en""), """")"),"really")</f>
        <v>really</v>
      </c>
      <c r="G2918" s="49" t="str">
        <f t="shared" ca="1" si="2916"/>
        <v>really</v>
      </c>
      <c r="H2918" s="49" t="str">
        <f t="shared" ca="1" si="2916"/>
        <v>really</v>
      </c>
      <c r="I2918" s="49" t="str">
        <f t="shared" ca="1" si="2916"/>
        <v>really</v>
      </c>
      <c r="J2918" s="49" t="str">
        <f t="shared" ca="1" si="2916"/>
        <v>really</v>
      </c>
    </row>
    <row r="2919" spans="1:10" ht="12.75" x14ac:dyDescent="0.2">
      <c r="A2919" s="41" t="s">
        <v>74</v>
      </c>
      <c r="B2919" s="40"/>
      <c r="C2919" s="40"/>
      <c r="D2919" s="40"/>
      <c r="E2919" s="40"/>
      <c r="F2919" s="49" t="str">
        <f t="shared" ref="F2919:J2919" ca="1" si="2917">IFERROR(__xludf.DUMMYFUNCTION("if (A2919 &lt;&gt; """", GOOGLETRANSLATE(A2919, ""auto"", ""en""), """")"),"really")</f>
        <v>really</v>
      </c>
      <c r="G2919" s="49" t="str">
        <f t="shared" ca="1" si="2917"/>
        <v>really</v>
      </c>
      <c r="H2919" s="49" t="str">
        <f t="shared" ca="1" si="2917"/>
        <v>really</v>
      </c>
      <c r="I2919" s="49" t="str">
        <f t="shared" ca="1" si="2917"/>
        <v>really</v>
      </c>
      <c r="J2919" s="49" t="str">
        <f t="shared" ca="1" si="2917"/>
        <v>really</v>
      </c>
    </row>
    <row r="2920" spans="1:10" ht="12.75" x14ac:dyDescent="0.2">
      <c r="A2920" s="41" t="s">
        <v>70</v>
      </c>
      <c r="B2920" s="40"/>
      <c r="C2920" s="40"/>
      <c r="D2920" s="40"/>
      <c r="E2920" s="40"/>
      <c r="F2920" s="49" t="str">
        <f t="shared" ref="F2920:J2920" ca="1" si="2918">IFERROR(__xludf.DUMMYFUNCTION("if (A2920 &lt;&gt; """", GOOGLETRANSLATE(A2920, ""auto"", ""en""), """")"),"Truth")</f>
        <v>Truth</v>
      </c>
      <c r="G2920" s="49" t="str">
        <f t="shared" ca="1" si="2918"/>
        <v>Truth</v>
      </c>
      <c r="H2920" s="49" t="str">
        <f t="shared" ca="1" si="2918"/>
        <v>Truth</v>
      </c>
      <c r="I2920" s="49" t="str">
        <f t="shared" ca="1" si="2918"/>
        <v>Truth</v>
      </c>
      <c r="J2920" s="49" t="str">
        <f t="shared" ca="1" si="2918"/>
        <v>Truth</v>
      </c>
    </row>
    <row r="2921" spans="1:10" ht="12.75" x14ac:dyDescent="0.2">
      <c r="A2921" s="41" t="s">
        <v>68</v>
      </c>
      <c r="B2921" s="40"/>
      <c r="C2921" s="40"/>
      <c r="D2921" s="40"/>
      <c r="E2921" s="40"/>
      <c r="F2921" s="49" t="str">
        <f t="shared" ref="F2921:J2921" ca="1" si="2919">IFERROR(__xludf.DUMMYFUNCTION("if (A2921 &lt;&gt; """", GOOGLETRANSLATE(A2921, ""auto"", ""en""), """")"),"really")</f>
        <v>really</v>
      </c>
      <c r="G2921" s="49" t="str">
        <f t="shared" ca="1" si="2919"/>
        <v>really</v>
      </c>
      <c r="H2921" s="49" t="str">
        <f t="shared" ca="1" si="2919"/>
        <v>really</v>
      </c>
      <c r="I2921" s="49" t="str">
        <f t="shared" ca="1" si="2919"/>
        <v>really</v>
      </c>
      <c r="J2921" s="49" t="str">
        <f t="shared" ca="1" si="2919"/>
        <v>really</v>
      </c>
    </row>
    <row r="2922" spans="1:10" ht="12.75" x14ac:dyDescent="0.2">
      <c r="A2922" s="40"/>
      <c r="B2922" s="40"/>
      <c r="C2922" s="40"/>
      <c r="D2922" s="40"/>
      <c r="E2922" s="40"/>
      <c r="F2922" s="49" t="str">
        <f t="shared" ref="F2922:J2922" ca="1" si="2920">IFERROR(__xludf.DUMMYFUNCTION("if (A2922 &lt;&gt; """", GOOGLETRANSLATE(A2922, ""auto"", ""en""), """")"),"")</f>
        <v/>
      </c>
      <c r="G2922" s="49" t="str">
        <f t="shared" ca="1" si="2920"/>
        <v/>
      </c>
      <c r="H2922" s="49" t="str">
        <f t="shared" ca="1" si="2920"/>
        <v/>
      </c>
      <c r="I2922" s="49" t="str">
        <f t="shared" ca="1" si="2920"/>
        <v/>
      </c>
      <c r="J2922" s="49" t="str">
        <f t="shared" ca="1" si="2920"/>
        <v/>
      </c>
    </row>
    <row r="2923" spans="1:10" ht="12.75" x14ac:dyDescent="0.2">
      <c r="A2923" s="41" t="s">
        <v>92</v>
      </c>
      <c r="B2923" s="40"/>
      <c r="C2923" s="40"/>
      <c r="D2923" s="40"/>
      <c r="E2923" s="40"/>
      <c r="F2923" s="49" t="str">
        <f t="shared" ref="F2923:J2923" ca="1" si="2921">IFERROR(__xludf.DUMMYFUNCTION("if (A2923 &lt;&gt; """", GOOGLETRANSLATE(A2923, ""auto"", ""en""), """")"),"Z-BeMyFriend")</f>
        <v>Z-BeMyFriend</v>
      </c>
      <c r="G2923" s="49" t="str">
        <f t="shared" ca="1" si="2921"/>
        <v>Z-BeMyFriend</v>
      </c>
      <c r="H2923" s="49" t="str">
        <f t="shared" ca="1" si="2921"/>
        <v>Z-BeMyFriend</v>
      </c>
      <c r="I2923" s="49" t="str">
        <f t="shared" ca="1" si="2921"/>
        <v>Z-BeMyFriend</v>
      </c>
      <c r="J2923" s="49" t="str">
        <f t="shared" ca="1" si="2921"/>
        <v>Z-BeMyFriend</v>
      </c>
    </row>
    <row r="2924" spans="1:10" ht="12.75" x14ac:dyDescent="0.2">
      <c r="A2924" s="40"/>
      <c r="B2924" s="41" t="s">
        <v>398</v>
      </c>
      <c r="C2924" s="40"/>
      <c r="D2924" s="40"/>
      <c r="E2924" s="40"/>
      <c r="F2924" s="49" t="str">
        <f t="shared" ref="F2924:J2924" ca="1" si="2922">IFERROR(__xludf.DUMMYFUNCTION("if (A2924 &lt;&gt; """", GOOGLETRANSLATE(A2924, ""auto"", ""en""), """")"),"")</f>
        <v/>
      </c>
      <c r="G2924" s="49" t="str">
        <f t="shared" ca="1" si="2922"/>
        <v/>
      </c>
      <c r="H2924" s="49" t="str">
        <f t="shared" ca="1" si="2922"/>
        <v/>
      </c>
      <c r="I2924" s="49" t="str">
        <f t="shared" ca="1" si="2922"/>
        <v/>
      </c>
      <c r="J2924" s="49" t="str">
        <f t="shared" ca="1" si="2922"/>
        <v/>
      </c>
    </row>
    <row r="2925" spans="1:10" ht="12.75" x14ac:dyDescent="0.2">
      <c r="A2925" s="40"/>
      <c r="B2925" s="41" t="s">
        <v>399</v>
      </c>
      <c r="C2925" s="40"/>
      <c r="D2925" s="40"/>
      <c r="E2925" s="40"/>
      <c r="F2925" s="49" t="str">
        <f t="shared" ref="F2925:J2925" ca="1" si="2923">IFERROR(__xludf.DUMMYFUNCTION("if (A2925 &lt;&gt; """", GOOGLETRANSLATE(A2925, ""auto"", ""en""), """")"),"")</f>
        <v/>
      </c>
      <c r="G2925" s="49" t="str">
        <f t="shared" ca="1" si="2923"/>
        <v/>
      </c>
      <c r="H2925" s="49" t="str">
        <f t="shared" ca="1" si="2923"/>
        <v/>
      </c>
      <c r="I2925" s="49" t="str">
        <f t="shared" ca="1" si="2923"/>
        <v/>
      </c>
      <c r="J2925" s="49" t="str">
        <f t="shared" ca="1" si="2923"/>
        <v/>
      </c>
    </row>
    <row r="2926" spans="1:10" ht="12.75" x14ac:dyDescent="0.2">
      <c r="A2926" s="40"/>
      <c r="B2926" s="41" t="s">
        <v>400</v>
      </c>
      <c r="C2926" s="40"/>
      <c r="D2926" s="40"/>
      <c r="E2926" s="40"/>
      <c r="F2926" s="49" t="str">
        <f t="shared" ref="F2926:J2926" ca="1" si="2924">IFERROR(__xludf.DUMMYFUNCTION("if (A2926 &lt;&gt; """", GOOGLETRANSLATE(A2926, ""auto"", ""en""), """")"),"")</f>
        <v/>
      </c>
      <c r="G2926" s="49" t="str">
        <f t="shared" ca="1" si="2924"/>
        <v/>
      </c>
      <c r="H2926" s="49" t="str">
        <f t="shared" ca="1" si="2924"/>
        <v/>
      </c>
      <c r="I2926" s="49" t="str">
        <f t="shared" ca="1" si="2924"/>
        <v/>
      </c>
      <c r="J2926" s="49" t="str">
        <f t="shared" ca="1" si="2924"/>
        <v/>
      </c>
    </row>
    <row r="2927" spans="1:10" ht="12.75" x14ac:dyDescent="0.2">
      <c r="A2927" s="40"/>
      <c r="B2927" s="41" t="s">
        <v>401</v>
      </c>
      <c r="C2927" s="40"/>
      <c r="D2927" s="40"/>
      <c r="E2927" s="40"/>
      <c r="F2927" s="49" t="str">
        <f t="shared" ref="F2927:J2927" ca="1" si="2925">IFERROR(__xludf.DUMMYFUNCTION("if (A2927 &lt;&gt; """", GOOGLETRANSLATE(A2927, ""auto"", ""en""), """")"),"")</f>
        <v/>
      </c>
      <c r="G2927" s="49" t="str">
        <f t="shared" ca="1" si="2925"/>
        <v/>
      </c>
      <c r="H2927" s="49" t="str">
        <f t="shared" ca="1" si="2925"/>
        <v/>
      </c>
      <c r="I2927" s="49" t="str">
        <f t="shared" ca="1" si="2925"/>
        <v/>
      </c>
      <c r="J2927" s="49" t="str">
        <f t="shared" ca="1" si="2925"/>
        <v/>
      </c>
    </row>
    <row r="2928" spans="1:10" ht="25.5" x14ac:dyDescent="0.2">
      <c r="A2928" s="41" t="s">
        <v>128</v>
      </c>
      <c r="B2928" s="41" t="s">
        <v>402</v>
      </c>
      <c r="C2928" s="41" t="s">
        <v>94</v>
      </c>
      <c r="D2928" s="40"/>
      <c r="E2928" s="40"/>
      <c r="F2928" s="49" t="str">
        <f t="shared" ref="F2928:J2928" ca="1" si="2926">IFERROR(__xludf.DUMMYFUNCTION("if (A2928 &lt;&gt; """", GOOGLETRANSLATE(A2928, ""auto"", ""en""), """")"),"Married")</f>
        <v>Married</v>
      </c>
      <c r="G2928" s="49" t="str">
        <f t="shared" ca="1" si="2926"/>
        <v>Married</v>
      </c>
      <c r="H2928" s="49" t="str">
        <f t="shared" ca="1" si="2926"/>
        <v>Married</v>
      </c>
      <c r="I2928" s="49" t="str">
        <f t="shared" ca="1" si="2926"/>
        <v>Married</v>
      </c>
      <c r="J2928" s="49" t="str">
        <f t="shared" ca="1" si="2926"/>
        <v>Married</v>
      </c>
    </row>
    <row r="2929" spans="1:10" ht="25.5" x14ac:dyDescent="0.2">
      <c r="A2929" s="41" t="s">
        <v>814</v>
      </c>
      <c r="B2929" s="40"/>
      <c r="C2929" s="40"/>
      <c r="D2929" s="40"/>
      <c r="E2929" s="40"/>
      <c r="F2929" s="49" t="str">
        <f t="shared" ref="F2929:J2929" ca="1" si="2927">IFERROR(__xludf.DUMMYFUNCTION("if (A2929 &lt;&gt; """", GOOGLETRANSLATE(A2929, ""auto"", ""en""), """")")," let's get married")</f>
        <v> let's get married</v>
      </c>
      <c r="G2929" s="49" t="str">
        <f t="shared" ca="1" si="2927"/>
        <v> let's get married</v>
      </c>
      <c r="H2929" s="49" t="str">
        <f t="shared" ca="1" si="2927"/>
        <v> let's get married</v>
      </c>
      <c r="I2929" s="49" t="str">
        <f t="shared" ca="1" si="2927"/>
        <v> let's get married</v>
      </c>
      <c r="J2929" s="49" t="str">
        <f t="shared" ca="1" si="2927"/>
        <v> let's get married</v>
      </c>
    </row>
    <row r="2930" spans="1:10" ht="38.25" x14ac:dyDescent="0.2">
      <c r="A2930" s="41" t="s">
        <v>815</v>
      </c>
      <c r="B2930" s="40"/>
      <c r="C2930" s="40"/>
      <c r="D2930" s="40"/>
      <c r="E2930" s="40"/>
      <c r="F2930" s="49" t="str">
        <f t="shared" ref="F2930:J2930" ca="1" si="2928">IFERROR(__xludf.DUMMYFUNCTION("if (A2930 &lt;&gt; """", GOOGLETRANSLATE(A2930, ""auto"", ""en""), """")")," Chapter going to get married")</f>
        <v> Chapter going to get married</v>
      </c>
      <c r="G2930" s="49" t="str">
        <f t="shared" ca="1" si="2928"/>
        <v> Chapter going to get married</v>
      </c>
      <c r="H2930" s="49" t="str">
        <f t="shared" ca="1" si="2928"/>
        <v> Chapter going to get married</v>
      </c>
      <c r="I2930" s="49" t="str">
        <f t="shared" ca="1" si="2928"/>
        <v> Chapter going to get married</v>
      </c>
      <c r="J2930" s="49" t="str">
        <f t="shared" ca="1" si="2928"/>
        <v> Chapter going to get married</v>
      </c>
    </row>
    <row r="2931" spans="1:10" ht="25.5" x14ac:dyDescent="0.2">
      <c r="A2931" s="41" t="s">
        <v>122</v>
      </c>
      <c r="B2931" s="40"/>
      <c r="C2931" s="40"/>
      <c r="D2931" s="40"/>
      <c r="E2931" s="40"/>
      <c r="F2931" s="49" t="str">
        <f t="shared" ref="F2931:J2931" ca="1" si="2929">IFERROR(__xludf.DUMMYFUNCTION("if (A2931 &lt;&gt; """", GOOGLETRANSLATE(A2931, ""auto"", ""en""), """")"),"Please be dating")</f>
        <v>Please be dating</v>
      </c>
      <c r="G2931" s="49" t="str">
        <f t="shared" ca="1" si="2929"/>
        <v>Please be dating</v>
      </c>
      <c r="H2931" s="49" t="str">
        <f t="shared" ca="1" si="2929"/>
        <v>Please be dating</v>
      </c>
      <c r="I2931" s="49" t="str">
        <f t="shared" ca="1" si="2929"/>
        <v>Please be dating</v>
      </c>
      <c r="J2931" s="49" t="str">
        <f t="shared" ca="1" si="2929"/>
        <v>Please be dating</v>
      </c>
    </row>
    <row r="2932" spans="1:10" ht="25.5" x14ac:dyDescent="0.2">
      <c r="A2932" s="41" t="s">
        <v>816</v>
      </c>
      <c r="B2932" s="40"/>
      <c r="C2932" s="40"/>
      <c r="D2932" s="40"/>
      <c r="E2932" s="40"/>
      <c r="F2932" s="49" t="str">
        <f t="shared" ref="F2932:J2932" ca="1" si="2930">IFERROR(__xludf.DUMMYFUNCTION("if (A2932 &lt;&gt; """", GOOGLETRANSLATE(A2932, ""auto"", ""en""), """")")," Socializing Machaut")</f>
        <v> Socializing Machaut</v>
      </c>
      <c r="G2932" s="49" t="str">
        <f t="shared" ca="1" si="2930"/>
        <v> Socializing Machaut</v>
      </c>
      <c r="H2932" s="49" t="str">
        <f t="shared" ca="1" si="2930"/>
        <v> Socializing Machaut</v>
      </c>
      <c r="I2932" s="49" t="str">
        <f t="shared" ca="1" si="2930"/>
        <v> Socializing Machaut</v>
      </c>
      <c r="J2932" s="49" t="str">
        <f t="shared" ca="1" si="2930"/>
        <v> Socializing Machaut</v>
      </c>
    </row>
    <row r="2933" spans="1:10" ht="25.5" x14ac:dyDescent="0.2">
      <c r="A2933" s="41" t="s">
        <v>817</v>
      </c>
      <c r="B2933" s="40"/>
      <c r="C2933" s="40"/>
      <c r="D2933" s="40"/>
      <c r="E2933" s="40"/>
      <c r="F2933" s="49" t="str">
        <f t="shared" ref="F2933:J2933" ca="1" si="2931">IFERROR(__xludf.DUMMYFUNCTION("if (A2933 &lt;&gt; """", GOOGLETRANSLATE(A2933, ""auto"", ""en""), """")")," Let's relationship")</f>
        <v> Let's relationship</v>
      </c>
      <c r="G2933" s="49" t="str">
        <f t="shared" ca="1" si="2931"/>
        <v> Let's relationship</v>
      </c>
      <c r="H2933" s="49" t="str">
        <f t="shared" ca="1" si="2931"/>
        <v> Let's relationship</v>
      </c>
      <c r="I2933" s="49" t="str">
        <f t="shared" ca="1" si="2931"/>
        <v> Let's relationship</v>
      </c>
      <c r="J2933" s="49" t="str">
        <f t="shared" ca="1" si="2931"/>
        <v> Let's relationship</v>
      </c>
    </row>
    <row r="2934" spans="1:10" ht="12.75" x14ac:dyDescent="0.2">
      <c r="A2934" s="41" t="s">
        <v>116</v>
      </c>
      <c r="B2934" s="40"/>
      <c r="C2934" s="40"/>
      <c r="D2934" s="40"/>
      <c r="E2934" s="40"/>
      <c r="F2934" s="49" t="str">
        <f t="shared" ref="F2934:J2934" ca="1" si="2932">IFERROR(__xludf.DUMMYFUNCTION("if (A2934 &lt;&gt; """", GOOGLETRANSLATE(A2934, ""auto"", ""en""), """")"),"Dating to")</f>
        <v>Dating to</v>
      </c>
      <c r="G2934" s="49" t="str">
        <f t="shared" ca="1" si="2932"/>
        <v>Dating to</v>
      </c>
      <c r="H2934" s="49" t="str">
        <f t="shared" ca="1" si="2932"/>
        <v>Dating to</v>
      </c>
      <c r="I2934" s="49" t="str">
        <f t="shared" ca="1" si="2932"/>
        <v>Dating to</v>
      </c>
      <c r="J2934" s="49" t="str">
        <f t="shared" ca="1" si="2932"/>
        <v>Dating to</v>
      </c>
    </row>
    <row r="2935" spans="1:10" ht="12.75" x14ac:dyDescent="0.2">
      <c r="A2935" s="41" t="s">
        <v>818</v>
      </c>
      <c r="B2935" s="40"/>
      <c r="C2935" s="40"/>
      <c r="D2935" s="40"/>
      <c r="E2935" s="40"/>
      <c r="F2935" s="49" t="str">
        <f t="shared" ref="F2935:J2935" ca="1" si="2933">IFERROR(__xludf.DUMMYFUNCTION("if (A2935 &lt;&gt; """", GOOGLETRANSLATE(A2935, ""auto"", ""en""), """")")," Asobo")</f>
        <v> Asobo</v>
      </c>
      <c r="G2935" s="49" t="str">
        <f t="shared" ca="1" si="2933"/>
        <v> Asobo</v>
      </c>
      <c r="H2935" s="49" t="str">
        <f t="shared" ca="1" si="2933"/>
        <v> Asobo</v>
      </c>
      <c r="I2935" s="49" t="str">
        <f t="shared" ca="1" si="2933"/>
        <v> Asobo</v>
      </c>
      <c r="J2935" s="49" t="str">
        <f t="shared" ca="1" si="2933"/>
        <v> Asobo</v>
      </c>
    </row>
    <row r="2936" spans="1:10" ht="12.75" x14ac:dyDescent="0.2">
      <c r="A2936" s="41" t="s">
        <v>819</v>
      </c>
      <c r="B2936" s="40"/>
      <c r="C2936" s="40"/>
      <c r="D2936" s="40"/>
      <c r="E2936" s="40"/>
      <c r="F2936" s="49" t="str">
        <f t="shared" ref="F2936:J2936" ca="1" si="2934">IFERROR(__xludf.DUMMYFUNCTION("if (A2936 &lt;&gt; """", GOOGLETRANSLATE(A2936, ""auto"", ""en""), """")")," Let's play")</f>
        <v> Let's play</v>
      </c>
      <c r="G2936" s="49" t="str">
        <f t="shared" ca="1" si="2934"/>
        <v> Let's play</v>
      </c>
      <c r="H2936" s="49" t="str">
        <f t="shared" ca="1" si="2934"/>
        <v> Let's play</v>
      </c>
      <c r="I2936" s="49" t="str">
        <f t="shared" ca="1" si="2934"/>
        <v> Let's play</v>
      </c>
      <c r="J2936" s="49" t="str">
        <f t="shared" ca="1" si="2934"/>
        <v> Let's play</v>
      </c>
    </row>
    <row r="2937" spans="1:10" ht="12.75" x14ac:dyDescent="0.2">
      <c r="A2937" s="41" t="s">
        <v>104</v>
      </c>
      <c r="B2937" s="40"/>
      <c r="C2937" s="40"/>
      <c r="D2937" s="40"/>
      <c r="E2937" s="40"/>
      <c r="F2937" s="49" t="str">
        <f t="shared" ref="F2937:J2937" ca="1" si="2935">IFERROR(__xludf.DUMMYFUNCTION("if (A2937 &lt;&gt; """", GOOGLETRANSLATE(A2937, ""auto"", ""en""), """")"),"Let's play")</f>
        <v>Let's play</v>
      </c>
      <c r="G2937" s="49" t="str">
        <f t="shared" ca="1" si="2935"/>
        <v>Let's play</v>
      </c>
      <c r="H2937" s="49" t="str">
        <f t="shared" ca="1" si="2935"/>
        <v>Let's play</v>
      </c>
      <c r="I2937" s="49" t="str">
        <f t="shared" ca="1" si="2935"/>
        <v>Let's play</v>
      </c>
      <c r="J2937" s="49" t="str">
        <f t="shared" ca="1" si="2935"/>
        <v>Let's play</v>
      </c>
    </row>
    <row r="2938" spans="1:10" ht="25.5" x14ac:dyDescent="0.2">
      <c r="A2938" s="41" t="s">
        <v>820</v>
      </c>
      <c r="B2938" s="40"/>
      <c r="C2938" s="40"/>
      <c r="D2938" s="40"/>
      <c r="E2938" s="40"/>
      <c r="F2938" s="49" t="str">
        <f t="shared" ref="F2938:J2938" ca="1" si="2936">IFERROR(__xludf.DUMMYFUNCTION("if (A2938 &lt;&gt; """", GOOGLETRANSLATE(A2938, ""auto"", ""en""), """")")," That's Friends")</f>
        <v> That's Friends</v>
      </c>
      <c r="G2938" s="49" t="str">
        <f t="shared" ca="1" si="2936"/>
        <v> That's Friends</v>
      </c>
      <c r="H2938" s="49" t="str">
        <f t="shared" ca="1" si="2936"/>
        <v> That's Friends</v>
      </c>
      <c r="I2938" s="49" t="str">
        <f t="shared" ca="1" si="2936"/>
        <v> That's Friends</v>
      </c>
      <c r="J2938" s="49" t="str">
        <f t="shared" ca="1" si="2936"/>
        <v> That's Friends</v>
      </c>
    </row>
    <row r="2939" spans="1:10" ht="12.75" x14ac:dyDescent="0.2">
      <c r="A2939" s="41" t="s">
        <v>821</v>
      </c>
      <c r="B2939" s="40"/>
      <c r="C2939" s="40"/>
      <c r="D2939" s="40"/>
      <c r="E2939" s="40"/>
      <c r="F2939" s="49" t="str">
        <f t="shared" ref="F2939:J2939" ca="1" si="2937">IFERROR(__xludf.DUMMYFUNCTION("if (A2939 &lt;&gt; """", GOOGLETRANSLATE(A2939, ""auto"", ""en""), """")")," friend")</f>
        <v> friend</v>
      </c>
      <c r="G2939" s="49" t="str">
        <f t="shared" ca="1" si="2937"/>
        <v> friend</v>
      </c>
      <c r="H2939" s="49" t="str">
        <f t="shared" ca="1" si="2937"/>
        <v> friend</v>
      </c>
      <c r="I2939" s="49" t="str">
        <f t="shared" ca="1" si="2937"/>
        <v> friend</v>
      </c>
      <c r="J2939" s="49" t="str">
        <f t="shared" ca="1" si="2937"/>
        <v> friend</v>
      </c>
    </row>
    <row r="2940" spans="1:10" ht="25.5" x14ac:dyDescent="0.2">
      <c r="A2940" s="41" t="s">
        <v>93</v>
      </c>
      <c r="B2940" s="40"/>
      <c r="C2940" s="40"/>
      <c r="D2940" s="40"/>
      <c r="E2940" s="40"/>
      <c r="F2940" s="49" t="str">
        <f t="shared" ref="F2940:J2940" ca="1" si="2938">IFERROR(__xludf.DUMMYFUNCTION("if (A2940 &lt;&gt; """", GOOGLETRANSLATE(A2940, ""auto"", ""en""), """")"),"Let's be friends")</f>
        <v>Let's be friends</v>
      </c>
      <c r="G2940" s="49" t="str">
        <f t="shared" ca="1" si="2938"/>
        <v>Let's be friends</v>
      </c>
      <c r="H2940" s="49" t="str">
        <f t="shared" ca="1" si="2938"/>
        <v>Let's be friends</v>
      </c>
      <c r="I2940" s="49" t="str">
        <f t="shared" ca="1" si="2938"/>
        <v>Let's be friends</v>
      </c>
      <c r="J2940" s="49" t="str">
        <f t="shared" ca="1" si="2938"/>
        <v>Let's be friends</v>
      </c>
    </row>
    <row r="2941" spans="1:10" ht="12.75" x14ac:dyDescent="0.2">
      <c r="A2941" s="40"/>
      <c r="B2941" s="40"/>
      <c r="C2941" s="40"/>
      <c r="D2941" s="40"/>
      <c r="E2941" s="40"/>
      <c r="F2941" s="49" t="str">
        <f t="shared" ref="F2941:J2941" ca="1" si="2939">IFERROR(__xludf.DUMMYFUNCTION("if (A2941 &lt;&gt; """", GOOGLETRANSLATE(A2941, ""auto"", ""en""), """")"),"")</f>
        <v/>
      </c>
      <c r="G2941" s="49" t="str">
        <f t="shared" ca="1" si="2939"/>
        <v/>
      </c>
      <c r="H2941" s="49" t="str">
        <f t="shared" ca="1" si="2939"/>
        <v/>
      </c>
      <c r="I2941" s="49" t="str">
        <f t="shared" ca="1" si="2939"/>
        <v/>
      </c>
      <c r="J2941" s="49" t="str">
        <f t="shared" ca="1" si="2939"/>
        <v/>
      </c>
    </row>
    <row r="2942" spans="1:10" ht="12.75" x14ac:dyDescent="0.2">
      <c r="A2942" s="41" t="s">
        <v>129</v>
      </c>
      <c r="B2942" s="40"/>
      <c r="C2942" s="40"/>
      <c r="D2942" s="40"/>
      <c r="E2942" s="40"/>
      <c r="F2942" s="49" t="str">
        <f t="shared" ref="F2942:J2942" ca="1" si="2940">IFERROR(__xludf.DUMMYFUNCTION("if (A2942 &lt;&gt; """", GOOGLETRANSLATE(A2942, ""auto"", ""en""), """")"),"On-Busy")</f>
        <v>On-Busy</v>
      </c>
      <c r="G2942" s="49" t="str">
        <f t="shared" ca="1" si="2940"/>
        <v>On-Busy</v>
      </c>
      <c r="H2942" s="49" t="str">
        <f t="shared" ca="1" si="2940"/>
        <v>On-Busy</v>
      </c>
      <c r="I2942" s="49" t="str">
        <f t="shared" ca="1" si="2940"/>
        <v>On-Busy</v>
      </c>
      <c r="J2942" s="49" t="str">
        <f t="shared" ca="1" si="2940"/>
        <v>On-Busy</v>
      </c>
    </row>
    <row r="2943" spans="1:10" ht="12.75" x14ac:dyDescent="0.2">
      <c r="A2943" s="40"/>
      <c r="B2943" s="41" t="s">
        <v>398</v>
      </c>
      <c r="C2943" s="40"/>
      <c r="D2943" s="40"/>
      <c r="E2943" s="40"/>
      <c r="F2943" s="49" t="str">
        <f t="shared" ref="F2943:J2943" ca="1" si="2941">IFERROR(__xludf.DUMMYFUNCTION("if (A2943 &lt;&gt; """", GOOGLETRANSLATE(A2943, ""auto"", ""en""), """")"),"")</f>
        <v/>
      </c>
      <c r="G2943" s="49" t="str">
        <f t="shared" ca="1" si="2941"/>
        <v/>
      </c>
      <c r="H2943" s="49" t="str">
        <f t="shared" ca="1" si="2941"/>
        <v/>
      </c>
      <c r="I2943" s="49" t="str">
        <f t="shared" ca="1" si="2941"/>
        <v/>
      </c>
      <c r="J2943" s="49" t="str">
        <f t="shared" ca="1" si="2941"/>
        <v/>
      </c>
    </row>
    <row r="2944" spans="1:10" ht="12.75" x14ac:dyDescent="0.2">
      <c r="A2944" s="40"/>
      <c r="B2944" s="41" t="s">
        <v>399</v>
      </c>
      <c r="C2944" s="40"/>
      <c r="D2944" s="40"/>
      <c r="E2944" s="40"/>
      <c r="F2944" s="49" t="str">
        <f t="shared" ref="F2944:J2944" ca="1" si="2942">IFERROR(__xludf.DUMMYFUNCTION("if (A2944 &lt;&gt; """", GOOGLETRANSLATE(A2944, ""auto"", ""en""), """")"),"")</f>
        <v/>
      </c>
      <c r="G2944" s="49" t="str">
        <f t="shared" ca="1" si="2942"/>
        <v/>
      </c>
      <c r="H2944" s="49" t="str">
        <f t="shared" ca="1" si="2942"/>
        <v/>
      </c>
      <c r="I2944" s="49" t="str">
        <f t="shared" ca="1" si="2942"/>
        <v/>
      </c>
      <c r="J2944" s="49" t="str">
        <f t="shared" ca="1" si="2942"/>
        <v/>
      </c>
    </row>
    <row r="2945" spans="1:10" ht="12.75" x14ac:dyDescent="0.2">
      <c r="A2945" s="40"/>
      <c r="B2945" s="41" t="s">
        <v>400</v>
      </c>
      <c r="C2945" s="40"/>
      <c r="D2945" s="40"/>
      <c r="E2945" s="40"/>
      <c r="F2945" s="49" t="str">
        <f t="shared" ref="F2945:J2945" ca="1" si="2943">IFERROR(__xludf.DUMMYFUNCTION("if (A2945 &lt;&gt; """", GOOGLETRANSLATE(A2945, ""auto"", ""en""), """")"),"")</f>
        <v/>
      </c>
      <c r="G2945" s="49" t="str">
        <f t="shared" ca="1" si="2943"/>
        <v/>
      </c>
      <c r="H2945" s="49" t="str">
        <f t="shared" ca="1" si="2943"/>
        <v/>
      </c>
      <c r="I2945" s="49" t="str">
        <f t="shared" ca="1" si="2943"/>
        <v/>
      </c>
      <c r="J2945" s="49" t="str">
        <f t="shared" ca="1" si="2943"/>
        <v/>
      </c>
    </row>
    <row r="2946" spans="1:10" ht="12.75" x14ac:dyDescent="0.2">
      <c r="A2946" s="40"/>
      <c r="B2946" s="41" t="s">
        <v>401</v>
      </c>
      <c r="C2946" s="40"/>
      <c r="D2946" s="40"/>
      <c r="E2946" s="40"/>
      <c r="F2946" s="49" t="str">
        <f t="shared" ref="F2946:J2946" ca="1" si="2944">IFERROR(__xludf.DUMMYFUNCTION("if (A2946 &lt;&gt; """", GOOGLETRANSLATE(A2946, ""auto"", ""en""), """")"),"")</f>
        <v/>
      </c>
      <c r="G2946" s="49" t="str">
        <f t="shared" ca="1" si="2944"/>
        <v/>
      </c>
      <c r="H2946" s="49" t="str">
        <f t="shared" ca="1" si="2944"/>
        <v/>
      </c>
      <c r="I2946" s="49" t="str">
        <f t="shared" ca="1" si="2944"/>
        <v/>
      </c>
      <c r="J2946" s="49" t="str">
        <f t="shared" ca="1" si="2944"/>
        <v/>
      </c>
    </row>
    <row r="2947" spans="1:10" ht="12.75" x14ac:dyDescent="0.2">
      <c r="A2947" s="41" t="s">
        <v>157</v>
      </c>
      <c r="B2947" s="41" t="s">
        <v>402</v>
      </c>
      <c r="C2947" s="41" t="s">
        <v>135</v>
      </c>
      <c r="D2947" s="40"/>
      <c r="E2947" s="40"/>
      <c r="F2947" s="49" t="str">
        <f t="shared" ref="F2947:J2947" ca="1" si="2945">IFERROR(__xludf.DUMMYFUNCTION("if (A2947 &lt;&gt; """", GOOGLETRANSLATE(A2947, ""auto"", ""en""), """")"),"Busy")</f>
        <v>Busy</v>
      </c>
      <c r="G2947" s="49" t="str">
        <f t="shared" ca="1" si="2945"/>
        <v>Busy</v>
      </c>
      <c r="H2947" s="49" t="str">
        <f t="shared" ca="1" si="2945"/>
        <v>Busy</v>
      </c>
      <c r="I2947" s="49" t="str">
        <f t="shared" ca="1" si="2945"/>
        <v>Busy</v>
      </c>
      <c r="J2947" s="49" t="str">
        <f t="shared" ca="1" si="2945"/>
        <v>Busy</v>
      </c>
    </row>
    <row r="2948" spans="1:10" ht="12.75" x14ac:dyDescent="0.2">
      <c r="A2948" s="41" t="s">
        <v>822</v>
      </c>
      <c r="B2948" s="40"/>
      <c r="C2948" s="40"/>
      <c r="D2948" s="40"/>
      <c r="E2948" s="40"/>
      <c r="F2948" s="49" t="str">
        <f t="shared" ref="F2948:J2948" ca="1" si="2946">IFERROR(__xludf.DUMMYFUNCTION("if (A2948 &lt;&gt; """", GOOGLETRANSLATE(A2948, ""auto"", ""en""), """")")," busy")</f>
        <v> busy</v>
      </c>
      <c r="G2948" s="49" t="str">
        <f t="shared" ca="1" si="2946"/>
        <v> busy</v>
      </c>
      <c r="H2948" s="49" t="str">
        <f t="shared" ca="1" si="2946"/>
        <v> busy</v>
      </c>
      <c r="I2948" s="49" t="str">
        <f t="shared" ca="1" si="2946"/>
        <v> busy</v>
      </c>
      <c r="J2948" s="49" t="str">
        <f t="shared" ca="1" si="2946"/>
        <v> busy</v>
      </c>
    </row>
    <row r="2949" spans="1:10" ht="12.75" x14ac:dyDescent="0.2">
      <c r="A2949" s="41" t="s">
        <v>823</v>
      </c>
      <c r="B2949" s="40"/>
      <c r="C2949" s="40"/>
      <c r="D2949" s="40"/>
      <c r="E2949" s="40"/>
      <c r="F2949" s="49" t="str">
        <f t="shared" ref="F2949:J2949" ca="1" si="2947">IFERROR(__xludf.DUMMYFUNCTION("if (A2949 &lt;&gt; """", GOOGLETRANSLATE(A2949, ""auto"", ""en""), """")")," Are you free")</f>
        <v> Are you free</v>
      </c>
      <c r="G2949" s="49" t="str">
        <f t="shared" ca="1" si="2947"/>
        <v> Are you free</v>
      </c>
      <c r="H2949" s="49" t="str">
        <f t="shared" ca="1" si="2947"/>
        <v> Are you free</v>
      </c>
      <c r="I2949" s="49" t="str">
        <f t="shared" ca="1" si="2947"/>
        <v> Are you free</v>
      </c>
      <c r="J2949" s="49" t="str">
        <f t="shared" ca="1" si="2947"/>
        <v> Are you free</v>
      </c>
    </row>
    <row r="2950" spans="1:10" ht="25.5" x14ac:dyDescent="0.2">
      <c r="A2950" s="41" t="s">
        <v>824</v>
      </c>
      <c r="B2950" s="40"/>
      <c r="C2950" s="40"/>
      <c r="D2950" s="40"/>
      <c r="E2950" s="40"/>
      <c r="F2950" s="49" t="str">
        <f t="shared" ref="F2950:J2950" ca="1" si="2948">IFERROR(__xludf.DUMMYFUNCTION("if (A2950 &lt;&gt; """", GOOGLETRANSLATE(A2950, ""auto"", ""en""), """")")," That's Himaso")</f>
        <v> That's Himaso</v>
      </c>
      <c r="G2950" s="49" t="str">
        <f t="shared" ca="1" si="2948"/>
        <v> That's Himaso</v>
      </c>
      <c r="H2950" s="49" t="str">
        <f t="shared" ca="1" si="2948"/>
        <v> That's Himaso</v>
      </c>
      <c r="I2950" s="49" t="str">
        <f t="shared" ca="1" si="2948"/>
        <v> That's Himaso</v>
      </c>
      <c r="J2950" s="49" t="str">
        <f t="shared" ca="1" si="2948"/>
        <v> That's Himaso</v>
      </c>
    </row>
    <row r="2951" spans="1:10" ht="25.5" x14ac:dyDescent="0.2">
      <c r="A2951" s="41" t="s">
        <v>148</v>
      </c>
      <c r="B2951" s="40"/>
      <c r="C2951" s="40"/>
      <c r="D2951" s="40"/>
      <c r="E2951" s="40"/>
      <c r="F2951" s="49" t="str">
        <f t="shared" ref="F2951:J2951" ca="1" si="2949">IFERROR(__xludf.DUMMYFUNCTION("if (A2951 &lt;&gt; """", GOOGLETRANSLATE(A2951, ""auto"", ""en""), """")"),"That's spare time likely")</f>
        <v>That's spare time likely</v>
      </c>
      <c r="G2951" s="49" t="str">
        <f t="shared" ca="1" si="2949"/>
        <v>That's spare time likely</v>
      </c>
      <c r="H2951" s="49" t="str">
        <f t="shared" ca="1" si="2949"/>
        <v>That's spare time likely</v>
      </c>
      <c r="I2951" s="49" t="str">
        <f t="shared" ca="1" si="2949"/>
        <v>That's spare time likely</v>
      </c>
      <c r="J2951" s="49" t="str">
        <f t="shared" ca="1" si="2949"/>
        <v>That's spare time likely</v>
      </c>
    </row>
    <row r="2952" spans="1:10" ht="12.75" x14ac:dyDescent="0.2">
      <c r="A2952" s="41" t="s">
        <v>825</v>
      </c>
      <c r="B2952" s="40"/>
      <c r="C2952" s="40"/>
      <c r="D2952" s="40"/>
      <c r="E2952" s="40"/>
      <c r="F2952" s="49" t="str">
        <f t="shared" ref="F2952:J2952" ca="1" si="2950">IFERROR(__xludf.DUMMYFUNCTION("if (A2952 &lt;&gt; """", GOOGLETRANSLATE(A2952, ""auto"", ""en""), """")")," Himaso")</f>
        <v> Himaso</v>
      </c>
      <c r="G2952" s="49" t="str">
        <f t="shared" ca="1" si="2950"/>
        <v> Himaso</v>
      </c>
      <c r="H2952" s="49" t="str">
        <f t="shared" ca="1" si="2950"/>
        <v> Himaso</v>
      </c>
      <c r="I2952" s="49" t="str">
        <f t="shared" ca="1" si="2950"/>
        <v> Himaso</v>
      </c>
      <c r="J2952" s="49" t="str">
        <f t="shared" ca="1" si="2950"/>
        <v> Himaso</v>
      </c>
    </row>
    <row r="2953" spans="1:10" ht="25.5" x14ac:dyDescent="0.2">
      <c r="A2953" s="41" t="s">
        <v>826</v>
      </c>
      <c r="B2953" s="40"/>
      <c r="C2953" s="40"/>
      <c r="D2953" s="40"/>
      <c r="E2953" s="40"/>
      <c r="F2953" s="49" t="str">
        <f t="shared" ref="F2953:J2953" ca="1" si="2951">IFERROR(__xludf.DUMMYFUNCTION("if (A2953 &lt;&gt; """", GOOGLETRANSLATE(A2953, ""auto"", ""en""), """")")," Spare time likely")</f>
        <v> Spare time likely</v>
      </c>
      <c r="G2953" s="49" t="str">
        <f t="shared" ca="1" si="2951"/>
        <v> Spare time likely</v>
      </c>
      <c r="H2953" s="49" t="str">
        <f t="shared" ca="1" si="2951"/>
        <v> Spare time likely</v>
      </c>
      <c r="I2953" s="49" t="str">
        <f t="shared" ca="1" si="2951"/>
        <v> Spare time likely</v>
      </c>
      <c r="J2953" s="49" t="str">
        <f t="shared" ca="1" si="2951"/>
        <v> Spare time likely</v>
      </c>
    </row>
    <row r="2954" spans="1:10" ht="12.75" x14ac:dyDescent="0.2">
      <c r="A2954" s="41" t="s">
        <v>827</v>
      </c>
      <c r="B2954" s="40"/>
      <c r="C2954" s="40"/>
      <c r="D2954" s="40"/>
      <c r="E2954" s="40"/>
      <c r="F2954" s="49" t="str">
        <f t="shared" ref="F2954:J2954" ca="1" si="2952">IFERROR(__xludf.DUMMYFUNCTION("if (A2954 &lt;&gt; """", GOOGLETRANSLATE(A2954, ""auto"", ""en""), """")")," Free time")</f>
        <v> Free time</v>
      </c>
      <c r="G2954" s="49" t="str">
        <f t="shared" ca="1" si="2952"/>
        <v> Free time</v>
      </c>
      <c r="H2954" s="49" t="str">
        <f t="shared" ca="1" si="2952"/>
        <v> Free time</v>
      </c>
      <c r="I2954" s="49" t="str">
        <f t="shared" ca="1" si="2952"/>
        <v> Free time</v>
      </c>
      <c r="J2954" s="49" t="str">
        <f t="shared" ca="1" si="2952"/>
        <v> Free time</v>
      </c>
    </row>
    <row r="2955" spans="1:10" ht="12.75" x14ac:dyDescent="0.2">
      <c r="A2955" s="41" t="s">
        <v>133</v>
      </c>
      <c r="B2955" s="40"/>
      <c r="C2955" s="40"/>
      <c r="D2955" s="40"/>
      <c r="E2955" s="40"/>
      <c r="F2955" s="49" t="str">
        <f t="shared" ref="F2955:J2955" ca="1" si="2953">IFERROR(__xludf.DUMMYFUNCTION("if (A2955 &lt;&gt; """", GOOGLETRANSLATE(A2955, ""auto"", ""en""), """")"),"Free time")</f>
        <v>Free time</v>
      </c>
      <c r="G2955" s="49" t="str">
        <f t="shared" ca="1" si="2953"/>
        <v>Free time</v>
      </c>
      <c r="H2955" s="49" t="str">
        <f t="shared" ca="1" si="2953"/>
        <v>Free time</v>
      </c>
      <c r="I2955" s="49" t="str">
        <f t="shared" ca="1" si="2953"/>
        <v>Free time</v>
      </c>
      <c r="J2955" s="49" t="str">
        <f t="shared" ca="1" si="2953"/>
        <v>Free time</v>
      </c>
    </row>
    <row r="2956" spans="1:10" ht="12.75" x14ac:dyDescent="0.2">
      <c r="A2956" s="40"/>
      <c r="B2956" s="40"/>
      <c r="C2956" s="40"/>
      <c r="D2956" s="40"/>
      <c r="E2956" s="40"/>
      <c r="F2956" s="49" t="str">
        <f t="shared" ref="F2956:J2956" ca="1" si="2954">IFERROR(__xludf.DUMMYFUNCTION("if (A2956 &lt;&gt; """", GOOGLETRANSLATE(A2956, ""auto"", ""en""), """")"),"")</f>
        <v/>
      </c>
      <c r="G2956" s="49" t="str">
        <f t="shared" ca="1" si="2954"/>
        <v/>
      </c>
      <c r="H2956" s="49" t="str">
        <f t="shared" ca="1" si="2954"/>
        <v/>
      </c>
      <c r="I2956" s="49" t="str">
        <f t="shared" ca="1" si="2954"/>
        <v/>
      </c>
      <c r="J2956" s="49" t="str">
        <f t="shared" ca="1" si="2954"/>
        <v/>
      </c>
    </row>
    <row r="2957" spans="1:10" ht="12.75" x14ac:dyDescent="0.2">
      <c r="A2957" s="41" t="s">
        <v>160</v>
      </c>
      <c r="B2957" s="40"/>
      <c r="C2957" s="40"/>
      <c r="D2957" s="40"/>
      <c r="E2957" s="40"/>
      <c r="F2957" s="49" t="str">
        <f t="shared" ref="F2957:J2957" ca="1" si="2955">IFERROR(__xludf.DUMMYFUNCTION("if (A2957 &lt;&gt; """", GOOGLETRANSLATE(A2957, ""auto"", ""en""), """")"),"Z-Goodbye")</f>
        <v>Z-Goodbye</v>
      </c>
      <c r="G2957" s="49" t="str">
        <f t="shared" ca="1" si="2955"/>
        <v>Z-Goodbye</v>
      </c>
      <c r="H2957" s="49" t="str">
        <f t="shared" ca="1" si="2955"/>
        <v>Z-Goodbye</v>
      </c>
      <c r="I2957" s="49" t="str">
        <f t="shared" ca="1" si="2955"/>
        <v>Z-Goodbye</v>
      </c>
      <c r="J2957" s="49" t="str">
        <f t="shared" ca="1" si="2955"/>
        <v>Z-Goodbye</v>
      </c>
    </row>
    <row r="2958" spans="1:10" ht="12.75" x14ac:dyDescent="0.2">
      <c r="A2958" s="40"/>
      <c r="B2958" s="41" t="s">
        <v>398</v>
      </c>
      <c r="C2958" s="40"/>
      <c r="D2958" s="40"/>
      <c r="E2958" s="40"/>
      <c r="F2958" s="49" t="str">
        <f t="shared" ref="F2958:J2958" ca="1" si="2956">IFERROR(__xludf.DUMMYFUNCTION("if (A2958 &lt;&gt; """", GOOGLETRANSLATE(A2958, ""auto"", ""en""), """")"),"")</f>
        <v/>
      </c>
      <c r="G2958" s="49" t="str">
        <f t="shared" ca="1" si="2956"/>
        <v/>
      </c>
      <c r="H2958" s="49" t="str">
        <f t="shared" ca="1" si="2956"/>
        <v/>
      </c>
      <c r="I2958" s="49" t="str">
        <f t="shared" ca="1" si="2956"/>
        <v/>
      </c>
      <c r="J2958" s="49" t="str">
        <f t="shared" ca="1" si="2956"/>
        <v/>
      </c>
    </row>
    <row r="2959" spans="1:10" ht="12.75" x14ac:dyDescent="0.2">
      <c r="A2959" s="40"/>
      <c r="B2959" s="41" t="s">
        <v>399</v>
      </c>
      <c r="C2959" s="40"/>
      <c r="D2959" s="40"/>
      <c r="E2959" s="40"/>
      <c r="F2959" s="49" t="str">
        <f t="shared" ref="F2959:J2959" ca="1" si="2957">IFERROR(__xludf.DUMMYFUNCTION("if (A2959 &lt;&gt; """", GOOGLETRANSLATE(A2959, ""auto"", ""en""), """")"),"")</f>
        <v/>
      </c>
      <c r="G2959" s="49" t="str">
        <f t="shared" ca="1" si="2957"/>
        <v/>
      </c>
      <c r="H2959" s="49" t="str">
        <f t="shared" ca="1" si="2957"/>
        <v/>
      </c>
      <c r="I2959" s="49" t="str">
        <f t="shared" ca="1" si="2957"/>
        <v/>
      </c>
      <c r="J2959" s="49" t="str">
        <f t="shared" ca="1" si="2957"/>
        <v/>
      </c>
    </row>
    <row r="2960" spans="1:10" ht="12.75" x14ac:dyDescent="0.2">
      <c r="A2960" s="40"/>
      <c r="B2960" s="41" t="s">
        <v>400</v>
      </c>
      <c r="C2960" s="40"/>
      <c r="D2960" s="40"/>
      <c r="E2960" s="40"/>
      <c r="F2960" s="49" t="str">
        <f t="shared" ref="F2960:J2960" ca="1" si="2958">IFERROR(__xludf.DUMMYFUNCTION("if (A2960 &lt;&gt; """", GOOGLETRANSLATE(A2960, ""auto"", ""en""), """")"),"")</f>
        <v/>
      </c>
      <c r="G2960" s="49" t="str">
        <f t="shared" ca="1" si="2958"/>
        <v/>
      </c>
      <c r="H2960" s="49" t="str">
        <f t="shared" ca="1" si="2958"/>
        <v/>
      </c>
      <c r="I2960" s="49" t="str">
        <f t="shared" ca="1" si="2958"/>
        <v/>
      </c>
      <c r="J2960" s="49" t="str">
        <f t="shared" ca="1" si="2958"/>
        <v/>
      </c>
    </row>
    <row r="2961" spans="1:10" ht="12.75" x14ac:dyDescent="0.2">
      <c r="A2961" s="40"/>
      <c r="B2961" s="41" t="s">
        <v>401</v>
      </c>
      <c r="C2961" s="40"/>
      <c r="D2961" s="40"/>
      <c r="E2961" s="40"/>
      <c r="F2961" s="49" t="str">
        <f t="shared" ref="F2961:J2961" ca="1" si="2959">IFERROR(__xludf.DUMMYFUNCTION("if (A2961 &lt;&gt; """", GOOGLETRANSLATE(A2961, ""auto"", ""en""), """")"),"")</f>
        <v/>
      </c>
      <c r="G2961" s="49" t="str">
        <f t="shared" ca="1" si="2959"/>
        <v/>
      </c>
      <c r="H2961" s="49" t="str">
        <f t="shared" ca="1" si="2959"/>
        <v/>
      </c>
      <c r="I2961" s="49" t="str">
        <f t="shared" ca="1" si="2959"/>
        <v/>
      </c>
      <c r="J2961" s="49" t="str">
        <f t="shared" ca="1" si="2959"/>
        <v/>
      </c>
    </row>
    <row r="2962" spans="1:10" ht="12.75" x14ac:dyDescent="0.2">
      <c r="A2962" s="41" t="s">
        <v>182</v>
      </c>
      <c r="B2962" s="41" t="s">
        <v>402</v>
      </c>
      <c r="C2962" s="41" t="s">
        <v>162</v>
      </c>
      <c r="D2962" s="40"/>
      <c r="E2962" s="40"/>
      <c r="F2962" s="49" t="str">
        <f t="shared" ref="F2962:J2962" ca="1" si="2960">IFERROR(__xludf.DUMMYFUNCTION("if (A2962 &lt;&gt; """", GOOGLETRANSLATE(A2962, ""auto"", ""en""), """")"),"have fun")</f>
        <v>have fun</v>
      </c>
      <c r="G2962" s="49" t="str">
        <f t="shared" ca="1" si="2960"/>
        <v>have fun</v>
      </c>
      <c r="H2962" s="49" t="str">
        <f t="shared" ca="1" si="2960"/>
        <v>have fun</v>
      </c>
      <c r="I2962" s="49" t="str">
        <f t="shared" ca="1" si="2960"/>
        <v>have fun</v>
      </c>
      <c r="J2962" s="49" t="str">
        <f t="shared" ca="1" si="2960"/>
        <v>have fun</v>
      </c>
    </row>
    <row r="2963" spans="1:10" ht="12.75" x14ac:dyDescent="0.2">
      <c r="A2963" s="41" t="s">
        <v>181</v>
      </c>
      <c r="B2963" s="40"/>
      <c r="C2963" s="40"/>
      <c r="D2963" s="40"/>
      <c r="E2963" s="40"/>
      <c r="F2963" s="49" t="str">
        <f t="shared" ref="F2963:J2963" ca="1" si="2961">IFERROR(__xludf.DUMMYFUNCTION("if (A2963 &lt;&gt; """", GOOGLETRANSLATE(A2963, ""auto"", ""en""), """")"),"Do your best")</f>
        <v>Do your best</v>
      </c>
      <c r="G2963" s="49" t="str">
        <f t="shared" ca="1" si="2961"/>
        <v>Do your best</v>
      </c>
      <c r="H2963" s="49" t="str">
        <f t="shared" ca="1" si="2961"/>
        <v>Do your best</v>
      </c>
      <c r="I2963" s="49" t="str">
        <f t="shared" ca="1" si="2961"/>
        <v>Do your best</v>
      </c>
      <c r="J2963" s="49" t="str">
        <f t="shared" ca="1" si="2961"/>
        <v>Do your best</v>
      </c>
    </row>
    <row r="2964" spans="1:10" ht="25.5" x14ac:dyDescent="0.2">
      <c r="A2964" s="41" t="s">
        <v>180</v>
      </c>
      <c r="B2964" s="40"/>
      <c r="C2964" s="40"/>
      <c r="D2964" s="40"/>
      <c r="E2964" s="40"/>
      <c r="F2964" s="49" t="str">
        <f t="shared" ref="F2964:J2964" ca="1" si="2962">IFERROR(__xludf.DUMMYFUNCTION("if (A2964 &lt;&gt; """", GOOGLETRANSLATE(A2964, ""auto"", ""en""), """")"),"see you next week")</f>
        <v>see you next week</v>
      </c>
      <c r="G2964" s="49" t="str">
        <f t="shared" ca="1" si="2962"/>
        <v>see you next week</v>
      </c>
      <c r="H2964" s="49" t="str">
        <f t="shared" ca="1" si="2962"/>
        <v>see you next week</v>
      </c>
      <c r="I2964" s="49" t="str">
        <f t="shared" ca="1" si="2962"/>
        <v>see you next week</v>
      </c>
      <c r="J2964" s="49" t="str">
        <f t="shared" ca="1" si="2962"/>
        <v>see you next week</v>
      </c>
    </row>
    <row r="2965" spans="1:10" ht="25.5" x14ac:dyDescent="0.2">
      <c r="A2965" s="41" t="s">
        <v>179</v>
      </c>
      <c r="B2965" s="40"/>
      <c r="C2965" s="40"/>
      <c r="D2965" s="40"/>
      <c r="E2965" s="40"/>
      <c r="F2965" s="49" t="str">
        <f t="shared" ref="F2965:J2965" ca="1" si="2963">IFERROR(__xludf.DUMMYFUNCTION("if (A2965 &lt;&gt; """", GOOGLETRANSLATE(A2965, ""auto"", ""en""), """")"),"Have a nice weekend")</f>
        <v>Have a nice weekend</v>
      </c>
      <c r="G2965" s="49" t="str">
        <f t="shared" ca="1" si="2963"/>
        <v>Have a nice weekend</v>
      </c>
      <c r="H2965" s="49" t="str">
        <f t="shared" ca="1" si="2963"/>
        <v>Have a nice weekend</v>
      </c>
      <c r="I2965" s="49" t="str">
        <f t="shared" ca="1" si="2963"/>
        <v>Have a nice weekend</v>
      </c>
      <c r="J2965" s="49" t="str">
        <f t="shared" ca="1" si="2963"/>
        <v>Have a nice weekend</v>
      </c>
    </row>
    <row r="2966" spans="1:10" ht="25.5" x14ac:dyDescent="0.2">
      <c r="A2966" s="41" t="s">
        <v>176</v>
      </c>
      <c r="B2966" s="40"/>
      <c r="C2966" s="40"/>
      <c r="D2966" s="40"/>
      <c r="E2966" s="40"/>
      <c r="F2966" s="49" t="str">
        <f t="shared" ref="F2966:J2966" ca="1" si="2964">IFERROR(__xludf.DUMMYFUNCTION("if (A2966 &lt;&gt; """", GOOGLETRANSLATE(A2966, ""auto"", ""en""), """")"),"Have a nice weekend")</f>
        <v>Have a nice weekend</v>
      </c>
      <c r="G2966" s="49" t="str">
        <f t="shared" ca="1" si="2964"/>
        <v>Have a nice weekend</v>
      </c>
      <c r="H2966" s="49" t="str">
        <f t="shared" ca="1" si="2964"/>
        <v>Have a nice weekend</v>
      </c>
      <c r="I2966" s="49" t="str">
        <f t="shared" ca="1" si="2964"/>
        <v>Have a nice weekend</v>
      </c>
      <c r="J2966" s="49" t="str">
        <f t="shared" ca="1" si="2964"/>
        <v>Have a nice weekend</v>
      </c>
    </row>
    <row r="2967" spans="1:10" ht="12.75" x14ac:dyDescent="0.2">
      <c r="A2967" s="41" t="s">
        <v>175</v>
      </c>
      <c r="B2967" s="40"/>
      <c r="C2967" s="40"/>
      <c r="D2967" s="40"/>
      <c r="E2967" s="40"/>
      <c r="F2967" s="49" t="str">
        <f t="shared" ref="F2967:J2967" ca="1" si="2965">IFERROR(__xludf.DUMMYFUNCTION("if (A2967 &lt;&gt; """", GOOGLETRANSLATE(A2967, ""auto"", ""en""), """")"),"Bye bye")</f>
        <v>Bye bye</v>
      </c>
      <c r="G2967" s="49" t="str">
        <f t="shared" ca="1" si="2965"/>
        <v>Bye bye</v>
      </c>
      <c r="H2967" s="49" t="str">
        <f t="shared" ca="1" si="2965"/>
        <v>Bye bye</v>
      </c>
      <c r="I2967" s="49" t="str">
        <f t="shared" ca="1" si="2965"/>
        <v>Bye bye</v>
      </c>
      <c r="J2967" s="49" t="str">
        <f t="shared" ca="1" si="2965"/>
        <v>Bye bye</v>
      </c>
    </row>
    <row r="2968" spans="1:10" ht="25.5" x14ac:dyDescent="0.2">
      <c r="A2968" s="41" t="s">
        <v>172</v>
      </c>
      <c r="B2968" s="40"/>
      <c r="C2968" s="40"/>
      <c r="D2968" s="40"/>
      <c r="E2968" s="40"/>
      <c r="F2968" s="49" t="str">
        <f t="shared" ref="F2968:J2968" ca="1" si="2966">IFERROR(__xludf.DUMMYFUNCTION("if (A2968 &lt;&gt; """", GOOGLETRANSLATE(A2968, ""auto"", ""en""), """")"),"Buying and selling")</f>
        <v>Buying and selling</v>
      </c>
      <c r="G2968" s="49" t="str">
        <f t="shared" ca="1" si="2966"/>
        <v>Buying and selling</v>
      </c>
      <c r="H2968" s="49" t="str">
        <f t="shared" ca="1" si="2966"/>
        <v>Buying and selling</v>
      </c>
      <c r="I2968" s="49" t="str">
        <f t="shared" ca="1" si="2966"/>
        <v>Buying and selling</v>
      </c>
      <c r="J2968" s="49" t="str">
        <f t="shared" ca="1" si="2966"/>
        <v>Buying and selling</v>
      </c>
    </row>
    <row r="2969" spans="1:10" ht="12.75" x14ac:dyDescent="0.2">
      <c r="A2969" s="41" t="s">
        <v>171</v>
      </c>
      <c r="B2969" s="40"/>
      <c r="C2969" s="40"/>
      <c r="D2969" s="40"/>
      <c r="E2969" s="40"/>
      <c r="F2969" s="49" t="str">
        <f t="shared" ref="F2969:J2969" ca="1" si="2967">IFERROR(__xludf.DUMMYFUNCTION("if (A2969 &lt;&gt; """", GOOGLETRANSLATE(A2969, ""auto"", ""en""), """")"),"See ya")</f>
        <v>See ya</v>
      </c>
      <c r="G2969" s="49" t="str">
        <f t="shared" ca="1" si="2967"/>
        <v>See ya</v>
      </c>
      <c r="H2969" s="49" t="str">
        <f t="shared" ca="1" si="2967"/>
        <v>See ya</v>
      </c>
      <c r="I2969" s="49" t="str">
        <f t="shared" ca="1" si="2967"/>
        <v>See ya</v>
      </c>
      <c r="J2969" s="49" t="str">
        <f t="shared" ca="1" si="2967"/>
        <v>See ya</v>
      </c>
    </row>
    <row r="2970" spans="1:10" ht="25.5" x14ac:dyDescent="0.2">
      <c r="A2970" s="41" t="s">
        <v>169</v>
      </c>
      <c r="B2970" s="40"/>
      <c r="C2970" s="40"/>
      <c r="D2970" s="40"/>
      <c r="E2970" s="40"/>
      <c r="F2970" s="49" t="str">
        <f t="shared" ref="F2970:J2970" ca="1" si="2968">IFERROR(__xludf.DUMMYFUNCTION("if (A2970 &lt;&gt; """", GOOGLETRANSLATE(A2970, ""auto"", ""en""), """")"),"see you tomorrow")</f>
        <v>see you tomorrow</v>
      </c>
      <c r="G2970" s="49" t="str">
        <f t="shared" ca="1" si="2968"/>
        <v>see you tomorrow</v>
      </c>
      <c r="H2970" s="49" t="str">
        <f t="shared" ca="1" si="2968"/>
        <v>see you tomorrow</v>
      </c>
      <c r="I2970" s="49" t="str">
        <f t="shared" ca="1" si="2968"/>
        <v>see you tomorrow</v>
      </c>
      <c r="J2970" s="49" t="str">
        <f t="shared" ca="1" si="2968"/>
        <v>see you tomorrow</v>
      </c>
    </row>
    <row r="2971" spans="1:10" ht="12.75" x14ac:dyDescent="0.2">
      <c r="A2971" s="41" t="s">
        <v>168</v>
      </c>
      <c r="B2971" s="40"/>
      <c r="C2971" s="40"/>
      <c r="D2971" s="40"/>
      <c r="E2971" s="40"/>
      <c r="F2971" s="49" t="str">
        <f t="shared" ref="F2971:J2971" ca="1" si="2969">IFERROR(__xludf.DUMMYFUNCTION("if (A2971 &lt;&gt; """", GOOGLETRANSLATE(A2971, ""auto"", ""en""), """")"),"See you")</f>
        <v>See you</v>
      </c>
      <c r="G2971" s="49" t="str">
        <f t="shared" ca="1" si="2969"/>
        <v>See you</v>
      </c>
      <c r="H2971" s="49" t="str">
        <f t="shared" ca="1" si="2969"/>
        <v>See you</v>
      </c>
      <c r="I2971" s="49" t="str">
        <f t="shared" ca="1" si="2969"/>
        <v>See you</v>
      </c>
      <c r="J2971" s="49" t="str">
        <f t="shared" ca="1" si="2969"/>
        <v>See you</v>
      </c>
    </row>
    <row r="2972" spans="1:10" ht="12.75" x14ac:dyDescent="0.2">
      <c r="A2972" s="41" t="s">
        <v>828</v>
      </c>
      <c r="B2972" s="40"/>
      <c r="C2972" s="40"/>
      <c r="D2972" s="40"/>
      <c r="E2972" s="40"/>
      <c r="F2972" s="49" t="str">
        <f t="shared" ref="F2972:J2972" ca="1" si="2970">IFERROR(__xludf.DUMMYFUNCTION("if (A2972 &lt;&gt; """", GOOGLETRANSLATE(A2972, ""auto"", ""en""), """")")," Also")</f>
        <v> Also</v>
      </c>
      <c r="G2972" s="49" t="str">
        <f t="shared" ca="1" si="2970"/>
        <v> Also</v>
      </c>
      <c r="H2972" s="49" t="str">
        <f t="shared" ca="1" si="2970"/>
        <v> Also</v>
      </c>
      <c r="I2972" s="49" t="str">
        <f t="shared" ca="1" si="2970"/>
        <v> Also</v>
      </c>
      <c r="J2972" s="49" t="str">
        <f t="shared" ca="1" si="2970"/>
        <v> Also</v>
      </c>
    </row>
    <row r="2973" spans="1:10" ht="12.75" x14ac:dyDescent="0.2">
      <c r="A2973" s="41" t="s">
        <v>161</v>
      </c>
      <c r="B2973" s="40"/>
      <c r="C2973" s="40"/>
      <c r="D2973" s="40"/>
      <c r="E2973" s="40"/>
      <c r="F2973" s="49" t="str">
        <f t="shared" ref="F2973:J2973" ca="1" si="2971">IFERROR(__xludf.DUMMYFUNCTION("if (A2973 &lt;&gt; """", GOOGLETRANSLATE(A2973, ""auto"", ""en""), """")"),"goodbye")</f>
        <v>goodbye</v>
      </c>
      <c r="G2973" s="49" t="str">
        <f t="shared" ca="1" si="2971"/>
        <v>goodbye</v>
      </c>
      <c r="H2973" s="49" t="str">
        <f t="shared" ca="1" si="2971"/>
        <v>goodbye</v>
      </c>
      <c r="I2973" s="49" t="str">
        <f t="shared" ca="1" si="2971"/>
        <v>goodbye</v>
      </c>
      <c r="J2973" s="49" t="str">
        <f t="shared" ca="1" si="2971"/>
        <v>goodbye</v>
      </c>
    </row>
    <row r="2974" spans="1:10" ht="12.75" x14ac:dyDescent="0.2">
      <c r="A2974" s="40"/>
      <c r="B2974" s="40"/>
      <c r="C2974" s="40"/>
      <c r="D2974" s="40"/>
      <c r="E2974" s="40"/>
      <c r="F2974" s="49" t="str">
        <f t="shared" ref="F2974:J2974" ca="1" si="2972">IFERROR(__xludf.DUMMYFUNCTION("if (A2974 &lt;&gt; """", GOOGLETRANSLATE(A2974, ""auto"", ""en""), """")"),"")</f>
        <v/>
      </c>
      <c r="G2974" s="49" t="str">
        <f t="shared" ca="1" si="2972"/>
        <v/>
      </c>
      <c r="H2974" s="49" t="str">
        <f t="shared" ca="1" si="2972"/>
        <v/>
      </c>
      <c r="I2974" s="49" t="str">
        <f t="shared" ca="1" si="2972"/>
        <v/>
      </c>
      <c r="J2974" s="49" t="str">
        <f t="shared" ca="1" si="2972"/>
        <v/>
      </c>
    </row>
    <row r="2975" spans="1:10" ht="12.75" x14ac:dyDescent="0.2">
      <c r="A2975" s="41" t="s">
        <v>183</v>
      </c>
      <c r="B2975" s="40"/>
      <c r="C2975" s="40"/>
      <c r="D2975" s="40"/>
      <c r="E2975" s="40"/>
      <c r="F2975" s="49" t="str">
        <f t="shared" ref="F2975:J2975" ca="1" si="2973">IFERROR(__xludf.DUMMYFUNCTION("if (A2975 &lt;&gt; """", GOOGLETRANSLATE(A2975, ""auto"", ""en""), """")"),"Z-Greeting")</f>
        <v>Z-Greeting</v>
      </c>
      <c r="G2975" s="49" t="str">
        <f t="shared" ca="1" si="2973"/>
        <v>Z-Greeting</v>
      </c>
      <c r="H2975" s="49" t="str">
        <f t="shared" ca="1" si="2973"/>
        <v>Z-Greeting</v>
      </c>
      <c r="I2975" s="49" t="str">
        <f t="shared" ca="1" si="2973"/>
        <v>Z-Greeting</v>
      </c>
      <c r="J2975" s="49" t="str">
        <f t="shared" ca="1" si="2973"/>
        <v>Z-Greeting</v>
      </c>
    </row>
    <row r="2976" spans="1:10" ht="12.75" x14ac:dyDescent="0.2">
      <c r="A2976" s="40"/>
      <c r="B2976" s="41" t="s">
        <v>398</v>
      </c>
      <c r="C2976" s="40"/>
      <c r="D2976" s="40"/>
      <c r="E2976" s="40"/>
      <c r="F2976" s="49" t="str">
        <f t="shared" ref="F2976:J2976" ca="1" si="2974">IFERROR(__xludf.DUMMYFUNCTION("if (A2976 &lt;&gt; """", GOOGLETRANSLATE(A2976, ""auto"", ""en""), """")"),"")</f>
        <v/>
      </c>
      <c r="G2976" s="49" t="str">
        <f t="shared" ca="1" si="2974"/>
        <v/>
      </c>
      <c r="H2976" s="49" t="str">
        <f t="shared" ca="1" si="2974"/>
        <v/>
      </c>
      <c r="I2976" s="49" t="str">
        <f t="shared" ca="1" si="2974"/>
        <v/>
      </c>
      <c r="J2976" s="49" t="str">
        <f t="shared" ca="1" si="2974"/>
        <v/>
      </c>
    </row>
    <row r="2977" spans="1:10" ht="12.75" x14ac:dyDescent="0.2">
      <c r="A2977" s="40"/>
      <c r="B2977" s="41" t="s">
        <v>399</v>
      </c>
      <c r="C2977" s="40"/>
      <c r="D2977" s="40"/>
      <c r="E2977" s="40"/>
      <c r="F2977" s="49" t="str">
        <f t="shared" ref="F2977:J2977" ca="1" si="2975">IFERROR(__xludf.DUMMYFUNCTION("if (A2977 &lt;&gt; """", GOOGLETRANSLATE(A2977, ""auto"", ""en""), """")"),"")</f>
        <v/>
      </c>
      <c r="G2977" s="49" t="str">
        <f t="shared" ca="1" si="2975"/>
        <v/>
      </c>
      <c r="H2977" s="49" t="str">
        <f t="shared" ca="1" si="2975"/>
        <v/>
      </c>
      <c r="I2977" s="49" t="str">
        <f t="shared" ca="1" si="2975"/>
        <v/>
      </c>
      <c r="J2977" s="49" t="str">
        <f t="shared" ca="1" si="2975"/>
        <v/>
      </c>
    </row>
    <row r="2978" spans="1:10" ht="12.75" x14ac:dyDescent="0.2">
      <c r="A2978" s="40"/>
      <c r="B2978" s="41" t="s">
        <v>400</v>
      </c>
      <c r="C2978" s="40"/>
      <c r="D2978" s="40"/>
      <c r="E2978" s="40"/>
      <c r="F2978" s="49" t="str">
        <f t="shared" ref="F2978:J2978" ca="1" si="2976">IFERROR(__xludf.DUMMYFUNCTION("if (A2978 &lt;&gt; """", GOOGLETRANSLATE(A2978, ""auto"", ""en""), """")"),"")</f>
        <v/>
      </c>
      <c r="G2978" s="49" t="str">
        <f t="shared" ca="1" si="2976"/>
        <v/>
      </c>
      <c r="H2978" s="49" t="str">
        <f t="shared" ca="1" si="2976"/>
        <v/>
      </c>
      <c r="I2978" s="49" t="str">
        <f t="shared" ca="1" si="2976"/>
        <v/>
      </c>
      <c r="J2978" s="49" t="str">
        <f t="shared" ca="1" si="2976"/>
        <v/>
      </c>
    </row>
    <row r="2979" spans="1:10" ht="12.75" x14ac:dyDescent="0.2">
      <c r="A2979" s="40"/>
      <c r="B2979" s="41" t="s">
        <v>401</v>
      </c>
      <c r="C2979" s="40"/>
      <c r="D2979" s="40"/>
      <c r="E2979" s="40"/>
      <c r="F2979" s="49" t="str">
        <f t="shared" ref="F2979:J2979" ca="1" si="2977">IFERROR(__xludf.DUMMYFUNCTION("if (A2979 &lt;&gt; """", GOOGLETRANSLATE(A2979, ""auto"", ""en""), """")"),"")</f>
        <v/>
      </c>
      <c r="G2979" s="49" t="str">
        <f t="shared" ca="1" si="2977"/>
        <v/>
      </c>
      <c r="H2979" s="49" t="str">
        <f t="shared" ca="1" si="2977"/>
        <v/>
      </c>
      <c r="I2979" s="49" t="str">
        <f t="shared" ca="1" si="2977"/>
        <v/>
      </c>
      <c r="J2979" s="49" t="str">
        <f t="shared" ca="1" si="2977"/>
        <v/>
      </c>
    </row>
    <row r="2980" spans="1:10" ht="25.5" x14ac:dyDescent="0.2">
      <c r="A2980" s="41" t="s">
        <v>198</v>
      </c>
      <c r="B2980" s="41" t="s">
        <v>402</v>
      </c>
      <c r="C2980" s="41" t="s">
        <v>185</v>
      </c>
      <c r="D2980" s="40"/>
      <c r="E2980" s="40"/>
      <c r="F2980" s="49" t="str">
        <f t="shared" ref="F2980:J2980" ca="1" si="2978">IFERROR(__xludf.DUMMYFUNCTION("if (A2980 &lt;&gt; """", GOOGLETRANSLATE(A2980, ""auto"", ""en""), """")"),"Good work day")</f>
        <v>Good work day</v>
      </c>
      <c r="G2980" s="49" t="str">
        <f t="shared" ca="1" si="2978"/>
        <v>Good work day</v>
      </c>
      <c r="H2980" s="49" t="str">
        <f t="shared" ca="1" si="2978"/>
        <v>Good work day</v>
      </c>
      <c r="I2980" s="49" t="str">
        <f t="shared" ca="1" si="2978"/>
        <v>Good work day</v>
      </c>
      <c r="J2980" s="49" t="str">
        <f t="shared" ca="1" si="2978"/>
        <v>Good work day</v>
      </c>
    </row>
    <row r="2981" spans="1:10" ht="25.5" x14ac:dyDescent="0.2">
      <c r="A2981" s="41" t="s">
        <v>197</v>
      </c>
      <c r="B2981" s="40"/>
      <c r="C2981" s="40"/>
      <c r="D2981" s="40"/>
      <c r="E2981" s="40"/>
      <c r="F2981" s="49" t="str">
        <f t="shared" ref="F2981:J2981" ca="1" si="2979">IFERROR(__xludf.DUMMYFUNCTION("if (A2981 &lt;&gt; """", GOOGLETRANSLATE(A2981, ""auto"", ""en""), """")"),"Cheers for good work")</f>
        <v>Cheers for good work</v>
      </c>
      <c r="G2981" s="49" t="str">
        <f t="shared" ca="1" si="2979"/>
        <v>Cheers for good work</v>
      </c>
      <c r="H2981" s="49" t="str">
        <f t="shared" ca="1" si="2979"/>
        <v>Cheers for good work</v>
      </c>
      <c r="I2981" s="49" t="str">
        <f t="shared" ca="1" si="2979"/>
        <v>Cheers for good work</v>
      </c>
      <c r="J2981" s="49" t="str">
        <f t="shared" ca="1" si="2979"/>
        <v>Cheers for good work</v>
      </c>
    </row>
    <row r="2982" spans="1:10" ht="25.5" x14ac:dyDescent="0.2">
      <c r="A2982" s="41" t="s">
        <v>196</v>
      </c>
      <c r="B2982" s="40"/>
      <c r="C2982" s="40"/>
      <c r="D2982" s="40"/>
      <c r="E2982" s="40"/>
      <c r="F2982" s="49" t="str">
        <f t="shared" ref="F2982:J2982" ca="1" si="2980">IFERROR(__xludf.DUMMYFUNCTION("if (A2982 &lt;&gt; """", GOOGLETRANSLATE(A2982, ""auto"", ""en""), """")"),"Cheers for good work")</f>
        <v>Cheers for good work</v>
      </c>
      <c r="G2982" s="49" t="str">
        <f t="shared" ca="1" si="2980"/>
        <v>Cheers for good work</v>
      </c>
      <c r="H2982" s="49" t="str">
        <f t="shared" ca="1" si="2980"/>
        <v>Cheers for good work</v>
      </c>
      <c r="I2982" s="49" t="str">
        <f t="shared" ca="1" si="2980"/>
        <v>Cheers for good work</v>
      </c>
      <c r="J2982" s="49" t="str">
        <f t="shared" ca="1" si="2980"/>
        <v>Cheers for good work</v>
      </c>
    </row>
    <row r="2983" spans="1:10" ht="12.75" x14ac:dyDescent="0.2">
      <c r="A2983" s="41" t="s">
        <v>195</v>
      </c>
      <c r="B2983" s="40"/>
      <c r="C2983" s="40"/>
      <c r="D2983" s="40"/>
      <c r="E2983" s="40"/>
      <c r="F2983" s="49" t="str">
        <f t="shared" ref="F2983:J2983" ca="1" si="2981">IFERROR(__xludf.DUMMYFUNCTION("if (A2983 &lt;&gt; """", GOOGLETRANSLATE(A2983, ""auto"", ""en""), """")"),"Tired")</f>
        <v>Tired</v>
      </c>
      <c r="G2983" s="49" t="str">
        <f t="shared" ca="1" si="2981"/>
        <v>Tired</v>
      </c>
      <c r="H2983" s="49" t="str">
        <f t="shared" ca="1" si="2981"/>
        <v>Tired</v>
      </c>
      <c r="I2983" s="49" t="str">
        <f t="shared" ca="1" si="2981"/>
        <v>Tired</v>
      </c>
      <c r="J2983" s="49" t="str">
        <f t="shared" ca="1" si="2981"/>
        <v>Tired</v>
      </c>
    </row>
    <row r="2984" spans="1:10" ht="12.75" x14ac:dyDescent="0.2">
      <c r="A2984" s="41" t="s">
        <v>194</v>
      </c>
      <c r="B2984" s="40"/>
      <c r="C2984" s="40"/>
      <c r="D2984" s="40"/>
      <c r="E2984" s="40"/>
      <c r="F2984" s="49" t="str">
        <f t="shared" ref="F2984:J2984" ca="1" si="2982">IFERROR(__xludf.DUMMYFUNCTION("if (A2984 &lt;&gt; """", GOOGLETRANSLATE(A2984, ""auto"", ""en""), """")"),"good job")</f>
        <v>good job</v>
      </c>
      <c r="G2984" s="49" t="str">
        <f t="shared" ca="1" si="2982"/>
        <v>good job</v>
      </c>
      <c r="H2984" s="49" t="str">
        <f t="shared" ca="1" si="2982"/>
        <v>good job</v>
      </c>
      <c r="I2984" s="49" t="str">
        <f t="shared" ca="1" si="2982"/>
        <v>good job</v>
      </c>
      <c r="J2984" s="49" t="str">
        <f t="shared" ca="1" si="2982"/>
        <v>good job</v>
      </c>
    </row>
    <row r="2985" spans="1:10" ht="25.5" x14ac:dyDescent="0.2">
      <c r="A2985" s="41" t="s">
        <v>193</v>
      </c>
      <c r="B2985" s="40"/>
      <c r="C2985" s="40"/>
      <c r="D2985" s="40"/>
      <c r="E2985" s="40"/>
      <c r="F2985" s="49" t="str">
        <f t="shared" ref="F2985:J2985" ca="1" si="2983">IFERROR(__xludf.DUMMYFUNCTION("if (A2985 &lt;&gt; """", GOOGLETRANSLATE(A2985, ""auto"", ""en""), """")"),"Nice to meet you")</f>
        <v>Nice to meet you</v>
      </c>
      <c r="G2985" s="49" t="str">
        <f t="shared" ca="1" si="2983"/>
        <v>Nice to meet you</v>
      </c>
      <c r="H2985" s="49" t="str">
        <f t="shared" ca="1" si="2983"/>
        <v>Nice to meet you</v>
      </c>
      <c r="I2985" s="49" t="str">
        <f t="shared" ca="1" si="2983"/>
        <v>Nice to meet you</v>
      </c>
      <c r="J2985" s="49" t="str">
        <f t="shared" ca="1" si="2983"/>
        <v>Nice to meet you</v>
      </c>
    </row>
    <row r="2986" spans="1:10" ht="25.5" x14ac:dyDescent="0.2">
      <c r="A2986" s="41" t="s">
        <v>192</v>
      </c>
      <c r="B2986" s="40"/>
      <c r="C2986" s="40"/>
      <c r="D2986" s="40"/>
      <c r="E2986" s="40"/>
      <c r="F2986" s="49" t="str">
        <f t="shared" ref="F2986:J2986" ca="1" si="2984">IFERROR(__xludf.DUMMYFUNCTION("if (A2986 &lt;&gt; """", GOOGLETRANSLATE(A2986, ""auto"", ""en""), """")"),"nice to meet you")</f>
        <v>nice to meet you</v>
      </c>
      <c r="G2986" s="49" t="str">
        <f t="shared" ca="1" si="2984"/>
        <v>nice to meet you</v>
      </c>
      <c r="H2986" s="49" t="str">
        <f t="shared" ca="1" si="2984"/>
        <v>nice to meet you</v>
      </c>
      <c r="I2986" s="49" t="str">
        <f t="shared" ca="1" si="2984"/>
        <v>nice to meet you</v>
      </c>
      <c r="J2986" s="49" t="str">
        <f t="shared" ca="1" si="2984"/>
        <v>nice to meet you</v>
      </c>
    </row>
    <row r="2987" spans="1:10" ht="12.75" x14ac:dyDescent="0.2">
      <c r="A2987" s="41" t="s">
        <v>191</v>
      </c>
      <c r="B2987" s="40"/>
      <c r="C2987" s="40"/>
      <c r="D2987" s="40"/>
      <c r="E2987" s="40"/>
      <c r="F2987" s="49" t="str">
        <f t="shared" ref="F2987:J2987" ca="1" si="2985">IFERROR(__xludf.DUMMYFUNCTION("if (A2987 &lt;&gt; """", GOOGLETRANSLATE(A2987, ""auto"", ""en""), """")"),"Hi")</f>
        <v>Hi</v>
      </c>
      <c r="G2987" s="49" t="str">
        <f t="shared" ca="1" si="2985"/>
        <v>Hi</v>
      </c>
      <c r="H2987" s="49" t="str">
        <f t="shared" ca="1" si="2985"/>
        <v>Hi</v>
      </c>
      <c r="I2987" s="49" t="str">
        <f t="shared" ca="1" si="2985"/>
        <v>Hi</v>
      </c>
      <c r="J2987" s="49" t="str">
        <f t="shared" ca="1" si="2985"/>
        <v>Hi</v>
      </c>
    </row>
    <row r="2988" spans="1:10" ht="12.75" x14ac:dyDescent="0.2">
      <c r="A2988" s="41" t="s">
        <v>190</v>
      </c>
      <c r="B2988" s="40"/>
      <c r="C2988" s="40"/>
      <c r="D2988" s="40"/>
      <c r="E2988" s="40"/>
      <c r="F2988" s="49" t="str">
        <f t="shared" ref="F2988:J2988" ca="1" si="2986">IFERROR(__xludf.DUMMYFUNCTION("if (A2988 &lt;&gt; """", GOOGLETRANSLATE(A2988, ""auto"", ""en""), """")"),"Hello")</f>
        <v>Hello</v>
      </c>
      <c r="G2988" s="49" t="str">
        <f t="shared" ca="1" si="2986"/>
        <v>Hello</v>
      </c>
      <c r="H2988" s="49" t="str">
        <f t="shared" ca="1" si="2986"/>
        <v>Hello</v>
      </c>
      <c r="I2988" s="49" t="str">
        <f t="shared" ca="1" si="2986"/>
        <v>Hello</v>
      </c>
      <c r="J2988" s="49" t="str">
        <f t="shared" ca="1" si="2986"/>
        <v>Hello</v>
      </c>
    </row>
    <row r="2989" spans="1:10" ht="12.75" x14ac:dyDescent="0.2">
      <c r="A2989" s="41" t="s">
        <v>188</v>
      </c>
      <c r="B2989" s="40"/>
      <c r="C2989" s="40"/>
      <c r="D2989" s="40"/>
      <c r="E2989" s="40"/>
      <c r="F2989" s="49" t="str">
        <f t="shared" ref="F2989:J2989" ca="1" si="2987">IFERROR(__xludf.DUMMYFUNCTION("if (A2989 &lt;&gt; """", GOOGLETRANSLATE(A2989, ""auto"", ""en""), """")"),"good morning")</f>
        <v>good morning</v>
      </c>
      <c r="G2989" s="49" t="str">
        <f t="shared" ca="1" si="2987"/>
        <v>good morning</v>
      </c>
      <c r="H2989" s="49" t="str">
        <f t="shared" ca="1" si="2987"/>
        <v>good morning</v>
      </c>
      <c r="I2989" s="49" t="str">
        <f t="shared" ca="1" si="2987"/>
        <v>good morning</v>
      </c>
      <c r="J2989" s="49" t="str">
        <f t="shared" ca="1" si="2987"/>
        <v>good morning</v>
      </c>
    </row>
    <row r="2990" spans="1:10" ht="12.75" x14ac:dyDescent="0.2">
      <c r="A2990" s="41" t="s">
        <v>187</v>
      </c>
      <c r="B2990" s="40"/>
      <c r="C2990" s="40"/>
      <c r="D2990" s="40"/>
      <c r="E2990" s="40"/>
      <c r="F2990" s="49" t="str">
        <f t="shared" ref="F2990:J2990" ca="1" si="2988">IFERROR(__xludf.DUMMYFUNCTION("if (A2990 &lt;&gt; """", GOOGLETRANSLATE(A2990, ""auto"", ""en""), """")"),"Good morning")</f>
        <v>Good morning</v>
      </c>
      <c r="G2990" s="49" t="str">
        <f t="shared" ca="1" si="2988"/>
        <v>Good morning</v>
      </c>
      <c r="H2990" s="49" t="str">
        <f t="shared" ca="1" si="2988"/>
        <v>Good morning</v>
      </c>
      <c r="I2990" s="49" t="str">
        <f t="shared" ca="1" si="2988"/>
        <v>Good morning</v>
      </c>
      <c r="J2990" s="49" t="str">
        <f t="shared" ca="1" si="2988"/>
        <v>Good morning</v>
      </c>
    </row>
    <row r="2991" spans="1:10" ht="12.75" x14ac:dyDescent="0.2">
      <c r="A2991" s="41" t="s">
        <v>186</v>
      </c>
      <c r="B2991" s="40"/>
      <c r="C2991" s="40"/>
      <c r="D2991" s="40"/>
      <c r="E2991" s="40"/>
      <c r="F2991" s="49" t="str">
        <f t="shared" ref="F2991:J2991" ca="1" si="2989">IFERROR(__xludf.DUMMYFUNCTION("if (A2991 &lt;&gt; """", GOOGLETRANSLATE(A2991, ""auto"", ""en""), """")"),"Good morning")</f>
        <v>Good morning</v>
      </c>
      <c r="G2991" s="49" t="str">
        <f t="shared" ca="1" si="2989"/>
        <v>Good morning</v>
      </c>
      <c r="H2991" s="49" t="str">
        <f t="shared" ca="1" si="2989"/>
        <v>Good morning</v>
      </c>
      <c r="I2991" s="49" t="str">
        <f t="shared" ca="1" si="2989"/>
        <v>Good morning</v>
      </c>
      <c r="J2991" s="49" t="str">
        <f t="shared" ca="1" si="2989"/>
        <v>Good morning</v>
      </c>
    </row>
    <row r="2992" spans="1:10" ht="12.75" x14ac:dyDescent="0.2">
      <c r="A2992" s="41" t="s">
        <v>184</v>
      </c>
      <c r="B2992" s="40"/>
      <c r="C2992" s="40"/>
      <c r="D2992" s="40"/>
      <c r="E2992" s="40"/>
      <c r="F2992" s="49" t="str">
        <f t="shared" ref="F2992:J2992" ca="1" si="2990">IFERROR(__xludf.DUMMYFUNCTION("if (A2992 &lt;&gt; """", GOOGLETRANSLATE(A2992, ""auto"", ""en""), """")"),"Good evening")</f>
        <v>Good evening</v>
      </c>
      <c r="G2992" s="49" t="str">
        <f t="shared" ca="1" si="2990"/>
        <v>Good evening</v>
      </c>
      <c r="H2992" s="49" t="str">
        <f t="shared" ca="1" si="2990"/>
        <v>Good evening</v>
      </c>
      <c r="I2992" s="49" t="str">
        <f t="shared" ca="1" si="2990"/>
        <v>Good evening</v>
      </c>
      <c r="J2992" s="49" t="str">
        <f t="shared" ca="1" si="2990"/>
        <v>Good evening</v>
      </c>
    </row>
    <row r="2993" spans="1:10" ht="12.75" x14ac:dyDescent="0.2">
      <c r="A2993" s="40"/>
      <c r="B2993" s="40"/>
      <c r="C2993" s="40"/>
      <c r="D2993" s="40"/>
      <c r="E2993" s="40"/>
      <c r="F2993" s="49" t="str">
        <f t="shared" ref="F2993:J2993" ca="1" si="2991">IFERROR(__xludf.DUMMYFUNCTION("if (A2993 &lt;&gt; """", GOOGLETRANSLATE(A2993, ""auto"", ""en""), """")"),"")</f>
        <v/>
      </c>
      <c r="G2993" s="49" t="str">
        <f t="shared" ca="1" si="2991"/>
        <v/>
      </c>
      <c r="H2993" s="49" t="str">
        <f t="shared" ca="1" si="2991"/>
        <v/>
      </c>
      <c r="I2993" s="49" t="str">
        <f t="shared" ca="1" si="2991"/>
        <v/>
      </c>
      <c r="J2993" s="49" t="str">
        <f t="shared" ca="1" si="2991"/>
        <v/>
      </c>
    </row>
    <row r="2994" spans="1:10" ht="12.75" x14ac:dyDescent="0.2">
      <c r="A2994" s="41" t="s">
        <v>199</v>
      </c>
      <c r="B2994" s="40"/>
      <c r="C2994" s="40"/>
      <c r="D2994" s="40"/>
      <c r="E2994" s="40"/>
      <c r="F2994" s="49" t="str">
        <f t="shared" ref="F2994:J2994" ca="1" si="2992">IFERROR(__xludf.DUMMYFUNCTION("if (A2994 &lt;&gt; """", GOOGLETRANSLATE(A2994, ""auto"", ""en""), """")"),"Z-HowAreYou")</f>
        <v>Z-HowAreYou</v>
      </c>
      <c r="G2994" s="49" t="str">
        <f t="shared" ca="1" si="2992"/>
        <v>Z-HowAreYou</v>
      </c>
      <c r="H2994" s="49" t="str">
        <f t="shared" ca="1" si="2992"/>
        <v>Z-HowAreYou</v>
      </c>
      <c r="I2994" s="49" t="str">
        <f t="shared" ca="1" si="2992"/>
        <v>Z-HowAreYou</v>
      </c>
      <c r="J2994" s="49" t="str">
        <f t="shared" ca="1" si="2992"/>
        <v>Z-HowAreYou</v>
      </c>
    </row>
    <row r="2995" spans="1:10" ht="12.75" x14ac:dyDescent="0.2">
      <c r="A2995" s="40"/>
      <c r="B2995" s="41" t="s">
        <v>398</v>
      </c>
      <c r="C2995" s="40"/>
      <c r="D2995" s="40"/>
      <c r="E2995" s="40"/>
      <c r="F2995" s="49" t="str">
        <f t="shared" ref="F2995:J2995" ca="1" si="2993">IFERROR(__xludf.DUMMYFUNCTION("if (A2995 &lt;&gt; """", GOOGLETRANSLATE(A2995, ""auto"", ""en""), """")"),"")</f>
        <v/>
      </c>
      <c r="G2995" s="49" t="str">
        <f t="shared" ca="1" si="2993"/>
        <v/>
      </c>
      <c r="H2995" s="49" t="str">
        <f t="shared" ca="1" si="2993"/>
        <v/>
      </c>
      <c r="I2995" s="49" t="str">
        <f t="shared" ca="1" si="2993"/>
        <v/>
      </c>
      <c r="J2995" s="49" t="str">
        <f t="shared" ca="1" si="2993"/>
        <v/>
      </c>
    </row>
    <row r="2996" spans="1:10" ht="12.75" x14ac:dyDescent="0.2">
      <c r="A2996" s="40"/>
      <c r="B2996" s="41" t="s">
        <v>399</v>
      </c>
      <c r="C2996" s="40"/>
      <c r="D2996" s="40"/>
      <c r="E2996" s="40"/>
      <c r="F2996" s="49" t="str">
        <f t="shared" ref="F2996:J2996" ca="1" si="2994">IFERROR(__xludf.DUMMYFUNCTION("if (A2996 &lt;&gt; """", GOOGLETRANSLATE(A2996, ""auto"", ""en""), """")"),"")</f>
        <v/>
      </c>
      <c r="G2996" s="49" t="str">
        <f t="shared" ca="1" si="2994"/>
        <v/>
      </c>
      <c r="H2996" s="49" t="str">
        <f t="shared" ca="1" si="2994"/>
        <v/>
      </c>
      <c r="I2996" s="49" t="str">
        <f t="shared" ca="1" si="2994"/>
        <v/>
      </c>
      <c r="J2996" s="49" t="str">
        <f t="shared" ca="1" si="2994"/>
        <v/>
      </c>
    </row>
    <row r="2997" spans="1:10" ht="12.75" x14ac:dyDescent="0.2">
      <c r="A2997" s="40"/>
      <c r="B2997" s="41" t="s">
        <v>400</v>
      </c>
      <c r="C2997" s="40"/>
      <c r="D2997" s="40"/>
      <c r="E2997" s="40"/>
      <c r="F2997" s="49" t="str">
        <f t="shared" ref="F2997:J2997" ca="1" si="2995">IFERROR(__xludf.DUMMYFUNCTION("if (A2997 &lt;&gt; """", GOOGLETRANSLATE(A2997, ""auto"", ""en""), """")"),"")</f>
        <v/>
      </c>
      <c r="G2997" s="49" t="str">
        <f t="shared" ca="1" si="2995"/>
        <v/>
      </c>
      <c r="H2997" s="49" t="str">
        <f t="shared" ca="1" si="2995"/>
        <v/>
      </c>
      <c r="I2997" s="49" t="str">
        <f t="shared" ca="1" si="2995"/>
        <v/>
      </c>
      <c r="J2997" s="49" t="str">
        <f t="shared" ca="1" si="2995"/>
        <v/>
      </c>
    </row>
    <row r="2998" spans="1:10" ht="12.75" x14ac:dyDescent="0.2">
      <c r="A2998" s="40"/>
      <c r="B2998" s="41" t="s">
        <v>401</v>
      </c>
      <c r="C2998" s="40"/>
      <c r="D2998" s="40"/>
      <c r="E2998" s="40"/>
      <c r="F2998" s="49" t="str">
        <f t="shared" ref="F2998:J2998" ca="1" si="2996">IFERROR(__xludf.DUMMYFUNCTION("if (A2998 &lt;&gt; """", GOOGLETRANSLATE(A2998, ""auto"", ""en""), """")"),"")</f>
        <v/>
      </c>
      <c r="G2998" s="49" t="str">
        <f t="shared" ca="1" si="2996"/>
        <v/>
      </c>
      <c r="H2998" s="49" t="str">
        <f t="shared" ca="1" si="2996"/>
        <v/>
      </c>
      <c r="I2998" s="49" t="str">
        <f t="shared" ca="1" si="2996"/>
        <v/>
      </c>
      <c r="J2998" s="49" t="str">
        <f t="shared" ca="1" si="2996"/>
        <v/>
      </c>
    </row>
    <row r="2999" spans="1:10" ht="25.5" x14ac:dyDescent="0.2">
      <c r="A2999" s="41" t="s">
        <v>211</v>
      </c>
      <c r="B2999" s="41" t="s">
        <v>402</v>
      </c>
      <c r="C2999" s="41" t="s">
        <v>201</v>
      </c>
      <c r="D2999" s="40"/>
      <c r="E2999" s="40"/>
      <c r="F2999" s="49" t="str">
        <f t="shared" ref="F2999:J2999" ca="1" si="2997">IFERROR(__xludf.DUMMYFUNCTION("if (A2999 &lt;&gt; """", GOOGLETRANSLATE(A2999, ""auto"", ""en""), """")"),"How")</f>
        <v>How</v>
      </c>
      <c r="G2999" s="49" t="str">
        <f t="shared" ca="1" si="2997"/>
        <v>How</v>
      </c>
      <c r="H2999" s="49" t="str">
        <f t="shared" ca="1" si="2997"/>
        <v>How</v>
      </c>
      <c r="I2999" s="49" t="str">
        <f t="shared" ca="1" si="2997"/>
        <v>How</v>
      </c>
      <c r="J2999" s="49" t="str">
        <f t="shared" ca="1" si="2997"/>
        <v>How</v>
      </c>
    </row>
    <row r="3000" spans="1:10" ht="12.75" x14ac:dyDescent="0.2">
      <c r="A3000" s="41" t="s">
        <v>209</v>
      </c>
      <c r="B3000" s="40"/>
      <c r="C3000" s="40"/>
      <c r="D3000" s="40"/>
      <c r="E3000" s="40"/>
      <c r="F3000" s="49" t="str">
        <f t="shared" ref="F3000:J3000" ca="1" si="2998">IFERROR(__xludf.DUMMYFUNCTION("if (A3000 &lt;&gt; """", GOOGLETRANSLATE(A3000, ""auto"", ""en""), """")"),"How")</f>
        <v>How</v>
      </c>
      <c r="G3000" s="49" t="str">
        <f t="shared" ca="1" si="2998"/>
        <v>How</v>
      </c>
      <c r="H3000" s="49" t="str">
        <f t="shared" ca="1" si="2998"/>
        <v>How</v>
      </c>
      <c r="I3000" s="49" t="str">
        <f t="shared" ca="1" si="2998"/>
        <v>How</v>
      </c>
      <c r="J3000" s="49" t="str">
        <f t="shared" ca="1" si="2998"/>
        <v>How</v>
      </c>
    </row>
    <row r="3001" spans="1:10" ht="12.75" x14ac:dyDescent="0.2">
      <c r="A3001" s="41" t="s">
        <v>208</v>
      </c>
      <c r="B3001" s="40"/>
      <c r="C3001" s="40"/>
      <c r="D3001" s="40"/>
      <c r="E3001" s="40"/>
      <c r="F3001" s="49" t="str">
        <f t="shared" ref="F3001:J3001" ca="1" si="2999">IFERROR(__xludf.DUMMYFUNCTION("if (A3001 &lt;&gt; """", GOOGLETRANSLATE(A3001, ""auto"", ""en""), """")"),"How recently")</f>
        <v>How recently</v>
      </c>
      <c r="G3001" s="49" t="str">
        <f t="shared" ca="1" si="2999"/>
        <v>How recently</v>
      </c>
      <c r="H3001" s="49" t="str">
        <f t="shared" ca="1" si="2999"/>
        <v>How recently</v>
      </c>
      <c r="I3001" s="49" t="str">
        <f t="shared" ca="1" si="2999"/>
        <v>How recently</v>
      </c>
      <c r="J3001" s="49" t="str">
        <f t="shared" ca="1" si="2999"/>
        <v>How recently</v>
      </c>
    </row>
    <row r="3002" spans="1:10" ht="12.75" x14ac:dyDescent="0.2">
      <c r="A3002" s="41" t="s">
        <v>207</v>
      </c>
      <c r="B3002" s="40"/>
      <c r="C3002" s="40"/>
      <c r="D3002" s="40"/>
      <c r="E3002" s="40"/>
      <c r="F3002" s="49" t="str">
        <f t="shared" ref="F3002:J3002" ca="1" si="3000">IFERROR(__xludf.DUMMYFUNCTION("if (A3002 &lt;&gt; """", GOOGLETRANSLATE(A3002, ""auto"", ""en""), """")"),"sleepy")</f>
        <v>sleepy</v>
      </c>
      <c r="G3002" s="49" t="str">
        <f t="shared" ca="1" si="3000"/>
        <v>sleepy</v>
      </c>
      <c r="H3002" s="49" t="str">
        <f t="shared" ca="1" si="3000"/>
        <v>sleepy</v>
      </c>
      <c r="I3002" s="49" t="str">
        <f t="shared" ca="1" si="3000"/>
        <v>sleepy</v>
      </c>
      <c r="J3002" s="49" t="str">
        <f t="shared" ca="1" si="3000"/>
        <v>sleepy</v>
      </c>
    </row>
    <row r="3003" spans="1:10" ht="12.75" x14ac:dyDescent="0.2">
      <c r="A3003" s="41" t="s">
        <v>206</v>
      </c>
      <c r="B3003" s="40"/>
      <c r="C3003" s="40"/>
      <c r="D3003" s="40"/>
      <c r="E3003" s="40"/>
      <c r="F3003" s="49" t="str">
        <f t="shared" ref="F3003:J3003" ca="1" si="3001">IFERROR(__xludf.DUMMYFUNCTION("if (A3003 &lt;&gt; """", GOOGLETRANSLATE(A3003, ""auto"", ""en""), """")"),"Sleepy")</f>
        <v>Sleepy</v>
      </c>
      <c r="G3003" s="49" t="str">
        <f t="shared" ca="1" si="3001"/>
        <v>Sleepy</v>
      </c>
      <c r="H3003" s="49" t="str">
        <f t="shared" ca="1" si="3001"/>
        <v>Sleepy</v>
      </c>
      <c r="I3003" s="49" t="str">
        <f t="shared" ca="1" si="3001"/>
        <v>Sleepy</v>
      </c>
      <c r="J3003" s="49" t="str">
        <f t="shared" ca="1" si="3001"/>
        <v>Sleepy</v>
      </c>
    </row>
    <row r="3004" spans="1:10" ht="12.75" x14ac:dyDescent="0.2">
      <c r="A3004" s="41" t="s">
        <v>205</v>
      </c>
      <c r="B3004" s="40"/>
      <c r="C3004" s="40"/>
      <c r="D3004" s="40"/>
      <c r="E3004" s="40"/>
      <c r="F3004" s="49" t="str">
        <f t="shared" ref="F3004:J3004" ca="1" si="3002">IFERROR(__xludf.DUMMYFUNCTION("if (A3004 &lt;&gt; """", GOOGLETRANSLATE(A3004, ""auto"", ""en""), """")"),"tired")</f>
        <v>tired</v>
      </c>
      <c r="G3004" s="49" t="str">
        <f t="shared" ca="1" si="3002"/>
        <v>tired</v>
      </c>
      <c r="H3004" s="49" t="str">
        <f t="shared" ca="1" si="3002"/>
        <v>tired</v>
      </c>
      <c r="I3004" s="49" t="str">
        <f t="shared" ca="1" si="3002"/>
        <v>tired</v>
      </c>
      <c r="J3004" s="49" t="str">
        <f t="shared" ca="1" si="3002"/>
        <v>tired</v>
      </c>
    </row>
    <row r="3005" spans="1:10" ht="12.75" x14ac:dyDescent="0.2">
      <c r="A3005" s="41" t="s">
        <v>204</v>
      </c>
      <c r="B3005" s="40"/>
      <c r="C3005" s="40"/>
      <c r="D3005" s="40"/>
      <c r="E3005" s="40"/>
      <c r="F3005" s="49" t="str">
        <f t="shared" ref="F3005:J3005" ca="1" si="3003">IFERROR(__xludf.DUMMYFUNCTION("if (A3005 &lt;&gt; """", GOOGLETRANSLATE(A3005, ""auto"", ""en""), """")"),"I'm tired")</f>
        <v>I'm tired</v>
      </c>
      <c r="G3005" s="49" t="str">
        <f t="shared" ca="1" si="3003"/>
        <v>I'm tired</v>
      </c>
      <c r="H3005" s="49" t="str">
        <f t="shared" ca="1" si="3003"/>
        <v>I'm tired</v>
      </c>
      <c r="I3005" s="49" t="str">
        <f t="shared" ca="1" si="3003"/>
        <v>I'm tired</v>
      </c>
      <c r="J3005" s="49" t="str">
        <f t="shared" ca="1" si="3003"/>
        <v>I'm tired</v>
      </c>
    </row>
    <row r="3006" spans="1:10" ht="12.75" x14ac:dyDescent="0.2">
      <c r="A3006" s="41" t="s">
        <v>203</v>
      </c>
      <c r="B3006" s="40"/>
      <c r="C3006" s="40"/>
      <c r="D3006" s="40"/>
      <c r="E3006" s="40"/>
      <c r="F3006" s="49" t="str">
        <f t="shared" ref="F3006:J3006" ca="1" si="3004">IFERROR(__xludf.DUMMYFUNCTION("if (A3006 &lt;&gt; """", GOOGLETRANSLATE(A3006, ""auto"", ""en""), """")"),"Cheerful")</f>
        <v>Cheerful</v>
      </c>
      <c r="G3006" s="49" t="str">
        <f t="shared" ca="1" si="3004"/>
        <v>Cheerful</v>
      </c>
      <c r="H3006" s="49" t="str">
        <f t="shared" ca="1" si="3004"/>
        <v>Cheerful</v>
      </c>
      <c r="I3006" s="49" t="str">
        <f t="shared" ca="1" si="3004"/>
        <v>Cheerful</v>
      </c>
      <c r="J3006" s="49" t="str">
        <f t="shared" ca="1" si="3004"/>
        <v>Cheerful</v>
      </c>
    </row>
    <row r="3007" spans="1:10" ht="12.75" x14ac:dyDescent="0.2">
      <c r="A3007" s="41" t="s">
        <v>200</v>
      </c>
      <c r="B3007" s="40"/>
      <c r="C3007" s="40"/>
      <c r="D3007" s="40"/>
      <c r="E3007" s="40"/>
      <c r="F3007" s="49" t="str">
        <f t="shared" ref="F3007:J3007" ca="1" si="3005">IFERROR(__xludf.DUMMYFUNCTION("if (A3007 &lt;&gt; """", GOOGLETRANSLATE(A3007, ""auto"", ""en""), """")"),"Healthy")</f>
        <v>Healthy</v>
      </c>
      <c r="G3007" s="49" t="str">
        <f t="shared" ca="1" si="3005"/>
        <v>Healthy</v>
      </c>
      <c r="H3007" s="49" t="str">
        <f t="shared" ca="1" si="3005"/>
        <v>Healthy</v>
      </c>
      <c r="I3007" s="49" t="str">
        <f t="shared" ca="1" si="3005"/>
        <v>Healthy</v>
      </c>
      <c r="J3007" s="49" t="str">
        <f t="shared" ca="1" si="3005"/>
        <v>Healthy</v>
      </c>
    </row>
    <row r="3008" spans="1:10" ht="12.75" x14ac:dyDescent="0.2">
      <c r="A3008" s="40"/>
      <c r="B3008" s="40"/>
      <c r="C3008" s="40"/>
      <c r="D3008" s="40"/>
      <c r="E3008" s="40"/>
      <c r="F3008" s="49" t="str">
        <f t="shared" ref="F3008:J3008" ca="1" si="3006">IFERROR(__xludf.DUMMYFUNCTION("if (A3008 &lt;&gt; """", GOOGLETRANSLATE(A3008, ""auto"", ""en""), """")"),"")</f>
        <v/>
      </c>
      <c r="G3008" s="49" t="str">
        <f t="shared" ca="1" si="3006"/>
        <v/>
      </c>
      <c r="H3008" s="49" t="str">
        <f t="shared" ca="1" si="3006"/>
        <v/>
      </c>
      <c r="I3008" s="49" t="str">
        <f t="shared" ca="1" si="3006"/>
        <v/>
      </c>
      <c r="J3008" s="49" t="str">
        <f t="shared" ca="1" si="3006"/>
        <v/>
      </c>
    </row>
    <row r="3009" spans="1:10" ht="12.75" x14ac:dyDescent="0.2">
      <c r="A3009" s="41" t="s">
        <v>212</v>
      </c>
      <c r="B3009" s="40"/>
      <c r="C3009" s="40"/>
      <c r="D3009" s="40"/>
      <c r="E3009" s="40"/>
      <c r="F3009" s="49" t="str">
        <f t="shared" ref="F3009:J3009" ca="1" si="3007">IFERROR(__xludf.DUMMYFUNCTION("if (A3009 &lt;&gt; """", GOOGLETRANSLATE(A3009, ""auto"", ""en""), """")"),"Z-Hungry")</f>
        <v>Z-Hungry</v>
      </c>
      <c r="G3009" s="49" t="str">
        <f t="shared" ca="1" si="3007"/>
        <v>Z-Hungry</v>
      </c>
      <c r="H3009" s="49" t="str">
        <f t="shared" ca="1" si="3007"/>
        <v>Z-Hungry</v>
      </c>
      <c r="I3009" s="49" t="str">
        <f t="shared" ca="1" si="3007"/>
        <v>Z-Hungry</v>
      </c>
      <c r="J3009" s="49" t="str">
        <f t="shared" ca="1" si="3007"/>
        <v>Z-Hungry</v>
      </c>
    </row>
    <row r="3010" spans="1:10" ht="12.75" x14ac:dyDescent="0.2">
      <c r="A3010" s="40"/>
      <c r="B3010" s="41" t="s">
        <v>398</v>
      </c>
      <c r="C3010" s="40"/>
      <c r="D3010" s="40"/>
      <c r="E3010" s="40"/>
      <c r="F3010" s="49" t="str">
        <f t="shared" ref="F3010:J3010" ca="1" si="3008">IFERROR(__xludf.DUMMYFUNCTION("if (A3010 &lt;&gt; """", GOOGLETRANSLATE(A3010, ""auto"", ""en""), """")"),"")</f>
        <v/>
      </c>
      <c r="G3010" s="49" t="str">
        <f t="shared" ca="1" si="3008"/>
        <v/>
      </c>
      <c r="H3010" s="49" t="str">
        <f t="shared" ca="1" si="3008"/>
        <v/>
      </c>
      <c r="I3010" s="49" t="str">
        <f t="shared" ca="1" si="3008"/>
        <v/>
      </c>
      <c r="J3010" s="49" t="str">
        <f t="shared" ca="1" si="3008"/>
        <v/>
      </c>
    </row>
    <row r="3011" spans="1:10" ht="12.75" x14ac:dyDescent="0.2">
      <c r="A3011" s="40"/>
      <c r="B3011" s="41" t="s">
        <v>399</v>
      </c>
      <c r="C3011" s="40"/>
      <c r="D3011" s="40"/>
      <c r="E3011" s="40"/>
      <c r="F3011" s="49" t="str">
        <f t="shared" ref="F3011:J3011" ca="1" si="3009">IFERROR(__xludf.DUMMYFUNCTION("if (A3011 &lt;&gt; """", GOOGLETRANSLATE(A3011, ""auto"", ""en""), """")"),"")</f>
        <v/>
      </c>
      <c r="G3011" s="49" t="str">
        <f t="shared" ca="1" si="3009"/>
        <v/>
      </c>
      <c r="H3011" s="49" t="str">
        <f t="shared" ca="1" si="3009"/>
        <v/>
      </c>
      <c r="I3011" s="49" t="str">
        <f t="shared" ca="1" si="3009"/>
        <v/>
      </c>
      <c r="J3011" s="49" t="str">
        <f t="shared" ca="1" si="3009"/>
        <v/>
      </c>
    </row>
    <row r="3012" spans="1:10" ht="12.75" x14ac:dyDescent="0.2">
      <c r="A3012" s="40"/>
      <c r="B3012" s="41" t="s">
        <v>400</v>
      </c>
      <c r="C3012" s="40"/>
      <c r="D3012" s="40"/>
      <c r="E3012" s="40"/>
      <c r="F3012" s="49" t="str">
        <f t="shared" ref="F3012:J3012" ca="1" si="3010">IFERROR(__xludf.DUMMYFUNCTION("if (A3012 &lt;&gt; """", GOOGLETRANSLATE(A3012, ""auto"", ""en""), """")"),"")</f>
        <v/>
      </c>
      <c r="G3012" s="49" t="str">
        <f t="shared" ca="1" si="3010"/>
        <v/>
      </c>
      <c r="H3012" s="49" t="str">
        <f t="shared" ca="1" si="3010"/>
        <v/>
      </c>
      <c r="I3012" s="49" t="str">
        <f t="shared" ca="1" si="3010"/>
        <v/>
      </c>
      <c r="J3012" s="49" t="str">
        <f t="shared" ca="1" si="3010"/>
        <v/>
      </c>
    </row>
    <row r="3013" spans="1:10" ht="12.75" x14ac:dyDescent="0.2">
      <c r="A3013" s="40"/>
      <c r="B3013" s="41" t="s">
        <v>401</v>
      </c>
      <c r="C3013" s="40"/>
      <c r="D3013" s="40"/>
      <c r="E3013" s="40"/>
      <c r="F3013" s="49" t="str">
        <f t="shared" ref="F3013:J3013" ca="1" si="3011">IFERROR(__xludf.DUMMYFUNCTION("if (A3013 &lt;&gt; """", GOOGLETRANSLATE(A3013, ""auto"", ""en""), """")"),"")</f>
        <v/>
      </c>
      <c r="G3013" s="49" t="str">
        <f t="shared" ca="1" si="3011"/>
        <v/>
      </c>
      <c r="H3013" s="49" t="str">
        <f t="shared" ca="1" si="3011"/>
        <v/>
      </c>
      <c r="I3013" s="49" t="str">
        <f t="shared" ca="1" si="3011"/>
        <v/>
      </c>
      <c r="J3013" s="49" t="str">
        <f t="shared" ca="1" si="3011"/>
        <v/>
      </c>
    </row>
    <row r="3014" spans="1:10" ht="25.5" x14ac:dyDescent="0.2">
      <c r="A3014" s="41" t="s">
        <v>235</v>
      </c>
      <c r="B3014" s="41" t="s">
        <v>402</v>
      </c>
      <c r="C3014" s="41" t="s">
        <v>214</v>
      </c>
      <c r="D3014" s="40"/>
      <c r="E3014" s="40"/>
      <c r="F3014" s="49" t="str">
        <f t="shared" ref="F3014:J3014" ca="1" si="3012">IFERROR(__xludf.DUMMYFUNCTION("if (A3014 &lt;&gt; """", GOOGLETRANSLATE(A3014, ""auto"", ""en""), """")"),"Sushi")</f>
        <v>Sushi</v>
      </c>
      <c r="G3014" s="49" t="str">
        <f t="shared" ca="1" si="3012"/>
        <v>Sushi</v>
      </c>
      <c r="H3014" s="49" t="str">
        <f t="shared" ca="1" si="3012"/>
        <v>Sushi</v>
      </c>
      <c r="I3014" s="49" t="str">
        <f t="shared" ca="1" si="3012"/>
        <v>Sushi</v>
      </c>
      <c r="J3014" s="49" t="str">
        <f t="shared" ca="1" si="3012"/>
        <v>Sushi</v>
      </c>
    </row>
    <row r="3015" spans="1:10" ht="12.75" x14ac:dyDescent="0.2">
      <c r="A3015" s="41" t="s">
        <v>234</v>
      </c>
      <c r="B3015" s="40"/>
      <c r="C3015" s="40"/>
      <c r="D3015" s="40"/>
      <c r="E3015" s="40"/>
      <c r="F3015" s="49" t="str">
        <f t="shared" ref="F3015:J3015" ca="1" si="3013">IFERROR(__xludf.DUMMYFUNCTION("if (A3015 &lt;&gt; """", GOOGLETRANSLATE(A3015, ""auto"", ""en""), """")"),"Sushi")</f>
        <v>Sushi</v>
      </c>
      <c r="G3015" s="49" t="str">
        <f t="shared" ca="1" si="3013"/>
        <v>Sushi</v>
      </c>
      <c r="H3015" s="49" t="str">
        <f t="shared" ca="1" si="3013"/>
        <v>Sushi</v>
      </c>
      <c r="I3015" s="49" t="str">
        <f t="shared" ca="1" si="3013"/>
        <v>Sushi</v>
      </c>
      <c r="J3015" s="49" t="str">
        <f t="shared" ca="1" si="3013"/>
        <v>Sushi</v>
      </c>
    </row>
    <row r="3016" spans="1:10" ht="12.75" x14ac:dyDescent="0.2">
      <c r="A3016" s="41" t="s">
        <v>231</v>
      </c>
      <c r="B3016" s="40"/>
      <c r="C3016" s="40"/>
      <c r="D3016" s="40"/>
      <c r="E3016" s="40"/>
      <c r="F3016" s="49" t="str">
        <f t="shared" ref="F3016:J3016" ca="1" si="3014">IFERROR(__xludf.DUMMYFUNCTION("if (A3016 &lt;&gt; """", GOOGLETRANSLATE(A3016, ""auto"", ""en""), """")"),"Sushi")</f>
        <v>Sushi</v>
      </c>
      <c r="G3016" s="49" t="str">
        <f t="shared" ca="1" si="3014"/>
        <v>Sushi</v>
      </c>
      <c r="H3016" s="49" t="str">
        <f t="shared" ca="1" si="3014"/>
        <v>Sushi</v>
      </c>
      <c r="I3016" s="49" t="str">
        <f t="shared" ca="1" si="3014"/>
        <v>Sushi</v>
      </c>
      <c r="J3016" s="49" t="str">
        <f t="shared" ca="1" si="3014"/>
        <v>Sushi</v>
      </c>
    </row>
    <row r="3017" spans="1:10" ht="12.75" x14ac:dyDescent="0.2">
      <c r="A3017" s="41" t="s">
        <v>230</v>
      </c>
      <c r="B3017" s="40"/>
      <c r="C3017" s="40"/>
      <c r="D3017" s="40"/>
      <c r="E3017" s="40"/>
      <c r="F3017" s="49" t="str">
        <f t="shared" ref="F3017:J3017" ca="1" si="3015">IFERROR(__xludf.DUMMYFUNCTION("if (A3017 &lt;&gt; """", GOOGLETRANSLATE(A3017, ""auto"", ""en""), """")"),"Grilled meat")</f>
        <v>Grilled meat</v>
      </c>
      <c r="G3017" s="49" t="str">
        <f t="shared" ca="1" si="3015"/>
        <v>Grilled meat</v>
      </c>
      <c r="H3017" s="49" t="str">
        <f t="shared" ca="1" si="3015"/>
        <v>Grilled meat</v>
      </c>
      <c r="I3017" s="49" t="str">
        <f t="shared" ca="1" si="3015"/>
        <v>Grilled meat</v>
      </c>
      <c r="J3017" s="49" t="str">
        <f t="shared" ca="1" si="3015"/>
        <v>Grilled meat</v>
      </c>
    </row>
    <row r="3018" spans="1:10" ht="12.75" x14ac:dyDescent="0.2">
      <c r="A3018" s="41" t="s">
        <v>226</v>
      </c>
      <c r="B3018" s="40"/>
      <c r="C3018" s="40"/>
      <c r="D3018" s="40"/>
      <c r="E3018" s="40"/>
      <c r="F3018" s="49" t="str">
        <f t="shared" ref="F3018:J3018" ca="1" si="3016">IFERROR(__xludf.DUMMYFUNCTION("if (A3018 &lt;&gt; """", GOOGLETRANSLATE(A3018, ""auto"", ""en""), """")"),"rice")</f>
        <v>rice</v>
      </c>
      <c r="G3018" s="49" t="str">
        <f t="shared" ca="1" si="3016"/>
        <v>rice</v>
      </c>
      <c r="H3018" s="49" t="str">
        <f t="shared" ca="1" si="3016"/>
        <v>rice</v>
      </c>
      <c r="I3018" s="49" t="str">
        <f t="shared" ca="1" si="3016"/>
        <v>rice</v>
      </c>
      <c r="J3018" s="49" t="str">
        <f t="shared" ca="1" si="3016"/>
        <v>rice</v>
      </c>
    </row>
    <row r="3019" spans="1:10" ht="12.75" x14ac:dyDescent="0.2">
      <c r="A3019" s="41" t="s">
        <v>228</v>
      </c>
      <c r="B3019" s="40"/>
      <c r="C3019" s="40"/>
      <c r="D3019" s="40"/>
      <c r="E3019" s="40"/>
      <c r="F3019" s="49" t="str">
        <f t="shared" ref="F3019:J3019" ca="1" si="3017">IFERROR(__xludf.DUMMYFUNCTION("if (A3019 &lt;&gt; """", GOOGLETRANSLATE(A3019, ""auto"", ""en""), """")"),"rice")</f>
        <v>rice</v>
      </c>
      <c r="G3019" s="49" t="str">
        <f t="shared" ca="1" si="3017"/>
        <v>rice</v>
      </c>
      <c r="H3019" s="49" t="str">
        <f t="shared" ca="1" si="3017"/>
        <v>rice</v>
      </c>
      <c r="I3019" s="49" t="str">
        <f t="shared" ca="1" si="3017"/>
        <v>rice</v>
      </c>
      <c r="J3019" s="49" t="str">
        <f t="shared" ca="1" si="3017"/>
        <v>rice</v>
      </c>
    </row>
    <row r="3020" spans="1:10" ht="25.5" x14ac:dyDescent="0.2">
      <c r="A3020" s="41" t="s">
        <v>225</v>
      </c>
      <c r="B3020" s="40"/>
      <c r="C3020" s="40"/>
      <c r="D3020" s="40"/>
      <c r="E3020" s="40"/>
      <c r="F3020" s="49" t="str">
        <f t="shared" ref="F3020:J3020" ca="1" si="3018">IFERROR(__xludf.DUMMYFUNCTION("if (A3020 &lt;&gt; """", GOOGLETRANSLATE(A3020, ""auto"", ""en""), """")"),"Ramen noodles")</f>
        <v>Ramen noodles</v>
      </c>
      <c r="G3020" s="49" t="str">
        <f t="shared" ca="1" si="3018"/>
        <v>Ramen noodles</v>
      </c>
      <c r="H3020" s="49" t="str">
        <f t="shared" ca="1" si="3018"/>
        <v>Ramen noodles</v>
      </c>
      <c r="I3020" s="49" t="str">
        <f t="shared" ca="1" si="3018"/>
        <v>Ramen noodles</v>
      </c>
      <c r="J3020" s="49" t="str">
        <f t="shared" ca="1" si="3018"/>
        <v>Ramen noodles</v>
      </c>
    </row>
    <row r="3021" spans="1:10" ht="12.75" x14ac:dyDescent="0.2">
      <c r="A3021" s="41" t="s">
        <v>224</v>
      </c>
      <c r="B3021" s="40"/>
      <c r="C3021" s="40"/>
      <c r="D3021" s="40"/>
      <c r="E3021" s="40"/>
      <c r="F3021" s="49" t="str">
        <f t="shared" ref="F3021:J3021" ca="1" si="3019">IFERROR(__xludf.DUMMYFUNCTION("if (A3021 &lt;&gt; """", GOOGLETRANSLATE(A3021, ""auto"", ""en""), """")"),"ramen")</f>
        <v>ramen</v>
      </c>
      <c r="G3021" s="49" t="str">
        <f t="shared" ca="1" si="3019"/>
        <v>ramen</v>
      </c>
      <c r="H3021" s="49" t="str">
        <f t="shared" ca="1" si="3019"/>
        <v>ramen</v>
      </c>
      <c r="I3021" s="49" t="str">
        <f t="shared" ca="1" si="3019"/>
        <v>ramen</v>
      </c>
      <c r="J3021" s="49" t="str">
        <f t="shared" ca="1" si="3019"/>
        <v>ramen</v>
      </c>
    </row>
    <row r="3022" spans="1:10" ht="12.75" x14ac:dyDescent="0.2">
      <c r="A3022" s="41" t="s">
        <v>223</v>
      </c>
      <c r="B3022" s="40"/>
      <c r="C3022" s="40"/>
      <c r="D3022" s="40"/>
      <c r="E3022" s="40"/>
      <c r="F3022" s="49" t="str">
        <f t="shared" ref="F3022:J3022" ca="1" si="3020">IFERROR(__xludf.DUMMYFUNCTION("if (A3022 &lt;&gt; """", GOOGLETRANSLATE(A3022, ""auto"", ""en""), """")"),"curry")</f>
        <v>curry</v>
      </c>
      <c r="G3022" s="49" t="str">
        <f t="shared" ca="1" si="3020"/>
        <v>curry</v>
      </c>
      <c r="H3022" s="49" t="str">
        <f t="shared" ca="1" si="3020"/>
        <v>curry</v>
      </c>
      <c r="I3022" s="49" t="str">
        <f t="shared" ca="1" si="3020"/>
        <v>curry</v>
      </c>
      <c r="J3022" s="49" t="str">
        <f t="shared" ca="1" si="3020"/>
        <v>curry</v>
      </c>
    </row>
    <row r="3023" spans="1:10" ht="12.75" x14ac:dyDescent="0.2">
      <c r="A3023" s="41" t="s">
        <v>222</v>
      </c>
      <c r="B3023" s="40"/>
      <c r="C3023" s="40"/>
      <c r="D3023" s="40"/>
      <c r="E3023" s="40"/>
      <c r="F3023" s="49" t="str">
        <f t="shared" ref="F3023:J3023" ca="1" si="3021">IFERROR(__xludf.DUMMYFUNCTION("if (A3023 &lt;&gt; """", GOOGLETRANSLATE(A3023, ""auto"", ""en""), """")"),"tired")</f>
        <v>tired</v>
      </c>
      <c r="G3023" s="49" t="str">
        <f t="shared" ca="1" si="3021"/>
        <v>tired</v>
      </c>
      <c r="H3023" s="49" t="str">
        <f t="shared" ca="1" si="3021"/>
        <v>tired</v>
      </c>
      <c r="I3023" s="49" t="str">
        <f t="shared" ca="1" si="3021"/>
        <v>tired</v>
      </c>
      <c r="J3023" s="49" t="str">
        <f t="shared" ca="1" si="3021"/>
        <v>tired</v>
      </c>
    </row>
    <row r="3024" spans="1:10" ht="12.75" x14ac:dyDescent="0.2">
      <c r="A3024" s="41" t="s">
        <v>221</v>
      </c>
      <c r="B3024" s="40"/>
      <c r="C3024" s="40"/>
      <c r="D3024" s="40"/>
      <c r="E3024" s="40"/>
      <c r="F3024" s="49" t="str">
        <f t="shared" ref="F3024:J3024" ca="1" si="3022">IFERROR(__xludf.DUMMYFUNCTION("if (A3024 &lt;&gt; """", GOOGLETRANSLATE(A3024, ""auto"", ""en""), """")"),"Tired")</f>
        <v>Tired</v>
      </c>
      <c r="G3024" s="49" t="str">
        <f t="shared" ca="1" si="3022"/>
        <v>Tired</v>
      </c>
      <c r="H3024" s="49" t="str">
        <f t="shared" ca="1" si="3022"/>
        <v>Tired</v>
      </c>
      <c r="I3024" s="49" t="str">
        <f t="shared" ca="1" si="3022"/>
        <v>Tired</v>
      </c>
      <c r="J3024" s="49" t="str">
        <f t="shared" ca="1" si="3022"/>
        <v>Tired</v>
      </c>
    </row>
    <row r="3025" spans="1:10" ht="12.75" x14ac:dyDescent="0.2">
      <c r="A3025" s="41" t="s">
        <v>220</v>
      </c>
      <c r="B3025" s="40"/>
      <c r="C3025" s="40"/>
      <c r="D3025" s="40"/>
      <c r="E3025" s="40"/>
      <c r="F3025" s="49" t="str">
        <f t="shared" ref="F3025:J3025" ca="1" si="3023">IFERROR(__xludf.DUMMYFUNCTION("if (A3025 &lt;&gt; """", GOOGLETRANSLATE(A3025, ""auto"", ""en""), """")"),"hungry")</f>
        <v>hungry</v>
      </c>
      <c r="G3025" s="49" t="str">
        <f t="shared" ca="1" si="3023"/>
        <v>hungry</v>
      </c>
      <c r="H3025" s="49" t="str">
        <f t="shared" ca="1" si="3023"/>
        <v>hungry</v>
      </c>
      <c r="I3025" s="49" t="str">
        <f t="shared" ca="1" si="3023"/>
        <v>hungry</v>
      </c>
      <c r="J3025" s="49" t="str">
        <f t="shared" ca="1" si="3023"/>
        <v>hungry</v>
      </c>
    </row>
    <row r="3026" spans="1:10" ht="12.75" x14ac:dyDescent="0.2">
      <c r="A3026" s="41" t="s">
        <v>219</v>
      </c>
      <c r="B3026" s="40"/>
      <c r="C3026" s="40"/>
      <c r="D3026" s="40"/>
      <c r="E3026" s="40"/>
      <c r="F3026" s="49" t="str">
        <f t="shared" ref="F3026:J3026" ca="1" si="3024">IFERROR(__xludf.DUMMYFUNCTION("if (A3026 &lt;&gt; """", GOOGLETRANSLATE(A3026, ""auto"", ""en""), """")"),"I'm hungry")</f>
        <v>I'm hungry</v>
      </c>
      <c r="G3026" s="49" t="str">
        <f t="shared" ca="1" si="3024"/>
        <v>I'm hungry</v>
      </c>
      <c r="H3026" s="49" t="str">
        <f t="shared" ca="1" si="3024"/>
        <v>I'm hungry</v>
      </c>
      <c r="I3026" s="49" t="str">
        <f t="shared" ca="1" si="3024"/>
        <v>I'm hungry</v>
      </c>
      <c r="J3026" s="49" t="str">
        <f t="shared" ca="1" si="3024"/>
        <v>I'm hungry</v>
      </c>
    </row>
    <row r="3027" spans="1:10" ht="12.75" x14ac:dyDescent="0.2">
      <c r="A3027" s="41" t="s">
        <v>217</v>
      </c>
      <c r="B3027" s="40"/>
      <c r="C3027" s="40"/>
      <c r="D3027" s="40"/>
      <c r="E3027" s="40"/>
      <c r="F3027" s="49" t="str">
        <f t="shared" ref="F3027:J3027" ca="1" si="3025">IFERROR(__xludf.DUMMYFUNCTION("if (A3027 &lt;&gt; """", GOOGLETRANSLATE(A3027, ""auto"", ""en""), """")"),"I was hungry")</f>
        <v>I was hungry</v>
      </c>
      <c r="G3027" s="49" t="str">
        <f t="shared" ca="1" si="3025"/>
        <v>I was hungry</v>
      </c>
      <c r="H3027" s="49" t="str">
        <f t="shared" ca="1" si="3025"/>
        <v>I was hungry</v>
      </c>
      <c r="I3027" s="49" t="str">
        <f t="shared" ca="1" si="3025"/>
        <v>I was hungry</v>
      </c>
      <c r="J3027" s="49" t="str">
        <f t="shared" ca="1" si="3025"/>
        <v>I was hungry</v>
      </c>
    </row>
    <row r="3028" spans="1:10" ht="12.75" x14ac:dyDescent="0.2">
      <c r="A3028" s="41" t="s">
        <v>216</v>
      </c>
      <c r="B3028" s="40"/>
      <c r="C3028" s="40"/>
      <c r="D3028" s="40"/>
      <c r="E3028" s="40"/>
      <c r="F3028" s="49" t="str">
        <f t="shared" ref="F3028:J3028" ca="1" si="3026">IFERROR(__xludf.DUMMYFUNCTION("if (A3028 &lt;&gt; """", GOOGLETRANSLATE(A3028, ""auto"", ""en""), """")"),"I'm hungry")</f>
        <v>I'm hungry</v>
      </c>
      <c r="G3028" s="49" t="str">
        <f t="shared" ca="1" si="3026"/>
        <v>I'm hungry</v>
      </c>
      <c r="H3028" s="49" t="str">
        <f t="shared" ca="1" si="3026"/>
        <v>I'm hungry</v>
      </c>
      <c r="I3028" s="49" t="str">
        <f t="shared" ca="1" si="3026"/>
        <v>I'm hungry</v>
      </c>
      <c r="J3028" s="49" t="str">
        <f t="shared" ca="1" si="3026"/>
        <v>I'm hungry</v>
      </c>
    </row>
    <row r="3029" spans="1:10" ht="12.75" x14ac:dyDescent="0.2">
      <c r="A3029" s="41" t="s">
        <v>213</v>
      </c>
      <c r="B3029" s="40"/>
      <c r="C3029" s="40"/>
      <c r="D3029" s="40"/>
      <c r="E3029" s="40"/>
      <c r="F3029" s="49" t="str">
        <f t="shared" ref="F3029:J3029" ca="1" si="3027">IFERROR(__xludf.DUMMYFUNCTION("if (A3029 &lt;&gt; """", GOOGLETRANSLATE(A3029, ""auto"", ""en""), """")"),"I am hungry")</f>
        <v>I am hungry</v>
      </c>
      <c r="G3029" s="49" t="str">
        <f t="shared" ca="1" si="3027"/>
        <v>I am hungry</v>
      </c>
      <c r="H3029" s="49" t="str">
        <f t="shared" ca="1" si="3027"/>
        <v>I am hungry</v>
      </c>
      <c r="I3029" s="49" t="str">
        <f t="shared" ca="1" si="3027"/>
        <v>I am hungry</v>
      </c>
      <c r="J3029" s="49" t="str">
        <f t="shared" ca="1" si="3027"/>
        <v>I am hungry</v>
      </c>
    </row>
    <row r="3030" spans="1:10" ht="12.75" x14ac:dyDescent="0.2">
      <c r="A3030" s="40"/>
      <c r="B3030" s="40"/>
      <c r="C3030" s="40"/>
      <c r="D3030" s="40"/>
      <c r="E3030" s="40"/>
      <c r="F3030" s="49" t="str">
        <f t="shared" ref="F3030:J3030" ca="1" si="3028">IFERROR(__xludf.DUMMYFUNCTION("if (A3030 &lt;&gt; """", GOOGLETRANSLATE(A3030, ""auto"", ""en""), """")"),"")</f>
        <v/>
      </c>
      <c r="G3030" s="49" t="str">
        <f t="shared" ca="1" si="3028"/>
        <v/>
      </c>
      <c r="H3030" s="49" t="str">
        <f t="shared" ca="1" si="3028"/>
        <v/>
      </c>
      <c r="I3030" s="49" t="str">
        <f t="shared" ca="1" si="3028"/>
        <v/>
      </c>
      <c r="J3030" s="49" t="str">
        <f t="shared" ca="1" si="3028"/>
        <v/>
      </c>
    </row>
    <row r="3031" spans="1:10" ht="12.75" x14ac:dyDescent="0.2">
      <c r="A3031" s="41" t="s">
        <v>236</v>
      </c>
      <c r="B3031" s="40"/>
      <c r="C3031" s="40"/>
      <c r="D3031" s="40"/>
      <c r="E3031" s="40"/>
      <c r="F3031" s="49" t="str">
        <f t="shared" ref="F3031:J3031" ca="1" si="3029">IFERROR(__xludf.DUMMYFUNCTION("if (A3031 &lt;&gt; """", GOOGLETRANSLATE(A3031, ""auto"", ""en""), """")"),"Z-Name")</f>
        <v>Z-Name</v>
      </c>
      <c r="G3031" s="49" t="str">
        <f t="shared" ca="1" si="3029"/>
        <v>Z-Name</v>
      </c>
      <c r="H3031" s="49" t="str">
        <f t="shared" ca="1" si="3029"/>
        <v>Z-Name</v>
      </c>
      <c r="I3031" s="49" t="str">
        <f t="shared" ca="1" si="3029"/>
        <v>Z-Name</v>
      </c>
      <c r="J3031" s="49" t="str">
        <f t="shared" ca="1" si="3029"/>
        <v>Z-Name</v>
      </c>
    </row>
    <row r="3032" spans="1:10" ht="12.75" x14ac:dyDescent="0.2">
      <c r="A3032" s="40"/>
      <c r="B3032" s="41" t="s">
        <v>398</v>
      </c>
      <c r="C3032" s="40"/>
      <c r="D3032" s="40"/>
      <c r="E3032" s="40"/>
      <c r="F3032" s="49" t="str">
        <f t="shared" ref="F3032:J3032" ca="1" si="3030">IFERROR(__xludf.DUMMYFUNCTION("if (A3032 &lt;&gt; """", GOOGLETRANSLATE(A3032, ""auto"", ""en""), """")"),"")</f>
        <v/>
      </c>
      <c r="G3032" s="49" t="str">
        <f t="shared" ca="1" si="3030"/>
        <v/>
      </c>
      <c r="H3032" s="49" t="str">
        <f t="shared" ca="1" si="3030"/>
        <v/>
      </c>
      <c r="I3032" s="49" t="str">
        <f t="shared" ca="1" si="3030"/>
        <v/>
      </c>
      <c r="J3032" s="49" t="str">
        <f t="shared" ca="1" si="3030"/>
        <v/>
      </c>
    </row>
    <row r="3033" spans="1:10" ht="12.75" x14ac:dyDescent="0.2">
      <c r="A3033" s="40"/>
      <c r="B3033" s="41" t="s">
        <v>399</v>
      </c>
      <c r="C3033" s="40"/>
      <c r="D3033" s="40"/>
      <c r="E3033" s="40"/>
      <c r="F3033" s="49" t="str">
        <f t="shared" ref="F3033:J3033" ca="1" si="3031">IFERROR(__xludf.DUMMYFUNCTION("if (A3033 &lt;&gt; """", GOOGLETRANSLATE(A3033, ""auto"", ""en""), """")"),"")</f>
        <v/>
      </c>
      <c r="G3033" s="49" t="str">
        <f t="shared" ca="1" si="3031"/>
        <v/>
      </c>
      <c r="H3033" s="49" t="str">
        <f t="shared" ca="1" si="3031"/>
        <v/>
      </c>
      <c r="I3033" s="49" t="str">
        <f t="shared" ca="1" si="3031"/>
        <v/>
      </c>
      <c r="J3033" s="49" t="str">
        <f t="shared" ca="1" si="3031"/>
        <v/>
      </c>
    </row>
    <row r="3034" spans="1:10" ht="12.75" x14ac:dyDescent="0.2">
      <c r="A3034" s="40"/>
      <c r="B3034" s="41" t="s">
        <v>400</v>
      </c>
      <c r="C3034" s="40"/>
      <c r="D3034" s="40"/>
      <c r="E3034" s="40"/>
      <c r="F3034" s="49" t="str">
        <f t="shared" ref="F3034:J3034" ca="1" si="3032">IFERROR(__xludf.DUMMYFUNCTION("if (A3034 &lt;&gt; """", GOOGLETRANSLATE(A3034, ""auto"", ""en""), """")"),"")</f>
        <v/>
      </c>
      <c r="G3034" s="49" t="str">
        <f t="shared" ca="1" si="3032"/>
        <v/>
      </c>
      <c r="H3034" s="49" t="str">
        <f t="shared" ca="1" si="3032"/>
        <v/>
      </c>
      <c r="I3034" s="49" t="str">
        <f t="shared" ca="1" si="3032"/>
        <v/>
      </c>
      <c r="J3034" s="49" t="str">
        <f t="shared" ca="1" si="3032"/>
        <v/>
      </c>
    </row>
    <row r="3035" spans="1:10" ht="12.75" x14ac:dyDescent="0.2">
      <c r="A3035" s="40"/>
      <c r="B3035" s="41" t="s">
        <v>401</v>
      </c>
      <c r="C3035" s="40"/>
      <c r="D3035" s="40"/>
      <c r="E3035" s="40"/>
      <c r="F3035" s="49" t="str">
        <f t="shared" ref="F3035:J3035" ca="1" si="3033">IFERROR(__xludf.DUMMYFUNCTION("if (A3035 &lt;&gt; """", GOOGLETRANSLATE(A3035, ""auto"", ""en""), """")"),"")</f>
        <v/>
      </c>
      <c r="G3035" s="49" t="str">
        <f t="shared" ca="1" si="3033"/>
        <v/>
      </c>
      <c r="H3035" s="49" t="str">
        <f t="shared" ca="1" si="3033"/>
        <v/>
      </c>
      <c r="I3035" s="49" t="str">
        <f t="shared" ca="1" si="3033"/>
        <v/>
      </c>
      <c r="J3035" s="49" t="str">
        <f t="shared" ca="1" si="3033"/>
        <v/>
      </c>
    </row>
    <row r="3036" spans="1:10" ht="51" x14ac:dyDescent="0.2">
      <c r="A3036" s="41" t="s">
        <v>829</v>
      </c>
      <c r="B3036" s="41" t="s">
        <v>402</v>
      </c>
      <c r="C3036" s="41" t="s">
        <v>830</v>
      </c>
      <c r="D3036" s="40"/>
      <c r="E3036" s="40"/>
      <c r="F3036" s="49" t="str">
        <f t="shared" ref="F3036:J3036" ca="1" si="3034">IFERROR(__xludf.DUMMYFUNCTION("if (A3036 &lt;&gt; """", GOOGLETRANSLATE(A3036, ""auto"", ""en""), """")"),"Please tell your name")</f>
        <v>Please tell your name</v>
      </c>
      <c r="G3036" s="49" t="str">
        <f t="shared" ca="1" si="3034"/>
        <v>Please tell your name</v>
      </c>
      <c r="H3036" s="49" t="str">
        <f t="shared" ca="1" si="3034"/>
        <v>Please tell your name</v>
      </c>
      <c r="I3036" s="49" t="str">
        <f t="shared" ca="1" si="3034"/>
        <v>Please tell your name</v>
      </c>
      <c r="J3036" s="49" t="str">
        <f t="shared" ca="1" si="3034"/>
        <v>Please tell your name</v>
      </c>
    </row>
    <row r="3037" spans="1:10" ht="12.75" x14ac:dyDescent="0.2">
      <c r="A3037" s="41" t="s">
        <v>264</v>
      </c>
      <c r="B3037" s="40"/>
      <c r="C3037" s="40"/>
      <c r="D3037" s="40"/>
      <c r="E3037" s="40"/>
      <c r="F3037" s="49" t="str">
        <f t="shared" ref="F3037:J3037" ca="1" si="3035">IFERROR(__xludf.DUMMYFUNCTION("if (A3037 &lt;&gt; """", GOOGLETRANSLATE(A3037, ""auto"", ""en""), """")"),"Your name")</f>
        <v>Your name</v>
      </c>
      <c r="G3037" s="49" t="str">
        <f t="shared" ca="1" si="3035"/>
        <v>Your name</v>
      </c>
      <c r="H3037" s="49" t="str">
        <f t="shared" ca="1" si="3035"/>
        <v>Your name</v>
      </c>
      <c r="I3037" s="49" t="str">
        <f t="shared" ca="1" si="3035"/>
        <v>Your name</v>
      </c>
      <c r="J3037" s="49" t="str">
        <f t="shared" ca="1" si="3035"/>
        <v>Your name</v>
      </c>
    </row>
    <row r="3038" spans="1:10" ht="12.75" x14ac:dyDescent="0.2">
      <c r="A3038" s="41" t="s">
        <v>263</v>
      </c>
      <c r="B3038" s="40"/>
      <c r="C3038" s="40"/>
      <c r="D3038" s="40"/>
      <c r="E3038" s="40"/>
      <c r="F3038" s="49" t="str">
        <f t="shared" ref="F3038:J3038" ca="1" si="3036">IFERROR(__xludf.DUMMYFUNCTION("if (A3038 &lt;&gt; """", GOOGLETRANSLATE(A3038, ""auto"", ""en""), """")"),"Who")</f>
        <v>Who</v>
      </c>
      <c r="G3038" s="49" t="str">
        <f t="shared" ca="1" si="3036"/>
        <v>Who</v>
      </c>
      <c r="H3038" s="49" t="str">
        <f t="shared" ca="1" si="3036"/>
        <v>Who</v>
      </c>
      <c r="I3038" s="49" t="str">
        <f t="shared" ca="1" si="3036"/>
        <v>Who</v>
      </c>
      <c r="J3038" s="49" t="str">
        <f t="shared" ca="1" si="3036"/>
        <v>Who</v>
      </c>
    </row>
    <row r="3039" spans="1:10" ht="12.75" x14ac:dyDescent="0.2">
      <c r="A3039" s="41" t="s">
        <v>262</v>
      </c>
      <c r="B3039" s="40"/>
      <c r="C3039" s="40"/>
      <c r="D3039" s="40"/>
      <c r="E3039" s="40"/>
      <c r="F3039" s="49" t="str">
        <f t="shared" ref="F3039:J3039" ca="1" si="3037">IFERROR(__xludf.DUMMYFUNCTION("if (A3039 &lt;&gt; """", GOOGLETRANSLATE(A3039, ""auto"", ""en""), """")"),"What's")</f>
        <v>What's</v>
      </c>
      <c r="G3039" s="49" t="str">
        <f t="shared" ca="1" si="3037"/>
        <v>What's</v>
      </c>
      <c r="H3039" s="49" t="str">
        <f t="shared" ca="1" si="3037"/>
        <v>What's</v>
      </c>
      <c r="I3039" s="49" t="str">
        <f t="shared" ca="1" si="3037"/>
        <v>What's</v>
      </c>
      <c r="J3039" s="49" t="str">
        <f t="shared" ca="1" si="3037"/>
        <v>What's</v>
      </c>
    </row>
    <row r="3040" spans="1:10" ht="12.75" x14ac:dyDescent="0.2">
      <c r="A3040" s="41" t="s">
        <v>259</v>
      </c>
      <c r="B3040" s="40"/>
      <c r="C3040" s="40"/>
      <c r="D3040" s="40"/>
      <c r="E3040" s="40"/>
      <c r="F3040" s="49" t="str">
        <f t="shared" ref="F3040:J3040" ca="1" si="3038">IFERROR(__xludf.DUMMYFUNCTION("if (A3040 &lt;&gt; """", GOOGLETRANSLATE(A3040, ""auto"", ""en""), """")"),"robot")</f>
        <v>robot</v>
      </c>
      <c r="G3040" s="49" t="str">
        <f t="shared" ca="1" si="3038"/>
        <v>robot</v>
      </c>
      <c r="H3040" s="49" t="str">
        <f t="shared" ca="1" si="3038"/>
        <v>robot</v>
      </c>
      <c r="I3040" s="49" t="str">
        <f t="shared" ca="1" si="3038"/>
        <v>robot</v>
      </c>
      <c r="J3040" s="49" t="str">
        <f t="shared" ca="1" si="3038"/>
        <v>robot</v>
      </c>
    </row>
    <row r="3041" spans="1:10" ht="12.75" x14ac:dyDescent="0.2">
      <c r="A3041" s="41" t="s">
        <v>257</v>
      </c>
      <c r="B3041" s="40"/>
      <c r="C3041" s="40"/>
      <c r="D3041" s="40"/>
      <c r="E3041" s="40"/>
      <c r="F3041" s="49" t="str">
        <f t="shared" ref="F3041:J3041" ca="1" si="3039">IFERROR(__xludf.DUMMYFUNCTION("if (A3041 &lt;&gt; """", GOOGLETRANSLATE(A3041, ""auto"", ""en""), """")"),"Who")</f>
        <v>Who</v>
      </c>
      <c r="G3041" s="49" t="str">
        <f t="shared" ca="1" si="3039"/>
        <v>Who</v>
      </c>
      <c r="H3041" s="49" t="str">
        <f t="shared" ca="1" si="3039"/>
        <v>Who</v>
      </c>
      <c r="I3041" s="49" t="str">
        <f t="shared" ca="1" si="3039"/>
        <v>Who</v>
      </c>
      <c r="J3041" s="49" t="str">
        <f t="shared" ca="1" si="3039"/>
        <v>Who</v>
      </c>
    </row>
    <row r="3042" spans="1:10" ht="12.75" x14ac:dyDescent="0.2">
      <c r="A3042" s="41" t="s">
        <v>255</v>
      </c>
      <c r="B3042" s="40"/>
      <c r="C3042" s="40"/>
      <c r="D3042" s="40"/>
      <c r="E3042" s="40"/>
      <c r="F3042" s="49" t="str">
        <f t="shared" ref="F3042:J3042" ca="1" si="3040">IFERROR(__xludf.DUMMYFUNCTION("if (A3042 &lt;&gt; """", GOOGLETRANSLATE(A3042, ""auto"", ""en""), """")"),"Who is it")</f>
        <v>Who is it</v>
      </c>
      <c r="G3042" s="49" t="str">
        <f t="shared" ca="1" si="3040"/>
        <v>Who is it</v>
      </c>
      <c r="H3042" s="49" t="str">
        <f t="shared" ca="1" si="3040"/>
        <v>Who is it</v>
      </c>
      <c r="I3042" s="49" t="str">
        <f t="shared" ca="1" si="3040"/>
        <v>Who is it</v>
      </c>
      <c r="J3042" s="49" t="str">
        <f t="shared" ca="1" si="3040"/>
        <v>Who is it</v>
      </c>
    </row>
    <row r="3043" spans="1:10" ht="12.75" x14ac:dyDescent="0.2">
      <c r="A3043" s="41" t="s">
        <v>254</v>
      </c>
      <c r="B3043" s="40"/>
      <c r="C3043" s="40"/>
      <c r="D3043" s="40"/>
      <c r="E3043" s="40"/>
      <c r="F3043" s="49" t="str">
        <f t="shared" ref="F3043:J3043" ca="1" si="3041">IFERROR(__xludf.DUMMYFUNCTION("if (A3043 &lt;&gt; """", GOOGLETRANSLATE(A3043, ""auto"", ""en""), """")"),"Who are you")</f>
        <v>Who are you</v>
      </c>
      <c r="G3043" s="49" t="str">
        <f t="shared" ca="1" si="3041"/>
        <v>Who are you</v>
      </c>
      <c r="H3043" s="49" t="str">
        <f t="shared" ca="1" si="3041"/>
        <v>Who are you</v>
      </c>
      <c r="I3043" s="49" t="str">
        <f t="shared" ca="1" si="3041"/>
        <v>Who are you</v>
      </c>
      <c r="J3043" s="49" t="str">
        <f t="shared" ca="1" si="3041"/>
        <v>Who are you</v>
      </c>
    </row>
    <row r="3044" spans="1:10" ht="25.5" x14ac:dyDescent="0.2">
      <c r="A3044" s="41" t="s">
        <v>253</v>
      </c>
      <c r="B3044" s="40"/>
      <c r="C3044" s="40"/>
      <c r="D3044" s="40"/>
      <c r="E3044" s="40"/>
      <c r="F3044" s="49" t="str">
        <f t="shared" ref="F3044:J3044" ca="1" si="3042">IFERROR(__xludf.DUMMYFUNCTION("if (A3044 &lt;&gt; """", GOOGLETRANSLATE(A3044, ""auto"", ""en""), """")"),"What's your name")</f>
        <v>What's your name</v>
      </c>
      <c r="G3044" s="49" t="str">
        <f t="shared" ca="1" si="3042"/>
        <v>What's your name</v>
      </c>
      <c r="H3044" s="49" t="str">
        <f t="shared" ca="1" si="3042"/>
        <v>What's your name</v>
      </c>
      <c r="I3044" s="49" t="str">
        <f t="shared" ca="1" si="3042"/>
        <v>What's your name</v>
      </c>
      <c r="J3044" s="49" t="str">
        <f t="shared" ca="1" si="3042"/>
        <v>What's your name</v>
      </c>
    </row>
    <row r="3045" spans="1:10" ht="25.5" x14ac:dyDescent="0.2">
      <c r="A3045" s="41" t="s">
        <v>252</v>
      </c>
      <c r="B3045" s="40"/>
      <c r="C3045" s="40"/>
      <c r="D3045" s="40"/>
      <c r="E3045" s="40"/>
      <c r="F3045" s="49" t="str">
        <f t="shared" ref="F3045:J3045" ca="1" si="3043">IFERROR(__xludf.DUMMYFUNCTION("if (A3045 &lt;&gt; """", GOOGLETRANSLATE(A3045, ""auto"", ""en""), """")"),"What is your name")</f>
        <v>What is your name</v>
      </c>
      <c r="G3045" s="49" t="str">
        <f t="shared" ca="1" si="3043"/>
        <v>What is your name</v>
      </c>
      <c r="H3045" s="49" t="str">
        <f t="shared" ca="1" si="3043"/>
        <v>What is your name</v>
      </c>
      <c r="I3045" s="49" t="str">
        <f t="shared" ca="1" si="3043"/>
        <v>What is your name</v>
      </c>
      <c r="J3045" s="49" t="str">
        <f t="shared" ca="1" si="3043"/>
        <v>What is your name</v>
      </c>
    </row>
    <row r="3046" spans="1:10" ht="12.75" x14ac:dyDescent="0.2">
      <c r="A3046" s="41" t="s">
        <v>251</v>
      </c>
      <c r="B3046" s="40"/>
      <c r="C3046" s="40"/>
      <c r="D3046" s="40"/>
      <c r="E3046" s="40"/>
      <c r="F3046" s="49" t="str">
        <f t="shared" ref="F3046:J3046" ca="1" si="3044">IFERROR(__xludf.DUMMYFUNCTION("if (A3046 &lt;&gt; """", GOOGLETRANSLATE(A3046, ""auto"", ""en""), """")"),"Who are you")</f>
        <v>Who are you</v>
      </c>
      <c r="G3046" s="49" t="str">
        <f t="shared" ca="1" si="3044"/>
        <v>Who are you</v>
      </c>
      <c r="H3046" s="49" t="str">
        <f t="shared" ca="1" si="3044"/>
        <v>Who are you</v>
      </c>
      <c r="I3046" s="49" t="str">
        <f t="shared" ca="1" si="3044"/>
        <v>Who are you</v>
      </c>
      <c r="J3046" s="49" t="str">
        <f t="shared" ca="1" si="3044"/>
        <v>Who are you</v>
      </c>
    </row>
    <row r="3047" spans="1:10" ht="12.75" x14ac:dyDescent="0.2">
      <c r="A3047" s="41" t="s">
        <v>250</v>
      </c>
      <c r="B3047" s="40"/>
      <c r="C3047" s="40"/>
      <c r="D3047" s="40"/>
      <c r="E3047" s="40"/>
      <c r="F3047" s="49" t="str">
        <f t="shared" ref="F3047:J3047" ca="1" si="3045">IFERROR(__xludf.DUMMYFUNCTION("if (A3047 &lt;&gt; """", GOOGLETRANSLATE(A3047, ""auto"", ""en""), """")"),"Who are you")</f>
        <v>Who are you</v>
      </c>
      <c r="G3047" s="49" t="str">
        <f t="shared" ca="1" si="3045"/>
        <v>Who are you</v>
      </c>
      <c r="H3047" s="49" t="str">
        <f t="shared" ca="1" si="3045"/>
        <v>Who are you</v>
      </c>
      <c r="I3047" s="49" t="str">
        <f t="shared" ca="1" si="3045"/>
        <v>Who are you</v>
      </c>
      <c r="J3047" s="49" t="str">
        <f t="shared" ca="1" si="3045"/>
        <v>Who are you</v>
      </c>
    </row>
    <row r="3048" spans="1:10" ht="12.75" x14ac:dyDescent="0.2">
      <c r="A3048" s="41" t="s">
        <v>248</v>
      </c>
      <c r="B3048" s="40"/>
      <c r="C3048" s="40"/>
      <c r="D3048" s="40"/>
      <c r="E3048" s="40"/>
      <c r="F3048" s="49" t="str">
        <f t="shared" ref="F3048:J3048" ca="1" si="3046">IFERROR(__xludf.DUMMYFUNCTION("if (A3048 &lt;&gt; """", GOOGLETRANSLATE(A3048, ""auto"", ""en""), """")"),"Your name")</f>
        <v>Your name</v>
      </c>
      <c r="G3048" s="49" t="str">
        <f t="shared" ca="1" si="3046"/>
        <v>Your name</v>
      </c>
      <c r="H3048" s="49" t="str">
        <f t="shared" ca="1" si="3046"/>
        <v>Your name</v>
      </c>
      <c r="I3048" s="49" t="str">
        <f t="shared" ca="1" si="3046"/>
        <v>Your name</v>
      </c>
      <c r="J3048" s="49" t="str">
        <f t="shared" ca="1" si="3046"/>
        <v>Your name</v>
      </c>
    </row>
    <row r="3049" spans="1:10" ht="12.75" x14ac:dyDescent="0.2">
      <c r="A3049" s="41" t="s">
        <v>247</v>
      </c>
      <c r="B3049" s="40"/>
      <c r="C3049" s="40"/>
      <c r="D3049" s="40"/>
      <c r="E3049" s="40"/>
      <c r="F3049" s="49" t="str">
        <f t="shared" ref="F3049:J3049" ca="1" si="3047">IFERROR(__xludf.DUMMYFUNCTION("if (A3049 &lt;&gt; """", GOOGLETRANSLATE(A3049, ""auto"", ""en""), """")"),"Your name")</f>
        <v>Your name</v>
      </c>
      <c r="G3049" s="49" t="str">
        <f t="shared" ca="1" si="3047"/>
        <v>Your name</v>
      </c>
      <c r="H3049" s="49" t="str">
        <f t="shared" ca="1" si="3047"/>
        <v>Your name</v>
      </c>
      <c r="I3049" s="49" t="str">
        <f t="shared" ca="1" si="3047"/>
        <v>Your name</v>
      </c>
      <c r="J3049" s="49" t="str">
        <f t="shared" ca="1" si="3047"/>
        <v>Your name</v>
      </c>
    </row>
    <row r="3050" spans="1:10" ht="25.5" x14ac:dyDescent="0.2">
      <c r="A3050" s="41" t="s">
        <v>246</v>
      </c>
      <c r="B3050" s="40"/>
      <c r="C3050" s="40"/>
      <c r="D3050" s="40"/>
      <c r="E3050" s="40"/>
      <c r="F3050" s="49" t="str">
        <f t="shared" ref="F3050:J3050" ca="1" si="3048">IFERROR(__xludf.DUMMYFUNCTION("if (A3050 &lt;&gt; """", GOOGLETRANSLATE(A3050, ""auto"", ""en""), """")"),"what's your name")</f>
        <v>what's your name</v>
      </c>
      <c r="G3050" s="49" t="str">
        <f t="shared" ca="1" si="3048"/>
        <v>what's your name</v>
      </c>
      <c r="H3050" s="49" t="str">
        <f t="shared" ca="1" si="3048"/>
        <v>what's your name</v>
      </c>
      <c r="I3050" s="49" t="str">
        <f t="shared" ca="1" si="3048"/>
        <v>what's your name</v>
      </c>
      <c r="J3050" s="49" t="str">
        <f t="shared" ca="1" si="3048"/>
        <v>what's your name</v>
      </c>
    </row>
    <row r="3051" spans="1:10" ht="12.75" x14ac:dyDescent="0.2">
      <c r="A3051" s="41" t="s">
        <v>245</v>
      </c>
      <c r="B3051" s="40"/>
      <c r="C3051" s="40"/>
      <c r="D3051" s="40"/>
      <c r="E3051" s="40"/>
      <c r="F3051" s="49" t="str">
        <f t="shared" ref="F3051:J3051" ca="1" si="3049">IFERROR(__xludf.DUMMYFUNCTION("if (A3051 &lt;&gt; """", GOOGLETRANSLATE(A3051, ""auto"", ""en""), """")"),"Name is")</f>
        <v>Name is</v>
      </c>
      <c r="G3051" s="49" t="str">
        <f t="shared" ca="1" si="3049"/>
        <v>Name is</v>
      </c>
      <c r="H3051" s="49" t="str">
        <f t="shared" ca="1" si="3049"/>
        <v>Name is</v>
      </c>
      <c r="I3051" s="49" t="str">
        <f t="shared" ca="1" si="3049"/>
        <v>Name is</v>
      </c>
      <c r="J3051" s="49" t="str">
        <f t="shared" ca="1" si="3049"/>
        <v>Name is</v>
      </c>
    </row>
    <row r="3052" spans="1:10" ht="12.75" x14ac:dyDescent="0.2">
      <c r="A3052" s="41" t="s">
        <v>242</v>
      </c>
      <c r="B3052" s="40"/>
      <c r="C3052" s="40"/>
      <c r="D3052" s="40"/>
      <c r="E3052" s="40"/>
      <c r="F3052" s="49" t="str">
        <f t="shared" ref="F3052:J3052" ca="1" si="3050">IFERROR(__xludf.DUMMYFUNCTION("if (A3052 &lt;&gt; """", GOOGLETRANSLATE(A3052, ""auto"", ""en""), """")"),"Name")</f>
        <v>Name</v>
      </c>
      <c r="G3052" s="49" t="str">
        <f t="shared" ca="1" si="3050"/>
        <v>Name</v>
      </c>
      <c r="H3052" s="49" t="str">
        <f t="shared" ca="1" si="3050"/>
        <v>Name</v>
      </c>
      <c r="I3052" s="49" t="str">
        <f t="shared" ca="1" si="3050"/>
        <v>Name</v>
      </c>
      <c r="J3052" s="49" t="str">
        <f t="shared" ca="1" si="3050"/>
        <v>Name</v>
      </c>
    </row>
    <row r="3053" spans="1:10" ht="12.75" x14ac:dyDescent="0.2">
      <c r="A3053" s="41" t="s">
        <v>240</v>
      </c>
      <c r="B3053" s="40"/>
      <c r="C3053" s="40"/>
      <c r="D3053" s="40"/>
      <c r="E3053" s="40"/>
      <c r="F3053" s="49" t="str">
        <f t="shared" ref="F3053:J3053" ca="1" si="3051">IFERROR(__xludf.DUMMYFUNCTION("if (A3053 &lt;&gt; """", GOOGLETRANSLATE(A3053, ""auto"", ""en""), """")"),"Name is")</f>
        <v>Name is</v>
      </c>
      <c r="G3053" s="49" t="str">
        <f t="shared" ca="1" si="3051"/>
        <v>Name is</v>
      </c>
      <c r="H3053" s="49" t="str">
        <f t="shared" ca="1" si="3051"/>
        <v>Name is</v>
      </c>
      <c r="I3053" s="49" t="str">
        <f t="shared" ca="1" si="3051"/>
        <v>Name is</v>
      </c>
      <c r="J3053" s="49" t="str">
        <f t="shared" ca="1" si="3051"/>
        <v>Name is</v>
      </c>
    </row>
    <row r="3054" spans="1:10" ht="12.75" x14ac:dyDescent="0.2">
      <c r="A3054" s="41" t="s">
        <v>237</v>
      </c>
      <c r="B3054" s="40"/>
      <c r="C3054" s="40"/>
      <c r="D3054" s="40"/>
      <c r="E3054" s="40"/>
      <c r="F3054" s="49" t="str">
        <f t="shared" ref="F3054:J3054" ca="1" si="3052">IFERROR(__xludf.DUMMYFUNCTION("if (A3054 &lt;&gt; """", GOOGLETRANSLATE(A3054, ""auto"", ""en""), """")"),"Name is")</f>
        <v>Name is</v>
      </c>
      <c r="G3054" s="49" t="str">
        <f t="shared" ca="1" si="3052"/>
        <v>Name is</v>
      </c>
      <c r="H3054" s="49" t="str">
        <f t="shared" ca="1" si="3052"/>
        <v>Name is</v>
      </c>
      <c r="I3054" s="49" t="str">
        <f t="shared" ca="1" si="3052"/>
        <v>Name is</v>
      </c>
      <c r="J3054" s="49" t="str">
        <f t="shared" ca="1" si="3052"/>
        <v>Name is</v>
      </c>
    </row>
    <row r="3055" spans="1:10" ht="12.75" x14ac:dyDescent="0.2">
      <c r="A3055" s="40"/>
      <c r="B3055" s="40"/>
      <c r="C3055" s="40"/>
      <c r="D3055" s="40"/>
      <c r="E3055" s="40"/>
      <c r="F3055" s="49" t="str">
        <f t="shared" ref="F3055:J3055" ca="1" si="3053">IFERROR(__xludf.DUMMYFUNCTION("if (A3055 &lt;&gt; """", GOOGLETRANSLATE(A3055, ""auto"", ""en""), """")"),"")</f>
        <v/>
      </c>
      <c r="G3055" s="49" t="str">
        <f t="shared" ca="1" si="3053"/>
        <v/>
      </c>
      <c r="H3055" s="49" t="str">
        <f t="shared" ca="1" si="3053"/>
        <v/>
      </c>
      <c r="I3055" s="49" t="str">
        <f t="shared" ca="1" si="3053"/>
        <v/>
      </c>
      <c r="J3055" s="49" t="str">
        <f t="shared" ca="1" si="3053"/>
        <v/>
      </c>
    </row>
    <row r="3056" spans="1:10" ht="12.75" x14ac:dyDescent="0.2">
      <c r="A3056" s="41" t="s">
        <v>334</v>
      </c>
      <c r="B3056" s="40"/>
      <c r="C3056" s="40"/>
      <c r="D3056" s="40"/>
      <c r="E3056" s="40"/>
      <c r="F3056" s="49" t="str">
        <f t="shared" ref="F3056:J3056" ca="1" si="3054">IFERROR(__xludf.DUMMYFUNCTION("if (A3056 &lt;&gt; """", GOOGLETRANSLATE(A3056, ""auto"", ""en""), """")"),"Z-Praise")</f>
        <v>Z-Praise</v>
      </c>
      <c r="G3056" s="49" t="str">
        <f t="shared" ca="1" si="3054"/>
        <v>Z-Praise</v>
      </c>
      <c r="H3056" s="49" t="str">
        <f t="shared" ca="1" si="3054"/>
        <v>Z-Praise</v>
      </c>
      <c r="I3056" s="49" t="str">
        <f t="shared" ca="1" si="3054"/>
        <v>Z-Praise</v>
      </c>
      <c r="J3056" s="49" t="str">
        <f t="shared" ca="1" si="3054"/>
        <v>Z-Praise</v>
      </c>
    </row>
    <row r="3057" spans="1:10" ht="12.75" x14ac:dyDescent="0.2">
      <c r="A3057" s="40"/>
      <c r="B3057" s="41" t="s">
        <v>398</v>
      </c>
      <c r="C3057" s="40"/>
      <c r="D3057" s="40"/>
      <c r="E3057" s="40"/>
      <c r="F3057" s="49" t="str">
        <f t="shared" ref="F3057:J3057" ca="1" si="3055">IFERROR(__xludf.DUMMYFUNCTION("if (A3057 &lt;&gt; """", GOOGLETRANSLATE(A3057, ""auto"", ""en""), """")"),"")</f>
        <v/>
      </c>
      <c r="G3057" s="49" t="str">
        <f t="shared" ca="1" si="3055"/>
        <v/>
      </c>
      <c r="H3057" s="49" t="str">
        <f t="shared" ca="1" si="3055"/>
        <v/>
      </c>
      <c r="I3057" s="49" t="str">
        <f t="shared" ca="1" si="3055"/>
        <v/>
      </c>
      <c r="J3057" s="49" t="str">
        <f t="shared" ca="1" si="3055"/>
        <v/>
      </c>
    </row>
    <row r="3058" spans="1:10" ht="12.75" x14ac:dyDescent="0.2">
      <c r="A3058" s="40"/>
      <c r="B3058" s="41" t="s">
        <v>399</v>
      </c>
      <c r="C3058" s="40"/>
      <c r="D3058" s="40"/>
      <c r="E3058" s="40"/>
      <c r="F3058" s="49" t="str">
        <f t="shared" ref="F3058:J3058" ca="1" si="3056">IFERROR(__xludf.DUMMYFUNCTION("if (A3058 &lt;&gt; """", GOOGLETRANSLATE(A3058, ""auto"", ""en""), """")"),"")</f>
        <v/>
      </c>
      <c r="G3058" s="49" t="str">
        <f t="shared" ca="1" si="3056"/>
        <v/>
      </c>
      <c r="H3058" s="49" t="str">
        <f t="shared" ca="1" si="3056"/>
        <v/>
      </c>
      <c r="I3058" s="49" t="str">
        <f t="shared" ca="1" si="3056"/>
        <v/>
      </c>
      <c r="J3058" s="49" t="str">
        <f t="shared" ca="1" si="3056"/>
        <v/>
      </c>
    </row>
    <row r="3059" spans="1:10" ht="12.75" x14ac:dyDescent="0.2">
      <c r="A3059" s="40"/>
      <c r="B3059" s="41" t="s">
        <v>400</v>
      </c>
      <c r="C3059" s="40"/>
      <c r="D3059" s="40"/>
      <c r="E3059" s="40"/>
      <c r="F3059" s="49" t="str">
        <f t="shared" ref="F3059:J3059" ca="1" si="3057">IFERROR(__xludf.DUMMYFUNCTION("if (A3059 &lt;&gt; """", GOOGLETRANSLATE(A3059, ""auto"", ""en""), """")"),"")</f>
        <v/>
      </c>
      <c r="G3059" s="49" t="str">
        <f t="shared" ca="1" si="3057"/>
        <v/>
      </c>
      <c r="H3059" s="49" t="str">
        <f t="shared" ca="1" si="3057"/>
        <v/>
      </c>
      <c r="I3059" s="49" t="str">
        <f t="shared" ca="1" si="3057"/>
        <v/>
      </c>
      <c r="J3059" s="49" t="str">
        <f t="shared" ca="1" si="3057"/>
        <v/>
      </c>
    </row>
    <row r="3060" spans="1:10" ht="12.75" x14ac:dyDescent="0.2">
      <c r="A3060" s="40"/>
      <c r="B3060" s="41" t="s">
        <v>401</v>
      </c>
      <c r="C3060" s="40"/>
      <c r="D3060" s="40"/>
      <c r="E3060" s="40"/>
      <c r="F3060" s="49" t="str">
        <f t="shared" ref="F3060:J3060" ca="1" si="3058">IFERROR(__xludf.DUMMYFUNCTION("if (A3060 &lt;&gt; """", GOOGLETRANSLATE(A3060, ""auto"", ""en""), """")"),"")</f>
        <v/>
      </c>
      <c r="G3060" s="49" t="str">
        <f t="shared" ca="1" si="3058"/>
        <v/>
      </c>
      <c r="H3060" s="49" t="str">
        <f t="shared" ca="1" si="3058"/>
        <v/>
      </c>
      <c r="I3060" s="49" t="str">
        <f t="shared" ca="1" si="3058"/>
        <v/>
      </c>
      <c r="J3060" s="49" t="str">
        <f t="shared" ca="1" si="3058"/>
        <v/>
      </c>
    </row>
    <row r="3061" spans="1:10" ht="51" x14ac:dyDescent="0.2">
      <c r="A3061" s="41" t="s">
        <v>362</v>
      </c>
      <c r="B3061" s="41" t="s">
        <v>402</v>
      </c>
      <c r="C3061" s="41" t="s">
        <v>831</v>
      </c>
      <c r="D3061" s="40"/>
      <c r="E3061" s="40"/>
      <c r="F3061" s="49" t="str">
        <f t="shared" ref="F3061:J3061" ca="1" si="3059">IFERROR(__xludf.DUMMYFUNCTION("if (A3061 &lt;&gt; """", GOOGLETRANSLATE(A3061, ""auto"", ""en""), """")"),"I Clever")</f>
        <v>I Clever</v>
      </c>
      <c r="G3061" s="49" t="str">
        <f t="shared" ca="1" si="3059"/>
        <v>I Clever</v>
      </c>
      <c r="H3061" s="49" t="str">
        <f t="shared" ca="1" si="3059"/>
        <v>I Clever</v>
      </c>
      <c r="I3061" s="49" t="str">
        <f t="shared" ca="1" si="3059"/>
        <v>I Clever</v>
      </c>
      <c r="J3061" s="49" t="str">
        <f t="shared" ca="1" si="3059"/>
        <v>I Clever</v>
      </c>
    </row>
    <row r="3062" spans="1:10" ht="12.75" x14ac:dyDescent="0.2">
      <c r="A3062" s="41" t="s">
        <v>361</v>
      </c>
      <c r="B3062" s="40"/>
      <c r="C3062" s="40"/>
      <c r="D3062" s="40"/>
      <c r="E3062" s="40"/>
      <c r="F3062" s="49" t="str">
        <f t="shared" ref="F3062:J3062" ca="1" si="3060">IFERROR(__xludf.DUMMYFUNCTION("if (A3062 &lt;&gt; """", GOOGLETRANSLATE(A3062, ""auto"", ""en""), """")"),"Clever")</f>
        <v>Clever</v>
      </c>
      <c r="G3062" s="49" t="str">
        <f t="shared" ca="1" si="3060"/>
        <v>Clever</v>
      </c>
      <c r="H3062" s="49" t="str">
        <f t="shared" ca="1" si="3060"/>
        <v>Clever</v>
      </c>
      <c r="I3062" s="49" t="str">
        <f t="shared" ca="1" si="3060"/>
        <v>Clever</v>
      </c>
      <c r="J3062" s="49" t="str">
        <f t="shared" ca="1" si="3060"/>
        <v>Clever</v>
      </c>
    </row>
    <row r="3063" spans="1:10" ht="12.75" x14ac:dyDescent="0.2">
      <c r="A3063" s="41" t="s">
        <v>354</v>
      </c>
      <c r="B3063" s="40"/>
      <c r="C3063" s="40"/>
      <c r="D3063" s="40"/>
      <c r="E3063" s="40"/>
      <c r="F3063" s="49" t="str">
        <f t="shared" ref="F3063:J3063" ca="1" si="3061">IFERROR(__xludf.DUMMYFUNCTION("if (A3063 &lt;&gt; """", GOOGLETRANSLATE(A3063, ""auto"", ""en""), """")"),"it's beautiful")</f>
        <v>it's beautiful</v>
      </c>
      <c r="G3063" s="49" t="str">
        <f t="shared" ca="1" si="3061"/>
        <v>it's beautiful</v>
      </c>
      <c r="H3063" s="49" t="str">
        <f t="shared" ca="1" si="3061"/>
        <v>it's beautiful</v>
      </c>
      <c r="I3063" s="49" t="str">
        <f t="shared" ca="1" si="3061"/>
        <v>it's beautiful</v>
      </c>
      <c r="J3063" s="49" t="str">
        <f t="shared" ca="1" si="3061"/>
        <v>it's beautiful</v>
      </c>
    </row>
    <row r="3064" spans="1:10" ht="12.75" x14ac:dyDescent="0.2">
      <c r="A3064" s="41" t="s">
        <v>339</v>
      </c>
      <c r="B3064" s="40"/>
      <c r="C3064" s="40"/>
      <c r="D3064" s="40"/>
      <c r="E3064" s="40"/>
      <c r="F3064" s="49" t="str">
        <f t="shared" ref="F3064:J3064" ca="1" si="3062">IFERROR(__xludf.DUMMYFUNCTION("if (A3064 &lt;&gt; """", GOOGLETRANSLATE(A3064, ""auto"", ""en""), """")"),"Pretty")</f>
        <v>Pretty</v>
      </c>
      <c r="G3064" s="49" t="str">
        <f t="shared" ca="1" si="3062"/>
        <v>Pretty</v>
      </c>
      <c r="H3064" s="49" t="str">
        <f t="shared" ca="1" si="3062"/>
        <v>Pretty</v>
      </c>
      <c r="I3064" s="49" t="str">
        <f t="shared" ca="1" si="3062"/>
        <v>Pretty</v>
      </c>
      <c r="J3064" s="49" t="str">
        <f t="shared" ca="1" si="3062"/>
        <v>Pretty</v>
      </c>
    </row>
    <row r="3065" spans="1:10" ht="12.75" x14ac:dyDescent="0.2">
      <c r="A3065" s="41" t="s">
        <v>346</v>
      </c>
      <c r="B3065" s="40"/>
      <c r="C3065" s="40"/>
      <c r="D3065" s="40"/>
      <c r="E3065" s="40"/>
      <c r="F3065" s="49" t="str">
        <f t="shared" ref="F3065:J3065" ca="1" si="3063">IFERROR(__xludf.DUMMYFUNCTION("if (A3065 &lt;&gt; """", GOOGLETRANSLATE(A3065, ""auto"", ""en""), """")"),"Beautiful")</f>
        <v>Beautiful</v>
      </c>
      <c r="G3065" s="49" t="str">
        <f t="shared" ca="1" si="3063"/>
        <v>Beautiful</v>
      </c>
      <c r="H3065" s="49" t="str">
        <f t="shared" ca="1" si="3063"/>
        <v>Beautiful</v>
      </c>
      <c r="I3065" s="49" t="str">
        <f t="shared" ca="1" si="3063"/>
        <v>Beautiful</v>
      </c>
      <c r="J3065" s="49" t="str">
        <f t="shared" ca="1" si="3063"/>
        <v>Beautiful</v>
      </c>
    </row>
    <row r="3066" spans="1:10" ht="25.5" x14ac:dyDescent="0.2">
      <c r="A3066" s="41" t="s">
        <v>360</v>
      </c>
      <c r="B3066" s="40"/>
      <c r="C3066" s="40"/>
      <c r="D3066" s="40"/>
      <c r="E3066" s="40"/>
      <c r="F3066" s="49" t="str">
        <f t="shared" ref="F3066:J3066" ca="1" si="3064">IFERROR(__xludf.DUMMYFUNCTION("if (A3066 &lt;&gt; """", GOOGLETRANSLATE(A3066, ""auto"", ""en""), """")"),"I hope your head")</f>
        <v>I hope your head</v>
      </c>
      <c r="G3066" s="49" t="str">
        <f t="shared" ca="1" si="3064"/>
        <v>I hope your head</v>
      </c>
      <c r="H3066" s="49" t="str">
        <f t="shared" ca="1" si="3064"/>
        <v>I hope your head</v>
      </c>
      <c r="I3066" s="49" t="str">
        <f t="shared" ca="1" si="3064"/>
        <v>I hope your head</v>
      </c>
      <c r="J3066" s="49" t="str">
        <f t="shared" ca="1" si="3064"/>
        <v>I hope your head</v>
      </c>
    </row>
    <row r="3067" spans="1:10" ht="12.75" x14ac:dyDescent="0.2">
      <c r="A3067" s="41" t="s">
        <v>337</v>
      </c>
      <c r="B3067" s="40"/>
      <c r="C3067" s="40"/>
      <c r="D3067" s="40"/>
      <c r="E3067" s="40"/>
      <c r="F3067" s="49" t="str">
        <f t="shared" ref="F3067:J3067" ca="1" si="3065">IFERROR(__xludf.DUMMYFUNCTION("if (A3067 &lt;&gt; """", GOOGLETRANSLATE(A3067, ""auto"", ""en""), """")"),"cute")</f>
        <v>cute</v>
      </c>
      <c r="G3067" s="49" t="str">
        <f t="shared" ca="1" si="3065"/>
        <v>cute</v>
      </c>
      <c r="H3067" s="49" t="str">
        <f t="shared" ca="1" si="3065"/>
        <v>cute</v>
      </c>
      <c r="I3067" s="49" t="str">
        <f t="shared" ca="1" si="3065"/>
        <v>cute</v>
      </c>
      <c r="J3067" s="49" t="str">
        <f t="shared" ca="1" si="3065"/>
        <v>cute</v>
      </c>
    </row>
    <row r="3068" spans="1:10" ht="12.75" x14ac:dyDescent="0.2">
      <c r="A3068" s="41" t="s">
        <v>335</v>
      </c>
      <c r="B3068" s="40"/>
      <c r="C3068" s="40"/>
      <c r="D3068" s="40"/>
      <c r="E3068" s="40"/>
      <c r="F3068" s="49" t="str">
        <f t="shared" ref="F3068:J3068" ca="1" si="3066">IFERROR(__xludf.DUMMYFUNCTION("if (A3068 &lt;&gt; """", GOOGLETRANSLATE(A3068, ""auto"", ""en""), """")"),"Tiny")</f>
        <v>Tiny</v>
      </c>
      <c r="G3068" s="49" t="str">
        <f t="shared" ca="1" si="3066"/>
        <v>Tiny</v>
      </c>
      <c r="H3068" s="49" t="str">
        <f t="shared" ca="1" si="3066"/>
        <v>Tiny</v>
      </c>
      <c r="I3068" s="49" t="str">
        <f t="shared" ca="1" si="3066"/>
        <v>Tiny</v>
      </c>
      <c r="J3068" s="49" t="str">
        <f t="shared" ca="1" si="3066"/>
        <v>Tiny</v>
      </c>
    </row>
    <row r="3069" spans="1:10" ht="12.75" x14ac:dyDescent="0.2">
      <c r="A3069" s="41" t="s">
        <v>355</v>
      </c>
      <c r="B3069" s="40"/>
      <c r="C3069" s="40"/>
      <c r="D3069" s="40"/>
      <c r="E3069" s="40"/>
      <c r="F3069" s="49" t="str">
        <f t="shared" ref="F3069:J3069" ca="1" si="3067">IFERROR(__xludf.DUMMYFUNCTION("if (A3069 &lt;&gt; """", GOOGLETRANSLATE(A3069, ""auto"", ""en""), """")"),"Good head")</f>
        <v>Good head</v>
      </c>
      <c r="G3069" s="49" t="str">
        <f t="shared" ca="1" si="3067"/>
        <v>Good head</v>
      </c>
      <c r="H3069" s="49" t="str">
        <f t="shared" ca="1" si="3067"/>
        <v>Good head</v>
      </c>
      <c r="I3069" s="49" t="str">
        <f t="shared" ca="1" si="3067"/>
        <v>Good head</v>
      </c>
      <c r="J3069" s="49" t="str">
        <f t="shared" ca="1" si="3067"/>
        <v>Good head</v>
      </c>
    </row>
    <row r="3070" spans="1:10" ht="12.75" x14ac:dyDescent="0.2">
      <c r="A3070" s="41" t="s">
        <v>350</v>
      </c>
      <c r="B3070" s="40"/>
      <c r="C3070" s="40"/>
      <c r="D3070" s="40"/>
      <c r="E3070" s="40"/>
      <c r="F3070" s="49" t="str">
        <f t="shared" ref="F3070:J3070" ca="1" si="3068">IFERROR(__xludf.DUMMYFUNCTION("if (A3070 &lt;&gt; """", GOOGLETRANSLATE(A3070, ""auto"", ""en""), """")"),"Beauty")</f>
        <v>Beauty</v>
      </c>
      <c r="G3070" s="49" t="str">
        <f t="shared" ca="1" si="3068"/>
        <v>Beauty</v>
      </c>
      <c r="H3070" s="49" t="str">
        <f t="shared" ca="1" si="3068"/>
        <v>Beauty</v>
      </c>
      <c r="I3070" s="49" t="str">
        <f t="shared" ca="1" si="3068"/>
        <v>Beauty</v>
      </c>
      <c r="J3070" s="49" t="str">
        <f t="shared" ca="1" si="3068"/>
        <v>Beauty</v>
      </c>
    </row>
    <row r="3071" spans="1:10" ht="12.75" x14ac:dyDescent="0.2">
      <c r="A3071" s="41" t="s">
        <v>347</v>
      </c>
      <c r="B3071" s="40"/>
      <c r="C3071" s="40"/>
      <c r="D3071" s="40"/>
      <c r="E3071" s="40"/>
      <c r="F3071" s="49" t="str">
        <f t="shared" ref="F3071:J3071" ca="1" si="3069">IFERROR(__xludf.DUMMYFUNCTION("if (A3071 &lt;&gt; """", GOOGLETRANSLATE(A3071, ""auto"", ""en""), """")"),"Beauty")</f>
        <v>Beauty</v>
      </c>
      <c r="G3071" s="49" t="str">
        <f t="shared" ca="1" si="3069"/>
        <v>Beauty</v>
      </c>
      <c r="H3071" s="49" t="str">
        <f t="shared" ca="1" si="3069"/>
        <v>Beauty</v>
      </c>
      <c r="I3071" s="49" t="str">
        <f t="shared" ca="1" si="3069"/>
        <v>Beauty</v>
      </c>
      <c r="J3071" s="49" t="str">
        <f t="shared" ca="1" si="3069"/>
        <v>Beauty</v>
      </c>
    </row>
    <row r="3072" spans="1:10" ht="25.5" x14ac:dyDescent="0.2">
      <c r="A3072" s="41" t="s">
        <v>343</v>
      </c>
      <c r="B3072" s="40"/>
      <c r="C3072" s="40"/>
      <c r="D3072" s="40"/>
      <c r="E3072" s="40"/>
      <c r="F3072" s="49" t="str">
        <f t="shared" ref="F3072:J3072" ca="1" si="3070">IFERROR(__xludf.DUMMYFUNCTION("if (A3072 &lt;&gt; """", GOOGLETRANSLATE(A3072, ""auto"", ""en""), """")"),"That's beautiful")</f>
        <v>That's beautiful</v>
      </c>
      <c r="G3072" s="49" t="str">
        <f t="shared" ca="1" si="3070"/>
        <v>That's beautiful</v>
      </c>
      <c r="H3072" s="49" t="str">
        <f t="shared" ca="1" si="3070"/>
        <v>That's beautiful</v>
      </c>
      <c r="I3072" s="49" t="str">
        <f t="shared" ca="1" si="3070"/>
        <v>That's beautiful</v>
      </c>
      <c r="J3072" s="49" t="str">
        <f t="shared" ca="1" si="3070"/>
        <v>That's beautiful</v>
      </c>
    </row>
    <row r="3073" spans="1:10" ht="12.75" x14ac:dyDescent="0.2">
      <c r="A3073" s="40"/>
      <c r="B3073" s="40"/>
      <c r="C3073" s="40"/>
      <c r="D3073" s="40"/>
      <c r="E3073" s="40"/>
      <c r="F3073" s="49" t="str">
        <f t="shared" ref="F3073:J3073" ca="1" si="3071">IFERROR(__xludf.DUMMYFUNCTION("if (A3073 &lt;&gt; """", GOOGLETRANSLATE(A3073, ""auto"", ""en""), """")"),"")</f>
        <v/>
      </c>
      <c r="G3073" s="49" t="str">
        <f t="shared" ca="1" si="3071"/>
        <v/>
      </c>
      <c r="H3073" s="49" t="str">
        <f t="shared" ca="1" si="3071"/>
        <v/>
      </c>
      <c r="I3073" s="49" t="str">
        <f t="shared" ca="1" si="3071"/>
        <v/>
      </c>
      <c r="J3073" s="49" t="str">
        <f t="shared" ca="1" si="3071"/>
        <v/>
      </c>
    </row>
    <row r="3074" spans="1:10" ht="12.75" x14ac:dyDescent="0.2">
      <c r="A3074" s="41" t="s">
        <v>265</v>
      </c>
      <c r="B3074" s="40"/>
      <c r="C3074" s="40"/>
      <c r="D3074" s="40"/>
      <c r="E3074" s="40"/>
      <c r="F3074" s="49" t="str">
        <f t="shared" ref="F3074:J3074" ca="1" si="3072">IFERROR(__xludf.DUMMYFUNCTION("if (A3074 &lt;&gt; """", GOOGLETRANSLATE(A3074, ""auto"", ""en""), """")"),"Z-Scornfully")</f>
        <v>Z-Scornfully</v>
      </c>
      <c r="G3074" s="49" t="str">
        <f t="shared" ca="1" si="3072"/>
        <v>Z-Scornfully</v>
      </c>
      <c r="H3074" s="49" t="str">
        <f t="shared" ca="1" si="3072"/>
        <v>Z-Scornfully</v>
      </c>
      <c r="I3074" s="49" t="str">
        <f t="shared" ca="1" si="3072"/>
        <v>Z-Scornfully</v>
      </c>
      <c r="J3074" s="49" t="str">
        <f t="shared" ca="1" si="3072"/>
        <v>Z-Scornfully</v>
      </c>
    </row>
    <row r="3075" spans="1:10" ht="12.75" x14ac:dyDescent="0.2">
      <c r="A3075" s="40"/>
      <c r="B3075" s="41" t="s">
        <v>398</v>
      </c>
      <c r="C3075" s="40"/>
      <c r="D3075" s="40"/>
      <c r="E3075" s="40"/>
      <c r="F3075" s="49" t="str">
        <f t="shared" ref="F3075:J3075" ca="1" si="3073">IFERROR(__xludf.DUMMYFUNCTION("if (A3075 &lt;&gt; """", GOOGLETRANSLATE(A3075, ""auto"", ""en""), """")"),"")</f>
        <v/>
      </c>
      <c r="G3075" s="49" t="str">
        <f t="shared" ca="1" si="3073"/>
        <v/>
      </c>
      <c r="H3075" s="49" t="str">
        <f t="shared" ca="1" si="3073"/>
        <v/>
      </c>
      <c r="I3075" s="49" t="str">
        <f t="shared" ca="1" si="3073"/>
        <v/>
      </c>
      <c r="J3075" s="49" t="str">
        <f t="shared" ca="1" si="3073"/>
        <v/>
      </c>
    </row>
    <row r="3076" spans="1:10" ht="12.75" x14ac:dyDescent="0.2">
      <c r="A3076" s="40"/>
      <c r="B3076" s="41" t="s">
        <v>399</v>
      </c>
      <c r="C3076" s="40"/>
      <c r="D3076" s="40"/>
      <c r="E3076" s="40"/>
      <c r="F3076" s="49" t="str">
        <f t="shared" ref="F3076:J3076" ca="1" si="3074">IFERROR(__xludf.DUMMYFUNCTION("if (A3076 &lt;&gt; """", GOOGLETRANSLATE(A3076, ""auto"", ""en""), """")"),"")</f>
        <v/>
      </c>
      <c r="G3076" s="49" t="str">
        <f t="shared" ca="1" si="3074"/>
        <v/>
      </c>
      <c r="H3076" s="49" t="str">
        <f t="shared" ca="1" si="3074"/>
        <v/>
      </c>
      <c r="I3076" s="49" t="str">
        <f t="shared" ca="1" si="3074"/>
        <v/>
      </c>
      <c r="J3076" s="49" t="str">
        <f t="shared" ca="1" si="3074"/>
        <v/>
      </c>
    </row>
    <row r="3077" spans="1:10" ht="12.75" x14ac:dyDescent="0.2">
      <c r="A3077" s="40"/>
      <c r="B3077" s="41" t="s">
        <v>400</v>
      </c>
      <c r="C3077" s="40"/>
      <c r="D3077" s="40"/>
      <c r="E3077" s="40"/>
      <c r="F3077" s="49" t="str">
        <f t="shared" ref="F3077:J3077" ca="1" si="3075">IFERROR(__xludf.DUMMYFUNCTION("if (A3077 &lt;&gt; """", GOOGLETRANSLATE(A3077, ""auto"", ""en""), """")"),"")</f>
        <v/>
      </c>
      <c r="G3077" s="49" t="str">
        <f t="shared" ca="1" si="3075"/>
        <v/>
      </c>
      <c r="H3077" s="49" t="str">
        <f t="shared" ca="1" si="3075"/>
        <v/>
      </c>
      <c r="I3077" s="49" t="str">
        <f t="shared" ca="1" si="3075"/>
        <v/>
      </c>
      <c r="J3077" s="49" t="str">
        <f t="shared" ca="1" si="3075"/>
        <v/>
      </c>
    </row>
    <row r="3078" spans="1:10" ht="12.75" x14ac:dyDescent="0.2">
      <c r="A3078" s="40"/>
      <c r="B3078" s="41" t="s">
        <v>401</v>
      </c>
      <c r="C3078" s="40"/>
      <c r="D3078" s="40"/>
      <c r="E3078" s="40"/>
      <c r="F3078" s="49" t="str">
        <f t="shared" ref="F3078:J3078" ca="1" si="3076">IFERROR(__xludf.DUMMYFUNCTION("if (A3078 &lt;&gt; """", GOOGLETRANSLATE(A3078, ""auto"", ""en""), """")"),"")</f>
        <v/>
      </c>
      <c r="G3078" s="49" t="str">
        <f t="shared" ca="1" si="3076"/>
        <v/>
      </c>
      <c r="H3078" s="49" t="str">
        <f t="shared" ca="1" si="3076"/>
        <v/>
      </c>
      <c r="I3078" s="49" t="str">
        <f t="shared" ca="1" si="3076"/>
        <v/>
      </c>
      <c r="J3078" s="49" t="str">
        <f t="shared" ca="1" si="3076"/>
        <v/>
      </c>
    </row>
    <row r="3079" spans="1:10" ht="25.5" x14ac:dyDescent="0.2">
      <c r="A3079" s="41" t="s">
        <v>284</v>
      </c>
      <c r="B3079" s="41" t="s">
        <v>402</v>
      </c>
      <c r="C3079" s="41" t="s">
        <v>268</v>
      </c>
      <c r="D3079" s="40"/>
      <c r="E3079" s="40"/>
      <c r="F3079" s="49" t="str">
        <f t="shared" ref="F3079:J3079" ca="1" si="3077">IFERROR(__xludf.DUMMYFUNCTION("if (A3079 &lt;&gt; """", GOOGLETRANSLATE(A3079, ""auto"", ""en""), """")"),"I bad head")</f>
        <v>I bad head</v>
      </c>
      <c r="G3079" s="49" t="str">
        <f t="shared" ca="1" si="3077"/>
        <v>I bad head</v>
      </c>
      <c r="H3079" s="49" t="str">
        <f t="shared" ca="1" si="3077"/>
        <v>I bad head</v>
      </c>
      <c r="I3079" s="49" t="str">
        <f t="shared" ca="1" si="3077"/>
        <v>I bad head</v>
      </c>
      <c r="J3079" s="49" t="str">
        <f t="shared" ca="1" si="3077"/>
        <v>I bad head</v>
      </c>
    </row>
    <row r="3080" spans="1:10" ht="12.75" x14ac:dyDescent="0.2">
      <c r="A3080" s="41" t="s">
        <v>283</v>
      </c>
      <c r="B3080" s="40"/>
      <c r="C3080" s="40"/>
      <c r="D3080" s="40"/>
      <c r="E3080" s="40"/>
      <c r="F3080" s="49" t="str">
        <f t="shared" ref="F3080:J3080" ca="1" si="3078">IFERROR(__xludf.DUMMYFUNCTION("if (A3080 &lt;&gt; """", GOOGLETRANSLATE(A3080, ""auto"", ""en""), """")"),"I bad head")</f>
        <v>I bad head</v>
      </c>
      <c r="G3080" s="49" t="str">
        <f t="shared" ca="1" si="3078"/>
        <v>I bad head</v>
      </c>
      <c r="H3080" s="49" t="str">
        <f t="shared" ca="1" si="3078"/>
        <v>I bad head</v>
      </c>
      <c r="I3080" s="49" t="str">
        <f t="shared" ca="1" si="3078"/>
        <v>I bad head</v>
      </c>
      <c r="J3080" s="49" t="str">
        <f t="shared" ca="1" si="3078"/>
        <v>I bad head</v>
      </c>
    </row>
    <row r="3081" spans="1:10" ht="12.75" x14ac:dyDescent="0.2">
      <c r="A3081" s="41" t="s">
        <v>280</v>
      </c>
      <c r="B3081" s="40"/>
      <c r="C3081" s="40"/>
      <c r="D3081" s="40"/>
      <c r="E3081" s="40"/>
      <c r="F3081" s="49" t="str">
        <f t="shared" ref="F3081:J3081" ca="1" si="3079">IFERROR(__xludf.DUMMYFUNCTION("if (A3081 &lt;&gt; """", GOOGLETRANSLATE(A3081, ""auto"", ""en""), """")"),"Not clever")</f>
        <v>Not clever</v>
      </c>
      <c r="G3081" s="49" t="str">
        <f t="shared" ca="1" si="3079"/>
        <v>Not clever</v>
      </c>
      <c r="H3081" s="49" t="str">
        <f t="shared" ca="1" si="3079"/>
        <v>Not clever</v>
      </c>
      <c r="I3081" s="49" t="str">
        <f t="shared" ca="1" si="3079"/>
        <v>Not clever</v>
      </c>
      <c r="J3081" s="49" t="str">
        <f t="shared" ca="1" si="3079"/>
        <v>Not clever</v>
      </c>
    </row>
    <row r="3082" spans="1:10" ht="12.75" x14ac:dyDescent="0.2">
      <c r="A3082" s="41" t="s">
        <v>277</v>
      </c>
      <c r="B3082" s="40"/>
      <c r="C3082" s="40"/>
      <c r="D3082" s="40"/>
      <c r="E3082" s="40"/>
      <c r="F3082" s="49" t="str">
        <f t="shared" ref="F3082:J3082" ca="1" si="3080">IFERROR(__xludf.DUMMYFUNCTION("if (A3082 &lt;&gt; """", GOOGLETRANSLATE(A3082, ""auto"", ""en""), """")"),"Lower level")</f>
        <v>Lower level</v>
      </c>
      <c r="G3082" s="49" t="str">
        <f t="shared" ca="1" si="3080"/>
        <v>Lower level</v>
      </c>
      <c r="H3082" s="49" t="str">
        <f t="shared" ca="1" si="3080"/>
        <v>Lower level</v>
      </c>
      <c r="I3082" s="49" t="str">
        <f t="shared" ca="1" si="3080"/>
        <v>Lower level</v>
      </c>
      <c r="J3082" s="49" t="str">
        <f t="shared" ca="1" si="3080"/>
        <v>Lower level</v>
      </c>
    </row>
    <row r="3083" spans="1:10" ht="12.75" x14ac:dyDescent="0.2">
      <c r="A3083" s="41" t="s">
        <v>274</v>
      </c>
      <c r="B3083" s="40"/>
      <c r="C3083" s="40"/>
      <c r="D3083" s="40"/>
      <c r="E3083" s="40"/>
      <c r="F3083" s="49" t="str">
        <f t="shared" ref="F3083:J3083" ca="1" si="3081">IFERROR(__xludf.DUMMYFUNCTION("if (A3083 &lt;&gt; """", GOOGLETRANSLATE(A3083, ""auto"", ""en""), """")"),"Atamawarui")</f>
        <v>Atamawarui</v>
      </c>
      <c r="G3083" s="49" t="str">
        <f t="shared" ca="1" si="3081"/>
        <v>Atamawarui</v>
      </c>
      <c r="H3083" s="49" t="str">
        <f t="shared" ca="1" si="3081"/>
        <v>Atamawarui</v>
      </c>
      <c r="I3083" s="49" t="str">
        <f t="shared" ca="1" si="3081"/>
        <v>Atamawarui</v>
      </c>
      <c r="J3083" s="49" t="str">
        <f t="shared" ca="1" si="3081"/>
        <v>Atamawarui</v>
      </c>
    </row>
    <row r="3084" spans="1:10" ht="12.75" x14ac:dyDescent="0.2">
      <c r="A3084" s="41" t="s">
        <v>273</v>
      </c>
      <c r="B3084" s="40"/>
      <c r="C3084" s="40"/>
      <c r="D3084" s="40"/>
      <c r="E3084" s="40"/>
      <c r="F3084" s="49" t="str">
        <f t="shared" ref="F3084:J3084" ca="1" si="3082">IFERROR(__xludf.DUMMYFUNCTION("if (A3084 &lt;&gt; """", GOOGLETRANSLATE(A3084, ""auto"", ""en""), """")"),"Head bad")</f>
        <v>Head bad</v>
      </c>
      <c r="G3084" s="49" t="str">
        <f t="shared" ca="1" si="3082"/>
        <v>Head bad</v>
      </c>
      <c r="H3084" s="49" t="str">
        <f t="shared" ca="1" si="3082"/>
        <v>Head bad</v>
      </c>
      <c r="I3084" s="49" t="str">
        <f t="shared" ca="1" si="3082"/>
        <v>Head bad</v>
      </c>
      <c r="J3084" s="49" t="str">
        <f t="shared" ca="1" si="3082"/>
        <v>Head bad</v>
      </c>
    </row>
    <row r="3085" spans="1:10" ht="12.75" x14ac:dyDescent="0.2">
      <c r="A3085" s="41" t="s">
        <v>270</v>
      </c>
      <c r="B3085" s="40"/>
      <c r="C3085" s="40"/>
      <c r="D3085" s="40"/>
      <c r="E3085" s="40"/>
      <c r="F3085" s="49" t="str">
        <f t="shared" ref="F3085:J3085" ca="1" si="3083">IFERROR(__xludf.DUMMYFUNCTION("if (A3085 &lt;&gt; """", GOOGLETRANSLATE(A3085, ""auto"", ""en""), """")"),"Sense no")</f>
        <v>Sense no</v>
      </c>
      <c r="G3085" s="49" t="str">
        <f t="shared" ca="1" si="3083"/>
        <v>Sense no</v>
      </c>
      <c r="H3085" s="49" t="str">
        <f t="shared" ca="1" si="3083"/>
        <v>Sense no</v>
      </c>
      <c r="I3085" s="49" t="str">
        <f t="shared" ca="1" si="3083"/>
        <v>Sense no</v>
      </c>
      <c r="J3085" s="49" t="str">
        <f t="shared" ca="1" si="3083"/>
        <v>Sense no</v>
      </c>
    </row>
    <row r="3086" spans="1:10" ht="25.5" x14ac:dyDescent="0.2">
      <c r="A3086" s="41" t="s">
        <v>269</v>
      </c>
      <c r="B3086" s="40"/>
      <c r="C3086" s="40"/>
      <c r="D3086" s="40"/>
      <c r="E3086" s="40"/>
      <c r="F3086" s="49" t="str">
        <f t="shared" ref="F3086:J3086" ca="1" si="3084">IFERROR(__xludf.DUMMYFUNCTION("if (A3086 &lt;&gt; """", GOOGLETRANSLATE(A3086, ""auto"", ""en""), """")"),"There is no sense")</f>
        <v>There is no sense</v>
      </c>
      <c r="G3086" s="49" t="str">
        <f t="shared" ca="1" si="3084"/>
        <v>There is no sense</v>
      </c>
      <c r="H3086" s="49" t="str">
        <f t="shared" ca="1" si="3084"/>
        <v>There is no sense</v>
      </c>
      <c r="I3086" s="49" t="str">
        <f t="shared" ca="1" si="3084"/>
        <v>There is no sense</v>
      </c>
      <c r="J3086" s="49" t="str">
        <f t="shared" ca="1" si="3084"/>
        <v>There is no sense</v>
      </c>
    </row>
    <row r="3087" spans="1:10" ht="12.75" x14ac:dyDescent="0.2">
      <c r="A3087" s="41" t="s">
        <v>267</v>
      </c>
      <c r="B3087" s="40"/>
      <c r="C3087" s="40"/>
      <c r="D3087" s="40"/>
      <c r="E3087" s="40"/>
      <c r="F3087" s="49" t="str">
        <f t="shared" ref="F3087:J3087" ca="1" si="3085">IFERROR(__xludf.DUMMYFUNCTION("if (A3087 &lt;&gt; """", GOOGLETRANSLATE(A3087, ""auto"", ""en""), """")"),"Boring")</f>
        <v>Boring</v>
      </c>
      <c r="G3087" s="49" t="str">
        <f t="shared" ca="1" si="3085"/>
        <v>Boring</v>
      </c>
      <c r="H3087" s="49" t="str">
        <f t="shared" ca="1" si="3085"/>
        <v>Boring</v>
      </c>
      <c r="I3087" s="49" t="str">
        <f t="shared" ca="1" si="3085"/>
        <v>Boring</v>
      </c>
      <c r="J3087" s="49" t="str">
        <f t="shared" ca="1" si="3085"/>
        <v>Boring</v>
      </c>
    </row>
    <row r="3088" spans="1:10" ht="12.75" x14ac:dyDescent="0.2">
      <c r="A3088" s="40"/>
      <c r="B3088" s="40"/>
      <c r="C3088" s="40"/>
      <c r="D3088" s="40"/>
      <c r="E3088" s="40"/>
      <c r="F3088" s="49" t="str">
        <f t="shared" ref="F3088:J3088" ca="1" si="3086">IFERROR(__xludf.DUMMYFUNCTION("if (A3088 &lt;&gt; """", GOOGLETRANSLATE(A3088, ""auto"", ""en""), """")"),"")</f>
        <v/>
      </c>
      <c r="G3088" s="49" t="str">
        <f t="shared" ca="1" si="3086"/>
        <v/>
      </c>
      <c r="H3088" s="49" t="str">
        <f t="shared" ca="1" si="3086"/>
        <v/>
      </c>
      <c r="I3088" s="49" t="str">
        <f t="shared" ca="1" si="3086"/>
        <v/>
      </c>
      <c r="J3088" s="49" t="str">
        <f t="shared" ca="1" si="3086"/>
        <v/>
      </c>
    </row>
    <row r="3089" spans="1:10" ht="12.75" x14ac:dyDescent="0.2">
      <c r="A3089" s="41" t="s">
        <v>287</v>
      </c>
      <c r="B3089" s="40"/>
      <c r="C3089" s="40"/>
      <c r="D3089" s="40"/>
      <c r="E3089" s="40"/>
      <c r="F3089" s="49" t="str">
        <f t="shared" ref="F3089:J3089" ca="1" si="3087">IFERROR(__xludf.DUMMYFUNCTION("if (A3089 &lt;&gt; """", GOOGLETRANSLATE(A3089, ""auto"", ""en""), """")"),"Z-Swear")</f>
        <v>Z-Swear</v>
      </c>
      <c r="G3089" s="49" t="str">
        <f t="shared" ca="1" si="3087"/>
        <v>Z-Swear</v>
      </c>
      <c r="H3089" s="49" t="str">
        <f t="shared" ca="1" si="3087"/>
        <v>Z-Swear</v>
      </c>
      <c r="I3089" s="49" t="str">
        <f t="shared" ca="1" si="3087"/>
        <v>Z-Swear</v>
      </c>
      <c r="J3089" s="49" t="str">
        <f t="shared" ca="1" si="3087"/>
        <v>Z-Swear</v>
      </c>
    </row>
    <row r="3090" spans="1:10" ht="12.75" x14ac:dyDescent="0.2">
      <c r="A3090" s="40"/>
      <c r="B3090" s="41" t="s">
        <v>398</v>
      </c>
      <c r="C3090" s="40"/>
      <c r="D3090" s="40"/>
      <c r="E3090" s="40"/>
      <c r="F3090" s="49" t="str">
        <f t="shared" ref="F3090:J3090" ca="1" si="3088">IFERROR(__xludf.DUMMYFUNCTION("if (A3090 &lt;&gt; """", GOOGLETRANSLATE(A3090, ""auto"", ""en""), """")"),"")</f>
        <v/>
      </c>
      <c r="G3090" s="49" t="str">
        <f t="shared" ca="1" si="3088"/>
        <v/>
      </c>
      <c r="H3090" s="49" t="str">
        <f t="shared" ca="1" si="3088"/>
        <v/>
      </c>
      <c r="I3090" s="49" t="str">
        <f t="shared" ca="1" si="3088"/>
        <v/>
      </c>
      <c r="J3090" s="49" t="str">
        <f t="shared" ca="1" si="3088"/>
        <v/>
      </c>
    </row>
    <row r="3091" spans="1:10" ht="12.75" x14ac:dyDescent="0.2">
      <c r="A3091" s="40"/>
      <c r="B3091" s="41" t="s">
        <v>399</v>
      </c>
      <c r="C3091" s="40"/>
      <c r="D3091" s="40"/>
      <c r="E3091" s="40"/>
      <c r="F3091" s="49" t="str">
        <f t="shared" ref="F3091:J3091" ca="1" si="3089">IFERROR(__xludf.DUMMYFUNCTION("if (A3091 &lt;&gt; """", GOOGLETRANSLATE(A3091, ""auto"", ""en""), """")"),"")</f>
        <v/>
      </c>
      <c r="G3091" s="49" t="str">
        <f t="shared" ca="1" si="3089"/>
        <v/>
      </c>
      <c r="H3091" s="49" t="str">
        <f t="shared" ca="1" si="3089"/>
        <v/>
      </c>
      <c r="I3091" s="49" t="str">
        <f t="shared" ca="1" si="3089"/>
        <v/>
      </c>
      <c r="J3091" s="49" t="str">
        <f t="shared" ca="1" si="3089"/>
        <v/>
      </c>
    </row>
    <row r="3092" spans="1:10" ht="12.75" x14ac:dyDescent="0.2">
      <c r="A3092" s="40"/>
      <c r="B3092" s="41" t="s">
        <v>400</v>
      </c>
      <c r="C3092" s="40"/>
      <c r="D3092" s="40"/>
      <c r="E3092" s="40"/>
      <c r="F3092" s="49" t="str">
        <f t="shared" ref="F3092:J3092" ca="1" si="3090">IFERROR(__xludf.DUMMYFUNCTION("if (A3092 &lt;&gt; """", GOOGLETRANSLATE(A3092, ""auto"", ""en""), """")"),"")</f>
        <v/>
      </c>
      <c r="G3092" s="49" t="str">
        <f t="shared" ca="1" si="3090"/>
        <v/>
      </c>
      <c r="H3092" s="49" t="str">
        <f t="shared" ca="1" si="3090"/>
        <v/>
      </c>
      <c r="I3092" s="49" t="str">
        <f t="shared" ca="1" si="3090"/>
        <v/>
      </c>
      <c r="J3092" s="49" t="str">
        <f t="shared" ca="1" si="3090"/>
        <v/>
      </c>
    </row>
    <row r="3093" spans="1:10" ht="12.75" x14ac:dyDescent="0.2">
      <c r="A3093" s="40"/>
      <c r="B3093" s="41" t="s">
        <v>401</v>
      </c>
      <c r="C3093" s="40"/>
      <c r="D3093" s="40"/>
      <c r="E3093" s="40"/>
      <c r="F3093" s="49" t="str">
        <f t="shared" ref="F3093:J3093" ca="1" si="3091">IFERROR(__xludf.DUMMYFUNCTION("if (A3093 &lt;&gt; """", GOOGLETRANSLATE(A3093, ""auto"", ""en""), """")"),"")</f>
        <v/>
      </c>
      <c r="G3093" s="49" t="str">
        <f t="shared" ca="1" si="3091"/>
        <v/>
      </c>
      <c r="H3093" s="49" t="str">
        <f t="shared" ca="1" si="3091"/>
        <v/>
      </c>
      <c r="I3093" s="49" t="str">
        <f t="shared" ca="1" si="3091"/>
        <v/>
      </c>
      <c r="J3093" s="49" t="str">
        <f t="shared" ca="1" si="3091"/>
        <v/>
      </c>
    </row>
    <row r="3094" spans="1:10" ht="25.5" x14ac:dyDescent="0.2">
      <c r="A3094" s="41" t="s">
        <v>308</v>
      </c>
      <c r="B3094" s="41" t="s">
        <v>402</v>
      </c>
      <c r="C3094" s="41" t="s">
        <v>291</v>
      </c>
      <c r="D3094" s="40"/>
      <c r="E3094" s="40"/>
      <c r="F3094" s="49" t="str">
        <f t="shared" ref="F3094:J3094" ca="1" si="3092">IFERROR(__xludf.DUMMYFUNCTION("if (A3094 &lt;&gt; """", GOOGLETRANSLATE(A3094, ""auto"", ""en""), """")"),"Buss")</f>
        <v>Buss</v>
      </c>
      <c r="G3094" s="49" t="str">
        <f t="shared" ca="1" si="3092"/>
        <v>Buss</v>
      </c>
      <c r="H3094" s="49" t="str">
        <f t="shared" ca="1" si="3092"/>
        <v>Buss</v>
      </c>
      <c r="I3094" s="49" t="str">
        <f t="shared" ca="1" si="3092"/>
        <v>Buss</v>
      </c>
      <c r="J3094" s="49" t="str">
        <f t="shared" ca="1" si="3092"/>
        <v>Buss</v>
      </c>
    </row>
    <row r="3095" spans="1:10" ht="12.75" x14ac:dyDescent="0.2">
      <c r="A3095" s="41" t="s">
        <v>306</v>
      </c>
      <c r="B3095" s="40"/>
      <c r="C3095" s="40"/>
      <c r="D3095" s="40"/>
      <c r="E3095" s="40"/>
      <c r="F3095" s="49" t="str">
        <f t="shared" ref="F3095:J3095" ca="1" si="3093">IFERROR(__xludf.DUMMYFUNCTION("if (A3095 &lt;&gt; """", GOOGLETRANSLATE(A3095, ""auto"", ""en""), """")"),"Aho")</f>
        <v>Aho</v>
      </c>
      <c r="G3095" s="49" t="str">
        <f t="shared" ca="1" si="3093"/>
        <v>Aho</v>
      </c>
      <c r="H3095" s="49" t="str">
        <f t="shared" ca="1" si="3093"/>
        <v>Aho</v>
      </c>
      <c r="I3095" s="49" t="str">
        <f t="shared" ca="1" si="3093"/>
        <v>Aho</v>
      </c>
      <c r="J3095" s="49" t="str">
        <f t="shared" ca="1" si="3093"/>
        <v>Aho</v>
      </c>
    </row>
    <row r="3096" spans="1:10" ht="12.75" x14ac:dyDescent="0.2">
      <c r="A3096" s="41" t="s">
        <v>303</v>
      </c>
      <c r="B3096" s="40"/>
      <c r="C3096" s="40"/>
      <c r="D3096" s="40"/>
      <c r="E3096" s="40"/>
      <c r="F3096" s="49" t="str">
        <f t="shared" ref="F3096:J3096" ca="1" si="3094">IFERROR(__xludf.DUMMYFUNCTION("if (A3096 &lt;&gt; """", GOOGLETRANSLATE(A3096, ""auto"", ""en""), """")"),"moron")</f>
        <v>moron</v>
      </c>
      <c r="G3096" s="49" t="str">
        <f t="shared" ca="1" si="3094"/>
        <v>moron</v>
      </c>
      <c r="H3096" s="49" t="str">
        <f t="shared" ca="1" si="3094"/>
        <v>moron</v>
      </c>
      <c r="I3096" s="49" t="str">
        <f t="shared" ca="1" si="3094"/>
        <v>moron</v>
      </c>
      <c r="J3096" s="49" t="str">
        <f t="shared" ca="1" si="3094"/>
        <v>moron</v>
      </c>
    </row>
    <row r="3097" spans="1:10" ht="12.75" x14ac:dyDescent="0.2">
      <c r="A3097" s="41" t="s">
        <v>307</v>
      </c>
      <c r="B3097" s="40"/>
      <c r="C3097" s="40"/>
      <c r="D3097" s="40"/>
      <c r="E3097" s="40"/>
      <c r="F3097" s="49" t="str">
        <f t="shared" ref="F3097:J3097" ca="1" si="3095">IFERROR(__xludf.DUMMYFUNCTION("if (A3097 &lt;&gt; """", GOOGLETRANSLATE(A3097, ""auto"", ""en""), """")"),"Aho")</f>
        <v>Aho</v>
      </c>
      <c r="G3097" s="49" t="str">
        <f t="shared" ca="1" si="3095"/>
        <v>Aho</v>
      </c>
      <c r="H3097" s="49" t="str">
        <f t="shared" ca="1" si="3095"/>
        <v>Aho</v>
      </c>
      <c r="I3097" s="49" t="str">
        <f t="shared" ca="1" si="3095"/>
        <v>Aho</v>
      </c>
      <c r="J3097" s="49" t="str">
        <f t="shared" ca="1" si="3095"/>
        <v>Aho</v>
      </c>
    </row>
    <row r="3098" spans="1:10" ht="12.75" x14ac:dyDescent="0.2">
      <c r="A3098" s="41" t="s">
        <v>301</v>
      </c>
      <c r="B3098" s="40"/>
      <c r="C3098" s="40"/>
      <c r="D3098" s="40"/>
      <c r="E3098" s="40"/>
      <c r="F3098" s="49" t="str">
        <f t="shared" ref="F3098:J3098" ca="1" si="3096">IFERROR(__xludf.DUMMYFUNCTION("if (A3098 &lt;&gt; """", GOOGLETRANSLATE(A3098, ""auto"", ""en""), """")"),"fool")</f>
        <v>fool</v>
      </c>
      <c r="G3098" s="49" t="str">
        <f t="shared" ca="1" si="3096"/>
        <v>fool</v>
      </c>
      <c r="H3098" s="49" t="str">
        <f t="shared" ca="1" si="3096"/>
        <v>fool</v>
      </c>
      <c r="I3098" s="49" t="str">
        <f t="shared" ca="1" si="3096"/>
        <v>fool</v>
      </c>
      <c r="J3098" s="49" t="str">
        <f t="shared" ca="1" si="3096"/>
        <v>fool</v>
      </c>
    </row>
    <row r="3099" spans="1:10" ht="12.75" x14ac:dyDescent="0.2">
      <c r="A3099" s="41" t="s">
        <v>299</v>
      </c>
      <c r="B3099" s="40"/>
      <c r="C3099" s="40"/>
      <c r="D3099" s="40"/>
      <c r="E3099" s="40"/>
      <c r="F3099" s="49" t="str">
        <f t="shared" ref="F3099:J3099" ca="1" si="3097">IFERROR(__xludf.DUMMYFUNCTION("if (A3099 &lt;&gt; """", GOOGLETRANSLATE(A3099, ""auto"", ""en""), """")"),"Fool")</f>
        <v>Fool</v>
      </c>
      <c r="G3099" s="49" t="str">
        <f t="shared" ca="1" si="3097"/>
        <v>Fool</v>
      </c>
      <c r="H3099" s="49" t="str">
        <f t="shared" ca="1" si="3097"/>
        <v>Fool</v>
      </c>
      <c r="I3099" s="49" t="str">
        <f t="shared" ca="1" si="3097"/>
        <v>Fool</v>
      </c>
      <c r="J3099" s="49" t="str">
        <f t="shared" ca="1" si="3097"/>
        <v>Fool</v>
      </c>
    </row>
    <row r="3100" spans="1:10" ht="12.75" x14ac:dyDescent="0.2">
      <c r="A3100" s="41" t="s">
        <v>290</v>
      </c>
      <c r="B3100" s="40"/>
      <c r="C3100" s="40"/>
      <c r="D3100" s="40"/>
      <c r="E3100" s="40"/>
      <c r="F3100" s="49" t="str">
        <f t="shared" ref="F3100:J3100" ca="1" si="3098">IFERROR(__xludf.DUMMYFUNCTION("if (A3100 &lt;&gt; """", GOOGLETRANSLATE(A3100, ""auto"", ""en""), """")"),"fuck")</f>
        <v>fuck</v>
      </c>
      <c r="G3100" s="49" t="str">
        <f t="shared" ca="1" si="3098"/>
        <v>fuck</v>
      </c>
      <c r="H3100" s="49" t="str">
        <f t="shared" ca="1" si="3098"/>
        <v>fuck</v>
      </c>
      <c r="I3100" s="49" t="str">
        <f t="shared" ca="1" si="3098"/>
        <v>fuck</v>
      </c>
      <c r="J3100" s="49" t="str">
        <f t="shared" ca="1" si="3098"/>
        <v>fuck</v>
      </c>
    </row>
    <row r="3101" spans="1:10" ht="12.75" x14ac:dyDescent="0.2">
      <c r="A3101" s="41" t="s">
        <v>298</v>
      </c>
      <c r="B3101" s="40"/>
      <c r="C3101" s="40"/>
      <c r="D3101" s="40"/>
      <c r="E3101" s="40"/>
      <c r="F3101" s="49" t="str">
        <f t="shared" ref="F3101:J3101" ca="1" si="3099">IFERROR(__xludf.DUMMYFUNCTION("if (A3101 &lt;&gt; """", GOOGLETRANSLATE(A3101, ""auto"", ""en""), """")"),"Bitch")</f>
        <v>Bitch</v>
      </c>
      <c r="G3101" s="49" t="str">
        <f t="shared" ca="1" si="3099"/>
        <v>Bitch</v>
      </c>
      <c r="H3101" s="49" t="str">
        <f t="shared" ca="1" si="3099"/>
        <v>Bitch</v>
      </c>
      <c r="I3101" s="49" t="str">
        <f t="shared" ca="1" si="3099"/>
        <v>Bitch</v>
      </c>
      <c r="J3101" s="49" t="str">
        <f t="shared" ca="1" si="3099"/>
        <v>Bitch</v>
      </c>
    </row>
    <row r="3102" spans="1:10" ht="12.75" x14ac:dyDescent="0.2">
      <c r="A3102" s="41" t="s">
        <v>295</v>
      </c>
      <c r="B3102" s="40"/>
      <c r="C3102" s="40"/>
      <c r="D3102" s="40"/>
      <c r="E3102" s="40"/>
      <c r="F3102" s="49" t="str">
        <f t="shared" ref="F3102:J3102" ca="1" si="3100">IFERROR(__xludf.DUMMYFUNCTION("if (A3102 &lt;&gt; """", GOOGLETRANSLATE(A3102, ""auto"", ""en""), """")"),"Fuck You")</f>
        <v>Fuck You</v>
      </c>
      <c r="G3102" s="49" t="str">
        <f t="shared" ca="1" si="3100"/>
        <v>Fuck You</v>
      </c>
      <c r="H3102" s="49" t="str">
        <f t="shared" ca="1" si="3100"/>
        <v>Fuck You</v>
      </c>
      <c r="I3102" s="49" t="str">
        <f t="shared" ca="1" si="3100"/>
        <v>Fuck You</v>
      </c>
      <c r="J3102" s="49" t="str">
        <f t="shared" ca="1" si="3100"/>
        <v>Fuck You</v>
      </c>
    </row>
    <row r="3103" spans="1:10" ht="12.75" x14ac:dyDescent="0.2">
      <c r="A3103" s="40"/>
      <c r="B3103" s="40"/>
      <c r="C3103" s="40"/>
      <c r="D3103" s="40"/>
      <c r="E3103" s="40"/>
      <c r="F3103" s="49" t="str">
        <f t="shared" ref="F3103:J3103" ca="1" si="3101">IFERROR(__xludf.DUMMYFUNCTION("if (A3103 &lt;&gt; """", GOOGLETRANSLATE(A3103, ""auto"", ""en""), """")"),"")</f>
        <v/>
      </c>
      <c r="G3103" s="49" t="str">
        <f t="shared" ca="1" si="3101"/>
        <v/>
      </c>
      <c r="H3103" s="49" t="str">
        <f t="shared" ca="1" si="3101"/>
        <v/>
      </c>
      <c r="I3103" s="49" t="str">
        <f t="shared" ca="1" si="3101"/>
        <v/>
      </c>
      <c r="J3103" s="49" t="str">
        <f t="shared" ca="1" si="3101"/>
        <v/>
      </c>
    </row>
    <row r="3104" spans="1:10" ht="12.75" x14ac:dyDescent="0.2">
      <c r="A3104" s="41" t="s">
        <v>832</v>
      </c>
      <c r="B3104" s="40"/>
      <c r="C3104" s="40"/>
      <c r="D3104" s="40"/>
      <c r="E3104" s="40"/>
      <c r="F3104" s="49" t="str">
        <f t="shared" ref="F3104:J3104" ca="1" si="3102">IFERROR(__xludf.DUMMYFUNCTION("if (A3104 &lt;&gt; """", GOOGLETRANSLATE(A3104, ""auto"", ""en""), """")"),"Z-Temperature")</f>
        <v>Z-Temperature</v>
      </c>
      <c r="G3104" s="49" t="str">
        <f t="shared" ca="1" si="3102"/>
        <v>Z-Temperature</v>
      </c>
      <c r="H3104" s="49" t="str">
        <f t="shared" ca="1" si="3102"/>
        <v>Z-Temperature</v>
      </c>
      <c r="I3104" s="49" t="str">
        <f t="shared" ca="1" si="3102"/>
        <v>Z-Temperature</v>
      </c>
      <c r="J3104" s="49" t="str">
        <f t="shared" ca="1" si="3102"/>
        <v>Z-Temperature</v>
      </c>
    </row>
    <row r="3105" spans="1:10" ht="12.75" x14ac:dyDescent="0.2">
      <c r="A3105" s="40"/>
      <c r="B3105" s="41" t="s">
        <v>398</v>
      </c>
      <c r="C3105" s="40"/>
      <c r="D3105" s="40"/>
      <c r="E3105" s="40"/>
      <c r="F3105" s="49" t="str">
        <f t="shared" ref="F3105:J3105" ca="1" si="3103">IFERROR(__xludf.DUMMYFUNCTION("if (A3105 &lt;&gt; """", GOOGLETRANSLATE(A3105, ""auto"", ""en""), """")"),"")</f>
        <v/>
      </c>
      <c r="G3105" s="49" t="str">
        <f t="shared" ca="1" si="3103"/>
        <v/>
      </c>
      <c r="H3105" s="49" t="str">
        <f t="shared" ca="1" si="3103"/>
        <v/>
      </c>
      <c r="I3105" s="49" t="str">
        <f t="shared" ca="1" si="3103"/>
        <v/>
      </c>
      <c r="J3105" s="49" t="str">
        <f t="shared" ca="1" si="3103"/>
        <v/>
      </c>
    </row>
    <row r="3106" spans="1:10" ht="12.75" x14ac:dyDescent="0.2">
      <c r="A3106" s="40"/>
      <c r="B3106" s="41" t="s">
        <v>399</v>
      </c>
      <c r="C3106" s="40"/>
      <c r="D3106" s="40"/>
      <c r="E3106" s="40"/>
      <c r="F3106" s="49" t="str">
        <f t="shared" ref="F3106:J3106" ca="1" si="3104">IFERROR(__xludf.DUMMYFUNCTION("if (A3106 &lt;&gt; """", GOOGLETRANSLATE(A3106, ""auto"", ""en""), """")"),"")</f>
        <v/>
      </c>
      <c r="G3106" s="49" t="str">
        <f t="shared" ca="1" si="3104"/>
        <v/>
      </c>
      <c r="H3106" s="49" t="str">
        <f t="shared" ca="1" si="3104"/>
        <v/>
      </c>
      <c r="I3106" s="49" t="str">
        <f t="shared" ca="1" si="3104"/>
        <v/>
      </c>
      <c r="J3106" s="49" t="str">
        <f t="shared" ca="1" si="3104"/>
        <v/>
      </c>
    </row>
    <row r="3107" spans="1:10" ht="12.75" x14ac:dyDescent="0.2">
      <c r="A3107" s="40"/>
      <c r="B3107" s="41" t="s">
        <v>400</v>
      </c>
      <c r="C3107" s="40"/>
      <c r="D3107" s="40"/>
      <c r="E3107" s="40"/>
      <c r="F3107" s="49" t="str">
        <f t="shared" ref="F3107:J3107" ca="1" si="3105">IFERROR(__xludf.DUMMYFUNCTION("if (A3107 &lt;&gt; """", GOOGLETRANSLATE(A3107, ""auto"", ""en""), """")"),"")</f>
        <v/>
      </c>
      <c r="G3107" s="49" t="str">
        <f t="shared" ca="1" si="3105"/>
        <v/>
      </c>
      <c r="H3107" s="49" t="str">
        <f t="shared" ca="1" si="3105"/>
        <v/>
      </c>
      <c r="I3107" s="49" t="str">
        <f t="shared" ca="1" si="3105"/>
        <v/>
      </c>
      <c r="J3107" s="49" t="str">
        <f t="shared" ca="1" si="3105"/>
        <v/>
      </c>
    </row>
    <row r="3108" spans="1:10" ht="12.75" x14ac:dyDescent="0.2">
      <c r="A3108" s="40"/>
      <c r="B3108" s="41" t="s">
        <v>401</v>
      </c>
      <c r="C3108" s="40"/>
      <c r="D3108" s="40"/>
      <c r="E3108" s="40"/>
      <c r="F3108" s="49" t="str">
        <f t="shared" ref="F3108:J3108" ca="1" si="3106">IFERROR(__xludf.DUMMYFUNCTION("if (A3108 &lt;&gt; """", GOOGLETRANSLATE(A3108, ""auto"", ""en""), """")"),"")</f>
        <v/>
      </c>
      <c r="G3108" s="49" t="str">
        <f t="shared" ca="1" si="3106"/>
        <v/>
      </c>
      <c r="H3108" s="49" t="str">
        <f t="shared" ca="1" si="3106"/>
        <v/>
      </c>
      <c r="I3108" s="49" t="str">
        <f t="shared" ca="1" si="3106"/>
        <v/>
      </c>
      <c r="J3108" s="49" t="str">
        <f t="shared" ca="1" si="3106"/>
        <v/>
      </c>
    </row>
    <row r="3109" spans="1:10" ht="12.75" x14ac:dyDescent="0.2">
      <c r="A3109" s="41" t="s">
        <v>833</v>
      </c>
      <c r="B3109" s="41" t="s">
        <v>402</v>
      </c>
      <c r="C3109" s="41" t="s">
        <v>834</v>
      </c>
      <c r="D3109" s="40"/>
      <c r="E3109" s="40"/>
      <c r="F3109" s="49" t="str">
        <f t="shared" ref="F3109:J3109" ca="1" si="3107">IFERROR(__xludf.DUMMYFUNCTION("if (A3109 &lt;&gt; """", GOOGLETRANSLATE(A3109, ""auto"", ""en""), """")"),"Cold")</f>
        <v>Cold</v>
      </c>
      <c r="G3109" s="49" t="str">
        <f t="shared" ca="1" si="3107"/>
        <v>Cold</v>
      </c>
      <c r="H3109" s="49" t="str">
        <f t="shared" ca="1" si="3107"/>
        <v>Cold</v>
      </c>
      <c r="I3109" s="49" t="str">
        <f t="shared" ca="1" si="3107"/>
        <v>Cold</v>
      </c>
      <c r="J3109" s="49" t="str">
        <f t="shared" ca="1" si="3107"/>
        <v>Cold</v>
      </c>
    </row>
    <row r="3110" spans="1:10" ht="12.75" x14ac:dyDescent="0.2">
      <c r="A3110" s="41" t="s">
        <v>835</v>
      </c>
      <c r="B3110" s="40"/>
      <c r="C3110" s="40"/>
      <c r="D3110" s="40"/>
      <c r="E3110" s="40"/>
      <c r="F3110" s="49" t="str">
        <f t="shared" ref="F3110:J3110" ca="1" si="3108">IFERROR(__xludf.DUMMYFUNCTION("if (A3110 &lt;&gt; """", GOOGLETRANSLATE(A3110, ""auto"", ""en""), """")"),"It's cold")</f>
        <v>It's cold</v>
      </c>
      <c r="G3110" s="49" t="str">
        <f t="shared" ca="1" si="3108"/>
        <v>It's cold</v>
      </c>
      <c r="H3110" s="49" t="str">
        <f t="shared" ca="1" si="3108"/>
        <v>It's cold</v>
      </c>
      <c r="I3110" s="49" t="str">
        <f t="shared" ca="1" si="3108"/>
        <v>It's cold</v>
      </c>
      <c r="J3110" s="49" t="str">
        <f t="shared" ca="1" si="3108"/>
        <v>It's cold</v>
      </c>
    </row>
    <row r="3111" spans="1:10" ht="12.75" x14ac:dyDescent="0.2">
      <c r="A3111" s="40"/>
      <c r="B3111" s="41" t="s">
        <v>422</v>
      </c>
      <c r="C3111" s="41" t="s">
        <v>836</v>
      </c>
      <c r="D3111" s="41" t="s">
        <v>837</v>
      </c>
      <c r="E3111" s="40"/>
      <c r="F3111" s="49" t="str">
        <f t="shared" ref="F3111:J3111" ca="1" si="3109">IFERROR(__xludf.DUMMYFUNCTION("if (A3111 &lt;&gt; """", GOOGLETRANSLATE(A3111, ""auto"", ""en""), """")"),"")</f>
        <v/>
      </c>
      <c r="G3111" s="49" t="str">
        <f t="shared" ca="1" si="3109"/>
        <v/>
      </c>
      <c r="H3111" s="49" t="str">
        <f t="shared" ca="1" si="3109"/>
        <v/>
      </c>
      <c r="I3111" s="49" t="str">
        <f t="shared" ca="1" si="3109"/>
        <v/>
      </c>
      <c r="J3111" s="49" t="str">
        <f t="shared" ca="1" si="3109"/>
        <v/>
      </c>
    </row>
    <row r="3112" spans="1:10" ht="12.75" x14ac:dyDescent="0.2">
      <c r="A3112" s="40"/>
      <c r="B3112" s="40"/>
      <c r="C3112" s="40"/>
      <c r="D3112" s="40"/>
      <c r="E3112" s="40"/>
      <c r="F3112" s="49" t="str">
        <f t="shared" ref="F3112:J3112" ca="1" si="3110">IFERROR(__xludf.DUMMYFUNCTION("if (A3112 &lt;&gt; """", GOOGLETRANSLATE(A3112, ""auto"", ""en""), """")"),"")</f>
        <v/>
      </c>
      <c r="G3112" s="49" t="str">
        <f t="shared" ca="1" si="3110"/>
        <v/>
      </c>
      <c r="H3112" s="49" t="str">
        <f t="shared" ca="1" si="3110"/>
        <v/>
      </c>
      <c r="I3112" s="49" t="str">
        <f t="shared" ca="1" si="3110"/>
        <v/>
      </c>
      <c r="J3112" s="49" t="str">
        <f t="shared" ca="1" si="3110"/>
        <v/>
      </c>
    </row>
    <row r="3113" spans="1:10" ht="12.75" x14ac:dyDescent="0.2">
      <c r="A3113" s="41" t="s">
        <v>314</v>
      </c>
      <c r="B3113" s="40"/>
      <c r="C3113" s="40"/>
      <c r="D3113" s="40"/>
      <c r="E3113" s="40"/>
      <c r="F3113" s="49" t="str">
        <f t="shared" ref="F3113:J3113" ca="1" si="3111">IFERROR(__xludf.DUMMYFUNCTION("if (A3113 &lt;&gt; """", GOOGLETRANSLATE(A3113, ""auto"", ""en""), """")"),"Z-Thank")</f>
        <v>Z-Thank</v>
      </c>
      <c r="G3113" s="49" t="str">
        <f t="shared" ca="1" si="3111"/>
        <v>Z-Thank</v>
      </c>
      <c r="H3113" s="49" t="str">
        <f t="shared" ca="1" si="3111"/>
        <v>Z-Thank</v>
      </c>
      <c r="I3113" s="49" t="str">
        <f t="shared" ca="1" si="3111"/>
        <v>Z-Thank</v>
      </c>
      <c r="J3113" s="49" t="str">
        <f t="shared" ca="1" si="3111"/>
        <v>Z-Thank</v>
      </c>
    </row>
    <row r="3114" spans="1:10" ht="12.75" x14ac:dyDescent="0.2">
      <c r="A3114" s="40"/>
      <c r="B3114" s="41" t="s">
        <v>398</v>
      </c>
      <c r="C3114" s="40"/>
      <c r="D3114" s="40"/>
      <c r="E3114" s="40"/>
      <c r="F3114" s="49" t="str">
        <f t="shared" ref="F3114:J3114" ca="1" si="3112">IFERROR(__xludf.DUMMYFUNCTION("if (A3114 &lt;&gt; """", GOOGLETRANSLATE(A3114, ""auto"", ""en""), """")"),"")</f>
        <v/>
      </c>
      <c r="G3114" s="49" t="str">
        <f t="shared" ca="1" si="3112"/>
        <v/>
      </c>
      <c r="H3114" s="49" t="str">
        <f t="shared" ca="1" si="3112"/>
        <v/>
      </c>
      <c r="I3114" s="49" t="str">
        <f t="shared" ca="1" si="3112"/>
        <v/>
      </c>
      <c r="J3114" s="49" t="str">
        <f t="shared" ca="1" si="3112"/>
        <v/>
      </c>
    </row>
    <row r="3115" spans="1:10" ht="12.75" x14ac:dyDescent="0.2">
      <c r="A3115" s="40"/>
      <c r="B3115" s="41" t="s">
        <v>399</v>
      </c>
      <c r="C3115" s="40"/>
      <c r="D3115" s="40"/>
      <c r="E3115" s="40"/>
      <c r="F3115" s="49" t="str">
        <f t="shared" ref="F3115:J3115" ca="1" si="3113">IFERROR(__xludf.DUMMYFUNCTION("if (A3115 &lt;&gt; """", GOOGLETRANSLATE(A3115, ""auto"", ""en""), """")"),"")</f>
        <v/>
      </c>
      <c r="G3115" s="49" t="str">
        <f t="shared" ca="1" si="3113"/>
        <v/>
      </c>
      <c r="H3115" s="49" t="str">
        <f t="shared" ca="1" si="3113"/>
        <v/>
      </c>
      <c r="I3115" s="49" t="str">
        <f t="shared" ca="1" si="3113"/>
        <v/>
      </c>
      <c r="J3115" s="49" t="str">
        <f t="shared" ca="1" si="3113"/>
        <v/>
      </c>
    </row>
    <row r="3116" spans="1:10" ht="12.75" x14ac:dyDescent="0.2">
      <c r="A3116" s="40"/>
      <c r="B3116" s="41" t="s">
        <v>400</v>
      </c>
      <c r="C3116" s="40"/>
      <c r="D3116" s="40"/>
      <c r="E3116" s="40"/>
      <c r="F3116" s="49" t="str">
        <f t="shared" ref="F3116:J3116" ca="1" si="3114">IFERROR(__xludf.DUMMYFUNCTION("if (A3116 &lt;&gt; """", GOOGLETRANSLATE(A3116, ""auto"", ""en""), """")"),"")</f>
        <v/>
      </c>
      <c r="G3116" s="49" t="str">
        <f t="shared" ca="1" si="3114"/>
        <v/>
      </c>
      <c r="H3116" s="49" t="str">
        <f t="shared" ca="1" si="3114"/>
        <v/>
      </c>
      <c r="I3116" s="49" t="str">
        <f t="shared" ca="1" si="3114"/>
        <v/>
      </c>
      <c r="J3116" s="49" t="str">
        <f t="shared" ca="1" si="3114"/>
        <v/>
      </c>
    </row>
    <row r="3117" spans="1:10" ht="12.75" x14ac:dyDescent="0.2">
      <c r="A3117" s="40"/>
      <c r="B3117" s="41" t="s">
        <v>401</v>
      </c>
      <c r="C3117" s="40"/>
      <c r="D3117" s="40"/>
      <c r="E3117" s="40"/>
      <c r="F3117" s="49" t="str">
        <f t="shared" ref="F3117:J3117" ca="1" si="3115">IFERROR(__xludf.DUMMYFUNCTION("if (A3117 &lt;&gt; """", GOOGLETRANSLATE(A3117, ""auto"", ""en""), """")"),"")</f>
        <v/>
      </c>
      <c r="G3117" s="49" t="str">
        <f t="shared" ca="1" si="3115"/>
        <v/>
      </c>
      <c r="H3117" s="49" t="str">
        <f t="shared" ca="1" si="3115"/>
        <v/>
      </c>
      <c r="I3117" s="49" t="str">
        <f t="shared" ca="1" si="3115"/>
        <v/>
      </c>
      <c r="J3117" s="49" t="str">
        <f t="shared" ca="1" si="3115"/>
        <v/>
      </c>
    </row>
    <row r="3118" spans="1:10" ht="25.5" x14ac:dyDescent="0.2">
      <c r="A3118" s="41" t="s">
        <v>333</v>
      </c>
      <c r="B3118" s="41" t="s">
        <v>402</v>
      </c>
      <c r="C3118" s="41" t="s">
        <v>316</v>
      </c>
      <c r="D3118" s="40"/>
      <c r="E3118" s="40"/>
      <c r="F3118" s="49" t="str">
        <f t="shared" ref="F3118:J3118" ca="1" si="3116">IFERROR(__xludf.DUMMYFUNCTION("if (A3118 &lt;&gt; """", GOOGLETRANSLATE(A3118, ""auto"", ""en""), """")"),"Thank you")</f>
        <v>Thank you</v>
      </c>
      <c r="G3118" s="49" t="str">
        <f t="shared" ca="1" si="3116"/>
        <v>Thank you</v>
      </c>
      <c r="H3118" s="49" t="str">
        <f t="shared" ca="1" si="3116"/>
        <v>Thank you</v>
      </c>
      <c r="I3118" s="49" t="str">
        <f t="shared" ca="1" si="3116"/>
        <v>Thank you</v>
      </c>
      <c r="J3118" s="49" t="str">
        <f t="shared" ca="1" si="3116"/>
        <v>Thank you</v>
      </c>
    </row>
    <row r="3119" spans="1:10" ht="12.75" x14ac:dyDescent="0.2">
      <c r="A3119" s="41" t="s">
        <v>331</v>
      </c>
      <c r="B3119" s="40"/>
      <c r="C3119" s="40"/>
      <c r="D3119" s="40"/>
      <c r="E3119" s="40"/>
      <c r="F3119" s="49" t="str">
        <f t="shared" ref="F3119:J3119" ca="1" si="3117">IFERROR(__xludf.DUMMYFUNCTION("if (A3119 &lt;&gt; """", GOOGLETRANSLATE(A3119, ""auto"", ""en""), """")"),"Thank Arigato")</f>
        <v>Thank Arigato</v>
      </c>
      <c r="G3119" s="49" t="str">
        <f t="shared" ca="1" si="3117"/>
        <v>Thank Arigato</v>
      </c>
      <c r="H3119" s="49" t="str">
        <f t="shared" ca="1" si="3117"/>
        <v>Thank Arigato</v>
      </c>
      <c r="I3119" s="49" t="str">
        <f t="shared" ca="1" si="3117"/>
        <v>Thank Arigato</v>
      </c>
      <c r="J3119" s="49" t="str">
        <f t="shared" ca="1" si="3117"/>
        <v>Thank Arigato</v>
      </c>
    </row>
    <row r="3120" spans="1:10" ht="12.75" x14ac:dyDescent="0.2">
      <c r="A3120" s="41" t="s">
        <v>315</v>
      </c>
      <c r="B3120" s="40"/>
      <c r="C3120" s="40"/>
      <c r="D3120" s="40"/>
      <c r="E3120" s="40"/>
      <c r="F3120" s="49" t="str">
        <f t="shared" ref="F3120:J3120" ca="1" si="3118">IFERROR(__xludf.DUMMYFUNCTION("if (A3120 &lt;&gt; """", GOOGLETRANSLATE(A3120, ""auto"", ""en""), """")"),"thanks")</f>
        <v>thanks</v>
      </c>
      <c r="G3120" s="49" t="str">
        <f t="shared" ca="1" si="3118"/>
        <v>thanks</v>
      </c>
      <c r="H3120" s="49" t="str">
        <f t="shared" ca="1" si="3118"/>
        <v>thanks</v>
      </c>
      <c r="I3120" s="49" t="str">
        <f t="shared" ca="1" si="3118"/>
        <v>thanks</v>
      </c>
      <c r="J3120" s="49" t="str">
        <f t="shared" ca="1" si="3118"/>
        <v>thanks</v>
      </c>
    </row>
    <row r="3121" spans="1:10" ht="12.75" x14ac:dyDescent="0.2">
      <c r="A3121" s="41" t="s">
        <v>327</v>
      </c>
      <c r="B3121" s="40"/>
      <c r="C3121" s="40"/>
      <c r="D3121" s="40"/>
      <c r="E3121" s="40"/>
      <c r="F3121" s="49" t="str">
        <f t="shared" ref="F3121:J3121" ca="1" si="3119">IFERROR(__xludf.DUMMYFUNCTION("if (A3121 &lt;&gt; """", GOOGLETRANSLATE(A3121, ""auto"", ""en""), """")"),"Thank you")</f>
        <v>Thank you</v>
      </c>
      <c r="G3121" s="49" t="str">
        <f t="shared" ca="1" si="3119"/>
        <v>Thank you</v>
      </c>
      <c r="H3121" s="49" t="str">
        <f t="shared" ca="1" si="3119"/>
        <v>Thank you</v>
      </c>
      <c r="I3121" s="49" t="str">
        <f t="shared" ca="1" si="3119"/>
        <v>Thank you</v>
      </c>
      <c r="J3121" s="49" t="str">
        <f t="shared" ca="1" si="3119"/>
        <v>Thank you</v>
      </c>
    </row>
    <row r="3122" spans="1:10" ht="12.75" x14ac:dyDescent="0.2">
      <c r="A3122" s="41" t="s">
        <v>322</v>
      </c>
      <c r="B3122" s="40"/>
      <c r="C3122" s="40"/>
      <c r="D3122" s="40"/>
      <c r="E3122" s="40"/>
      <c r="F3122" s="49" t="str">
        <f t="shared" ref="F3122:J3122" ca="1" si="3120">IFERROR(__xludf.DUMMYFUNCTION("if (A3122 &lt;&gt; """", GOOGLETRANSLATE(A3122, ""auto"", ""en""), """")"),"thank")</f>
        <v>thank</v>
      </c>
      <c r="G3122" s="49" t="str">
        <f t="shared" ca="1" si="3120"/>
        <v>thank</v>
      </c>
      <c r="H3122" s="49" t="str">
        <f t="shared" ca="1" si="3120"/>
        <v>thank</v>
      </c>
      <c r="I3122" s="49" t="str">
        <f t="shared" ca="1" si="3120"/>
        <v>thank</v>
      </c>
      <c r="J3122" s="49" t="str">
        <f t="shared" ca="1" si="3120"/>
        <v>thank</v>
      </c>
    </row>
    <row r="3123" spans="1:10" ht="12.75" x14ac:dyDescent="0.2">
      <c r="A3123" s="41" t="s">
        <v>328</v>
      </c>
      <c r="B3123" s="40"/>
      <c r="C3123" s="40"/>
      <c r="D3123" s="40"/>
      <c r="E3123" s="40"/>
      <c r="F3123" s="49" t="str">
        <f t="shared" ref="F3123:J3123" ca="1" si="3121">IFERROR(__xludf.DUMMYFUNCTION("if (A3123 &lt;&gt; """", GOOGLETRANSLATE(A3123, ""auto"", ""en""), """")"),"Thanks")</f>
        <v>Thanks</v>
      </c>
      <c r="G3123" s="49" t="str">
        <f t="shared" ca="1" si="3121"/>
        <v>Thanks</v>
      </c>
      <c r="H3123" s="49" t="str">
        <f t="shared" ca="1" si="3121"/>
        <v>Thanks</v>
      </c>
      <c r="I3123" s="49" t="str">
        <f t="shared" ca="1" si="3121"/>
        <v>Thanks</v>
      </c>
      <c r="J3123" s="49" t="str">
        <f t="shared" ca="1" si="3121"/>
        <v>Thanks</v>
      </c>
    </row>
    <row r="3124" spans="1:10" ht="12.75" x14ac:dyDescent="0.2">
      <c r="A3124" s="41" t="s">
        <v>324</v>
      </c>
      <c r="B3124" s="40"/>
      <c r="C3124" s="40"/>
      <c r="D3124" s="40"/>
      <c r="E3124" s="40"/>
      <c r="F3124" s="49" t="str">
        <f t="shared" ref="F3124:J3124" ca="1" si="3122">IFERROR(__xludf.DUMMYFUNCTION("if (A3124 &lt;&gt; """", GOOGLETRANSLATE(A3124, ""auto"", ""en""), """")"),"Good Job")</f>
        <v>Good Job</v>
      </c>
      <c r="G3124" s="49" t="str">
        <f t="shared" ca="1" si="3122"/>
        <v>Good Job</v>
      </c>
      <c r="H3124" s="49" t="str">
        <f t="shared" ca="1" si="3122"/>
        <v>Good Job</v>
      </c>
      <c r="I3124" s="49" t="str">
        <f t="shared" ca="1" si="3122"/>
        <v>Good Job</v>
      </c>
      <c r="J3124" s="49" t="str">
        <f t="shared" ca="1" si="3122"/>
        <v>Good Job</v>
      </c>
    </row>
    <row r="3125" spans="1:10" ht="12.75" x14ac:dyDescent="0.2">
      <c r="A3125" s="41" t="s">
        <v>323</v>
      </c>
      <c r="B3125" s="40"/>
      <c r="C3125" s="40"/>
      <c r="D3125" s="40"/>
      <c r="E3125" s="40"/>
      <c r="F3125" s="49" t="str">
        <f t="shared" ref="F3125:J3125" ca="1" si="3123">IFERROR(__xludf.DUMMYFUNCTION("if (A3125 &lt;&gt; """", GOOGLETRANSLATE(A3125, ""auto"", ""en""), """")"),"Gujjobu")</f>
        <v>Gujjobu</v>
      </c>
      <c r="G3125" s="49" t="str">
        <f t="shared" ca="1" si="3123"/>
        <v>Gujjobu</v>
      </c>
      <c r="H3125" s="49" t="str">
        <f t="shared" ca="1" si="3123"/>
        <v>Gujjobu</v>
      </c>
      <c r="I3125" s="49" t="str">
        <f t="shared" ca="1" si="3123"/>
        <v>Gujjobu</v>
      </c>
      <c r="J3125" s="49" t="str">
        <f t="shared" ca="1" si="3123"/>
        <v>Gujjobu</v>
      </c>
    </row>
    <row r="3126" spans="1:10" ht="12.75" x14ac:dyDescent="0.2">
      <c r="A3126" s="41" t="s">
        <v>319</v>
      </c>
      <c r="B3126" s="40"/>
      <c r="C3126" s="40"/>
      <c r="D3126" s="40"/>
      <c r="E3126" s="40"/>
      <c r="F3126" s="49" t="str">
        <f t="shared" ref="F3126:J3126" ca="1" si="3124">IFERROR(__xludf.DUMMYFUNCTION("if (A3126 &lt;&gt; """", GOOGLETRANSLATE(A3126, ""auto"", ""en""), """")"),"Thank you")</f>
        <v>Thank you</v>
      </c>
      <c r="G3126" s="49" t="str">
        <f t="shared" ca="1" si="3124"/>
        <v>Thank you</v>
      </c>
      <c r="H3126" s="49" t="str">
        <f t="shared" ca="1" si="3124"/>
        <v>Thank you</v>
      </c>
      <c r="I3126" s="49" t="str">
        <f t="shared" ca="1" si="3124"/>
        <v>Thank you</v>
      </c>
      <c r="J3126" s="49" t="str">
        <f t="shared" ca="1" si="3124"/>
        <v>Thank you</v>
      </c>
    </row>
    <row r="3127" spans="1:10" ht="12.75" x14ac:dyDescent="0.2">
      <c r="A3127" s="40"/>
      <c r="B3127" s="40"/>
      <c r="C3127" s="40"/>
      <c r="D3127" s="40"/>
      <c r="E3127" s="40"/>
      <c r="F3127" s="49" t="str">
        <f t="shared" ref="F3127:J3127" ca="1" si="3125">IFERROR(__xludf.DUMMYFUNCTION("if (A3127 &lt;&gt; """", GOOGLETRANSLATE(A3127, ""auto"", ""en""), """")"),"")</f>
        <v/>
      </c>
      <c r="G3127" s="49" t="str">
        <f t="shared" ca="1" si="3125"/>
        <v/>
      </c>
      <c r="H3127" s="49" t="str">
        <f t="shared" ca="1" si="3125"/>
        <v/>
      </c>
      <c r="I3127" s="49" t="str">
        <f t="shared" ca="1" si="3125"/>
        <v/>
      </c>
      <c r="J3127" s="49" t="str">
        <f t="shared" ca="1" si="3125"/>
        <v/>
      </c>
    </row>
    <row r="3128" spans="1:10" ht="12.75" x14ac:dyDescent="0.2">
      <c r="A3128" s="41" t="s">
        <v>1266</v>
      </c>
      <c r="B3128" s="40"/>
      <c r="C3128" s="40"/>
      <c r="D3128" s="40"/>
      <c r="E3128" s="40"/>
      <c r="F3128" s="49" t="str">
        <f t="shared" ref="F3128:J3128" ca="1" si="3126">IFERROR(__xludf.DUMMYFUNCTION("if (A3128 &lt;&gt; """", GOOGLETRANSLATE(A3128, ""auto"", ""en""), """")"),"Z-Type")</f>
        <v>Z-Type</v>
      </c>
      <c r="G3128" s="49" t="str">
        <f t="shared" ca="1" si="3126"/>
        <v>Z-Type</v>
      </c>
      <c r="H3128" s="49" t="str">
        <f t="shared" ca="1" si="3126"/>
        <v>Z-Type</v>
      </c>
      <c r="I3128" s="49" t="str">
        <f t="shared" ca="1" si="3126"/>
        <v>Z-Type</v>
      </c>
      <c r="J3128" s="49" t="str">
        <f t="shared" ca="1" si="3126"/>
        <v>Z-Type</v>
      </c>
    </row>
    <row r="3129" spans="1:10" ht="12.75" x14ac:dyDescent="0.2">
      <c r="A3129" s="40"/>
      <c r="B3129" s="41" t="s">
        <v>398</v>
      </c>
      <c r="C3129" s="40"/>
      <c r="D3129" s="40"/>
      <c r="E3129" s="40"/>
      <c r="F3129" s="49" t="str">
        <f t="shared" ref="F3129:J3129" ca="1" si="3127">IFERROR(__xludf.DUMMYFUNCTION("if (A3129 &lt;&gt; """", GOOGLETRANSLATE(A3129, ""auto"", ""en""), """")"),"")</f>
        <v/>
      </c>
      <c r="G3129" s="49" t="str">
        <f t="shared" ca="1" si="3127"/>
        <v/>
      </c>
      <c r="H3129" s="49" t="str">
        <f t="shared" ca="1" si="3127"/>
        <v/>
      </c>
      <c r="I3129" s="49" t="str">
        <f t="shared" ca="1" si="3127"/>
        <v/>
      </c>
      <c r="J3129" s="49" t="str">
        <f t="shared" ca="1" si="3127"/>
        <v/>
      </c>
    </row>
    <row r="3130" spans="1:10" ht="12.75" x14ac:dyDescent="0.2">
      <c r="A3130" s="40"/>
      <c r="B3130" s="41" t="s">
        <v>399</v>
      </c>
      <c r="C3130" s="40"/>
      <c r="D3130" s="40"/>
      <c r="E3130" s="40"/>
      <c r="F3130" s="49" t="str">
        <f t="shared" ref="F3130:J3130" ca="1" si="3128">IFERROR(__xludf.DUMMYFUNCTION("if (A3130 &lt;&gt; """", GOOGLETRANSLATE(A3130, ""auto"", ""en""), """")"),"")</f>
        <v/>
      </c>
      <c r="G3130" s="49" t="str">
        <f t="shared" ca="1" si="3128"/>
        <v/>
      </c>
      <c r="H3130" s="49" t="str">
        <f t="shared" ca="1" si="3128"/>
        <v/>
      </c>
      <c r="I3130" s="49" t="str">
        <f t="shared" ca="1" si="3128"/>
        <v/>
      </c>
      <c r="J3130" s="49" t="str">
        <f t="shared" ca="1" si="3128"/>
        <v/>
      </c>
    </row>
    <row r="3131" spans="1:10" ht="12.75" x14ac:dyDescent="0.2">
      <c r="A3131" s="40"/>
      <c r="B3131" s="41" t="s">
        <v>400</v>
      </c>
      <c r="C3131" s="40"/>
      <c r="D3131" s="40"/>
      <c r="E3131" s="40"/>
      <c r="F3131" s="49" t="str">
        <f t="shared" ref="F3131:J3131" ca="1" si="3129">IFERROR(__xludf.DUMMYFUNCTION("if (A3131 &lt;&gt; """", GOOGLETRANSLATE(A3131, ""auto"", ""en""), """")"),"")</f>
        <v/>
      </c>
      <c r="G3131" s="49" t="str">
        <f t="shared" ca="1" si="3129"/>
        <v/>
      </c>
      <c r="H3131" s="49" t="str">
        <f t="shared" ca="1" si="3129"/>
        <v/>
      </c>
      <c r="I3131" s="49" t="str">
        <f t="shared" ca="1" si="3129"/>
        <v/>
      </c>
      <c r="J3131" s="49" t="str">
        <f t="shared" ca="1" si="3129"/>
        <v/>
      </c>
    </row>
    <row r="3132" spans="1:10" ht="12.75" x14ac:dyDescent="0.2">
      <c r="A3132" s="40"/>
      <c r="B3132" s="41" t="s">
        <v>401</v>
      </c>
      <c r="C3132" s="40"/>
      <c r="D3132" s="40"/>
      <c r="E3132" s="40"/>
      <c r="F3132" s="49" t="str">
        <f t="shared" ref="F3132:J3132" ca="1" si="3130">IFERROR(__xludf.DUMMYFUNCTION("if (A3132 &lt;&gt; """", GOOGLETRANSLATE(A3132, ""auto"", ""en""), """")"),"")</f>
        <v/>
      </c>
      <c r="G3132" s="49" t="str">
        <f t="shared" ca="1" si="3130"/>
        <v/>
      </c>
      <c r="H3132" s="49" t="str">
        <f t="shared" ca="1" si="3130"/>
        <v/>
      </c>
      <c r="I3132" s="49" t="str">
        <f t="shared" ca="1" si="3130"/>
        <v/>
      </c>
      <c r="J3132" s="49" t="str">
        <f t="shared" ca="1" si="3130"/>
        <v/>
      </c>
    </row>
    <row r="3133" spans="1:10" ht="12.75" x14ac:dyDescent="0.2">
      <c r="A3133" s="41" t="s">
        <v>1270</v>
      </c>
      <c r="B3133" s="41" t="s">
        <v>402</v>
      </c>
      <c r="C3133" s="41" t="s">
        <v>1272</v>
      </c>
      <c r="D3133" s="40"/>
      <c r="E3133" s="40"/>
      <c r="F3133" s="49" t="str">
        <f t="shared" ref="F3133:J3133" ca="1" si="3131">IFERROR(__xludf.DUMMYFUNCTION("if (A3133 &lt;&gt; """", GOOGLETRANSLATE(A3133, ""auto"", ""en""), """")"),"Favorite type")</f>
        <v>Favorite type</v>
      </c>
      <c r="G3133" s="49" t="str">
        <f t="shared" ca="1" si="3131"/>
        <v>Favorite type</v>
      </c>
      <c r="H3133" s="49" t="str">
        <f t="shared" ca="1" si="3131"/>
        <v>Favorite type</v>
      </c>
      <c r="I3133" s="49" t="str">
        <f t="shared" ca="1" si="3131"/>
        <v>Favorite type</v>
      </c>
      <c r="J3133" s="49" t="str">
        <f t="shared" ca="1" si="3131"/>
        <v>Favorite type</v>
      </c>
    </row>
    <row r="3134" spans="1:10" ht="25.5" x14ac:dyDescent="0.2">
      <c r="A3134" s="41" t="s">
        <v>1273</v>
      </c>
      <c r="B3134" s="40"/>
      <c r="C3134" s="40"/>
      <c r="D3134" s="40"/>
      <c r="E3134" s="40"/>
      <c r="F3134" s="49" t="str">
        <f t="shared" ref="F3134:J3134" ca="1" si="3132">IFERROR(__xludf.DUMMYFUNCTION("if (A3134 &lt;&gt; """", GOOGLETRANSLATE(A3134, ""auto"", ""en""), """")"),"Please tell me the type")</f>
        <v>Please tell me the type</v>
      </c>
      <c r="G3134" s="49" t="str">
        <f t="shared" ca="1" si="3132"/>
        <v>Please tell me the type</v>
      </c>
      <c r="H3134" s="49" t="str">
        <f t="shared" ca="1" si="3132"/>
        <v>Please tell me the type</v>
      </c>
      <c r="I3134" s="49" t="str">
        <f t="shared" ca="1" si="3132"/>
        <v>Please tell me the type</v>
      </c>
      <c r="J3134" s="49" t="str">
        <f t="shared" ca="1" si="3132"/>
        <v>Please tell me the type</v>
      </c>
    </row>
    <row r="3135" spans="1:10" ht="25.5" x14ac:dyDescent="0.2">
      <c r="A3135" s="41" t="s">
        <v>1274</v>
      </c>
      <c r="B3135" s="40"/>
      <c r="C3135" s="40"/>
      <c r="D3135" s="40"/>
      <c r="E3135" s="40"/>
      <c r="F3135" s="49" t="str">
        <f t="shared" ref="F3135:J3135" ca="1" si="3133">IFERROR(__xludf.DUMMYFUNCTION("if (A3135 &lt;&gt; """", GOOGLETRANSLATE(A3135, ""auto"", ""en""), """")"),"Type of the opposite sex")</f>
        <v>Type of the opposite sex</v>
      </c>
      <c r="G3135" s="49" t="str">
        <f t="shared" ca="1" si="3133"/>
        <v>Type of the opposite sex</v>
      </c>
      <c r="H3135" s="49" t="str">
        <f t="shared" ca="1" si="3133"/>
        <v>Type of the opposite sex</v>
      </c>
      <c r="I3135" s="49" t="str">
        <f t="shared" ca="1" si="3133"/>
        <v>Type of the opposite sex</v>
      </c>
      <c r="J3135" s="49" t="str">
        <f t="shared" ca="1" si="3133"/>
        <v>Type of the opposite sex</v>
      </c>
    </row>
    <row r="3136" spans="1:10" ht="38.25" x14ac:dyDescent="0.2">
      <c r="A3136" s="41" t="s">
        <v>1276</v>
      </c>
      <c r="B3136" s="40"/>
      <c r="C3136" s="40"/>
      <c r="D3136" s="40"/>
      <c r="E3136" s="40"/>
      <c r="F3136" s="49" t="str">
        <f t="shared" ref="F3136:J3136" ca="1" si="3134">IFERROR(__xludf.DUMMYFUNCTION("if (A3136 &lt;&gt; """", GOOGLETRANSLATE(A3136, ""auto"", ""en""), """")"),"What preferences of type")</f>
        <v>What preferences of type</v>
      </c>
      <c r="G3136" s="49" t="str">
        <f t="shared" ca="1" si="3134"/>
        <v>What preferences of type</v>
      </c>
      <c r="H3136" s="49" t="str">
        <f t="shared" ca="1" si="3134"/>
        <v>What preferences of type</v>
      </c>
      <c r="I3136" s="49" t="str">
        <f t="shared" ca="1" si="3134"/>
        <v>What preferences of type</v>
      </c>
      <c r="J3136" s="49" t="str">
        <f t="shared" ca="1" si="3134"/>
        <v>What preferences of type</v>
      </c>
    </row>
    <row r="3137" spans="1:10" ht="12.75" x14ac:dyDescent="0.2">
      <c r="A3137" s="40"/>
      <c r="B3137" s="40"/>
      <c r="C3137" s="40"/>
      <c r="D3137" s="40"/>
      <c r="E3137" s="40"/>
      <c r="F3137" s="49" t="str">
        <f t="shared" ref="F3137:J3137" ca="1" si="3135">IFERROR(__xludf.DUMMYFUNCTION("if (A3137 &lt;&gt; """", GOOGLETRANSLATE(A3137, ""auto"", ""en""), """")"),"")</f>
        <v/>
      </c>
      <c r="G3137" s="49" t="str">
        <f t="shared" ca="1" si="3135"/>
        <v/>
      </c>
      <c r="H3137" s="49" t="str">
        <f t="shared" ca="1" si="3135"/>
        <v/>
      </c>
      <c r="I3137" s="49" t="str">
        <f t="shared" ca="1" si="3135"/>
        <v/>
      </c>
      <c r="J3137" s="49" t="str">
        <f t="shared" ca="1" si="3135"/>
        <v/>
      </c>
    </row>
    <row r="3138" spans="1:10" ht="12.75" x14ac:dyDescent="0.2">
      <c r="A3138" s="41" t="s">
        <v>1280</v>
      </c>
      <c r="B3138" s="40"/>
      <c r="C3138" s="40"/>
      <c r="D3138" s="40"/>
      <c r="E3138" s="40"/>
      <c r="F3138" s="49" t="str">
        <f t="shared" ref="F3138:J3138" ca="1" si="3136">IFERROR(__xludf.DUMMYFUNCTION("if (A3138 &lt;&gt; """", GOOGLETRANSLATE(A3138, ""auto"", ""en""), """")"),"Z-User-Age")</f>
        <v>Z-User-Age</v>
      </c>
      <c r="G3138" s="49" t="str">
        <f t="shared" ca="1" si="3136"/>
        <v>Z-User-Age</v>
      </c>
      <c r="H3138" s="49" t="str">
        <f t="shared" ca="1" si="3136"/>
        <v>Z-User-Age</v>
      </c>
      <c r="I3138" s="49" t="str">
        <f t="shared" ca="1" si="3136"/>
        <v>Z-User-Age</v>
      </c>
      <c r="J3138" s="49" t="str">
        <f t="shared" ca="1" si="3136"/>
        <v>Z-User-Age</v>
      </c>
    </row>
    <row r="3139" spans="1:10" ht="12.75" x14ac:dyDescent="0.2">
      <c r="A3139" s="40"/>
      <c r="B3139" s="41" t="s">
        <v>398</v>
      </c>
      <c r="C3139" s="40"/>
      <c r="D3139" s="40"/>
      <c r="E3139" s="40"/>
      <c r="F3139" s="49" t="str">
        <f t="shared" ref="F3139:J3139" ca="1" si="3137">IFERROR(__xludf.DUMMYFUNCTION("if (A3139 &lt;&gt; """", GOOGLETRANSLATE(A3139, ""auto"", ""en""), """")"),"")</f>
        <v/>
      </c>
      <c r="G3139" s="49" t="str">
        <f t="shared" ca="1" si="3137"/>
        <v/>
      </c>
      <c r="H3139" s="49" t="str">
        <f t="shared" ca="1" si="3137"/>
        <v/>
      </c>
      <c r="I3139" s="49" t="str">
        <f t="shared" ca="1" si="3137"/>
        <v/>
      </c>
      <c r="J3139" s="49" t="str">
        <f t="shared" ca="1" si="3137"/>
        <v/>
      </c>
    </row>
    <row r="3140" spans="1:10" ht="12.75" x14ac:dyDescent="0.2">
      <c r="A3140" s="40"/>
      <c r="B3140" s="41" t="s">
        <v>399</v>
      </c>
      <c r="C3140" s="40"/>
      <c r="D3140" s="40"/>
      <c r="E3140" s="40"/>
      <c r="F3140" s="49" t="str">
        <f t="shared" ref="F3140:J3140" ca="1" si="3138">IFERROR(__xludf.DUMMYFUNCTION("if (A3140 &lt;&gt; """", GOOGLETRANSLATE(A3140, ""auto"", ""en""), """")"),"")</f>
        <v/>
      </c>
      <c r="G3140" s="49" t="str">
        <f t="shared" ca="1" si="3138"/>
        <v/>
      </c>
      <c r="H3140" s="49" t="str">
        <f t="shared" ca="1" si="3138"/>
        <v/>
      </c>
      <c r="I3140" s="49" t="str">
        <f t="shared" ca="1" si="3138"/>
        <v/>
      </c>
      <c r="J3140" s="49" t="str">
        <f t="shared" ca="1" si="3138"/>
        <v/>
      </c>
    </row>
    <row r="3141" spans="1:10" ht="12.75" x14ac:dyDescent="0.2">
      <c r="A3141" s="40"/>
      <c r="B3141" s="41" t="s">
        <v>400</v>
      </c>
      <c r="C3141" s="40"/>
      <c r="D3141" s="40"/>
      <c r="E3141" s="40"/>
      <c r="F3141" s="49" t="str">
        <f t="shared" ref="F3141:J3141" ca="1" si="3139">IFERROR(__xludf.DUMMYFUNCTION("if (A3141 &lt;&gt; """", GOOGLETRANSLATE(A3141, ""auto"", ""en""), """")"),"")</f>
        <v/>
      </c>
      <c r="G3141" s="49" t="str">
        <f t="shared" ca="1" si="3139"/>
        <v/>
      </c>
      <c r="H3141" s="49" t="str">
        <f t="shared" ca="1" si="3139"/>
        <v/>
      </c>
      <c r="I3141" s="49" t="str">
        <f t="shared" ca="1" si="3139"/>
        <v/>
      </c>
      <c r="J3141" s="49" t="str">
        <f t="shared" ca="1" si="3139"/>
        <v/>
      </c>
    </row>
    <row r="3142" spans="1:10" ht="12.75" x14ac:dyDescent="0.2">
      <c r="A3142" s="40"/>
      <c r="B3142" s="41" t="s">
        <v>401</v>
      </c>
      <c r="C3142" s="40"/>
      <c r="D3142" s="40"/>
      <c r="E3142" s="40"/>
      <c r="F3142" s="49" t="str">
        <f t="shared" ref="F3142:J3142" ca="1" si="3140">IFERROR(__xludf.DUMMYFUNCTION("if (A3142 &lt;&gt; """", GOOGLETRANSLATE(A3142, ""auto"", ""en""), """")"),"")</f>
        <v/>
      </c>
      <c r="G3142" s="49" t="str">
        <f t="shared" ca="1" si="3140"/>
        <v/>
      </c>
      <c r="H3142" s="49" t="str">
        <f t="shared" ca="1" si="3140"/>
        <v/>
      </c>
      <c r="I3142" s="49" t="str">
        <f t="shared" ca="1" si="3140"/>
        <v/>
      </c>
      <c r="J3142" s="49" t="str">
        <f t="shared" ca="1" si="3140"/>
        <v/>
      </c>
    </row>
    <row r="3143" spans="1:10" ht="12.75" x14ac:dyDescent="0.2">
      <c r="A3143" s="41">
        <v>31</v>
      </c>
      <c r="B3143" s="41" t="s">
        <v>402</v>
      </c>
      <c r="C3143" s="41" t="s">
        <v>1286</v>
      </c>
      <c r="D3143" s="40"/>
      <c r="E3143" s="40"/>
      <c r="F3143" s="49" t="str">
        <f t="shared" ref="F3143:J3143" ca="1" si="3141">IFERROR(__xludf.DUMMYFUNCTION("if (A3143 &lt;&gt; """", GOOGLETRANSLATE(A3143, ""auto"", ""en""), """")"),"31")</f>
        <v>31</v>
      </c>
      <c r="G3143" s="49" t="str">
        <f t="shared" ca="1" si="3141"/>
        <v>31</v>
      </c>
      <c r="H3143" s="49" t="str">
        <f t="shared" ca="1" si="3141"/>
        <v>31</v>
      </c>
      <c r="I3143" s="49" t="str">
        <f t="shared" ca="1" si="3141"/>
        <v>31</v>
      </c>
      <c r="J3143" s="49" t="str">
        <f t="shared" ca="1" si="3141"/>
        <v>31</v>
      </c>
    </row>
    <row r="3144" spans="1:10" ht="12.75" x14ac:dyDescent="0.2">
      <c r="A3144" s="41" t="s">
        <v>1287</v>
      </c>
      <c r="B3144" s="40"/>
      <c r="C3144" s="40"/>
      <c r="D3144" s="40"/>
      <c r="E3144" s="40"/>
      <c r="F3144" s="49" t="str">
        <f t="shared" ref="F3144:J3144" ca="1" si="3142">IFERROR(__xludf.DUMMYFUNCTION("if (A3144 &lt;&gt; """", GOOGLETRANSLATE(A3144, ""auto"", ""en""), """")"),"31 Dayo")</f>
        <v>31 Dayo</v>
      </c>
      <c r="G3144" s="49" t="str">
        <f t="shared" ca="1" si="3142"/>
        <v>31 Dayo</v>
      </c>
      <c r="H3144" s="49" t="str">
        <f t="shared" ca="1" si="3142"/>
        <v>31 Dayo</v>
      </c>
      <c r="I3144" s="49" t="str">
        <f t="shared" ca="1" si="3142"/>
        <v>31 Dayo</v>
      </c>
      <c r="J3144" s="49" t="str">
        <f t="shared" ca="1" si="3142"/>
        <v>31 Dayo</v>
      </c>
    </row>
    <row r="3145" spans="1:10" ht="25.5" x14ac:dyDescent="0.2">
      <c r="A3145" s="41" t="s">
        <v>1289</v>
      </c>
      <c r="B3145" s="40"/>
      <c r="C3145" s="40"/>
      <c r="D3145" s="40"/>
      <c r="E3145" s="40"/>
      <c r="F3145" s="49" t="str">
        <f t="shared" ref="F3145:J3145" ca="1" si="3143">IFERROR(__xludf.DUMMYFUNCTION("if (A3145 &lt;&gt; """", GOOGLETRANSLATE(A3145, ""auto"", ""en""), """")"),"It is 31 years old.")</f>
        <v>It is 31 years old.</v>
      </c>
      <c r="G3145" s="49" t="str">
        <f t="shared" ca="1" si="3143"/>
        <v>It is 31 years old.</v>
      </c>
      <c r="H3145" s="49" t="str">
        <f t="shared" ca="1" si="3143"/>
        <v>It is 31 years old.</v>
      </c>
      <c r="I3145" s="49" t="str">
        <f t="shared" ca="1" si="3143"/>
        <v>It is 31 years old.</v>
      </c>
      <c r="J3145" s="49" t="str">
        <f t="shared" ca="1" si="3143"/>
        <v>It is 31 years old.</v>
      </c>
    </row>
    <row r="3146" spans="1:10" ht="12.75" x14ac:dyDescent="0.2">
      <c r="A3146" s="41" t="s">
        <v>1291</v>
      </c>
      <c r="B3146" s="40"/>
      <c r="C3146" s="40"/>
      <c r="D3146" s="40"/>
      <c r="E3146" s="40"/>
      <c r="F3146" s="49" t="str">
        <f t="shared" ref="F3146:J3146" ca="1" si="3144">IFERROR(__xludf.DUMMYFUNCTION("if (A3146 &lt;&gt; """", GOOGLETRANSLATE(A3146, ""auto"", ""en""), """")"),"31-year-old")</f>
        <v>31-year-old</v>
      </c>
      <c r="G3146" s="49" t="str">
        <f t="shared" ca="1" si="3144"/>
        <v>31-year-old</v>
      </c>
      <c r="H3146" s="49" t="str">
        <f t="shared" ca="1" si="3144"/>
        <v>31-year-old</v>
      </c>
      <c r="I3146" s="49" t="str">
        <f t="shared" ca="1" si="3144"/>
        <v>31-year-old</v>
      </c>
      <c r="J3146" s="49" t="str">
        <f t="shared" ca="1" si="3144"/>
        <v>31-year-old</v>
      </c>
    </row>
    <row r="3147" spans="1:10" ht="12.75" x14ac:dyDescent="0.2">
      <c r="A3147" s="41" t="s">
        <v>1293</v>
      </c>
      <c r="B3147" s="40"/>
      <c r="C3147" s="40"/>
      <c r="D3147" s="40"/>
      <c r="E3147" s="40"/>
      <c r="F3147" s="49" t="str">
        <f t="shared" ref="F3147:J3147" ca="1" si="3145">IFERROR(__xludf.DUMMYFUNCTION("if (A3147 &lt;&gt; """", GOOGLETRANSLATE(A3147, ""auto"", ""en""), """")"),"Only 31")</f>
        <v>Only 31</v>
      </c>
      <c r="G3147" s="49" t="str">
        <f t="shared" ca="1" si="3145"/>
        <v>Only 31</v>
      </c>
      <c r="H3147" s="49" t="str">
        <f t="shared" ca="1" si="3145"/>
        <v>Only 31</v>
      </c>
      <c r="I3147" s="49" t="str">
        <f t="shared" ca="1" si="3145"/>
        <v>Only 31</v>
      </c>
      <c r="J3147" s="49" t="str">
        <f t="shared" ca="1" si="3145"/>
        <v>Only 31</v>
      </c>
    </row>
    <row r="3148" spans="1:10" ht="25.5" x14ac:dyDescent="0.2">
      <c r="A3148" s="41" t="s">
        <v>1294</v>
      </c>
      <c r="B3148" s="40"/>
      <c r="C3148" s="40"/>
      <c r="D3148" s="40"/>
      <c r="E3148" s="40"/>
      <c r="F3148" s="49" t="str">
        <f t="shared" ref="F3148:J3148" ca="1" si="3146">IFERROR(__xludf.DUMMYFUNCTION("if (A3148 &lt;&gt; """", GOOGLETRANSLATE(A3148, ""auto"", ""en""), """")"),"It is 31 years old.")</f>
        <v>It is 31 years old.</v>
      </c>
      <c r="G3148" s="49" t="str">
        <f t="shared" ca="1" si="3146"/>
        <v>It is 31 years old.</v>
      </c>
      <c r="H3148" s="49" t="str">
        <f t="shared" ca="1" si="3146"/>
        <v>It is 31 years old.</v>
      </c>
      <c r="I3148" s="49" t="str">
        <f t="shared" ca="1" si="3146"/>
        <v>It is 31 years old.</v>
      </c>
      <c r="J3148" s="49" t="str">
        <f t="shared" ca="1" si="3146"/>
        <v>It is 31 years old.</v>
      </c>
    </row>
    <row r="3149" spans="1:10" ht="12.75" x14ac:dyDescent="0.2">
      <c r="A3149" s="41" t="s">
        <v>1296</v>
      </c>
      <c r="B3149" s="40"/>
      <c r="C3149" s="40"/>
      <c r="D3149" s="40"/>
      <c r="E3149" s="40"/>
      <c r="F3149" s="49" t="str">
        <f t="shared" ref="F3149:J3149" ca="1" si="3147">IFERROR(__xludf.DUMMYFUNCTION("if (A3149 &lt;&gt; """", GOOGLETRANSLATE(A3149, ""auto"", ""en""), """")"),"It is 31.")</f>
        <v>It is 31.</v>
      </c>
      <c r="G3149" s="49" t="str">
        <f t="shared" ca="1" si="3147"/>
        <v>It is 31.</v>
      </c>
      <c r="H3149" s="49" t="str">
        <f t="shared" ca="1" si="3147"/>
        <v>It is 31.</v>
      </c>
      <c r="I3149" s="49" t="str">
        <f t="shared" ca="1" si="3147"/>
        <v>It is 31.</v>
      </c>
      <c r="J3149" s="49" t="str">
        <f t="shared" ca="1" si="3147"/>
        <v>It is 31.</v>
      </c>
    </row>
    <row r="3150" spans="1:10" ht="12.75" x14ac:dyDescent="0.2">
      <c r="A3150" s="40"/>
      <c r="B3150" s="41" t="s">
        <v>422</v>
      </c>
      <c r="C3150" s="41" t="s">
        <v>488</v>
      </c>
      <c r="D3150" s="41" t="s">
        <v>489</v>
      </c>
      <c r="E3150" s="40"/>
      <c r="F3150" s="49" t="str">
        <f t="shared" ref="F3150:J3150" ca="1" si="3148">IFERROR(__xludf.DUMMYFUNCTION("if (A3150 &lt;&gt; """", GOOGLETRANSLATE(A3150, ""auto"", ""en""), """")"),"")</f>
        <v/>
      </c>
      <c r="G3150" s="49" t="str">
        <f t="shared" ca="1" si="3148"/>
        <v/>
      </c>
      <c r="H3150" s="49" t="str">
        <f t="shared" ca="1" si="3148"/>
        <v/>
      </c>
      <c r="I3150" s="49" t="str">
        <f t="shared" ca="1" si="3148"/>
        <v/>
      </c>
      <c r="J3150" s="49" t="str">
        <f t="shared" ca="1" si="3148"/>
        <v/>
      </c>
    </row>
    <row r="3151" spans="1:10" ht="12.75" x14ac:dyDescent="0.2">
      <c r="A3151" s="40"/>
      <c r="B3151" s="40"/>
      <c r="C3151" s="40"/>
      <c r="D3151" s="40"/>
      <c r="E3151" s="40"/>
      <c r="F3151" s="49" t="str">
        <f t="shared" ref="F3151:J3151" ca="1" si="3149">IFERROR(__xludf.DUMMYFUNCTION("if (A3151 &lt;&gt; """", GOOGLETRANSLATE(A3151, ""auto"", ""en""), """")"),"")</f>
        <v/>
      </c>
      <c r="G3151" s="49" t="str">
        <f t="shared" ca="1" si="3149"/>
        <v/>
      </c>
      <c r="H3151" s="49" t="str">
        <f t="shared" ca="1" si="3149"/>
        <v/>
      </c>
      <c r="I3151" s="49" t="str">
        <f t="shared" ca="1" si="3149"/>
        <v/>
      </c>
      <c r="J3151" s="49" t="str">
        <f t="shared" ca="1" si="3149"/>
        <v/>
      </c>
    </row>
    <row r="3152" spans="1:10" ht="12.75" x14ac:dyDescent="0.2">
      <c r="A3152" s="41" t="s">
        <v>838</v>
      </c>
      <c r="B3152" s="40"/>
      <c r="C3152" s="40"/>
      <c r="D3152" s="40"/>
      <c r="E3152" s="40"/>
      <c r="F3152" s="49" t="str">
        <f t="shared" ref="F3152:J3152" ca="1" si="3150">IFERROR(__xludf.DUMMYFUNCTION("if (A3152 &lt;&gt; """", GOOGLETRANSLATE(A3152, ""auto"", ""en""), """")"),"Z-User-Name")</f>
        <v>Z-User-Name</v>
      </c>
      <c r="G3152" s="49" t="str">
        <f t="shared" ca="1" si="3150"/>
        <v>Z-User-Name</v>
      </c>
      <c r="H3152" s="49" t="str">
        <f t="shared" ca="1" si="3150"/>
        <v>Z-User-Name</v>
      </c>
      <c r="I3152" s="49" t="str">
        <f t="shared" ca="1" si="3150"/>
        <v>Z-User-Name</v>
      </c>
      <c r="J3152" s="49" t="str">
        <f t="shared" ca="1" si="3150"/>
        <v>Z-User-Name</v>
      </c>
    </row>
    <row r="3153" spans="1:10" ht="12.75" x14ac:dyDescent="0.2">
      <c r="A3153" s="40"/>
      <c r="B3153" s="41" t="s">
        <v>398</v>
      </c>
      <c r="C3153" s="40"/>
      <c r="D3153" s="40"/>
      <c r="E3153" s="40"/>
      <c r="F3153" s="49" t="str">
        <f t="shared" ref="F3153:J3153" ca="1" si="3151">IFERROR(__xludf.DUMMYFUNCTION("if (A3153 &lt;&gt; """", GOOGLETRANSLATE(A3153, ""auto"", ""en""), """")"),"")</f>
        <v/>
      </c>
      <c r="G3153" s="49" t="str">
        <f t="shared" ca="1" si="3151"/>
        <v/>
      </c>
      <c r="H3153" s="49" t="str">
        <f t="shared" ca="1" si="3151"/>
        <v/>
      </c>
      <c r="I3153" s="49" t="str">
        <f t="shared" ca="1" si="3151"/>
        <v/>
      </c>
      <c r="J3153" s="49" t="str">
        <f t="shared" ca="1" si="3151"/>
        <v/>
      </c>
    </row>
    <row r="3154" spans="1:10" ht="12.75" x14ac:dyDescent="0.2">
      <c r="A3154" s="40"/>
      <c r="B3154" s="41" t="s">
        <v>399</v>
      </c>
      <c r="C3154" s="40"/>
      <c r="D3154" s="40"/>
      <c r="E3154" s="40"/>
      <c r="F3154" s="49" t="str">
        <f t="shared" ref="F3154:J3154" ca="1" si="3152">IFERROR(__xludf.DUMMYFUNCTION("if (A3154 &lt;&gt; """", GOOGLETRANSLATE(A3154, ""auto"", ""en""), """")"),"")</f>
        <v/>
      </c>
      <c r="G3154" s="49" t="str">
        <f t="shared" ca="1" si="3152"/>
        <v/>
      </c>
      <c r="H3154" s="49" t="str">
        <f t="shared" ca="1" si="3152"/>
        <v/>
      </c>
      <c r="I3154" s="49" t="str">
        <f t="shared" ca="1" si="3152"/>
        <v/>
      </c>
      <c r="J3154" s="49" t="str">
        <f t="shared" ca="1" si="3152"/>
        <v/>
      </c>
    </row>
    <row r="3155" spans="1:10" ht="12.75" x14ac:dyDescent="0.2">
      <c r="A3155" s="40"/>
      <c r="B3155" s="41" t="s">
        <v>400</v>
      </c>
      <c r="C3155" s="40"/>
      <c r="D3155" s="40"/>
      <c r="E3155" s="40"/>
      <c r="F3155" s="49" t="str">
        <f t="shared" ref="F3155:J3155" ca="1" si="3153">IFERROR(__xludf.DUMMYFUNCTION("if (A3155 &lt;&gt; """", GOOGLETRANSLATE(A3155, ""auto"", ""en""), """")"),"")</f>
        <v/>
      </c>
      <c r="G3155" s="49" t="str">
        <f t="shared" ca="1" si="3153"/>
        <v/>
      </c>
      <c r="H3155" s="49" t="str">
        <f t="shared" ca="1" si="3153"/>
        <v/>
      </c>
      <c r="I3155" s="49" t="str">
        <f t="shared" ca="1" si="3153"/>
        <v/>
      </c>
      <c r="J3155" s="49" t="str">
        <f t="shared" ca="1" si="3153"/>
        <v/>
      </c>
    </row>
    <row r="3156" spans="1:10" ht="12.75" x14ac:dyDescent="0.2">
      <c r="A3156" s="40"/>
      <c r="B3156" s="41" t="s">
        <v>401</v>
      </c>
      <c r="C3156" s="40"/>
      <c r="D3156" s="40"/>
      <c r="E3156" s="40"/>
      <c r="F3156" s="49" t="str">
        <f t="shared" ref="F3156:J3156" ca="1" si="3154">IFERROR(__xludf.DUMMYFUNCTION("if (A3156 &lt;&gt; """", GOOGLETRANSLATE(A3156, ""auto"", ""en""), """")"),"")</f>
        <v/>
      </c>
      <c r="G3156" s="49" t="str">
        <f t="shared" ca="1" si="3154"/>
        <v/>
      </c>
      <c r="H3156" s="49" t="str">
        <f t="shared" ca="1" si="3154"/>
        <v/>
      </c>
      <c r="I3156" s="49" t="str">
        <f t="shared" ca="1" si="3154"/>
        <v/>
      </c>
      <c r="J3156" s="49" t="str">
        <f t="shared" ca="1" si="3154"/>
        <v/>
      </c>
    </row>
    <row r="3157" spans="1:10" ht="38.25" x14ac:dyDescent="0.2">
      <c r="A3157" s="41" t="s">
        <v>839</v>
      </c>
      <c r="B3157" s="41" t="s">
        <v>402</v>
      </c>
      <c r="C3157" s="41" t="s">
        <v>840</v>
      </c>
      <c r="D3157" s="40"/>
      <c r="E3157" s="40"/>
      <c r="F3157" s="49" t="str">
        <f t="shared" ref="F3157:J3157" ca="1" si="3155">IFERROR(__xludf.DUMMYFUNCTION("if (A3157 &lt;&gt; """", GOOGLETRANSLATE(A3157, ""auto"", ""en""), """")"),"Takumi Nakamura")</f>
        <v>Takumi Nakamura</v>
      </c>
      <c r="G3157" s="49" t="str">
        <f t="shared" ca="1" si="3155"/>
        <v>Takumi Nakamura</v>
      </c>
      <c r="H3157" s="49" t="str">
        <f t="shared" ca="1" si="3155"/>
        <v>Takumi Nakamura</v>
      </c>
      <c r="I3157" s="49" t="str">
        <f t="shared" ca="1" si="3155"/>
        <v>Takumi Nakamura</v>
      </c>
      <c r="J3157" s="49" t="str">
        <f t="shared" ca="1" si="3155"/>
        <v>Takumi Nakamura</v>
      </c>
    </row>
    <row r="3158" spans="1:10" ht="12.75" x14ac:dyDescent="0.2">
      <c r="A3158" s="41" t="s">
        <v>841</v>
      </c>
      <c r="B3158" s="40"/>
      <c r="C3158" s="40"/>
      <c r="D3158" s="40"/>
      <c r="E3158" s="40"/>
      <c r="F3158" s="49" t="str">
        <f t="shared" ref="F3158:J3158" ca="1" si="3156">IFERROR(__xludf.DUMMYFUNCTION("if (A3158 &lt;&gt; """", GOOGLETRANSLATE(A3158, ""auto"", ""en""), """")"),"Opportunely")</f>
        <v>Opportunely</v>
      </c>
      <c r="G3158" s="49" t="str">
        <f t="shared" ca="1" si="3156"/>
        <v>Opportunely</v>
      </c>
      <c r="H3158" s="49" t="str">
        <f t="shared" ca="1" si="3156"/>
        <v>Opportunely</v>
      </c>
      <c r="I3158" s="49" t="str">
        <f t="shared" ca="1" si="3156"/>
        <v>Opportunely</v>
      </c>
      <c r="J3158" s="49" t="str">
        <f t="shared" ca="1" si="3156"/>
        <v>Opportunely</v>
      </c>
    </row>
    <row r="3159" spans="1:10" ht="12.75" x14ac:dyDescent="0.2">
      <c r="A3159" s="41" t="s">
        <v>842</v>
      </c>
      <c r="B3159" s="40"/>
      <c r="C3159" s="40"/>
      <c r="D3159" s="40"/>
      <c r="E3159" s="40"/>
      <c r="F3159" s="49" t="str">
        <f t="shared" ref="F3159:J3159" ca="1" si="3157">IFERROR(__xludf.DUMMYFUNCTION("if (A3159 &lt;&gt; """", GOOGLETRANSLATE(A3159, ""auto"", ""en""), """")"),"Tho")</f>
        <v>Tho</v>
      </c>
      <c r="G3159" s="49" t="str">
        <f t="shared" ca="1" si="3157"/>
        <v>Tho</v>
      </c>
      <c r="H3159" s="49" t="str">
        <f t="shared" ca="1" si="3157"/>
        <v>Tho</v>
      </c>
      <c r="I3159" s="49" t="str">
        <f t="shared" ca="1" si="3157"/>
        <v>Tho</v>
      </c>
      <c r="J3159" s="49" t="str">
        <f t="shared" ca="1" si="3157"/>
        <v>Tho</v>
      </c>
    </row>
    <row r="3160" spans="1:10" ht="25.5" x14ac:dyDescent="0.2">
      <c r="A3160" s="41" t="s">
        <v>843</v>
      </c>
      <c r="B3160" s="40"/>
      <c r="C3160" s="40"/>
      <c r="D3160" s="40"/>
      <c r="E3160" s="40"/>
      <c r="F3160" s="49" t="str">
        <f t="shared" ref="F3160:J3160" ca="1" si="3158">IFERROR(__xludf.DUMMYFUNCTION("if (A3160 &lt;&gt; """", GOOGLETRANSLATE(A3160, ""auto"", ""en""), """")"),"The name is Taro.")</f>
        <v>The name is Taro.</v>
      </c>
      <c r="G3160" s="49" t="str">
        <f t="shared" ca="1" si="3158"/>
        <v>The name is Taro.</v>
      </c>
      <c r="H3160" s="49" t="str">
        <f t="shared" ca="1" si="3158"/>
        <v>The name is Taro.</v>
      </c>
      <c r="I3160" s="49" t="str">
        <f t="shared" ca="1" si="3158"/>
        <v>The name is Taro.</v>
      </c>
      <c r="J3160" s="49" t="str">
        <f t="shared" ca="1" si="3158"/>
        <v>The name is Taro.</v>
      </c>
    </row>
    <row r="3161" spans="1:10" ht="25.5" x14ac:dyDescent="0.2">
      <c r="A3161" s="41" t="s">
        <v>844</v>
      </c>
      <c r="B3161" s="40"/>
      <c r="C3161" s="40"/>
      <c r="D3161" s="40"/>
      <c r="E3161" s="40"/>
      <c r="F3161" s="49" t="str">
        <f t="shared" ref="F3161:J3161" ca="1" si="3159">IFERROR(__xludf.DUMMYFUNCTION("if (A3161 &lt;&gt; """", GOOGLETRANSLATE(A3161, ""auto"", ""en""), """")"),"It is called Taro.")</f>
        <v>It is called Taro.</v>
      </c>
      <c r="G3161" s="49" t="str">
        <f t="shared" ca="1" si="3159"/>
        <v>It is called Taro.</v>
      </c>
      <c r="H3161" s="49" t="str">
        <f t="shared" ca="1" si="3159"/>
        <v>It is called Taro.</v>
      </c>
      <c r="I3161" s="49" t="str">
        <f t="shared" ca="1" si="3159"/>
        <v>It is called Taro.</v>
      </c>
      <c r="J3161" s="49" t="str">
        <f t="shared" ca="1" si="3159"/>
        <v>It is called Taro.</v>
      </c>
    </row>
    <row r="3162" spans="1:10" ht="12.75" x14ac:dyDescent="0.2">
      <c r="A3162" s="41" t="s">
        <v>845</v>
      </c>
      <c r="B3162" s="40"/>
      <c r="C3162" s="40"/>
      <c r="D3162" s="40"/>
      <c r="E3162" s="40"/>
      <c r="F3162" s="49" t="str">
        <f t="shared" ref="F3162:J3162" ca="1" si="3160">IFERROR(__xludf.DUMMYFUNCTION("if (A3162 &lt;&gt; """", GOOGLETRANSLATE(A3162, ""auto"", ""en""), """")"),"It is Taro.")</f>
        <v>It is Taro.</v>
      </c>
      <c r="G3162" s="49" t="str">
        <f t="shared" ca="1" si="3160"/>
        <v>It is Taro.</v>
      </c>
      <c r="H3162" s="49" t="str">
        <f t="shared" ca="1" si="3160"/>
        <v>It is Taro.</v>
      </c>
      <c r="I3162" s="49" t="str">
        <f t="shared" ca="1" si="3160"/>
        <v>It is Taro.</v>
      </c>
      <c r="J3162" s="49" t="str">
        <f t="shared" ca="1" si="3160"/>
        <v>It is Taro.</v>
      </c>
    </row>
    <row r="3163" spans="1:10" ht="25.5" x14ac:dyDescent="0.2">
      <c r="A3163" s="41" t="s">
        <v>846</v>
      </c>
      <c r="B3163" s="40"/>
      <c r="C3163" s="40"/>
      <c r="D3163" s="40"/>
      <c r="E3163" s="40"/>
      <c r="F3163" s="49" t="str">
        <f t="shared" ref="F3163:J3163" ca="1" si="3161">IFERROR(__xludf.DUMMYFUNCTION("if (A3163 &lt;&gt; """", GOOGLETRANSLATE(A3163, ""auto"", ""en""), """")"),"My name is Taro.")</f>
        <v>My name is Taro.</v>
      </c>
      <c r="G3163" s="49" t="str">
        <f t="shared" ca="1" si="3161"/>
        <v>My name is Taro.</v>
      </c>
      <c r="H3163" s="49" t="str">
        <f t="shared" ca="1" si="3161"/>
        <v>My name is Taro.</v>
      </c>
      <c r="I3163" s="49" t="str">
        <f t="shared" ca="1" si="3161"/>
        <v>My name is Taro.</v>
      </c>
      <c r="J3163" s="49" t="str">
        <f t="shared" ca="1" si="3161"/>
        <v>My name is Taro.</v>
      </c>
    </row>
    <row r="3164" spans="1:10" ht="25.5" x14ac:dyDescent="0.2">
      <c r="A3164" s="40"/>
      <c r="B3164" s="41" t="s">
        <v>422</v>
      </c>
      <c r="C3164" s="41" t="s">
        <v>847</v>
      </c>
      <c r="D3164" s="41" t="s">
        <v>848</v>
      </c>
      <c r="E3164" s="41" t="s">
        <v>2274</v>
      </c>
      <c r="F3164" s="49" t="str">
        <f t="shared" ref="F3164:J3164" ca="1" si="3162">IFERROR(__xludf.DUMMYFUNCTION("if (A3164 &lt;&gt; """", GOOGLETRANSLATE(A3164, ""auto"", ""en""), """")"),"")</f>
        <v/>
      </c>
      <c r="G3164" s="49" t="str">
        <f t="shared" ca="1" si="3162"/>
        <v/>
      </c>
      <c r="H3164" s="49" t="str">
        <f t="shared" ca="1" si="3162"/>
        <v/>
      </c>
      <c r="I3164" s="49" t="str">
        <f t="shared" ca="1" si="3162"/>
        <v/>
      </c>
      <c r="J3164" s="49" t="str">
        <f t="shared" ca="1" si="3162"/>
        <v/>
      </c>
    </row>
    <row r="3165" spans="1:10" ht="12.75" x14ac:dyDescent="0.2">
      <c r="A3165" s="40"/>
      <c r="B3165" s="40"/>
      <c r="C3165" s="40"/>
      <c r="D3165" s="40"/>
      <c r="E3165" s="40"/>
      <c r="F3165" s="49" t="str">
        <f t="shared" ref="F3165:J3165" ca="1" si="3163">IFERROR(__xludf.DUMMYFUNCTION("if (A3165 &lt;&gt; """", GOOGLETRANSLATE(A3165, ""auto"", ""en""), """")"),"")</f>
        <v/>
      </c>
      <c r="G3165" s="49" t="str">
        <f t="shared" ca="1" si="3163"/>
        <v/>
      </c>
      <c r="H3165" s="49" t="str">
        <f t="shared" ca="1" si="3163"/>
        <v/>
      </c>
      <c r="I3165" s="49" t="str">
        <f t="shared" ca="1" si="3163"/>
        <v/>
      </c>
      <c r="J3165" s="49" t="str">
        <f t="shared" ca="1" si="3163"/>
        <v/>
      </c>
    </row>
    <row r="3166" spans="1:10" ht="12.75" x14ac:dyDescent="0.2">
      <c r="A3166" s="40"/>
      <c r="B3166" s="40"/>
      <c r="C3166" s="40"/>
      <c r="D3166" s="40"/>
      <c r="E3166" s="40"/>
      <c r="F3166" s="49" t="str">
        <f t="shared" ref="F3166:J3166" ca="1" si="3164">IFERROR(__xludf.DUMMYFUNCTION("if (A3166 &lt;&gt; """", GOOGLETRANSLATE(A3166, ""auto"", ""en""), """")"),"")</f>
        <v/>
      </c>
      <c r="G3166" s="49" t="str">
        <f t="shared" ca="1" si="3164"/>
        <v/>
      </c>
      <c r="H3166" s="49" t="str">
        <f t="shared" ca="1" si="3164"/>
        <v/>
      </c>
      <c r="I3166" s="49" t="str">
        <f t="shared" ca="1" si="3164"/>
        <v/>
      </c>
      <c r="J3166" s="49" t="str">
        <f t="shared" ca="1" si="3164"/>
        <v/>
      </c>
    </row>
  </sheetData>
  <mergeCells count="2">
    <mergeCell ref="F1:J1"/>
    <mergeCell ref="A1:E1"/>
  </mergeCells>
  <conditionalFormatting sqref="A1:J3166">
    <cfRule type="expression" dxfId="13" priority="1">
      <formula>(FIND("-",$A1,1)&gt;0)</formula>
    </cfRule>
  </conditionalFormatting>
  <conditionalFormatting sqref="A1:J3166">
    <cfRule type="expression" dxfId="12" priority="2">
      <formula>(FIND("smalltalk",$A1,1)&gt;0)</formula>
    </cfRule>
  </conditionalFormatting>
  <conditionalFormatting sqref="A1:J3166">
    <cfRule type="expression" dxfId="11" priority="3">
      <formula>(FIND("weather",$A1,1)&gt;0)</formula>
    </cfRule>
  </conditionalFormatting>
  <conditionalFormatting sqref="A1:J3166">
    <cfRule type="cellIs" dxfId="10" priority="4" operator="equal">
      <formula>"quick_reply"</formula>
    </cfRule>
  </conditionalFormatting>
  <conditionalFormatting sqref="A1:J3166">
    <cfRule type="cellIs" dxfId="9" priority="5" operator="equal">
      <formula>"parameter"</formula>
    </cfRule>
  </conditionalFormatting>
  <conditionalFormatting sqref="A1:J3166">
    <cfRule type="cellIs" dxfId="8" priority="6" operator="equal">
      <formula>"not yet"</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1:F140"/>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5.85546875" customWidth="1"/>
    <col min="2" max="2" width="18.85546875" customWidth="1"/>
    <col min="3" max="3" width="66.7109375" customWidth="1"/>
    <col min="4" max="4" width="21.42578125" customWidth="1"/>
    <col min="5" max="5" width="21" customWidth="1"/>
    <col min="6" max="6" width="46.28515625" customWidth="1"/>
  </cols>
  <sheetData>
    <row r="1" spans="1:6" ht="15.75" customHeight="1" x14ac:dyDescent="0.2">
      <c r="A1" s="41"/>
      <c r="B1" s="40"/>
      <c r="C1" s="40"/>
      <c r="D1" s="89" t="s">
        <v>2121</v>
      </c>
      <c r="E1" s="90"/>
      <c r="F1" s="90"/>
    </row>
    <row r="2" spans="1:6" ht="15.75" customHeight="1" x14ac:dyDescent="0.2">
      <c r="A2" s="38" t="s">
        <v>1563</v>
      </c>
      <c r="B2" s="39"/>
      <c r="C2" s="39"/>
      <c r="D2" s="39" t="str">
        <f t="shared" ref="D2:F2" ca="1" si="0">IFERROR(__xludf.DUMMYFUNCTION("if (A2 &lt;&gt; """", GOOGLETRANSLATE(A2, ""auto"", ""en""), """")"),"activity")</f>
        <v>activity</v>
      </c>
      <c r="E2" s="39" t="str">
        <f t="shared" ca="1" si="0"/>
        <v>activity</v>
      </c>
      <c r="F2" s="39" t="str">
        <f t="shared" ca="1" si="0"/>
        <v>activity</v>
      </c>
    </row>
    <row r="3" spans="1:6" ht="15.75" customHeight="1" x14ac:dyDescent="0.2">
      <c r="A3" s="40"/>
      <c r="B3" s="41" t="s">
        <v>1564</v>
      </c>
      <c r="C3" s="41" t="s">
        <v>1565</v>
      </c>
      <c r="D3" s="50" t="str">
        <f t="shared" ref="D3:F3" ca="1" si="1">IFERROR(__xludf.DUMMYFUNCTION("if (A3 &lt;&gt; """", GOOGLETRANSLATE(A3, ""auto"", ""en""), """")"),"")</f>
        <v/>
      </c>
      <c r="E3" s="50" t="str">
        <f t="shared" ca="1" si="1"/>
        <v/>
      </c>
      <c r="F3" s="50" t="str">
        <f t="shared" ca="1" si="1"/>
        <v/>
      </c>
    </row>
    <row r="4" spans="1:6" ht="15.75" customHeight="1" x14ac:dyDescent="0.2">
      <c r="A4" s="40"/>
      <c r="B4" s="41" t="s">
        <v>1566</v>
      </c>
      <c r="C4" s="41" t="s">
        <v>1567</v>
      </c>
      <c r="D4" s="50" t="str">
        <f t="shared" ref="D4:F4" ca="1" si="2">IFERROR(__xludf.DUMMYFUNCTION("if (A4 &lt;&gt; """", GOOGLETRANSLATE(A4, ""auto"", ""en""), """")"),"")</f>
        <v/>
      </c>
      <c r="E4" s="50" t="str">
        <f t="shared" ca="1" si="2"/>
        <v/>
      </c>
      <c r="F4" s="50" t="str">
        <f t="shared" ca="1" si="2"/>
        <v/>
      </c>
    </row>
    <row r="5" spans="1:6" ht="15.75" customHeight="1" x14ac:dyDescent="0.2">
      <c r="A5" s="40"/>
      <c r="B5" s="41" t="s">
        <v>1568</v>
      </c>
      <c r="C5" s="41" t="s">
        <v>1569</v>
      </c>
      <c r="D5" s="50" t="str">
        <f t="shared" ref="D5:F5" ca="1" si="3">IFERROR(__xludf.DUMMYFUNCTION("if (A5 &lt;&gt; """", GOOGLETRANSLATE(A5, ""auto"", ""en""), """")"),"")</f>
        <v/>
      </c>
      <c r="E5" s="50" t="str">
        <f t="shared" ca="1" si="3"/>
        <v/>
      </c>
      <c r="F5" s="50" t="str">
        <f t="shared" ca="1" si="3"/>
        <v/>
      </c>
    </row>
    <row r="6" spans="1:6" ht="15.75" customHeight="1" x14ac:dyDescent="0.2">
      <c r="A6" s="40"/>
      <c r="B6" s="41" t="s">
        <v>1570</v>
      </c>
      <c r="C6" s="41" t="s">
        <v>1571</v>
      </c>
      <c r="D6" s="50" t="str">
        <f t="shared" ref="D6:F6" ca="1" si="4">IFERROR(__xludf.DUMMYFUNCTION("if (A6 &lt;&gt; """", GOOGLETRANSLATE(A6, ""auto"", ""en""), """")"),"")</f>
        <v/>
      </c>
      <c r="E6" s="50" t="str">
        <f t="shared" ca="1" si="4"/>
        <v/>
      </c>
      <c r="F6" s="50" t="str">
        <f t="shared" ca="1" si="4"/>
        <v/>
      </c>
    </row>
    <row r="7" spans="1:6" ht="15.75" customHeight="1" x14ac:dyDescent="0.2">
      <c r="A7" s="40"/>
      <c r="B7" s="41" t="s">
        <v>1572</v>
      </c>
      <c r="C7" s="41" t="s">
        <v>1573</v>
      </c>
      <c r="D7" s="50" t="str">
        <f t="shared" ref="D7:F7" ca="1" si="5">IFERROR(__xludf.DUMMYFUNCTION("if (A7 &lt;&gt; """", GOOGLETRANSLATE(A7, ""auto"", ""en""), """")"),"")</f>
        <v/>
      </c>
      <c r="E7" s="50" t="str">
        <f t="shared" ca="1" si="5"/>
        <v/>
      </c>
      <c r="F7" s="50" t="str">
        <f t="shared" ca="1" si="5"/>
        <v/>
      </c>
    </row>
    <row r="8" spans="1:6" ht="15.75" customHeight="1" x14ac:dyDescent="0.2">
      <c r="A8" s="40"/>
      <c r="B8" s="41" t="s">
        <v>1574</v>
      </c>
      <c r="C8" s="41" t="s">
        <v>1575</v>
      </c>
      <c r="D8" s="50" t="str">
        <f t="shared" ref="D8:F8" ca="1" si="6">IFERROR(__xludf.DUMMYFUNCTION("if (A8 &lt;&gt; """", GOOGLETRANSLATE(A8, ""auto"", ""en""), """")"),"")</f>
        <v/>
      </c>
      <c r="E8" s="50" t="str">
        <f t="shared" ca="1" si="6"/>
        <v/>
      </c>
      <c r="F8" s="50" t="str">
        <f t="shared" ca="1" si="6"/>
        <v/>
      </c>
    </row>
    <row r="9" spans="1:6" ht="15.75" customHeight="1" x14ac:dyDescent="0.2">
      <c r="A9" s="40"/>
      <c r="B9" s="41" t="s">
        <v>1576</v>
      </c>
      <c r="C9" s="41" t="s">
        <v>1577</v>
      </c>
      <c r="D9" s="50" t="str">
        <f t="shared" ref="D9:F9" ca="1" si="7">IFERROR(__xludf.DUMMYFUNCTION("if (A9 &lt;&gt; """", GOOGLETRANSLATE(A9, ""auto"", ""en""), """")"),"")</f>
        <v/>
      </c>
      <c r="E9" s="50" t="str">
        <f t="shared" ca="1" si="7"/>
        <v/>
      </c>
      <c r="F9" s="50" t="str">
        <f t="shared" ca="1" si="7"/>
        <v/>
      </c>
    </row>
    <row r="10" spans="1:6" ht="15.75" customHeight="1" x14ac:dyDescent="0.2">
      <c r="A10" s="40"/>
      <c r="B10" s="41" t="s">
        <v>1578</v>
      </c>
      <c r="C10" s="41" t="s">
        <v>1579</v>
      </c>
      <c r="D10" s="50" t="str">
        <f t="shared" ref="D10:F10" ca="1" si="8">IFERROR(__xludf.DUMMYFUNCTION("if (A10 &lt;&gt; """", GOOGLETRANSLATE(A10, ""auto"", ""en""), """")"),"")</f>
        <v/>
      </c>
      <c r="E10" s="50" t="str">
        <f t="shared" ca="1" si="8"/>
        <v/>
      </c>
      <c r="F10" s="50" t="str">
        <f t="shared" ca="1" si="8"/>
        <v/>
      </c>
    </row>
    <row r="11" spans="1:6" ht="15.75" customHeight="1" x14ac:dyDescent="0.2">
      <c r="A11" s="40"/>
      <c r="B11" s="41" t="s">
        <v>1580</v>
      </c>
      <c r="C11" s="41" t="s">
        <v>1581</v>
      </c>
      <c r="D11" s="50" t="str">
        <f t="shared" ref="D11:F11" ca="1" si="9">IFERROR(__xludf.DUMMYFUNCTION("if (A11 &lt;&gt; """", GOOGLETRANSLATE(A11, ""auto"", ""en""), """")"),"")</f>
        <v/>
      </c>
      <c r="E11" s="50" t="str">
        <f t="shared" ca="1" si="9"/>
        <v/>
      </c>
      <c r="F11" s="50" t="str">
        <f t="shared" ca="1" si="9"/>
        <v/>
      </c>
    </row>
    <row r="12" spans="1:6" ht="15.75" customHeight="1" x14ac:dyDescent="0.2">
      <c r="A12" s="40"/>
      <c r="B12" s="41" t="s">
        <v>1582</v>
      </c>
      <c r="C12" s="41" t="s">
        <v>1583</v>
      </c>
      <c r="D12" s="50" t="str">
        <f t="shared" ref="D12:F12" ca="1" si="10">IFERROR(__xludf.DUMMYFUNCTION("if (A12 &lt;&gt; """", GOOGLETRANSLATE(A12, ""auto"", ""en""), """")"),"")</f>
        <v/>
      </c>
      <c r="E12" s="50" t="str">
        <f t="shared" ca="1" si="10"/>
        <v/>
      </c>
      <c r="F12" s="50" t="str">
        <f t="shared" ca="1" si="10"/>
        <v/>
      </c>
    </row>
    <row r="13" spans="1:6" ht="15.75" customHeight="1" x14ac:dyDescent="0.2">
      <c r="A13" s="40"/>
      <c r="B13" s="41" t="s">
        <v>1584</v>
      </c>
      <c r="C13" s="41" t="s">
        <v>1585</v>
      </c>
      <c r="D13" s="50" t="str">
        <f t="shared" ref="D13:F13" ca="1" si="11">IFERROR(__xludf.DUMMYFUNCTION("if (A13 &lt;&gt; """", GOOGLETRANSLATE(A13, ""auto"", ""en""), """")"),"")</f>
        <v/>
      </c>
      <c r="E13" s="50" t="str">
        <f t="shared" ca="1" si="11"/>
        <v/>
      </c>
      <c r="F13" s="50" t="str">
        <f t="shared" ca="1" si="11"/>
        <v/>
      </c>
    </row>
    <row r="14" spans="1:6" ht="15.75" customHeight="1" x14ac:dyDescent="0.2">
      <c r="A14" s="40"/>
      <c r="B14" s="41" t="s">
        <v>1586</v>
      </c>
      <c r="C14" s="41" t="s">
        <v>1587</v>
      </c>
      <c r="D14" s="50" t="str">
        <f t="shared" ref="D14:F14" ca="1" si="12">IFERROR(__xludf.DUMMYFUNCTION("if (A14 &lt;&gt; """", GOOGLETRANSLATE(A14, ""auto"", ""en""), """")"),"")</f>
        <v/>
      </c>
      <c r="E14" s="50" t="str">
        <f t="shared" ca="1" si="12"/>
        <v/>
      </c>
      <c r="F14" s="50" t="str">
        <f t="shared" ca="1" si="12"/>
        <v/>
      </c>
    </row>
    <row r="15" spans="1:6" ht="15.75" customHeight="1" x14ac:dyDescent="0.2">
      <c r="A15" s="40"/>
      <c r="B15" s="41" t="s">
        <v>1588</v>
      </c>
      <c r="C15" s="41" t="s">
        <v>1589</v>
      </c>
      <c r="D15" s="50" t="str">
        <f t="shared" ref="D15:F15" ca="1" si="13">IFERROR(__xludf.DUMMYFUNCTION("if (A15 &lt;&gt; """", GOOGLETRANSLATE(A15, ""auto"", ""en""), """")"),"")</f>
        <v/>
      </c>
      <c r="E15" s="50" t="str">
        <f t="shared" ca="1" si="13"/>
        <v/>
      </c>
      <c r="F15" s="50" t="str">
        <f t="shared" ca="1" si="13"/>
        <v/>
      </c>
    </row>
    <row r="16" spans="1:6" ht="15.75" customHeight="1" x14ac:dyDescent="0.2">
      <c r="A16" s="40"/>
      <c r="B16" s="41" t="s">
        <v>1590</v>
      </c>
      <c r="C16" s="41" t="s">
        <v>1591</v>
      </c>
      <c r="D16" s="50" t="str">
        <f t="shared" ref="D16:F16" ca="1" si="14">IFERROR(__xludf.DUMMYFUNCTION("if (A16 &lt;&gt; """", GOOGLETRANSLATE(A16, ""auto"", ""en""), """")"),"")</f>
        <v/>
      </c>
      <c r="E16" s="50" t="str">
        <f t="shared" ca="1" si="14"/>
        <v/>
      </c>
      <c r="F16" s="50" t="str">
        <f t="shared" ca="1" si="14"/>
        <v/>
      </c>
    </row>
    <row r="17" spans="1:6" ht="15.75" customHeight="1" x14ac:dyDescent="0.2">
      <c r="A17" s="40"/>
      <c r="B17" s="41" t="s">
        <v>1592</v>
      </c>
      <c r="C17" s="41" t="s">
        <v>1593</v>
      </c>
      <c r="D17" s="50" t="str">
        <f t="shared" ref="D17:F17" ca="1" si="15">IFERROR(__xludf.DUMMYFUNCTION("if (A17 &lt;&gt; """", GOOGLETRANSLATE(A17, ""auto"", ""en""), """")"),"")</f>
        <v/>
      </c>
      <c r="E17" s="50" t="str">
        <f t="shared" ca="1" si="15"/>
        <v/>
      </c>
      <c r="F17" s="50" t="str">
        <f t="shared" ca="1" si="15"/>
        <v/>
      </c>
    </row>
    <row r="18" spans="1:6" ht="15.75" customHeight="1" x14ac:dyDescent="0.2">
      <c r="A18" s="40"/>
      <c r="B18" s="41" t="s">
        <v>1594</v>
      </c>
      <c r="C18" s="41" t="s">
        <v>1595</v>
      </c>
      <c r="D18" s="50" t="str">
        <f t="shared" ref="D18:F18" ca="1" si="16">IFERROR(__xludf.DUMMYFUNCTION("if (A18 &lt;&gt; """", GOOGLETRANSLATE(A18, ""auto"", ""en""), """")"),"")</f>
        <v/>
      </c>
      <c r="E18" s="50" t="str">
        <f t="shared" ca="1" si="16"/>
        <v/>
      </c>
      <c r="F18" s="50" t="str">
        <f t="shared" ca="1" si="16"/>
        <v/>
      </c>
    </row>
    <row r="19" spans="1:6" ht="15.75" customHeight="1" x14ac:dyDescent="0.2">
      <c r="A19" s="40"/>
      <c r="B19" s="41" t="s">
        <v>1596</v>
      </c>
      <c r="C19" s="41" t="s">
        <v>1597</v>
      </c>
      <c r="D19" s="50" t="str">
        <f t="shared" ref="D19:F19" ca="1" si="17">IFERROR(__xludf.DUMMYFUNCTION("if (A19 &lt;&gt; """", GOOGLETRANSLATE(A19, ""auto"", ""en""), """")"),"")</f>
        <v/>
      </c>
      <c r="E19" s="50" t="str">
        <f t="shared" ca="1" si="17"/>
        <v/>
      </c>
      <c r="F19" s="50" t="str">
        <f t="shared" ca="1" si="17"/>
        <v/>
      </c>
    </row>
    <row r="20" spans="1:6" ht="15.75" customHeight="1" x14ac:dyDescent="0.2">
      <c r="A20" s="40"/>
      <c r="B20" s="41" t="s">
        <v>1598</v>
      </c>
      <c r="C20" s="41" t="s">
        <v>1599</v>
      </c>
      <c r="D20" s="50" t="str">
        <f t="shared" ref="D20:F20" ca="1" si="18">IFERROR(__xludf.DUMMYFUNCTION("if (A20 &lt;&gt; """", GOOGLETRANSLATE(A20, ""auto"", ""en""), """")"),"")</f>
        <v/>
      </c>
      <c r="E20" s="50" t="str">
        <f t="shared" ca="1" si="18"/>
        <v/>
      </c>
      <c r="F20" s="50" t="str">
        <f t="shared" ca="1" si="18"/>
        <v/>
      </c>
    </row>
    <row r="21" spans="1:6" ht="15.75" customHeight="1" x14ac:dyDescent="0.2">
      <c r="A21" s="40"/>
      <c r="B21" s="41" t="s">
        <v>1600</v>
      </c>
      <c r="C21" s="41" t="s">
        <v>1601</v>
      </c>
      <c r="D21" s="50" t="str">
        <f t="shared" ref="D21:F21" ca="1" si="19">IFERROR(__xludf.DUMMYFUNCTION("if (A21 &lt;&gt; """", GOOGLETRANSLATE(A21, ""auto"", ""en""), """")"),"")</f>
        <v/>
      </c>
      <c r="E21" s="50" t="str">
        <f t="shared" ca="1" si="19"/>
        <v/>
      </c>
      <c r="F21" s="50" t="str">
        <f t="shared" ca="1" si="19"/>
        <v/>
      </c>
    </row>
    <row r="22" spans="1:6" ht="15.75" customHeight="1" x14ac:dyDescent="0.2">
      <c r="A22" s="40"/>
      <c r="B22" s="41" t="s">
        <v>1602</v>
      </c>
      <c r="C22" s="41" t="s">
        <v>1603</v>
      </c>
      <c r="D22" s="50" t="str">
        <f t="shared" ref="D22:F22" ca="1" si="20">IFERROR(__xludf.DUMMYFUNCTION("if (A22 &lt;&gt; """", GOOGLETRANSLATE(A22, ""auto"", ""en""), """")"),"")</f>
        <v/>
      </c>
      <c r="E22" s="50" t="str">
        <f t="shared" ca="1" si="20"/>
        <v/>
      </c>
      <c r="F22" s="50" t="str">
        <f t="shared" ca="1" si="20"/>
        <v/>
      </c>
    </row>
    <row r="23" spans="1:6" ht="15.75" customHeight="1" x14ac:dyDescent="0.2">
      <c r="A23" s="40"/>
      <c r="B23" s="41" t="s">
        <v>1604</v>
      </c>
      <c r="C23" s="41" t="s">
        <v>1605</v>
      </c>
      <c r="D23" s="50" t="str">
        <f t="shared" ref="D23:F23" ca="1" si="21">IFERROR(__xludf.DUMMYFUNCTION("if (A23 &lt;&gt; """", GOOGLETRANSLATE(A23, ""auto"", ""en""), """")"),"")</f>
        <v/>
      </c>
      <c r="E23" s="50" t="str">
        <f t="shared" ca="1" si="21"/>
        <v/>
      </c>
      <c r="F23" s="50" t="str">
        <f t="shared" ca="1" si="21"/>
        <v/>
      </c>
    </row>
    <row r="24" spans="1:6" ht="15.75" customHeight="1" x14ac:dyDescent="0.2">
      <c r="A24" s="40"/>
      <c r="B24" s="41" t="s">
        <v>1606</v>
      </c>
      <c r="C24" s="41" t="s">
        <v>1607</v>
      </c>
      <c r="D24" s="50" t="str">
        <f t="shared" ref="D24:F24" ca="1" si="22">IFERROR(__xludf.DUMMYFUNCTION("if (A24 &lt;&gt; """", GOOGLETRANSLATE(A24, ""auto"", ""en""), """")"),"")</f>
        <v/>
      </c>
      <c r="E24" s="50" t="str">
        <f t="shared" ca="1" si="22"/>
        <v/>
      </c>
      <c r="F24" s="50" t="str">
        <f t="shared" ca="1" si="22"/>
        <v/>
      </c>
    </row>
    <row r="25" spans="1:6" ht="15.75" customHeight="1" x14ac:dyDescent="0.2">
      <c r="A25" s="40"/>
      <c r="B25" s="40"/>
      <c r="C25" s="40"/>
      <c r="D25" s="50" t="str">
        <f t="shared" ref="D25:F25" ca="1" si="23">IFERROR(__xludf.DUMMYFUNCTION("if (A25 &lt;&gt; """", GOOGLETRANSLATE(A25, ""auto"", ""en""), """")"),"")</f>
        <v/>
      </c>
      <c r="E25" s="50" t="str">
        <f t="shared" ca="1" si="23"/>
        <v/>
      </c>
      <c r="F25" s="50" t="str">
        <f t="shared" ca="1" si="23"/>
        <v/>
      </c>
    </row>
    <row r="26" spans="1:6" ht="15.75" customHeight="1" x14ac:dyDescent="0.2">
      <c r="A26" s="38" t="s">
        <v>1609</v>
      </c>
      <c r="B26" s="39"/>
      <c r="C26" s="39"/>
      <c r="D26" s="39" t="str">
        <f t="shared" ref="D26:F26" ca="1" si="24">IFERROR(__xludf.DUMMYFUNCTION("if (A26 &lt;&gt; """", GOOGLETRANSLATE(A26, ""auto"", ""en""), """")"),"amenity")</f>
        <v>amenity</v>
      </c>
      <c r="E26" s="39" t="str">
        <f t="shared" ca="1" si="24"/>
        <v>amenity</v>
      </c>
      <c r="F26" s="39" t="str">
        <f t="shared" ca="1" si="24"/>
        <v>amenity</v>
      </c>
    </row>
    <row r="27" spans="1:6" ht="15.75" customHeight="1" x14ac:dyDescent="0.2">
      <c r="A27" s="40"/>
      <c r="B27" s="41" t="s">
        <v>1610</v>
      </c>
      <c r="C27" s="41" t="s">
        <v>1612</v>
      </c>
      <c r="D27" s="50" t="str">
        <f t="shared" ref="D27:F27" ca="1" si="25">IFERROR(__xludf.DUMMYFUNCTION("if (A27 &lt;&gt; """", GOOGLETRANSLATE(A27, ""auto"", ""en""), """")"),"")</f>
        <v/>
      </c>
      <c r="E27" s="50" t="str">
        <f t="shared" ca="1" si="25"/>
        <v/>
      </c>
      <c r="F27" s="50" t="str">
        <f t="shared" ca="1" si="25"/>
        <v/>
      </c>
    </row>
    <row r="28" spans="1:6" ht="15.75" customHeight="1" x14ac:dyDescent="0.2">
      <c r="A28" s="40"/>
      <c r="B28" s="41" t="s">
        <v>1614</v>
      </c>
      <c r="C28" s="41" t="s">
        <v>1614</v>
      </c>
      <c r="D28" s="50" t="str">
        <f t="shared" ref="D28:F28" ca="1" si="26">IFERROR(__xludf.DUMMYFUNCTION("if (A28 &lt;&gt; """", GOOGLETRANSLATE(A28, ""auto"", ""en""), """")"),"")</f>
        <v/>
      </c>
      <c r="E28" s="50" t="str">
        <f t="shared" ca="1" si="26"/>
        <v/>
      </c>
      <c r="F28" s="50" t="str">
        <f t="shared" ca="1" si="26"/>
        <v/>
      </c>
    </row>
    <row r="29" spans="1:6" ht="15.75" customHeight="1" x14ac:dyDescent="0.2">
      <c r="A29" s="40"/>
      <c r="B29" s="41" t="s">
        <v>1610</v>
      </c>
      <c r="C29" s="41" t="s">
        <v>1610</v>
      </c>
      <c r="D29" s="50" t="str">
        <f t="shared" ref="D29:F29" ca="1" si="27">IFERROR(__xludf.DUMMYFUNCTION("if (A29 &lt;&gt; """", GOOGLETRANSLATE(A29, ""auto"", ""en""), """")"),"")</f>
        <v/>
      </c>
      <c r="E29" s="50" t="str">
        <f t="shared" ca="1" si="27"/>
        <v/>
      </c>
      <c r="F29" s="50" t="str">
        <f t="shared" ca="1" si="27"/>
        <v/>
      </c>
    </row>
    <row r="30" spans="1:6" ht="15.75" customHeight="1" x14ac:dyDescent="0.2">
      <c r="A30" s="40"/>
      <c r="B30" s="41" t="s">
        <v>1617</v>
      </c>
      <c r="C30" s="41" t="s">
        <v>1617</v>
      </c>
      <c r="D30" s="50" t="str">
        <f t="shared" ref="D30:F30" ca="1" si="28">IFERROR(__xludf.DUMMYFUNCTION("if (A30 &lt;&gt; """", GOOGLETRANSLATE(A30, ""auto"", ""en""), """")"),"")</f>
        <v/>
      </c>
      <c r="E30" s="50" t="str">
        <f t="shared" ca="1" si="28"/>
        <v/>
      </c>
      <c r="F30" s="50" t="str">
        <f t="shared" ca="1" si="28"/>
        <v/>
      </c>
    </row>
    <row r="31" spans="1:6" ht="15.75" customHeight="1" x14ac:dyDescent="0.2">
      <c r="A31" s="40"/>
      <c r="B31" s="40"/>
      <c r="C31" s="40"/>
      <c r="D31" s="50" t="str">
        <f t="shared" ref="D31:F31" ca="1" si="29">IFERROR(__xludf.DUMMYFUNCTION("if (A31 &lt;&gt; """", GOOGLETRANSLATE(A31, ""auto"", ""en""), """")"),"")</f>
        <v/>
      </c>
      <c r="E31" s="50" t="str">
        <f t="shared" ca="1" si="29"/>
        <v/>
      </c>
      <c r="F31" s="50" t="str">
        <f t="shared" ca="1" si="29"/>
        <v/>
      </c>
    </row>
    <row r="32" spans="1:6" ht="12.75" x14ac:dyDescent="0.2">
      <c r="A32" s="38" t="s">
        <v>1619</v>
      </c>
      <c r="B32" s="39"/>
      <c r="C32" s="39"/>
      <c r="D32" s="39" t="str">
        <f t="shared" ref="D32:F32" ca="1" si="30">IFERROR(__xludf.DUMMYFUNCTION("if (A32 &lt;&gt; """", GOOGLETRANSLATE(A32, ""auto"", ""en""), """")"),"furniture")</f>
        <v>furniture</v>
      </c>
      <c r="E32" s="39" t="str">
        <f t="shared" ca="1" si="30"/>
        <v>furniture</v>
      </c>
      <c r="F32" s="39" t="str">
        <f t="shared" ca="1" si="30"/>
        <v>furniture</v>
      </c>
    </row>
    <row r="33" spans="1:6" ht="25.5" x14ac:dyDescent="0.2">
      <c r="A33" s="40"/>
      <c r="B33" s="41" t="s">
        <v>1622</v>
      </c>
      <c r="C33" s="41" t="s">
        <v>1624</v>
      </c>
      <c r="D33" s="50" t="str">
        <f t="shared" ref="D33:F33" ca="1" si="31">IFERROR(__xludf.DUMMYFUNCTION("if (A33 &lt;&gt; """", GOOGLETRANSLATE(A33, ""auto"", ""en""), """")"),"")</f>
        <v/>
      </c>
      <c r="E33" s="50" t="str">
        <f t="shared" ca="1" si="31"/>
        <v/>
      </c>
      <c r="F33" s="50" t="str">
        <f t="shared" ca="1" si="31"/>
        <v/>
      </c>
    </row>
    <row r="34" spans="1:6" ht="12.75" x14ac:dyDescent="0.2">
      <c r="A34" s="40"/>
      <c r="B34" s="40"/>
      <c r="C34" s="40"/>
      <c r="D34" s="50" t="str">
        <f t="shared" ref="D34:F34" ca="1" si="32">IFERROR(__xludf.DUMMYFUNCTION("if (A34 &lt;&gt; """", GOOGLETRANSLATE(A34, ""auto"", ""en""), """")"),"")</f>
        <v/>
      </c>
      <c r="E34" s="50" t="str">
        <f t="shared" ca="1" si="32"/>
        <v/>
      </c>
      <c r="F34" s="50" t="str">
        <f t="shared" ca="1" si="32"/>
        <v/>
      </c>
    </row>
    <row r="35" spans="1:6" ht="12.75" x14ac:dyDescent="0.2">
      <c r="A35" s="38" t="s">
        <v>1527</v>
      </c>
      <c r="B35" s="39"/>
      <c r="C35" s="39"/>
      <c r="D35" s="39" t="str">
        <f t="shared" ref="D35:F35" ca="1" si="33">IFERROR(__xludf.DUMMYFUNCTION("if (A35 &lt;&gt; """", GOOGLETRANSLATE(A35, ""auto"", ""en""), """")"),"Guest")</f>
        <v>Guest</v>
      </c>
      <c r="E35" s="39" t="str">
        <f t="shared" ca="1" si="33"/>
        <v>Guest</v>
      </c>
      <c r="F35" s="39" t="str">
        <f t="shared" ca="1" si="33"/>
        <v>Guest</v>
      </c>
    </row>
    <row r="36" spans="1:6" ht="12.75" x14ac:dyDescent="0.2">
      <c r="A36" s="40"/>
      <c r="B36" s="41" t="s">
        <v>1543</v>
      </c>
      <c r="C36" s="41" t="s">
        <v>1548</v>
      </c>
      <c r="D36" s="50" t="str">
        <f t="shared" ref="D36:F36" ca="1" si="34">IFERROR(__xludf.DUMMYFUNCTION("if (A36 &lt;&gt; """", GOOGLETRANSLATE(A36, ""auto"", ""en""), """")"),"")</f>
        <v/>
      </c>
      <c r="E36" s="50" t="str">
        <f t="shared" ca="1" si="34"/>
        <v/>
      </c>
      <c r="F36" s="50" t="str">
        <f t="shared" ca="1" si="34"/>
        <v/>
      </c>
    </row>
    <row r="37" spans="1:6" ht="12.75" x14ac:dyDescent="0.2">
      <c r="A37" s="40"/>
      <c r="B37" s="41" t="s">
        <v>1543</v>
      </c>
      <c r="C37" s="41" t="s">
        <v>1543</v>
      </c>
      <c r="D37" s="50" t="str">
        <f t="shared" ref="D37:F37" ca="1" si="35">IFERROR(__xludf.DUMMYFUNCTION("if (A37 &lt;&gt; """", GOOGLETRANSLATE(A37, ""auto"", ""en""), """")"),"")</f>
        <v/>
      </c>
      <c r="E37" s="50" t="str">
        <f t="shared" ca="1" si="35"/>
        <v/>
      </c>
      <c r="F37" s="50" t="str">
        <f t="shared" ca="1" si="35"/>
        <v/>
      </c>
    </row>
    <row r="38" spans="1:6" ht="12.75" x14ac:dyDescent="0.2">
      <c r="A38" s="40"/>
      <c r="B38" s="40"/>
      <c r="C38" s="40"/>
      <c r="D38" s="50" t="str">
        <f t="shared" ref="D38:F38" ca="1" si="36">IFERROR(__xludf.DUMMYFUNCTION("if (A38 &lt;&gt; """", GOOGLETRANSLATE(A38, ""auto"", ""en""), """")"),"")</f>
        <v/>
      </c>
      <c r="E38" s="50" t="str">
        <f t="shared" ca="1" si="36"/>
        <v/>
      </c>
      <c r="F38" s="50" t="str">
        <f t="shared" ca="1" si="36"/>
        <v/>
      </c>
    </row>
    <row r="39" spans="1:6" ht="12.75" x14ac:dyDescent="0.2">
      <c r="A39" s="38" t="s">
        <v>1550</v>
      </c>
      <c r="B39" s="39"/>
      <c r="C39" s="39"/>
      <c r="D39" s="39" t="str">
        <f t="shared" ref="D39:F39" ca="1" si="37">IFERROR(__xludf.DUMMYFUNCTION("if (A39 &lt;&gt; """", GOOGLETRANSLATE(A39, ""auto"", ""en""), """")"),"Host")</f>
        <v>Host</v>
      </c>
      <c r="E39" s="39" t="str">
        <f t="shared" ca="1" si="37"/>
        <v>Host</v>
      </c>
      <c r="F39" s="39" t="str">
        <f t="shared" ca="1" si="37"/>
        <v>Host</v>
      </c>
    </row>
    <row r="40" spans="1:6" ht="12.75" x14ac:dyDescent="0.2">
      <c r="A40" s="40"/>
      <c r="B40" s="41" t="s">
        <v>1552</v>
      </c>
      <c r="C40" s="41" t="s">
        <v>1553</v>
      </c>
      <c r="D40" s="50" t="str">
        <f t="shared" ref="D40:F40" ca="1" si="38">IFERROR(__xludf.DUMMYFUNCTION("if (A40 &lt;&gt; """", GOOGLETRANSLATE(A40, ""auto"", ""en""), """")"),"")</f>
        <v/>
      </c>
      <c r="E40" s="50" t="str">
        <f t="shared" ca="1" si="38"/>
        <v/>
      </c>
      <c r="F40" s="50" t="str">
        <f t="shared" ca="1" si="38"/>
        <v/>
      </c>
    </row>
    <row r="41" spans="1:6" ht="12.75" x14ac:dyDescent="0.2">
      <c r="A41" s="40"/>
      <c r="B41" s="41" t="s">
        <v>1552</v>
      </c>
      <c r="C41" s="41" t="s">
        <v>1552</v>
      </c>
      <c r="D41" s="50" t="str">
        <f t="shared" ref="D41:F41" ca="1" si="39">IFERROR(__xludf.DUMMYFUNCTION("if (A41 &lt;&gt; """", GOOGLETRANSLATE(A41, ""auto"", ""en""), """")"),"")</f>
        <v/>
      </c>
      <c r="E41" s="50" t="str">
        <f t="shared" ca="1" si="39"/>
        <v/>
      </c>
      <c r="F41" s="50" t="str">
        <f t="shared" ca="1" si="39"/>
        <v/>
      </c>
    </row>
    <row r="42" spans="1:6" ht="12.75" x14ac:dyDescent="0.2">
      <c r="A42" s="40"/>
      <c r="B42" s="40"/>
      <c r="C42" s="40"/>
      <c r="D42" s="50" t="str">
        <f t="shared" ref="D42:F42" ca="1" si="40">IFERROR(__xludf.DUMMYFUNCTION("if (A42 &lt;&gt; """", GOOGLETRANSLATE(A42, ""auto"", ""en""), """")"),"")</f>
        <v/>
      </c>
      <c r="E42" s="50" t="str">
        <f t="shared" ca="1" si="40"/>
        <v/>
      </c>
      <c r="F42" s="50" t="str">
        <f t="shared" ca="1" si="40"/>
        <v/>
      </c>
    </row>
    <row r="43" spans="1:6" ht="12.75" x14ac:dyDescent="0.2">
      <c r="A43" s="38" t="s">
        <v>1554</v>
      </c>
      <c r="B43" s="39"/>
      <c r="C43" s="39"/>
      <c r="D43" s="39" t="str">
        <f t="shared" ref="D43:F43" ca="1" si="41">IFERROR(__xludf.DUMMYFUNCTION("if (A43 &lt;&gt; """", GOOGLETRANSLATE(A43, ""auto"", ""en""), """")"),"House")</f>
        <v>House</v>
      </c>
      <c r="E43" s="39" t="str">
        <f t="shared" ca="1" si="41"/>
        <v>House</v>
      </c>
      <c r="F43" s="39" t="str">
        <f t="shared" ca="1" si="41"/>
        <v>House</v>
      </c>
    </row>
    <row r="44" spans="1:6" ht="12.75" x14ac:dyDescent="0.2">
      <c r="A44" s="40"/>
      <c r="B44" s="41" t="s">
        <v>1555</v>
      </c>
      <c r="C44" s="41" t="s">
        <v>1556</v>
      </c>
      <c r="D44" s="50" t="str">
        <f t="shared" ref="D44:F44" ca="1" si="42">IFERROR(__xludf.DUMMYFUNCTION("if (A44 &lt;&gt; """", GOOGLETRANSLATE(A44, ""auto"", ""en""), """")"),"")</f>
        <v/>
      </c>
      <c r="E44" s="50" t="str">
        <f t="shared" ca="1" si="42"/>
        <v/>
      </c>
      <c r="F44" s="50" t="str">
        <f t="shared" ca="1" si="42"/>
        <v/>
      </c>
    </row>
    <row r="45" spans="1:6" ht="12.75" x14ac:dyDescent="0.2">
      <c r="A45" s="40"/>
      <c r="B45" s="41" t="s">
        <v>1555</v>
      </c>
      <c r="C45" s="41" t="s">
        <v>1555</v>
      </c>
      <c r="D45" s="50" t="str">
        <f t="shared" ref="D45:F45" ca="1" si="43">IFERROR(__xludf.DUMMYFUNCTION("if (A45 &lt;&gt; """", GOOGLETRANSLATE(A45, ""auto"", ""en""), """")"),"")</f>
        <v/>
      </c>
      <c r="E45" s="50" t="str">
        <f t="shared" ca="1" si="43"/>
        <v/>
      </c>
      <c r="F45" s="50" t="str">
        <f t="shared" ca="1" si="43"/>
        <v/>
      </c>
    </row>
    <row r="46" spans="1:6" ht="12.75" x14ac:dyDescent="0.2">
      <c r="A46" s="40"/>
      <c r="B46" s="41" t="s">
        <v>1557</v>
      </c>
      <c r="C46" s="41" t="s">
        <v>1557</v>
      </c>
      <c r="D46" s="50" t="str">
        <f t="shared" ref="D46:F46" ca="1" si="44">IFERROR(__xludf.DUMMYFUNCTION("if (A46 &lt;&gt; """", GOOGLETRANSLATE(A46, ""auto"", ""en""), """")"),"")</f>
        <v/>
      </c>
      <c r="E46" s="50" t="str">
        <f t="shared" ca="1" si="44"/>
        <v/>
      </c>
      <c r="F46" s="50" t="str">
        <f t="shared" ca="1" si="44"/>
        <v/>
      </c>
    </row>
    <row r="47" spans="1:6" ht="12.75" x14ac:dyDescent="0.2">
      <c r="A47" s="40"/>
      <c r="B47" s="41" t="s">
        <v>1558</v>
      </c>
      <c r="C47" s="41" t="s">
        <v>1558</v>
      </c>
      <c r="D47" s="50" t="str">
        <f t="shared" ref="D47:F47" ca="1" si="45">IFERROR(__xludf.DUMMYFUNCTION("if (A47 &lt;&gt; """", GOOGLETRANSLATE(A47, ""auto"", ""en""), """")"),"")</f>
        <v/>
      </c>
      <c r="E47" s="50" t="str">
        <f t="shared" ca="1" si="45"/>
        <v/>
      </c>
      <c r="F47" s="50" t="str">
        <f t="shared" ca="1" si="45"/>
        <v/>
      </c>
    </row>
    <row r="48" spans="1:6" ht="12.75" x14ac:dyDescent="0.2">
      <c r="A48" s="40"/>
      <c r="B48" s="41" t="s">
        <v>1559</v>
      </c>
      <c r="C48" s="41" t="s">
        <v>1559</v>
      </c>
      <c r="D48" s="50" t="str">
        <f t="shared" ref="D48:F48" ca="1" si="46">IFERROR(__xludf.DUMMYFUNCTION("if (A48 &lt;&gt; """", GOOGLETRANSLATE(A48, ""auto"", ""en""), """")"),"")</f>
        <v/>
      </c>
      <c r="E48" s="50" t="str">
        <f t="shared" ca="1" si="46"/>
        <v/>
      </c>
      <c r="F48" s="50" t="str">
        <f t="shared" ca="1" si="46"/>
        <v/>
      </c>
    </row>
    <row r="49" spans="1:6" ht="12.75" x14ac:dyDescent="0.2">
      <c r="A49" s="40"/>
      <c r="B49" s="40"/>
      <c r="C49" s="40"/>
      <c r="D49" s="50" t="str">
        <f t="shared" ref="D49:F49" ca="1" si="47">IFERROR(__xludf.DUMMYFUNCTION("if (A49 &lt;&gt; """", GOOGLETRANSLATE(A49, ""auto"", ""en""), """")"),"")</f>
        <v/>
      </c>
      <c r="E49" s="50" t="str">
        <f t="shared" ca="1" si="47"/>
        <v/>
      </c>
      <c r="F49" s="50" t="str">
        <f t="shared" ca="1" si="47"/>
        <v/>
      </c>
    </row>
    <row r="50" spans="1:6" ht="12.75" x14ac:dyDescent="0.2">
      <c r="A50" s="38" t="s">
        <v>1969</v>
      </c>
      <c r="B50" s="39"/>
      <c r="C50" s="39"/>
      <c r="D50" s="39" t="str">
        <f t="shared" ref="D50:F50" ca="1" si="48">IFERROR(__xludf.DUMMYFUNCTION("if (A50 &lt;&gt; """", GOOGLETRANSLATE(A50, ""auto"", ""en""), """")"),"name")</f>
        <v>name</v>
      </c>
      <c r="E50" s="39" t="str">
        <f t="shared" ca="1" si="48"/>
        <v>name</v>
      </c>
      <c r="F50" s="39" t="str">
        <f t="shared" ca="1" si="48"/>
        <v>name</v>
      </c>
    </row>
    <row r="51" spans="1:6" ht="25.5" x14ac:dyDescent="0.2">
      <c r="A51" s="40"/>
      <c r="B51" s="41" t="s">
        <v>1971</v>
      </c>
      <c r="C51" s="41" t="s">
        <v>1971</v>
      </c>
      <c r="D51" s="50" t="str">
        <f t="shared" ref="D51:F51" ca="1" si="49">IFERROR(__xludf.DUMMYFUNCTION("if (A51 &lt;&gt; """", GOOGLETRANSLATE(A51, ""auto"", ""en""), """")"),"")</f>
        <v/>
      </c>
      <c r="E51" s="50" t="str">
        <f t="shared" ca="1" si="49"/>
        <v/>
      </c>
      <c r="F51" s="50" t="str">
        <f t="shared" ca="1" si="49"/>
        <v/>
      </c>
    </row>
    <row r="52" spans="1:6" ht="12.75" x14ac:dyDescent="0.2">
      <c r="A52" s="40"/>
      <c r="B52" s="40"/>
      <c r="C52" s="40"/>
      <c r="D52" s="50" t="str">
        <f t="shared" ref="D52:F52" ca="1" si="50">IFERROR(__xludf.DUMMYFUNCTION("if (A52 &lt;&gt; """", GOOGLETRANSLATE(A52, ""auto"", ""en""), """")"),"")</f>
        <v/>
      </c>
      <c r="E52" s="50" t="str">
        <f t="shared" ca="1" si="50"/>
        <v/>
      </c>
      <c r="F52" s="50" t="str">
        <f t="shared" ca="1" si="50"/>
        <v/>
      </c>
    </row>
    <row r="53" spans="1:6" ht="12.75" x14ac:dyDescent="0.2">
      <c r="A53" s="38" t="s">
        <v>1625</v>
      </c>
      <c r="B53" s="39"/>
      <c r="C53" s="39"/>
      <c r="D53" s="39" t="str">
        <f t="shared" ref="D53:F53" ca="1" si="51">IFERROR(__xludf.DUMMYFUNCTION("if (A53 &lt;&gt; """", GOOGLETRANSLATE(A53, ""auto"", ""en""), """")"),"outfit")</f>
        <v>outfit</v>
      </c>
      <c r="E53" s="39" t="str">
        <f t="shared" ca="1" si="51"/>
        <v>outfit</v>
      </c>
      <c r="F53" s="39" t="str">
        <f t="shared" ca="1" si="51"/>
        <v>outfit</v>
      </c>
    </row>
    <row r="54" spans="1:6" ht="12.75" x14ac:dyDescent="0.2">
      <c r="A54" s="40"/>
      <c r="B54" s="41" t="s">
        <v>1632</v>
      </c>
      <c r="C54" s="41" t="s">
        <v>1634</v>
      </c>
      <c r="D54" s="50" t="str">
        <f t="shared" ref="D54:F54" ca="1" si="52">IFERROR(__xludf.DUMMYFUNCTION("if (A54 &lt;&gt; """", GOOGLETRANSLATE(A54, ""auto"", ""en""), """")"),"")</f>
        <v/>
      </c>
      <c r="E54" s="50" t="str">
        <f t="shared" ca="1" si="52"/>
        <v/>
      </c>
      <c r="F54" s="50" t="str">
        <f t="shared" ca="1" si="52"/>
        <v/>
      </c>
    </row>
    <row r="55" spans="1:6" ht="12.75" x14ac:dyDescent="0.2">
      <c r="A55" s="40"/>
      <c r="B55" s="41" t="s">
        <v>1635</v>
      </c>
      <c r="C55" s="41" t="s">
        <v>1636</v>
      </c>
      <c r="D55" s="50" t="str">
        <f t="shared" ref="D55:F55" ca="1" si="53">IFERROR(__xludf.DUMMYFUNCTION("if (A55 &lt;&gt; """", GOOGLETRANSLATE(A55, ""auto"", ""en""), """")"),"")</f>
        <v/>
      </c>
      <c r="E55" s="50" t="str">
        <f t="shared" ca="1" si="53"/>
        <v/>
      </c>
      <c r="F55" s="50" t="str">
        <f t="shared" ca="1" si="53"/>
        <v/>
      </c>
    </row>
    <row r="56" spans="1:6" ht="12.75" x14ac:dyDescent="0.2">
      <c r="A56" s="40"/>
      <c r="B56" s="41" t="s">
        <v>1637</v>
      </c>
      <c r="C56" s="41" t="s">
        <v>1639</v>
      </c>
      <c r="D56" s="50" t="str">
        <f t="shared" ref="D56:F56" ca="1" si="54">IFERROR(__xludf.DUMMYFUNCTION("if (A56 &lt;&gt; """", GOOGLETRANSLATE(A56, ""auto"", ""en""), """")"),"")</f>
        <v/>
      </c>
      <c r="E56" s="50" t="str">
        <f t="shared" ca="1" si="54"/>
        <v/>
      </c>
      <c r="F56" s="50" t="str">
        <f t="shared" ca="1" si="54"/>
        <v/>
      </c>
    </row>
    <row r="57" spans="1:6" ht="12.75" x14ac:dyDescent="0.2">
      <c r="A57" s="40"/>
      <c r="B57" s="41" t="s">
        <v>1640</v>
      </c>
      <c r="C57" s="41" t="s">
        <v>1641</v>
      </c>
      <c r="D57" s="50" t="str">
        <f t="shared" ref="D57:F57" ca="1" si="55">IFERROR(__xludf.DUMMYFUNCTION("if (A57 &lt;&gt; """", GOOGLETRANSLATE(A57, ""auto"", ""en""), """")"),"")</f>
        <v/>
      </c>
      <c r="E57" s="50" t="str">
        <f t="shared" ca="1" si="55"/>
        <v/>
      </c>
      <c r="F57" s="50" t="str">
        <f t="shared" ca="1" si="55"/>
        <v/>
      </c>
    </row>
    <row r="58" spans="1:6" ht="12.75" x14ac:dyDescent="0.2">
      <c r="A58" s="40"/>
      <c r="B58" s="41" t="s">
        <v>1642</v>
      </c>
      <c r="C58" s="41" t="s">
        <v>1643</v>
      </c>
      <c r="D58" s="50" t="str">
        <f t="shared" ref="D58:F58" ca="1" si="56">IFERROR(__xludf.DUMMYFUNCTION("if (A58 &lt;&gt; """", GOOGLETRANSLATE(A58, ""auto"", ""en""), """")"),"")</f>
        <v/>
      </c>
      <c r="E58" s="50" t="str">
        <f t="shared" ca="1" si="56"/>
        <v/>
      </c>
      <c r="F58" s="50" t="str">
        <f t="shared" ca="1" si="56"/>
        <v/>
      </c>
    </row>
    <row r="59" spans="1:6" ht="12.75" x14ac:dyDescent="0.2">
      <c r="A59" s="40"/>
      <c r="B59" s="41" t="s">
        <v>1645</v>
      </c>
      <c r="C59" s="41" t="s">
        <v>1646</v>
      </c>
      <c r="D59" s="50" t="str">
        <f t="shared" ref="D59:F59" ca="1" si="57">IFERROR(__xludf.DUMMYFUNCTION("if (A59 &lt;&gt; """", GOOGLETRANSLATE(A59, ""auto"", ""en""), """")"),"")</f>
        <v/>
      </c>
      <c r="E59" s="50" t="str">
        <f t="shared" ca="1" si="57"/>
        <v/>
      </c>
      <c r="F59" s="50" t="str">
        <f t="shared" ca="1" si="57"/>
        <v/>
      </c>
    </row>
    <row r="60" spans="1:6" ht="12.75" x14ac:dyDescent="0.2">
      <c r="A60" s="40"/>
      <c r="B60" s="41" t="s">
        <v>1647</v>
      </c>
      <c r="C60" s="41" t="s">
        <v>1649</v>
      </c>
      <c r="D60" s="50" t="str">
        <f t="shared" ref="D60:F60" ca="1" si="58">IFERROR(__xludf.DUMMYFUNCTION("if (A60 &lt;&gt; """", GOOGLETRANSLATE(A60, ""auto"", ""en""), """")"),"")</f>
        <v/>
      </c>
      <c r="E60" s="50" t="str">
        <f t="shared" ca="1" si="58"/>
        <v/>
      </c>
      <c r="F60" s="50" t="str">
        <f t="shared" ca="1" si="58"/>
        <v/>
      </c>
    </row>
    <row r="61" spans="1:6" ht="12.75" x14ac:dyDescent="0.2">
      <c r="A61" s="40"/>
      <c r="B61" s="41" t="s">
        <v>1650</v>
      </c>
      <c r="C61" s="41" t="s">
        <v>1651</v>
      </c>
      <c r="D61" s="50" t="str">
        <f t="shared" ref="D61:F61" ca="1" si="59">IFERROR(__xludf.DUMMYFUNCTION("if (A61 &lt;&gt; """", GOOGLETRANSLATE(A61, ""auto"", ""en""), """")"),"")</f>
        <v/>
      </c>
      <c r="E61" s="50" t="str">
        <f t="shared" ca="1" si="59"/>
        <v/>
      </c>
      <c r="F61" s="50" t="str">
        <f t="shared" ca="1" si="59"/>
        <v/>
      </c>
    </row>
    <row r="62" spans="1:6" ht="12.75" x14ac:dyDescent="0.2">
      <c r="A62" s="40"/>
      <c r="B62" s="41" t="s">
        <v>1653</v>
      </c>
      <c r="C62" s="41" t="s">
        <v>1654</v>
      </c>
      <c r="D62" s="50" t="str">
        <f t="shared" ref="D62:F62" ca="1" si="60">IFERROR(__xludf.DUMMYFUNCTION("if (A62 &lt;&gt; """", GOOGLETRANSLATE(A62, ""auto"", ""en""), """")"),"")</f>
        <v/>
      </c>
      <c r="E62" s="50" t="str">
        <f t="shared" ca="1" si="60"/>
        <v/>
      </c>
      <c r="F62" s="50" t="str">
        <f t="shared" ca="1" si="60"/>
        <v/>
      </c>
    </row>
    <row r="63" spans="1:6" ht="12.75" x14ac:dyDescent="0.2">
      <c r="A63" s="40"/>
      <c r="B63" s="41" t="s">
        <v>1655</v>
      </c>
      <c r="C63" s="41" t="s">
        <v>1656</v>
      </c>
      <c r="D63" s="50" t="str">
        <f t="shared" ref="D63:F63" ca="1" si="61">IFERROR(__xludf.DUMMYFUNCTION("if (A63 &lt;&gt; """", GOOGLETRANSLATE(A63, ""auto"", ""en""), """")"),"")</f>
        <v/>
      </c>
      <c r="E63" s="50" t="str">
        <f t="shared" ca="1" si="61"/>
        <v/>
      </c>
      <c r="F63" s="50" t="str">
        <f t="shared" ca="1" si="61"/>
        <v/>
      </c>
    </row>
    <row r="64" spans="1:6" ht="12.75" x14ac:dyDescent="0.2">
      <c r="A64" s="40"/>
      <c r="B64" s="41" t="s">
        <v>1658</v>
      </c>
      <c r="C64" s="41" t="s">
        <v>1659</v>
      </c>
      <c r="D64" s="50" t="str">
        <f t="shared" ref="D64:F64" ca="1" si="62">IFERROR(__xludf.DUMMYFUNCTION("if (A64 &lt;&gt; """", GOOGLETRANSLATE(A64, ""auto"", ""en""), """")"),"")</f>
        <v/>
      </c>
      <c r="E64" s="50" t="str">
        <f t="shared" ca="1" si="62"/>
        <v/>
      </c>
      <c r="F64" s="50" t="str">
        <f t="shared" ca="1" si="62"/>
        <v/>
      </c>
    </row>
    <row r="65" spans="1:6" ht="12.75" x14ac:dyDescent="0.2">
      <c r="A65" s="40"/>
      <c r="B65" s="41" t="s">
        <v>1660</v>
      </c>
      <c r="C65" s="41" t="s">
        <v>1661</v>
      </c>
      <c r="D65" s="50" t="str">
        <f t="shared" ref="D65:F65" ca="1" si="63">IFERROR(__xludf.DUMMYFUNCTION("if (A65 &lt;&gt; """", GOOGLETRANSLATE(A65, ""auto"", ""en""), """")"),"")</f>
        <v/>
      </c>
      <c r="E65" s="50" t="str">
        <f t="shared" ca="1" si="63"/>
        <v/>
      </c>
      <c r="F65" s="50" t="str">
        <f t="shared" ca="1" si="63"/>
        <v/>
      </c>
    </row>
    <row r="66" spans="1:6" ht="12.75" x14ac:dyDescent="0.2">
      <c r="A66" s="40"/>
      <c r="B66" s="41" t="s">
        <v>1662</v>
      </c>
      <c r="C66" s="41" t="s">
        <v>1664</v>
      </c>
      <c r="D66" s="50" t="str">
        <f t="shared" ref="D66:F66" ca="1" si="64">IFERROR(__xludf.DUMMYFUNCTION("if (A66 &lt;&gt; """", GOOGLETRANSLATE(A66, ""auto"", ""en""), """")"),"")</f>
        <v/>
      </c>
      <c r="E66" s="50" t="str">
        <f t="shared" ca="1" si="64"/>
        <v/>
      </c>
      <c r="F66" s="50" t="str">
        <f t="shared" ca="1" si="64"/>
        <v/>
      </c>
    </row>
    <row r="67" spans="1:6" ht="12.75" x14ac:dyDescent="0.2">
      <c r="A67" s="40"/>
      <c r="B67" s="41" t="s">
        <v>1665</v>
      </c>
      <c r="C67" s="41" t="s">
        <v>1666</v>
      </c>
      <c r="D67" s="50" t="str">
        <f t="shared" ref="D67:F67" ca="1" si="65">IFERROR(__xludf.DUMMYFUNCTION("if (A67 &lt;&gt; """", GOOGLETRANSLATE(A67, ""auto"", ""en""), """")"),"")</f>
        <v/>
      </c>
      <c r="E67" s="50" t="str">
        <f t="shared" ca="1" si="65"/>
        <v/>
      </c>
      <c r="F67" s="50" t="str">
        <f t="shared" ca="1" si="65"/>
        <v/>
      </c>
    </row>
    <row r="68" spans="1:6" ht="12.75" x14ac:dyDescent="0.2">
      <c r="A68" s="40"/>
      <c r="B68" s="41" t="s">
        <v>1668</v>
      </c>
      <c r="C68" s="41" t="s">
        <v>1669</v>
      </c>
      <c r="D68" s="50" t="str">
        <f t="shared" ref="D68:F68" ca="1" si="66">IFERROR(__xludf.DUMMYFUNCTION("if (A68 &lt;&gt; """", GOOGLETRANSLATE(A68, ""auto"", ""en""), """")"),"")</f>
        <v/>
      </c>
      <c r="E68" s="50" t="str">
        <f t="shared" ca="1" si="66"/>
        <v/>
      </c>
      <c r="F68" s="50" t="str">
        <f t="shared" ca="1" si="66"/>
        <v/>
      </c>
    </row>
    <row r="69" spans="1:6" ht="12.75" x14ac:dyDescent="0.2">
      <c r="A69" s="40"/>
      <c r="B69" s="41" t="s">
        <v>1670</v>
      </c>
      <c r="C69" s="41" t="s">
        <v>1672</v>
      </c>
      <c r="D69" s="50" t="str">
        <f t="shared" ref="D69:F69" ca="1" si="67">IFERROR(__xludf.DUMMYFUNCTION("if (A69 &lt;&gt; """", GOOGLETRANSLATE(A69, ""auto"", ""en""), """")"),"")</f>
        <v/>
      </c>
      <c r="E69" s="50" t="str">
        <f t="shared" ca="1" si="67"/>
        <v/>
      </c>
      <c r="F69" s="50" t="str">
        <f t="shared" ca="1" si="67"/>
        <v/>
      </c>
    </row>
    <row r="70" spans="1:6" ht="12.75" x14ac:dyDescent="0.2">
      <c r="A70" s="40"/>
      <c r="B70" s="41" t="s">
        <v>1673</v>
      </c>
      <c r="C70" s="41" t="s">
        <v>1674</v>
      </c>
      <c r="D70" s="50" t="str">
        <f t="shared" ref="D70:F70" ca="1" si="68">IFERROR(__xludf.DUMMYFUNCTION("if (A70 &lt;&gt; """", GOOGLETRANSLATE(A70, ""auto"", ""en""), """")"),"")</f>
        <v/>
      </c>
      <c r="E70" s="50" t="str">
        <f t="shared" ca="1" si="68"/>
        <v/>
      </c>
      <c r="F70" s="50" t="str">
        <f t="shared" ca="1" si="68"/>
        <v/>
      </c>
    </row>
    <row r="71" spans="1:6" ht="12.75" x14ac:dyDescent="0.2">
      <c r="A71" s="40"/>
      <c r="B71" s="41" t="s">
        <v>1675</v>
      </c>
      <c r="C71" s="41" t="s">
        <v>1676</v>
      </c>
      <c r="D71" s="50" t="str">
        <f t="shared" ref="D71:F71" ca="1" si="69">IFERROR(__xludf.DUMMYFUNCTION("if (A71 &lt;&gt; """", GOOGLETRANSLATE(A71, ""auto"", ""en""), """")"),"")</f>
        <v/>
      </c>
      <c r="E71" s="50" t="str">
        <f t="shared" ca="1" si="69"/>
        <v/>
      </c>
      <c r="F71" s="50" t="str">
        <f t="shared" ca="1" si="69"/>
        <v/>
      </c>
    </row>
    <row r="72" spans="1:6" ht="12.75" x14ac:dyDescent="0.2">
      <c r="A72" s="40"/>
      <c r="B72" s="41" t="s">
        <v>1678</v>
      </c>
      <c r="C72" s="41" t="s">
        <v>1679</v>
      </c>
      <c r="D72" s="50" t="str">
        <f t="shared" ref="D72:F72" ca="1" si="70">IFERROR(__xludf.DUMMYFUNCTION("if (A72 &lt;&gt; """", GOOGLETRANSLATE(A72, ""auto"", ""en""), """")"),"")</f>
        <v/>
      </c>
      <c r="E72" s="50" t="str">
        <f t="shared" ca="1" si="70"/>
        <v/>
      </c>
      <c r="F72" s="50" t="str">
        <f t="shared" ca="1" si="70"/>
        <v/>
      </c>
    </row>
    <row r="73" spans="1:6" ht="12.75" x14ac:dyDescent="0.2">
      <c r="A73" s="40"/>
      <c r="B73" s="41" t="s">
        <v>1681</v>
      </c>
      <c r="C73" s="41" t="s">
        <v>1682</v>
      </c>
      <c r="D73" s="50" t="str">
        <f t="shared" ref="D73:F73" ca="1" si="71">IFERROR(__xludf.DUMMYFUNCTION("if (A73 &lt;&gt; """", GOOGLETRANSLATE(A73, ""auto"", ""en""), """")"),"")</f>
        <v/>
      </c>
      <c r="E73" s="50" t="str">
        <f t="shared" ca="1" si="71"/>
        <v/>
      </c>
      <c r="F73" s="50" t="str">
        <f t="shared" ca="1" si="71"/>
        <v/>
      </c>
    </row>
    <row r="74" spans="1:6" ht="12.75" x14ac:dyDescent="0.2">
      <c r="A74" s="40"/>
      <c r="B74" s="41" t="s">
        <v>1693</v>
      </c>
      <c r="C74" s="41" t="s">
        <v>1694</v>
      </c>
      <c r="D74" s="50" t="str">
        <f t="shared" ref="D74:F74" ca="1" si="72">IFERROR(__xludf.DUMMYFUNCTION("if (A74 &lt;&gt; """", GOOGLETRANSLATE(A74, ""auto"", ""en""), """")"),"")</f>
        <v/>
      </c>
      <c r="E74" s="50" t="str">
        <f t="shared" ca="1" si="72"/>
        <v/>
      </c>
      <c r="F74" s="50" t="str">
        <f t="shared" ca="1" si="72"/>
        <v/>
      </c>
    </row>
    <row r="75" spans="1:6" ht="12.75" x14ac:dyDescent="0.2">
      <c r="A75" s="40"/>
      <c r="B75" s="41" t="s">
        <v>1695</v>
      </c>
      <c r="C75" s="41" t="s">
        <v>1697</v>
      </c>
      <c r="D75" s="50" t="str">
        <f t="shared" ref="D75:F75" ca="1" si="73">IFERROR(__xludf.DUMMYFUNCTION("if (A75 &lt;&gt; """", GOOGLETRANSLATE(A75, ""auto"", ""en""), """")"),"")</f>
        <v/>
      </c>
      <c r="E75" s="50" t="str">
        <f t="shared" ca="1" si="73"/>
        <v/>
      </c>
      <c r="F75" s="50" t="str">
        <f t="shared" ca="1" si="73"/>
        <v/>
      </c>
    </row>
    <row r="76" spans="1:6" ht="12.75" x14ac:dyDescent="0.2">
      <c r="A76" s="40"/>
      <c r="B76" s="41" t="s">
        <v>1699</v>
      </c>
      <c r="C76" s="41" t="s">
        <v>1700</v>
      </c>
      <c r="D76" s="50" t="str">
        <f t="shared" ref="D76:F76" ca="1" si="74">IFERROR(__xludf.DUMMYFUNCTION("if (A76 &lt;&gt; """", GOOGLETRANSLATE(A76, ""auto"", ""en""), """")"),"")</f>
        <v/>
      </c>
      <c r="E76" s="50" t="str">
        <f t="shared" ca="1" si="74"/>
        <v/>
      </c>
      <c r="F76" s="50" t="str">
        <f t="shared" ca="1" si="74"/>
        <v/>
      </c>
    </row>
    <row r="77" spans="1:6" ht="12.75" x14ac:dyDescent="0.2">
      <c r="A77" s="40"/>
      <c r="B77" s="41" t="s">
        <v>1702</v>
      </c>
      <c r="C77" s="41" t="s">
        <v>1703</v>
      </c>
      <c r="D77" s="50" t="str">
        <f t="shared" ref="D77:F77" ca="1" si="75">IFERROR(__xludf.DUMMYFUNCTION("if (A77 &lt;&gt; """", GOOGLETRANSLATE(A77, ""auto"", ""en""), """")"),"")</f>
        <v/>
      </c>
      <c r="E77" s="50" t="str">
        <f t="shared" ca="1" si="75"/>
        <v/>
      </c>
      <c r="F77" s="50" t="str">
        <f t="shared" ca="1" si="75"/>
        <v/>
      </c>
    </row>
    <row r="78" spans="1:6" ht="12.75" x14ac:dyDescent="0.2">
      <c r="A78" s="40"/>
      <c r="B78" s="41" t="s">
        <v>1705</v>
      </c>
      <c r="C78" s="41" t="s">
        <v>1706</v>
      </c>
      <c r="D78" s="50" t="str">
        <f t="shared" ref="D78:F78" ca="1" si="76">IFERROR(__xludf.DUMMYFUNCTION("if (A78 &lt;&gt; """", GOOGLETRANSLATE(A78, ""auto"", ""en""), """")"),"")</f>
        <v/>
      </c>
      <c r="E78" s="50" t="str">
        <f t="shared" ca="1" si="76"/>
        <v/>
      </c>
      <c r="F78" s="50" t="str">
        <f t="shared" ca="1" si="76"/>
        <v/>
      </c>
    </row>
    <row r="79" spans="1:6" ht="12.75" x14ac:dyDescent="0.2">
      <c r="A79" s="40"/>
      <c r="B79" s="41" t="s">
        <v>1708</v>
      </c>
      <c r="C79" s="41" t="s">
        <v>1709</v>
      </c>
      <c r="D79" s="50" t="str">
        <f t="shared" ref="D79:F79" ca="1" si="77">IFERROR(__xludf.DUMMYFUNCTION("if (A79 &lt;&gt; """", GOOGLETRANSLATE(A79, ""auto"", ""en""), """")"),"")</f>
        <v/>
      </c>
      <c r="E79" s="50" t="str">
        <f t="shared" ca="1" si="77"/>
        <v/>
      </c>
      <c r="F79" s="50" t="str">
        <f t="shared" ca="1" si="77"/>
        <v/>
      </c>
    </row>
    <row r="80" spans="1:6" ht="12.75" x14ac:dyDescent="0.2">
      <c r="A80" s="40"/>
      <c r="B80" s="41" t="s">
        <v>1711</v>
      </c>
      <c r="C80" s="41" t="s">
        <v>1713</v>
      </c>
      <c r="D80" s="50" t="str">
        <f t="shared" ref="D80:F80" ca="1" si="78">IFERROR(__xludf.DUMMYFUNCTION("if (A80 &lt;&gt; """", GOOGLETRANSLATE(A80, ""auto"", ""en""), """")"),"")</f>
        <v/>
      </c>
      <c r="E80" s="50" t="str">
        <f t="shared" ca="1" si="78"/>
        <v/>
      </c>
      <c r="F80" s="50" t="str">
        <f t="shared" ca="1" si="78"/>
        <v/>
      </c>
    </row>
    <row r="81" spans="1:6" ht="12.75" x14ac:dyDescent="0.2">
      <c r="A81" s="40"/>
      <c r="B81" s="41" t="s">
        <v>1714</v>
      </c>
      <c r="C81" s="41" t="s">
        <v>1715</v>
      </c>
      <c r="D81" s="50" t="str">
        <f t="shared" ref="D81:F81" ca="1" si="79">IFERROR(__xludf.DUMMYFUNCTION("if (A81 &lt;&gt; """", GOOGLETRANSLATE(A81, ""auto"", ""en""), """")"),"")</f>
        <v/>
      </c>
      <c r="E81" s="50" t="str">
        <f t="shared" ca="1" si="79"/>
        <v/>
      </c>
      <c r="F81" s="50" t="str">
        <f t="shared" ca="1" si="79"/>
        <v/>
      </c>
    </row>
    <row r="82" spans="1:6" ht="12.75" x14ac:dyDescent="0.2">
      <c r="A82" s="40"/>
      <c r="B82" s="41" t="s">
        <v>1717</v>
      </c>
      <c r="C82" s="41" t="s">
        <v>1718</v>
      </c>
      <c r="D82" s="50" t="str">
        <f t="shared" ref="D82:F82" ca="1" si="80">IFERROR(__xludf.DUMMYFUNCTION("if (A82 &lt;&gt; """", GOOGLETRANSLATE(A82, ""auto"", ""en""), """")"),"")</f>
        <v/>
      </c>
      <c r="E82" s="50" t="str">
        <f t="shared" ca="1" si="80"/>
        <v/>
      </c>
      <c r="F82" s="50" t="str">
        <f t="shared" ca="1" si="80"/>
        <v/>
      </c>
    </row>
    <row r="83" spans="1:6" ht="12.75" x14ac:dyDescent="0.2">
      <c r="A83" s="40"/>
      <c r="B83" s="41" t="s">
        <v>1719</v>
      </c>
      <c r="C83" s="41" t="s">
        <v>1720</v>
      </c>
      <c r="D83" s="50" t="str">
        <f t="shared" ref="D83:F83" ca="1" si="81">IFERROR(__xludf.DUMMYFUNCTION("if (A83 &lt;&gt; """", GOOGLETRANSLATE(A83, ""auto"", ""en""), """")"),"")</f>
        <v/>
      </c>
      <c r="E83" s="50" t="str">
        <f t="shared" ca="1" si="81"/>
        <v/>
      </c>
      <c r="F83" s="50" t="str">
        <f t="shared" ca="1" si="81"/>
        <v/>
      </c>
    </row>
    <row r="84" spans="1:6" ht="12.75" x14ac:dyDescent="0.2">
      <c r="A84" s="40"/>
      <c r="B84" s="41" t="s">
        <v>1723</v>
      </c>
      <c r="C84" s="41" t="s">
        <v>1725</v>
      </c>
      <c r="D84" s="50" t="str">
        <f t="shared" ref="D84:F84" ca="1" si="82">IFERROR(__xludf.DUMMYFUNCTION("if (A84 &lt;&gt; """", GOOGLETRANSLATE(A84, ""auto"", ""en""), """")"),"")</f>
        <v/>
      </c>
      <c r="E84" s="50" t="str">
        <f t="shared" ca="1" si="82"/>
        <v/>
      </c>
      <c r="F84" s="50" t="str">
        <f t="shared" ca="1" si="82"/>
        <v/>
      </c>
    </row>
    <row r="85" spans="1:6" ht="12.75" x14ac:dyDescent="0.2">
      <c r="A85" s="40"/>
      <c r="B85" s="41" t="s">
        <v>1726</v>
      </c>
      <c r="C85" s="41" t="s">
        <v>1727</v>
      </c>
      <c r="D85" s="50" t="str">
        <f t="shared" ref="D85:F85" ca="1" si="83">IFERROR(__xludf.DUMMYFUNCTION("if (A85 &lt;&gt; """", GOOGLETRANSLATE(A85, ""auto"", ""en""), """")"),"")</f>
        <v/>
      </c>
      <c r="E85" s="50" t="str">
        <f t="shared" ca="1" si="83"/>
        <v/>
      </c>
      <c r="F85" s="50" t="str">
        <f t="shared" ca="1" si="83"/>
        <v/>
      </c>
    </row>
    <row r="86" spans="1:6" ht="12.75" x14ac:dyDescent="0.2">
      <c r="A86" s="40"/>
      <c r="B86" s="41" t="s">
        <v>1729</v>
      </c>
      <c r="C86" s="41" t="s">
        <v>1730</v>
      </c>
      <c r="D86" s="50" t="str">
        <f t="shared" ref="D86:F86" ca="1" si="84">IFERROR(__xludf.DUMMYFUNCTION("if (A86 &lt;&gt; """", GOOGLETRANSLATE(A86, ""auto"", ""en""), """")"),"")</f>
        <v/>
      </c>
      <c r="E86" s="50" t="str">
        <f t="shared" ca="1" si="84"/>
        <v/>
      </c>
      <c r="F86" s="50" t="str">
        <f t="shared" ca="1" si="84"/>
        <v/>
      </c>
    </row>
    <row r="87" spans="1:6" ht="12.75" x14ac:dyDescent="0.2">
      <c r="A87" s="40"/>
      <c r="B87" s="41" t="s">
        <v>1732</v>
      </c>
      <c r="C87" s="41" t="s">
        <v>1733</v>
      </c>
      <c r="D87" s="50" t="str">
        <f t="shared" ref="D87:F87" ca="1" si="85">IFERROR(__xludf.DUMMYFUNCTION("if (A87 &lt;&gt; """", GOOGLETRANSLATE(A87, ""auto"", ""en""), """")"),"")</f>
        <v/>
      </c>
      <c r="E87" s="50" t="str">
        <f t="shared" ca="1" si="85"/>
        <v/>
      </c>
      <c r="F87" s="50" t="str">
        <f t="shared" ca="1" si="85"/>
        <v/>
      </c>
    </row>
    <row r="88" spans="1:6" ht="12.75" x14ac:dyDescent="0.2">
      <c r="A88" s="40"/>
      <c r="B88" s="41" t="s">
        <v>1734</v>
      </c>
      <c r="C88" s="41" t="s">
        <v>1735</v>
      </c>
      <c r="D88" s="50" t="str">
        <f t="shared" ref="D88:F88" ca="1" si="86">IFERROR(__xludf.DUMMYFUNCTION("if (A88 &lt;&gt; """", GOOGLETRANSLATE(A88, ""auto"", ""en""), """")"),"")</f>
        <v/>
      </c>
      <c r="E88" s="50" t="str">
        <f t="shared" ca="1" si="86"/>
        <v/>
      </c>
      <c r="F88" s="50" t="str">
        <f t="shared" ca="1" si="86"/>
        <v/>
      </c>
    </row>
    <row r="89" spans="1:6" ht="12.75" x14ac:dyDescent="0.2">
      <c r="A89" s="40"/>
      <c r="B89" s="41" t="s">
        <v>1736</v>
      </c>
      <c r="C89" s="41" t="s">
        <v>1737</v>
      </c>
      <c r="D89" s="50" t="str">
        <f t="shared" ref="D89:F89" ca="1" si="87">IFERROR(__xludf.DUMMYFUNCTION("if (A89 &lt;&gt; """", GOOGLETRANSLATE(A89, ""auto"", ""en""), """")"),"")</f>
        <v/>
      </c>
      <c r="E89" s="50" t="str">
        <f t="shared" ca="1" si="87"/>
        <v/>
      </c>
      <c r="F89" s="50" t="str">
        <f t="shared" ca="1" si="87"/>
        <v/>
      </c>
    </row>
    <row r="90" spans="1:6" ht="12.75" x14ac:dyDescent="0.2">
      <c r="A90" s="40"/>
      <c r="B90" s="41" t="s">
        <v>1738</v>
      </c>
      <c r="C90" s="41" t="s">
        <v>1739</v>
      </c>
      <c r="D90" s="50" t="str">
        <f t="shared" ref="D90:F90" ca="1" si="88">IFERROR(__xludf.DUMMYFUNCTION("if (A90 &lt;&gt; """", GOOGLETRANSLATE(A90, ""auto"", ""en""), """")"),"")</f>
        <v/>
      </c>
      <c r="E90" s="50" t="str">
        <f t="shared" ca="1" si="88"/>
        <v/>
      </c>
      <c r="F90" s="50" t="str">
        <f t="shared" ca="1" si="88"/>
        <v/>
      </c>
    </row>
    <row r="91" spans="1:6" ht="12.75" x14ac:dyDescent="0.2">
      <c r="A91" s="40"/>
      <c r="B91" s="41" t="s">
        <v>1740</v>
      </c>
      <c r="C91" s="41" t="s">
        <v>1741</v>
      </c>
      <c r="D91" s="50" t="str">
        <f t="shared" ref="D91:F91" ca="1" si="89">IFERROR(__xludf.DUMMYFUNCTION("if (A91 &lt;&gt; """", GOOGLETRANSLATE(A91, ""auto"", ""en""), """")"),"")</f>
        <v/>
      </c>
      <c r="E91" s="50" t="str">
        <f t="shared" ca="1" si="89"/>
        <v/>
      </c>
      <c r="F91" s="50" t="str">
        <f t="shared" ca="1" si="89"/>
        <v/>
      </c>
    </row>
    <row r="92" spans="1:6" ht="12.75" x14ac:dyDescent="0.2">
      <c r="A92" s="40"/>
      <c r="B92" s="41" t="s">
        <v>1742</v>
      </c>
      <c r="C92" s="41" t="s">
        <v>1743</v>
      </c>
      <c r="D92" s="50" t="str">
        <f t="shared" ref="D92:F92" ca="1" si="90">IFERROR(__xludf.DUMMYFUNCTION("if (A92 &lt;&gt; """", GOOGLETRANSLATE(A92, ""auto"", ""en""), """")"),"")</f>
        <v/>
      </c>
      <c r="E92" s="50" t="str">
        <f t="shared" ca="1" si="90"/>
        <v/>
      </c>
      <c r="F92" s="50" t="str">
        <f t="shared" ca="1" si="90"/>
        <v/>
      </c>
    </row>
    <row r="93" spans="1:6" ht="12.75" x14ac:dyDescent="0.2">
      <c r="A93" s="40"/>
      <c r="B93" s="41" t="s">
        <v>1744</v>
      </c>
      <c r="C93" s="41" t="s">
        <v>1745</v>
      </c>
      <c r="D93" s="50" t="str">
        <f t="shared" ref="D93:F93" ca="1" si="91">IFERROR(__xludf.DUMMYFUNCTION("if (A93 &lt;&gt; """", GOOGLETRANSLATE(A93, ""auto"", ""en""), """")"),"")</f>
        <v/>
      </c>
      <c r="E93" s="50" t="str">
        <f t="shared" ca="1" si="91"/>
        <v/>
      </c>
      <c r="F93" s="50" t="str">
        <f t="shared" ca="1" si="91"/>
        <v/>
      </c>
    </row>
    <row r="94" spans="1:6" ht="12.75" x14ac:dyDescent="0.2">
      <c r="A94" s="40"/>
      <c r="B94" s="41" t="s">
        <v>1747</v>
      </c>
      <c r="C94" s="41" t="s">
        <v>1748</v>
      </c>
      <c r="D94" s="50" t="str">
        <f t="shared" ref="D94:F94" ca="1" si="92">IFERROR(__xludf.DUMMYFUNCTION("if (A94 &lt;&gt; """", GOOGLETRANSLATE(A94, ""auto"", ""en""), """")"),"")</f>
        <v/>
      </c>
      <c r="E94" s="50" t="str">
        <f t="shared" ca="1" si="92"/>
        <v/>
      </c>
      <c r="F94" s="50" t="str">
        <f t="shared" ca="1" si="92"/>
        <v/>
      </c>
    </row>
    <row r="95" spans="1:6" ht="12.75" x14ac:dyDescent="0.2">
      <c r="A95" s="40"/>
      <c r="B95" s="41" t="s">
        <v>1749</v>
      </c>
      <c r="C95" s="41" t="s">
        <v>1750</v>
      </c>
      <c r="D95" s="50" t="str">
        <f t="shared" ref="D95:F95" ca="1" si="93">IFERROR(__xludf.DUMMYFUNCTION("if (A95 &lt;&gt; """", GOOGLETRANSLATE(A95, ""auto"", ""en""), """")"),"")</f>
        <v/>
      </c>
      <c r="E95" s="50" t="str">
        <f t="shared" ca="1" si="93"/>
        <v/>
      </c>
      <c r="F95" s="50" t="str">
        <f t="shared" ca="1" si="93"/>
        <v/>
      </c>
    </row>
    <row r="96" spans="1:6" ht="12.75" x14ac:dyDescent="0.2">
      <c r="A96" s="40"/>
      <c r="B96" s="41" t="s">
        <v>1751</v>
      </c>
      <c r="C96" s="41" t="s">
        <v>1753</v>
      </c>
      <c r="D96" s="50" t="str">
        <f t="shared" ref="D96:F96" ca="1" si="94">IFERROR(__xludf.DUMMYFUNCTION("if (A96 &lt;&gt; """", GOOGLETRANSLATE(A96, ""auto"", ""en""), """")"),"")</f>
        <v/>
      </c>
      <c r="E96" s="50" t="str">
        <f t="shared" ca="1" si="94"/>
        <v/>
      </c>
      <c r="F96" s="50" t="str">
        <f t="shared" ca="1" si="94"/>
        <v/>
      </c>
    </row>
    <row r="97" spans="1:6" ht="12.75" x14ac:dyDescent="0.2">
      <c r="A97" s="40"/>
      <c r="B97" s="41" t="s">
        <v>1755</v>
      </c>
      <c r="C97" s="41" t="s">
        <v>1756</v>
      </c>
      <c r="D97" s="50" t="str">
        <f t="shared" ref="D97:F97" ca="1" si="95">IFERROR(__xludf.DUMMYFUNCTION("if (A97 &lt;&gt; """", GOOGLETRANSLATE(A97, ""auto"", ""en""), """")"),"")</f>
        <v/>
      </c>
      <c r="E97" s="50" t="str">
        <f t="shared" ca="1" si="95"/>
        <v/>
      </c>
      <c r="F97" s="50" t="str">
        <f t="shared" ca="1" si="95"/>
        <v/>
      </c>
    </row>
    <row r="98" spans="1:6" ht="12.75" x14ac:dyDescent="0.2">
      <c r="A98" s="40"/>
      <c r="B98" s="41" t="s">
        <v>1758</v>
      </c>
      <c r="C98" s="41" t="s">
        <v>1759</v>
      </c>
      <c r="D98" s="50" t="str">
        <f t="shared" ref="D98:F98" ca="1" si="96">IFERROR(__xludf.DUMMYFUNCTION("if (A98 &lt;&gt; """", GOOGLETRANSLATE(A98, ""auto"", ""en""), """")"),"")</f>
        <v/>
      </c>
      <c r="E98" s="50" t="str">
        <f t="shared" ca="1" si="96"/>
        <v/>
      </c>
      <c r="F98" s="50" t="str">
        <f t="shared" ca="1" si="96"/>
        <v/>
      </c>
    </row>
    <row r="99" spans="1:6" ht="12.75" x14ac:dyDescent="0.2">
      <c r="A99" s="40"/>
      <c r="B99" s="40"/>
      <c r="C99" s="40"/>
      <c r="D99" s="50" t="str">
        <f t="shared" ref="D99:F99" ca="1" si="97">IFERROR(__xludf.DUMMYFUNCTION("if (A99 &lt;&gt; """", GOOGLETRANSLATE(A99, ""auto"", ""en""), """")"),"")</f>
        <v/>
      </c>
      <c r="E99" s="50" t="str">
        <f t="shared" ca="1" si="97"/>
        <v/>
      </c>
      <c r="F99" s="50" t="str">
        <f t="shared" ca="1" si="97"/>
        <v/>
      </c>
    </row>
    <row r="100" spans="1:6" ht="12.75" x14ac:dyDescent="0.2">
      <c r="A100" s="38" t="s">
        <v>1560</v>
      </c>
      <c r="B100" s="39"/>
      <c r="C100" s="39"/>
      <c r="D100" s="39" t="str">
        <f t="shared" ref="D100:F100" ca="1" si="98">IFERROR(__xludf.DUMMYFUNCTION("if (A100 &lt;&gt; """", GOOGLETRANSLATE(A100, ""auto"", ""en""), """")"),"Pet")</f>
        <v>Pet</v>
      </c>
      <c r="E100" s="39" t="str">
        <f t="shared" ca="1" si="98"/>
        <v>Pet</v>
      </c>
      <c r="F100" s="39" t="str">
        <f t="shared" ca="1" si="98"/>
        <v>Pet</v>
      </c>
    </row>
    <row r="101" spans="1:6" ht="12.75" x14ac:dyDescent="0.2">
      <c r="A101" s="40"/>
      <c r="B101" s="41" t="s">
        <v>1561</v>
      </c>
      <c r="C101" s="41" t="s">
        <v>1562</v>
      </c>
      <c r="D101" s="50" t="str">
        <f t="shared" ref="D101:F101" ca="1" si="99">IFERROR(__xludf.DUMMYFUNCTION("if (A101 &lt;&gt; """", GOOGLETRANSLATE(A101, ""auto"", ""en""), """")"),"")</f>
        <v/>
      </c>
      <c r="E101" s="50" t="str">
        <f t="shared" ca="1" si="99"/>
        <v/>
      </c>
      <c r="F101" s="50" t="str">
        <f t="shared" ca="1" si="99"/>
        <v/>
      </c>
    </row>
    <row r="102" spans="1:6" ht="12.75" x14ac:dyDescent="0.2">
      <c r="A102" s="40"/>
      <c r="B102" s="41" t="s">
        <v>1561</v>
      </c>
      <c r="C102" s="41" t="s">
        <v>1561</v>
      </c>
      <c r="D102" s="50" t="str">
        <f t="shared" ref="D102:F102" ca="1" si="100">IFERROR(__xludf.DUMMYFUNCTION("if (A102 &lt;&gt; """", GOOGLETRANSLATE(A102, ""auto"", ""en""), """")"),"")</f>
        <v/>
      </c>
      <c r="E102" s="50" t="str">
        <f t="shared" ca="1" si="100"/>
        <v/>
      </c>
      <c r="F102" s="50" t="str">
        <f t="shared" ca="1" si="100"/>
        <v/>
      </c>
    </row>
    <row r="103" spans="1:6" ht="12.75" x14ac:dyDescent="0.2">
      <c r="A103" s="40"/>
      <c r="B103" s="40"/>
      <c r="C103" s="40"/>
      <c r="D103" s="50" t="str">
        <f t="shared" ref="D103:F103" ca="1" si="101">IFERROR(__xludf.DUMMYFUNCTION("if (A103 &lt;&gt; """", GOOGLETRANSLATE(A103, ""auto"", ""en""), """")"),"")</f>
        <v/>
      </c>
      <c r="E103" s="50" t="str">
        <f t="shared" ca="1" si="101"/>
        <v/>
      </c>
      <c r="F103" s="50" t="str">
        <f t="shared" ca="1" si="101"/>
        <v/>
      </c>
    </row>
    <row r="104" spans="1:6" ht="12.75" x14ac:dyDescent="0.2">
      <c r="A104" s="38" t="s">
        <v>1761</v>
      </c>
      <c r="B104" s="39"/>
      <c r="C104" s="39"/>
      <c r="D104" s="39" t="str">
        <f t="shared" ref="D104:F104" ca="1" si="102">IFERROR(__xludf.DUMMYFUNCTION("if (A104 &lt;&gt; """", GOOGLETRANSLATE(A104, ""auto"", ""en""), """")"),"temperature")</f>
        <v>temperature</v>
      </c>
      <c r="E104" s="39" t="str">
        <f t="shared" ca="1" si="102"/>
        <v>temperature</v>
      </c>
      <c r="F104" s="39" t="str">
        <f t="shared" ca="1" si="102"/>
        <v>temperature</v>
      </c>
    </row>
    <row r="105" spans="1:6" ht="12.75" x14ac:dyDescent="0.2">
      <c r="A105" s="40"/>
      <c r="B105" s="41" t="s">
        <v>1763</v>
      </c>
      <c r="C105" s="41" t="s">
        <v>1765</v>
      </c>
      <c r="D105" s="50" t="str">
        <f t="shared" ref="D105:F105" ca="1" si="103">IFERROR(__xludf.DUMMYFUNCTION("if (A105 &lt;&gt; """", GOOGLETRANSLATE(A105, ""auto"", ""en""), """")"),"")</f>
        <v/>
      </c>
      <c r="E105" s="50" t="str">
        <f t="shared" ca="1" si="103"/>
        <v/>
      </c>
      <c r="F105" s="50" t="str">
        <f t="shared" ca="1" si="103"/>
        <v/>
      </c>
    </row>
    <row r="106" spans="1:6" ht="12.75" x14ac:dyDescent="0.2">
      <c r="A106" s="40"/>
      <c r="B106" s="41" t="s">
        <v>833</v>
      </c>
      <c r="C106" s="41" t="s">
        <v>1767</v>
      </c>
      <c r="D106" s="50" t="str">
        <f t="shared" ref="D106:F106" ca="1" si="104">IFERROR(__xludf.DUMMYFUNCTION("if (A106 &lt;&gt; """", GOOGLETRANSLATE(A106, ""auto"", ""en""), """")"),"")</f>
        <v/>
      </c>
      <c r="E106" s="50" t="str">
        <f t="shared" ca="1" si="104"/>
        <v/>
      </c>
      <c r="F106" s="50" t="str">
        <f t="shared" ca="1" si="104"/>
        <v/>
      </c>
    </row>
    <row r="107" spans="1:6" ht="12.75" x14ac:dyDescent="0.2">
      <c r="A107" s="40"/>
      <c r="B107" s="41" t="s">
        <v>1769</v>
      </c>
      <c r="C107" s="41" t="s">
        <v>1770</v>
      </c>
      <c r="D107" s="50" t="str">
        <f t="shared" ref="D107:F107" ca="1" si="105">IFERROR(__xludf.DUMMYFUNCTION("if (A107 &lt;&gt; """", GOOGLETRANSLATE(A107, ""auto"", ""en""), """")"),"")</f>
        <v/>
      </c>
      <c r="E107" s="50" t="str">
        <f t="shared" ca="1" si="105"/>
        <v/>
      </c>
      <c r="F107" s="50" t="str">
        <f t="shared" ca="1" si="105"/>
        <v/>
      </c>
    </row>
    <row r="108" spans="1:6" ht="12.75" x14ac:dyDescent="0.2">
      <c r="A108" s="40"/>
      <c r="B108" s="41" t="s">
        <v>1771</v>
      </c>
      <c r="C108" s="41" t="s">
        <v>1772</v>
      </c>
      <c r="D108" s="50" t="str">
        <f t="shared" ref="D108:F108" ca="1" si="106">IFERROR(__xludf.DUMMYFUNCTION("if (A108 &lt;&gt; """", GOOGLETRANSLATE(A108, ""auto"", ""en""), """")"),"")</f>
        <v/>
      </c>
      <c r="E108" s="50" t="str">
        <f t="shared" ca="1" si="106"/>
        <v/>
      </c>
      <c r="F108" s="50" t="str">
        <f t="shared" ca="1" si="106"/>
        <v/>
      </c>
    </row>
    <row r="109" spans="1:6" ht="12.75" x14ac:dyDescent="0.2">
      <c r="A109" s="40"/>
      <c r="B109" s="41" t="s">
        <v>1774</v>
      </c>
      <c r="C109" s="41" t="s">
        <v>1774</v>
      </c>
      <c r="D109" s="50" t="str">
        <f t="shared" ref="D109:F109" ca="1" si="107">IFERROR(__xludf.DUMMYFUNCTION("if (A109 &lt;&gt; """", GOOGLETRANSLATE(A109, ""auto"", ""en""), """")"),"")</f>
        <v/>
      </c>
      <c r="E109" s="50" t="str">
        <f t="shared" ca="1" si="107"/>
        <v/>
      </c>
      <c r="F109" s="50" t="str">
        <f t="shared" ca="1" si="107"/>
        <v/>
      </c>
    </row>
    <row r="110" spans="1:6" ht="12.75" x14ac:dyDescent="0.2">
      <c r="A110" s="40"/>
      <c r="B110" s="41" t="s">
        <v>1775</v>
      </c>
      <c r="C110" s="41" t="s">
        <v>1775</v>
      </c>
      <c r="D110" s="50" t="str">
        <f t="shared" ref="D110:F110" ca="1" si="108">IFERROR(__xludf.DUMMYFUNCTION("if (A110 &lt;&gt; """", GOOGLETRANSLATE(A110, ""auto"", ""en""), """")"),"")</f>
        <v/>
      </c>
      <c r="E110" s="50" t="str">
        <f t="shared" ca="1" si="108"/>
        <v/>
      </c>
      <c r="F110" s="50" t="str">
        <f t="shared" ca="1" si="108"/>
        <v/>
      </c>
    </row>
    <row r="111" spans="1:6" ht="12.75" x14ac:dyDescent="0.2">
      <c r="A111" s="40"/>
      <c r="B111" s="41" t="s">
        <v>1778</v>
      </c>
      <c r="C111" s="41" t="s">
        <v>1778</v>
      </c>
      <c r="D111" s="50" t="str">
        <f t="shared" ref="D111:F111" ca="1" si="109">IFERROR(__xludf.DUMMYFUNCTION("if (A111 &lt;&gt; """", GOOGLETRANSLATE(A111, ""auto"", ""en""), """")"),"")</f>
        <v/>
      </c>
      <c r="E111" s="50" t="str">
        <f t="shared" ca="1" si="109"/>
        <v/>
      </c>
      <c r="F111" s="50" t="str">
        <f t="shared" ca="1" si="109"/>
        <v/>
      </c>
    </row>
    <row r="112" spans="1:6" ht="12.75" x14ac:dyDescent="0.2">
      <c r="A112" s="40"/>
      <c r="B112" s="41" t="s">
        <v>1780</v>
      </c>
      <c r="C112" s="41" t="s">
        <v>1780</v>
      </c>
      <c r="D112" s="50" t="str">
        <f t="shared" ref="D112:F112" ca="1" si="110">IFERROR(__xludf.DUMMYFUNCTION("if (A112 &lt;&gt; """", GOOGLETRANSLATE(A112, ""auto"", ""en""), """")"),"")</f>
        <v/>
      </c>
      <c r="E112" s="50" t="str">
        <f t="shared" ca="1" si="110"/>
        <v/>
      </c>
      <c r="F112" s="50" t="str">
        <f t="shared" ca="1" si="110"/>
        <v/>
      </c>
    </row>
    <row r="113" spans="1:6" ht="12.75" x14ac:dyDescent="0.2">
      <c r="A113" s="40"/>
      <c r="B113" s="40"/>
      <c r="C113" s="40"/>
      <c r="D113" s="50" t="str">
        <f t="shared" ref="D113:F113" ca="1" si="111">IFERROR(__xludf.DUMMYFUNCTION("if (A113 &lt;&gt; """", GOOGLETRANSLATE(A113, ""auto"", ""en""), """")"),"")</f>
        <v/>
      </c>
      <c r="E113" s="50" t="str">
        <f t="shared" ca="1" si="111"/>
        <v/>
      </c>
      <c r="F113" s="50" t="str">
        <f t="shared" ca="1" si="111"/>
        <v/>
      </c>
    </row>
    <row r="114" spans="1:6" ht="12.75" x14ac:dyDescent="0.2">
      <c r="A114" s="38" t="s">
        <v>1783</v>
      </c>
      <c r="B114" s="39"/>
      <c r="C114" s="39"/>
      <c r="D114" s="39" t="str">
        <f t="shared" ref="D114:F114" ca="1" si="112">IFERROR(__xludf.DUMMYFUNCTION("if (A114 &lt;&gt; """", GOOGLETRANSLATE(A114, ""auto"", ""en""), """")"),"unit-temperature")</f>
        <v>unit-temperature</v>
      </c>
      <c r="E114" s="39" t="str">
        <f t="shared" ca="1" si="112"/>
        <v>unit-temperature</v>
      </c>
      <c r="F114" s="39" t="str">
        <f t="shared" ca="1" si="112"/>
        <v>unit-temperature</v>
      </c>
    </row>
    <row r="115" spans="1:6" ht="12.75" x14ac:dyDescent="0.2">
      <c r="A115" s="40"/>
      <c r="B115" s="41" t="s">
        <v>1785</v>
      </c>
      <c r="C115" s="41" t="s">
        <v>1786</v>
      </c>
      <c r="D115" s="50" t="str">
        <f t="shared" ref="D115:F115" ca="1" si="113">IFERROR(__xludf.DUMMYFUNCTION("if (A115 &lt;&gt; """", GOOGLETRANSLATE(A115, ""auto"", ""en""), """")"),"")</f>
        <v/>
      </c>
      <c r="E115" s="50" t="str">
        <f t="shared" ca="1" si="113"/>
        <v/>
      </c>
      <c r="F115" s="50" t="str">
        <f t="shared" ca="1" si="113"/>
        <v/>
      </c>
    </row>
    <row r="116" spans="1:6" ht="25.5" x14ac:dyDescent="0.2">
      <c r="A116" s="40"/>
      <c r="B116" s="41" t="s">
        <v>1788</v>
      </c>
      <c r="C116" s="41" t="s">
        <v>1790</v>
      </c>
      <c r="D116" s="50" t="str">
        <f t="shared" ref="D116:F116" ca="1" si="114">IFERROR(__xludf.DUMMYFUNCTION("if (A116 &lt;&gt; """", GOOGLETRANSLATE(A116, ""auto"", ""en""), """")"),"")</f>
        <v/>
      </c>
      <c r="E116" s="50" t="str">
        <f t="shared" ca="1" si="114"/>
        <v/>
      </c>
      <c r="F116" s="50" t="str">
        <f t="shared" ca="1" si="114"/>
        <v/>
      </c>
    </row>
    <row r="117" spans="1:6" ht="38.25" x14ac:dyDescent="0.2">
      <c r="A117" s="40"/>
      <c r="B117" s="41" t="s">
        <v>1792</v>
      </c>
      <c r="C117" s="41" t="s">
        <v>1793</v>
      </c>
      <c r="D117" s="50" t="str">
        <f t="shared" ref="D117:F117" ca="1" si="115">IFERROR(__xludf.DUMMYFUNCTION("if (A117 &lt;&gt; """", GOOGLETRANSLATE(A117, ""auto"", ""en""), """")"),"")</f>
        <v/>
      </c>
      <c r="E117" s="50" t="str">
        <f t="shared" ca="1" si="115"/>
        <v/>
      </c>
      <c r="F117" s="50" t="str">
        <f t="shared" ca="1" si="115"/>
        <v/>
      </c>
    </row>
    <row r="118" spans="1:6" ht="12.75" x14ac:dyDescent="0.2">
      <c r="A118" s="40"/>
      <c r="B118" s="41" t="s">
        <v>1794</v>
      </c>
      <c r="C118" s="41" t="s">
        <v>1795</v>
      </c>
      <c r="D118" s="50" t="str">
        <f t="shared" ref="D118:F118" ca="1" si="116">IFERROR(__xludf.DUMMYFUNCTION("if (A118 &lt;&gt; """", GOOGLETRANSLATE(A118, ""auto"", ""en""), """")"),"")</f>
        <v/>
      </c>
      <c r="E118" s="50" t="str">
        <f t="shared" ca="1" si="116"/>
        <v/>
      </c>
      <c r="F118" s="50" t="str">
        <f t="shared" ca="1" si="116"/>
        <v/>
      </c>
    </row>
    <row r="119" spans="1:6" ht="12.75" x14ac:dyDescent="0.2">
      <c r="A119" s="40"/>
      <c r="B119" s="40"/>
      <c r="C119" s="40"/>
      <c r="D119" s="50" t="str">
        <f t="shared" ref="D119:F119" ca="1" si="117">IFERROR(__xludf.DUMMYFUNCTION("if (A119 &lt;&gt; """", GOOGLETRANSLATE(A119, ""auto"", ""en""), """")"),"")</f>
        <v/>
      </c>
      <c r="E119" s="50" t="str">
        <f t="shared" ca="1" si="117"/>
        <v/>
      </c>
      <c r="F119" s="50" t="str">
        <f t="shared" ca="1" si="117"/>
        <v/>
      </c>
    </row>
    <row r="120" spans="1:6" ht="12.75" x14ac:dyDescent="0.2">
      <c r="A120" s="38" t="s">
        <v>1796</v>
      </c>
      <c r="B120" s="39"/>
      <c r="C120" s="39"/>
      <c r="D120" s="39" t="str">
        <f t="shared" ref="D120:F120" ca="1" si="118">IFERROR(__xludf.DUMMYFUNCTION("if (A120 &lt;&gt; """", GOOGLETRANSLATE(A120, ""auto"", ""en""), """")"),"weather-condition")</f>
        <v>weather-condition</v>
      </c>
      <c r="E120" s="39" t="str">
        <f t="shared" ca="1" si="118"/>
        <v>weather-condition</v>
      </c>
      <c r="F120" s="39" t="str">
        <f t="shared" ca="1" si="118"/>
        <v>weather-condition</v>
      </c>
    </row>
    <row r="121" spans="1:6" ht="12.75" x14ac:dyDescent="0.2">
      <c r="A121" s="40"/>
      <c r="B121" s="41" t="s">
        <v>1797</v>
      </c>
      <c r="C121" s="41" t="s">
        <v>1798</v>
      </c>
      <c r="D121" s="50" t="str">
        <f t="shared" ref="D121:F121" ca="1" si="119">IFERROR(__xludf.DUMMYFUNCTION("if (A121 &lt;&gt; """", GOOGLETRANSLATE(A121, ""auto"", ""en""), """")"),"")</f>
        <v/>
      </c>
      <c r="E121" s="50" t="str">
        <f t="shared" ca="1" si="119"/>
        <v/>
      </c>
      <c r="F121" s="50" t="str">
        <f t="shared" ca="1" si="119"/>
        <v/>
      </c>
    </row>
    <row r="122" spans="1:6" ht="12.75" x14ac:dyDescent="0.2">
      <c r="A122" s="40"/>
      <c r="B122" s="41" t="s">
        <v>1799</v>
      </c>
      <c r="C122" s="41" t="s">
        <v>1800</v>
      </c>
      <c r="D122" s="50" t="str">
        <f t="shared" ref="D122:F122" ca="1" si="120">IFERROR(__xludf.DUMMYFUNCTION("if (A122 &lt;&gt; """", GOOGLETRANSLATE(A122, ""auto"", ""en""), """")"),"")</f>
        <v/>
      </c>
      <c r="E122" s="50" t="str">
        <f t="shared" ca="1" si="120"/>
        <v/>
      </c>
      <c r="F122" s="50" t="str">
        <f t="shared" ca="1" si="120"/>
        <v/>
      </c>
    </row>
    <row r="123" spans="1:6" ht="12.75" x14ac:dyDescent="0.2">
      <c r="A123" s="40"/>
      <c r="B123" s="41" t="s">
        <v>1801</v>
      </c>
      <c r="C123" s="41" t="s">
        <v>1802</v>
      </c>
      <c r="D123" s="50" t="str">
        <f t="shared" ref="D123:F123" ca="1" si="121">IFERROR(__xludf.DUMMYFUNCTION("if (A123 &lt;&gt; """", GOOGLETRANSLATE(A123, ""auto"", ""en""), """")"),"")</f>
        <v/>
      </c>
      <c r="E123" s="50" t="str">
        <f t="shared" ca="1" si="121"/>
        <v/>
      </c>
      <c r="F123" s="50" t="str">
        <f t="shared" ca="1" si="121"/>
        <v/>
      </c>
    </row>
    <row r="124" spans="1:6" ht="12.75" x14ac:dyDescent="0.2">
      <c r="A124" s="40"/>
      <c r="B124" s="41" t="s">
        <v>1803</v>
      </c>
      <c r="C124" s="41" t="s">
        <v>1804</v>
      </c>
      <c r="D124" s="50" t="str">
        <f t="shared" ref="D124:F124" ca="1" si="122">IFERROR(__xludf.DUMMYFUNCTION("if (A124 &lt;&gt; """", GOOGLETRANSLATE(A124, ""auto"", ""en""), """")"),"")</f>
        <v/>
      </c>
      <c r="E124" s="50" t="str">
        <f t="shared" ca="1" si="122"/>
        <v/>
      </c>
      <c r="F124" s="50" t="str">
        <f t="shared" ca="1" si="122"/>
        <v/>
      </c>
    </row>
    <row r="125" spans="1:6" ht="12.75" x14ac:dyDescent="0.2">
      <c r="A125" s="40"/>
      <c r="B125" s="41" t="s">
        <v>1805</v>
      </c>
      <c r="C125" s="41" t="s">
        <v>1807</v>
      </c>
      <c r="D125" s="50" t="str">
        <f t="shared" ref="D125:F125" ca="1" si="123">IFERROR(__xludf.DUMMYFUNCTION("if (A125 &lt;&gt; """", GOOGLETRANSLATE(A125, ""auto"", ""en""), """")"),"")</f>
        <v/>
      </c>
      <c r="E125" s="50" t="str">
        <f t="shared" ca="1" si="123"/>
        <v/>
      </c>
      <c r="F125" s="50" t="str">
        <f t="shared" ca="1" si="123"/>
        <v/>
      </c>
    </row>
    <row r="126" spans="1:6" ht="12.75" x14ac:dyDescent="0.2">
      <c r="A126" s="40"/>
      <c r="B126" s="41" t="s">
        <v>1808</v>
      </c>
      <c r="C126" s="41" t="s">
        <v>1810</v>
      </c>
      <c r="D126" s="50" t="str">
        <f t="shared" ref="D126:F126" ca="1" si="124">IFERROR(__xludf.DUMMYFUNCTION("if (A126 &lt;&gt; """", GOOGLETRANSLATE(A126, ""auto"", ""en""), """")"),"")</f>
        <v/>
      </c>
      <c r="E126" s="50" t="str">
        <f t="shared" ca="1" si="124"/>
        <v/>
      </c>
      <c r="F126" s="50" t="str">
        <f t="shared" ca="1" si="124"/>
        <v/>
      </c>
    </row>
    <row r="127" spans="1:6" ht="12.75" x14ac:dyDescent="0.2">
      <c r="A127" s="40"/>
      <c r="B127" s="41" t="s">
        <v>1811</v>
      </c>
      <c r="C127" s="41" t="s">
        <v>1813</v>
      </c>
      <c r="D127" s="50" t="str">
        <f t="shared" ref="D127:F127" ca="1" si="125">IFERROR(__xludf.DUMMYFUNCTION("if (A127 &lt;&gt; """", GOOGLETRANSLATE(A127, ""auto"", ""en""), """")"),"")</f>
        <v/>
      </c>
      <c r="E127" s="50" t="str">
        <f t="shared" ca="1" si="125"/>
        <v/>
      </c>
      <c r="F127" s="50" t="str">
        <f t="shared" ca="1" si="125"/>
        <v/>
      </c>
    </row>
    <row r="128" spans="1:6" ht="12.75" x14ac:dyDescent="0.2">
      <c r="A128" s="40"/>
      <c r="B128" s="41" t="s">
        <v>1815</v>
      </c>
      <c r="C128" s="41" t="s">
        <v>1817</v>
      </c>
      <c r="D128" s="50" t="str">
        <f t="shared" ref="D128:F128" ca="1" si="126">IFERROR(__xludf.DUMMYFUNCTION("if (A128 &lt;&gt; """", GOOGLETRANSLATE(A128, ""auto"", ""en""), """")"),"")</f>
        <v/>
      </c>
      <c r="E128" s="50" t="str">
        <f t="shared" ca="1" si="126"/>
        <v/>
      </c>
      <c r="F128" s="50" t="str">
        <f t="shared" ca="1" si="126"/>
        <v/>
      </c>
    </row>
    <row r="129" spans="1:6" ht="12.75" x14ac:dyDescent="0.2">
      <c r="A129" s="40"/>
      <c r="B129" s="41" t="s">
        <v>1818</v>
      </c>
      <c r="C129" s="41" t="s">
        <v>1820</v>
      </c>
      <c r="D129" s="50" t="str">
        <f t="shared" ref="D129:F129" ca="1" si="127">IFERROR(__xludf.DUMMYFUNCTION("if (A129 &lt;&gt; """", GOOGLETRANSLATE(A129, ""auto"", ""en""), """")"),"")</f>
        <v/>
      </c>
      <c r="E129" s="50" t="str">
        <f t="shared" ca="1" si="127"/>
        <v/>
      </c>
      <c r="F129" s="50" t="str">
        <f t="shared" ca="1" si="127"/>
        <v/>
      </c>
    </row>
    <row r="130" spans="1:6" ht="12.75" x14ac:dyDescent="0.2">
      <c r="A130" s="40"/>
      <c r="B130" s="41" t="s">
        <v>1823</v>
      </c>
      <c r="C130" s="41" t="s">
        <v>1825</v>
      </c>
      <c r="D130" s="50" t="str">
        <f t="shared" ref="D130:F130" ca="1" si="128">IFERROR(__xludf.DUMMYFUNCTION("if (A130 &lt;&gt; """", GOOGLETRANSLATE(A130, ""auto"", ""en""), """")"),"")</f>
        <v/>
      </c>
      <c r="E130" s="50" t="str">
        <f t="shared" ca="1" si="128"/>
        <v/>
      </c>
      <c r="F130" s="50" t="str">
        <f t="shared" ca="1" si="128"/>
        <v/>
      </c>
    </row>
    <row r="131" spans="1:6" ht="12.75" x14ac:dyDescent="0.2">
      <c r="A131" s="40"/>
      <c r="B131" s="41" t="s">
        <v>1827</v>
      </c>
      <c r="C131" s="41" t="s">
        <v>1829</v>
      </c>
      <c r="D131" s="50" t="str">
        <f t="shared" ref="D131:F131" ca="1" si="129">IFERROR(__xludf.DUMMYFUNCTION("if (A131 &lt;&gt; """", GOOGLETRANSLATE(A131, ""auto"", ""en""), """")"),"")</f>
        <v/>
      </c>
      <c r="E131" s="50" t="str">
        <f t="shared" ca="1" si="129"/>
        <v/>
      </c>
      <c r="F131" s="50" t="str">
        <f t="shared" ca="1" si="129"/>
        <v/>
      </c>
    </row>
    <row r="132" spans="1:6" ht="12.75" x14ac:dyDescent="0.2">
      <c r="A132" s="40"/>
      <c r="B132" s="41" t="s">
        <v>1830</v>
      </c>
      <c r="C132" s="41" t="s">
        <v>1831</v>
      </c>
      <c r="D132" s="50" t="str">
        <f t="shared" ref="D132:F132" ca="1" si="130">IFERROR(__xludf.DUMMYFUNCTION("if (A132 &lt;&gt; """", GOOGLETRANSLATE(A132, ""auto"", ""en""), """")"),"")</f>
        <v/>
      </c>
      <c r="E132" s="50" t="str">
        <f t="shared" ca="1" si="130"/>
        <v/>
      </c>
      <c r="F132" s="50" t="str">
        <f t="shared" ca="1" si="130"/>
        <v/>
      </c>
    </row>
    <row r="133" spans="1:6" ht="12.75" x14ac:dyDescent="0.2">
      <c r="A133" s="40"/>
      <c r="B133" s="41" t="s">
        <v>1833</v>
      </c>
      <c r="C133" s="41" t="s">
        <v>1835</v>
      </c>
      <c r="D133" s="50" t="str">
        <f t="shared" ref="D133:F133" ca="1" si="131">IFERROR(__xludf.DUMMYFUNCTION("if (A133 &lt;&gt; """", GOOGLETRANSLATE(A133, ""auto"", ""en""), """")"),"")</f>
        <v/>
      </c>
      <c r="E133" s="50" t="str">
        <f t="shared" ca="1" si="131"/>
        <v/>
      </c>
      <c r="F133" s="50" t="str">
        <f t="shared" ca="1" si="131"/>
        <v/>
      </c>
    </row>
    <row r="134" spans="1:6" ht="12.75" x14ac:dyDescent="0.2">
      <c r="A134" s="40"/>
      <c r="B134" s="41" t="s">
        <v>1837</v>
      </c>
      <c r="C134" s="41" t="s">
        <v>1839</v>
      </c>
      <c r="D134" s="50" t="str">
        <f t="shared" ref="D134:F134" ca="1" si="132">IFERROR(__xludf.DUMMYFUNCTION("if (A134 &lt;&gt; """", GOOGLETRANSLATE(A134, ""auto"", ""en""), """")"),"")</f>
        <v/>
      </c>
      <c r="E134" s="50" t="str">
        <f t="shared" ca="1" si="132"/>
        <v/>
      </c>
      <c r="F134" s="50" t="str">
        <f t="shared" ca="1" si="132"/>
        <v/>
      </c>
    </row>
    <row r="135" spans="1:6" ht="12.75" x14ac:dyDescent="0.2">
      <c r="A135" s="40"/>
      <c r="B135" s="41" t="s">
        <v>1841</v>
      </c>
      <c r="C135" s="41" t="s">
        <v>1843</v>
      </c>
      <c r="D135" s="50" t="str">
        <f t="shared" ref="D135:F135" ca="1" si="133">IFERROR(__xludf.DUMMYFUNCTION("if (A135 &lt;&gt; """", GOOGLETRANSLATE(A135, ""auto"", ""en""), """")"),"")</f>
        <v/>
      </c>
      <c r="E135" s="50" t="str">
        <f t="shared" ca="1" si="133"/>
        <v/>
      </c>
      <c r="F135" s="50" t="str">
        <f t="shared" ca="1" si="133"/>
        <v/>
      </c>
    </row>
    <row r="136" spans="1:6" ht="12.75" x14ac:dyDescent="0.2">
      <c r="A136" s="40"/>
      <c r="B136" s="41" t="s">
        <v>1845</v>
      </c>
      <c r="C136" s="41" t="s">
        <v>1847</v>
      </c>
      <c r="D136" s="50" t="str">
        <f t="shared" ref="D136:F136" ca="1" si="134">IFERROR(__xludf.DUMMYFUNCTION("if (A136 &lt;&gt; """", GOOGLETRANSLATE(A136, ""auto"", ""en""), """")"),"")</f>
        <v/>
      </c>
      <c r="E136" s="50" t="str">
        <f t="shared" ca="1" si="134"/>
        <v/>
      </c>
      <c r="F136" s="50" t="str">
        <f t="shared" ca="1" si="134"/>
        <v/>
      </c>
    </row>
    <row r="137" spans="1:6" ht="12.75" x14ac:dyDescent="0.2">
      <c r="A137" s="40"/>
      <c r="B137" s="41" t="s">
        <v>1849</v>
      </c>
      <c r="C137" s="41" t="s">
        <v>1850</v>
      </c>
      <c r="D137" s="50" t="str">
        <f t="shared" ref="D137:F137" ca="1" si="135">IFERROR(__xludf.DUMMYFUNCTION("if (A137 &lt;&gt; """", GOOGLETRANSLATE(A137, ""auto"", ""en""), """")"),"")</f>
        <v/>
      </c>
      <c r="E137" s="50" t="str">
        <f t="shared" ca="1" si="135"/>
        <v/>
      </c>
      <c r="F137" s="50" t="str">
        <f t="shared" ca="1" si="135"/>
        <v/>
      </c>
    </row>
    <row r="138" spans="1:6" ht="12.75" x14ac:dyDescent="0.2">
      <c r="A138" s="40"/>
      <c r="B138" s="41" t="s">
        <v>1852</v>
      </c>
      <c r="C138" s="41" t="s">
        <v>1854</v>
      </c>
      <c r="D138" s="50" t="str">
        <f t="shared" ref="D138:F138" ca="1" si="136">IFERROR(__xludf.DUMMYFUNCTION("if (A138 &lt;&gt; """", GOOGLETRANSLATE(A138, ""auto"", ""en""), """")"),"")</f>
        <v/>
      </c>
      <c r="E138" s="50" t="str">
        <f t="shared" ca="1" si="136"/>
        <v/>
      </c>
      <c r="F138" s="50" t="str">
        <f t="shared" ca="1" si="136"/>
        <v/>
      </c>
    </row>
    <row r="139" spans="1:6" ht="12.75" x14ac:dyDescent="0.2">
      <c r="A139" s="40"/>
      <c r="B139" s="41" t="s">
        <v>1855</v>
      </c>
      <c r="C139" s="41" t="s">
        <v>1857</v>
      </c>
      <c r="D139" s="50" t="str">
        <f t="shared" ref="D139:F139" ca="1" si="137">IFERROR(__xludf.DUMMYFUNCTION("if (A139 &lt;&gt; """", GOOGLETRANSLATE(A139, ""auto"", ""en""), """")"),"")</f>
        <v/>
      </c>
      <c r="E139" s="50" t="str">
        <f t="shared" ca="1" si="137"/>
        <v/>
      </c>
      <c r="F139" s="50" t="str">
        <f t="shared" ca="1" si="137"/>
        <v/>
      </c>
    </row>
    <row r="140" spans="1:6" ht="12.75" x14ac:dyDescent="0.2">
      <c r="A140" s="40"/>
      <c r="B140" s="40"/>
      <c r="C140" s="40"/>
      <c r="D140" s="50"/>
      <c r="E140" s="50"/>
      <c r="F140" s="50"/>
    </row>
  </sheetData>
  <mergeCells count="1">
    <mergeCell ref="D1:F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4"/>
  <sheetViews>
    <sheetView showGridLines="0" workbookViewId="0"/>
  </sheetViews>
  <sheetFormatPr defaultColWidth="14.42578125" defaultRowHeight="15.75" customHeight="1" x14ac:dyDescent="0.2"/>
  <cols>
    <col min="1" max="1" width="4.42578125" customWidth="1"/>
    <col min="2" max="2" width="10.5703125" customWidth="1"/>
    <col min="3" max="3" width="6.5703125" customWidth="1"/>
    <col min="4" max="4" width="11.28515625" customWidth="1"/>
    <col min="6" max="6" width="10.5703125" customWidth="1"/>
    <col min="7" max="7" width="4.28515625" customWidth="1"/>
    <col min="8" max="8" width="20.5703125" customWidth="1"/>
    <col min="9" max="9" width="4" customWidth="1"/>
    <col min="10" max="11" width="4.5703125" customWidth="1"/>
    <col min="14" max="14" width="4.7109375" customWidth="1"/>
    <col min="15" max="15" width="3.7109375" customWidth="1"/>
    <col min="17" max="17" width="11.7109375" customWidth="1"/>
    <col min="18" max="18" width="3.85546875" customWidth="1"/>
    <col min="19" max="19" width="6.28515625" customWidth="1"/>
    <col min="20" max="20" width="4.7109375" customWidth="1"/>
    <col min="23" max="23" width="7.42578125" customWidth="1"/>
    <col min="24" max="24" width="2.140625" customWidth="1"/>
  </cols>
  <sheetData>
    <row r="1" spans="1:24" x14ac:dyDescent="0.25">
      <c r="A1" s="52" t="s">
        <v>2245</v>
      </c>
      <c r="B1" s="53"/>
      <c r="C1" s="54"/>
      <c r="D1" s="92" t="s">
        <v>2247</v>
      </c>
      <c r="E1" s="85"/>
      <c r="F1" s="85"/>
      <c r="G1" s="86"/>
      <c r="H1" s="92" t="s">
        <v>2248</v>
      </c>
      <c r="I1" s="85"/>
      <c r="J1" s="85"/>
      <c r="K1" s="86"/>
      <c r="L1" s="92" t="s">
        <v>2249</v>
      </c>
      <c r="M1" s="85"/>
      <c r="N1" s="85"/>
      <c r="O1" s="86"/>
      <c r="P1" s="93" t="s">
        <v>2250</v>
      </c>
      <c r="Q1" s="85"/>
      <c r="R1" s="85"/>
      <c r="S1" s="86"/>
      <c r="T1" s="92" t="s">
        <v>2251</v>
      </c>
      <c r="U1" s="85"/>
      <c r="V1" s="85"/>
      <c r="W1" s="86"/>
      <c r="X1" s="55"/>
    </row>
    <row r="2" spans="1:24" ht="15.75" customHeight="1" x14ac:dyDescent="0.2">
      <c r="A2" s="55"/>
      <c r="B2" s="53"/>
      <c r="C2" s="55"/>
      <c r="D2" s="55"/>
      <c r="E2" s="55"/>
      <c r="F2" s="55"/>
      <c r="G2" s="53"/>
      <c r="H2" s="55"/>
      <c r="I2" s="55"/>
      <c r="J2" s="55"/>
      <c r="K2" s="53"/>
      <c r="L2" s="55"/>
      <c r="M2" s="55"/>
      <c r="N2" s="55"/>
      <c r="O2" s="53"/>
      <c r="P2" s="55"/>
      <c r="Q2" s="55"/>
      <c r="R2" s="55"/>
      <c r="S2" s="53"/>
      <c r="T2" s="55"/>
      <c r="U2" s="55"/>
      <c r="V2" s="55"/>
      <c r="W2" s="53"/>
      <c r="X2" s="55"/>
    </row>
    <row r="3" spans="1:24" ht="15.75" customHeight="1" x14ac:dyDescent="0.2">
      <c r="A3" s="55"/>
      <c r="B3" s="53"/>
      <c r="C3" s="55"/>
      <c r="D3" s="55"/>
      <c r="E3" s="55"/>
      <c r="F3" s="55"/>
      <c r="G3" s="53"/>
      <c r="H3" s="56"/>
      <c r="I3" s="55"/>
      <c r="J3" s="55"/>
      <c r="K3" s="53"/>
      <c r="L3" s="55"/>
      <c r="M3" s="55"/>
      <c r="N3" s="55"/>
      <c r="O3" s="53"/>
      <c r="P3" s="55"/>
      <c r="Q3" s="55"/>
      <c r="R3" s="55"/>
      <c r="S3" s="53"/>
      <c r="T3" s="55"/>
      <c r="U3" s="55"/>
      <c r="V3" s="55"/>
      <c r="W3" s="53"/>
      <c r="X3" s="55"/>
    </row>
    <row r="4" spans="1:24" ht="15.75" customHeight="1" x14ac:dyDescent="0.2">
      <c r="A4" s="55"/>
      <c r="B4" s="53"/>
      <c r="C4" s="57" t="s">
        <v>2252</v>
      </c>
      <c r="D4" s="58" t="s">
        <v>2253</v>
      </c>
      <c r="E4" s="56"/>
      <c r="F4" s="56"/>
      <c r="G4" s="59" t="s">
        <v>2254</v>
      </c>
      <c r="H4" s="60" t="s">
        <v>2255</v>
      </c>
      <c r="I4" s="56"/>
      <c r="J4" s="56"/>
      <c r="K4" s="61"/>
      <c r="L4" s="56"/>
      <c r="M4" s="55"/>
      <c r="N4" s="55"/>
      <c r="O4" s="53"/>
      <c r="P4" s="55"/>
      <c r="Q4" s="55"/>
      <c r="R4" s="55"/>
      <c r="S4" s="53"/>
      <c r="T4" s="55"/>
      <c r="U4" s="55"/>
      <c r="V4" s="55"/>
      <c r="W4" s="53"/>
      <c r="X4" s="55"/>
    </row>
    <row r="5" spans="1:24" ht="15.75" customHeight="1" x14ac:dyDescent="0.2">
      <c r="A5" s="55"/>
      <c r="B5" s="53"/>
      <c r="C5" s="55"/>
      <c r="D5" s="62"/>
      <c r="E5" s="55"/>
      <c r="F5" s="55"/>
      <c r="G5" s="55"/>
      <c r="H5" s="63"/>
      <c r="I5" s="55"/>
      <c r="J5" s="55"/>
      <c r="K5" s="53"/>
      <c r="L5" s="53"/>
      <c r="M5" s="55"/>
      <c r="N5" s="55"/>
      <c r="O5" s="53"/>
      <c r="P5" s="55"/>
      <c r="Q5" s="55"/>
      <c r="R5" s="55"/>
      <c r="S5" s="53"/>
      <c r="T5" s="55"/>
      <c r="U5" s="55"/>
      <c r="V5" s="55"/>
      <c r="W5" s="53"/>
      <c r="X5" s="55"/>
    </row>
    <row r="6" spans="1:24" ht="15.75" customHeight="1" x14ac:dyDescent="0.2">
      <c r="A6" s="55"/>
      <c r="B6" s="61"/>
      <c r="C6" s="53"/>
      <c r="D6" s="53"/>
      <c r="E6" s="55"/>
      <c r="F6" s="55"/>
      <c r="G6" s="53"/>
      <c r="H6" s="55"/>
      <c r="I6" s="55"/>
      <c r="J6" s="55"/>
      <c r="K6" s="53"/>
      <c r="L6" s="53"/>
      <c r="M6" s="55"/>
      <c r="N6" s="55"/>
      <c r="O6" s="53"/>
      <c r="P6" s="55"/>
      <c r="Q6" s="55"/>
      <c r="R6" s="55"/>
      <c r="S6" s="53"/>
      <c r="T6" s="55"/>
      <c r="U6" s="55"/>
      <c r="V6" s="55"/>
      <c r="W6" s="53"/>
      <c r="X6" s="55"/>
    </row>
    <row r="7" spans="1:24" ht="15.75" customHeight="1" x14ac:dyDescent="0.2">
      <c r="A7" s="64" t="s">
        <v>2256</v>
      </c>
      <c r="B7" s="65" t="s">
        <v>2257</v>
      </c>
      <c r="C7" s="61"/>
      <c r="D7" s="53"/>
      <c r="E7" s="55"/>
      <c r="F7" s="55"/>
      <c r="G7" s="53"/>
      <c r="H7" s="55"/>
      <c r="I7" s="55"/>
      <c r="J7" s="55"/>
      <c r="K7" s="53"/>
      <c r="L7" s="53"/>
      <c r="M7" s="55"/>
      <c r="N7" s="55"/>
      <c r="O7" s="53"/>
      <c r="P7" s="55"/>
      <c r="Q7" s="55"/>
      <c r="R7" s="55"/>
      <c r="S7" s="53"/>
      <c r="T7" s="55"/>
      <c r="U7" s="55"/>
      <c r="V7" s="55"/>
      <c r="W7" s="53"/>
      <c r="X7" s="55"/>
    </row>
    <row r="8" spans="1:24" ht="15.75" customHeight="1" x14ac:dyDescent="0.2">
      <c r="A8" s="55"/>
      <c r="B8" s="66"/>
      <c r="C8" s="53"/>
      <c r="D8" s="53"/>
      <c r="E8" s="67" t="s">
        <v>2258</v>
      </c>
      <c r="F8" s="68" t="s">
        <v>2257</v>
      </c>
      <c r="G8" s="53"/>
      <c r="H8" s="55"/>
      <c r="I8" s="55"/>
      <c r="J8" s="55"/>
      <c r="K8" s="53"/>
      <c r="L8" s="53"/>
      <c r="M8" s="55"/>
      <c r="N8" s="55"/>
      <c r="O8" s="53"/>
      <c r="P8" s="55"/>
      <c r="Q8" s="55"/>
      <c r="R8" s="55"/>
      <c r="S8" s="53"/>
      <c r="T8" s="55"/>
      <c r="U8" s="55"/>
      <c r="V8" s="55"/>
      <c r="W8" s="53"/>
      <c r="X8" s="55"/>
    </row>
    <row r="9" spans="1:24" ht="15.75" customHeight="1" x14ac:dyDescent="0.2">
      <c r="A9" s="55"/>
      <c r="B9" s="53"/>
      <c r="C9" s="53"/>
      <c r="D9" s="55"/>
      <c r="E9" s="55"/>
      <c r="F9" s="69"/>
      <c r="G9" s="53"/>
      <c r="H9" s="55"/>
      <c r="I9" s="55"/>
      <c r="J9" s="55"/>
      <c r="K9" s="53"/>
      <c r="L9" s="53"/>
      <c r="M9" s="55"/>
      <c r="N9" s="55"/>
      <c r="O9" s="53"/>
      <c r="P9" s="55"/>
      <c r="Q9" s="55"/>
      <c r="R9" s="55"/>
      <c r="S9" s="53"/>
      <c r="T9" s="55"/>
      <c r="U9" s="55"/>
      <c r="V9" s="55"/>
      <c r="W9" s="53"/>
      <c r="X9" s="55"/>
    </row>
    <row r="10" spans="1:24" ht="15.75" customHeight="1" x14ac:dyDescent="0.2">
      <c r="A10" s="55"/>
      <c r="B10" s="53"/>
      <c r="C10" s="53"/>
      <c r="D10" s="55"/>
      <c r="E10" s="53"/>
      <c r="F10" s="55"/>
      <c r="G10" s="53"/>
      <c r="H10" s="55"/>
      <c r="I10" s="55"/>
      <c r="J10" s="55"/>
      <c r="K10" s="53"/>
      <c r="L10" s="53"/>
      <c r="M10" s="55"/>
      <c r="N10" s="55"/>
      <c r="O10" s="53"/>
      <c r="P10" s="55"/>
      <c r="Q10" s="55"/>
      <c r="R10" s="55"/>
      <c r="S10" s="53"/>
      <c r="T10" s="55"/>
      <c r="U10" s="55"/>
      <c r="V10" s="55"/>
      <c r="W10" s="53"/>
      <c r="X10" s="55"/>
    </row>
    <row r="11" spans="1:24" ht="15.75" customHeight="1" x14ac:dyDescent="0.2">
      <c r="A11" s="55"/>
      <c r="B11" s="53"/>
      <c r="C11" s="53"/>
      <c r="D11" s="55"/>
      <c r="E11" s="53"/>
      <c r="F11" s="55"/>
      <c r="G11" s="53"/>
      <c r="H11" s="55"/>
      <c r="I11" s="55"/>
      <c r="J11" s="55"/>
      <c r="K11" s="53"/>
      <c r="L11" s="53"/>
      <c r="M11" s="55"/>
      <c r="N11" s="55"/>
      <c r="O11" s="53"/>
      <c r="P11" s="55"/>
      <c r="Q11" s="55"/>
      <c r="R11" s="55"/>
      <c r="S11" s="53"/>
      <c r="T11" s="55"/>
      <c r="U11" s="55"/>
      <c r="V11" s="55"/>
      <c r="W11" s="53"/>
      <c r="X11" s="55"/>
    </row>
    <row r="12" spans="1:24" ht="15.75" customHeight="1" x14ac:dyDescent="0.2">
      <c r="A12" s="55"/>
      <c r="B12" s="53"/>
      <c r="C12" s="53"/>
      <c r="D12" s="55"/>
      <c r="E12" s="53"/>
      <c r="F12" s="55"/>
      <c r="G12" s="53"/>
      <c r="H12" s="55"/>
      <c r="I12" s="55"/>
      <c r="J12" s="55"/>
      <c r="K12" s="53"/>
      <c r="L12" s="57" t="s">
        <v>2252</v>
      </c>
      <c r="M12" s="70" t="s">
        <v>2253</v>
      </c>
      <c r="N12" s="55"/>
      <c r="O12" s="53"/>
      <c r="P12" s="55"/>
      <c r="Q12" s="55"/>
      <c r="R12" s="55"/>
      <c r="S12" s="53"/>
      <c r="T12" s="55"/>
      <c r="U12" s="55"/>
      <c r="V12" s="55"/>
      <c r="W12" s="53"/>
      <c r="X12" s="55"/>
    </row>
    <row r="13" spans="1:24" ht="15.75" customHeight="1" x14ac:dyDescent="0.2">
      <c r="A13" s="55"/>
      <c r="B13" s="53"/>
      <c r="C13" s="57" t="s">
        <v>2259</v>
      </c>
      <c r="D13" s="71" t="s">
        <v>2260</v>
      </c>
      <c r="E13" s="61"/>
      <c r="F13" s="55"/>
      <c r="G13" s="53"/>
      <c r="H13" s="55"/>
      <c r="I13" s="55"/>
      <c r="J13" s="55"/>
      <c r="K13" s="53"/>
      <c r="L13" s="55"/>
      <c r="M13" s="69"/>
      <c r="N13" s="55"/>
      <c r="O13" s="53"/>
      <c r="P13" s="55"/>
      <c r="Q13" s="55"/>
      <c r="R13" s="55"/>
      <c r="S13" s="53"/>
      <c r="T13" s="55"/>
      <c r="U13" s="55"/>
      <c r="V13" s="55"/>
      <c r="W13" s="53"/>
      <c r="X13" s="55"/>
    </row>
    <row r="14" spans="1:24" ht="15.75" customHeight="1" x14ac:dyDescent="0.2">
      <c r="A14" s="55"/>
      <c r="B14" s="53"/>
      <c r="C14" s="55"/>
      <c r="D14" s="69"/>
      <c r="E14" s="55"/>
      <c r="F14" s="55"/>
      <c r="G14" s="53"/>
      <c r="H14" s="55"/>
      <c r="I14" s="55"/>
      <c r="J14" s="55"/>
      <c r="K14" s="53"/>
      <c r="L14" s="53"/>
      <c r="M14" s="55"/>
      <c r="N14" s="55"/>
      <c r="O14" s="53"/>
      <c r="P14" s="55"/>
      <c r="Q14" s="55"/>
      <c r="R14" s="55"/>
      <c r="S14" s="53"/>
      <c r="T14" s="55"/>
      <c r="U14" s="55"/>
      <c r="V14" s="55"/>
      <c r="W14" s="53"/>
      <c r="X14" s="55"/>
    </row>
    <row r="15" spans="1:24" ht="15.75" customHeight="1" x14ac:dyDescent="0.2">
      <c r="A15" s="55"/>
      <c r="B15" s="53"/>
      <c r="C15" s="53"/>
      <c r="D15" s="55"/>
      <c r="E15" s="55"/>
      <c r="F15" s="55"/>
      <c r="G15" s="53"/>
      <c r="H15" s="55"/>
      <c r="I15" s="55"/>
      <c r="J15" s="55"/>
      <c r="K15" s="53"/>
      <c r="L15" s="53"/>
      <c r="M15" s="55"/>
      <c r="N15" s="55"/>
      <c r="O15" s="53"/>
      <c r="P15" s="55"/>
      <c r="Q15" s="55"/>
      <c r="R15" s="55"/>
      <c r="S15" s="53"/>
      <c r="T15" s="55"/>
      <c r="U15" s="55"/>
      <c r="V15" s="55"/>
      <c r="W15" s="53"/>
      <c r="X15" s="55"/>
    </row>
    <row r="16" spans="1:24" ht="15.75" customHeight="1" x14ac:dyDescent="0.2">
      <c r="A16" s="55"/>
      <c r="B16" s="53"/>
      <c r="C16" s="53"/>
      <c r="D16" s="55"/>
      <c r="E16" s="55"/>
      <c r="F16" s="55"/>
      <c r="G16" s="53"/>
      <c r="H16" s="55"/>
      <c r="I16" s="55"/>
      <c r="J16" s="55"/>
      <c r="K16" s="53"/>
      <c r="L16" s="53"/>
      <c r="M16" s="55"/>
      <c r="N16" s="55"/>
      <c r="O16" s="53"/>
      <c r="P16" s="55"/>
      <c r="Q16" s="55"/>
      <c r="R16" s="55"/>
      <c r="S16" s="53"/>
      <c r="T16" s="55"/>
      <c r="U16" s="55"/>
      <c r="V16" s="55"/>
      <c r="W16" s="53"/>
      <c r="X16" s="55"/>
    </row>
    <row r="17" spans="1:24" ht="15.75" customHeight="1" x14ac:dyDescent="0.2">
      <c r="A17" s="55"/>
      <c r="B17" s="53"/>
      <c r="C17" s="53"/>
      <c r="D17" s="55"/>
      <c r="E17" s="55"/>
      <c r="F17" s="55"/>
      <c r="G17" s="53"/>
      <c r="H17" s="55"/>
      <c r="I17" s="55"/>
      <c r="J17" s="55"/>
      <c r="K17" s="53"/>
      <c r="L17" s="53"/>
      <c r="M17" s="55"/>
      <c r="N17" s="55"/>
      <c r="O17" s="53"/>
      <c r="P17" s="55"/>
      <c r="Q17" s="55"/>
      <c r="R17" s="55"/>
      <c r="S17" s="53"/>
      <c r="T17" s="55"/>
      <c r="U17" s="55"/>
      <c r="V17" s="55"/>
      <c r="W17" s="53"/>
      <c r="X17" s="55"/>
    </row>
    <row r="18" spans="1:24" ht="15.75" customHeight="1" x14ac:dyDescent="0.2">
      <c r="A18" s="55"/>
      <c r="B18" s="53"/>
      <c r="C18" s="57" t="s">
        <v>2261</v>
      </c>
      <c r="D18" s="71" t="s">
        <v>2262</v>
      </c>
      <c r="E18" s="56"/>
      <c r="F18" s="56"/>
      <c r="G18" s="61"/>
      <c r="H18" s="56"/>
      <c r="I18" s="56"/>
      <c r="J18" s="56"/>
      <c r="K18" s="61"/>
      <c r="L18" s="72">
        <v>10</v>
      </c>
      <c r="M18" s="73" t="s">
        <v>2263</v>
      </c>
      <c r="N18" s="55"/>
      <c r="O18" s="53"/>
      <c r="P18" s="55"/>
      <c r="Q18" s="55"/>
      <c r="R18" s="55"/>
      <c r="S18" s="53"/>
      <c r="T18" s="55"/>
      <c r="U18" s="55"/>
      <c r="V18" s="55"/>
      <c r="W18" s="53"/>
      <c r="X18" s="55"/>
    </row>
    <row r="19" spans="1:24" ht="15.75" customHeight="1" x14ac:dyDescent="0.2">
      <c r="A19" s="55"/>
      <c r="B19" s="53"/>
      <c r="C19" s="55"/>
      <c r="D19" s="69"/>
      <c r="E19" s="55"/>
      <c r="F19" s="55"/>
      <c r="G19" s="53"/>
      <c r="H19" s="55"/>
      <c r="I19" s="55"/>
      <c r="J19" s="55"/>
      <c r="K19" s="53"/>
      <c r="L19" s="55"/>
      <c r="M19" s="74"/>
      <c r="N19" s="55"/>
      <c r="O19" s="53"/>
      <c r="P19" s="55"/>
      <c r="Q19" s="55"/>
      <c r="R19" s="55"/>
      <c r="S19" s="53"/>
      <c r="T19" s="55"/>
      <c r="U19" s="55"/>
      <c r="V19" s="55"/>
      <c r="W19" s="53"/>
      <c r="X19" s="55"/>
    </row>
    <row r="20" spans="1:24" ht="15.75" customHeight="1" x14ac:dyDescent="0.2">
      <c r="A20" s="75"/>
      <c r="B20" s="76"/>
      <c r="C20" s="55"/>
      <c r="D20" s="77"/>
      <c r="E20" s="55"/>
      <c r="F20" s="55"/>
      <c r="G20" s="53"/>
      <c r="H20" s="55"/>
      <c r="I20" s="55"/>
      <c r="J20" s="55"/>
      <c r="K20" s="53"/>
      <c r="L20" s="55"/>
      <c r="M20" s="55"/>
      <c r="N20" s="55"/>
      <c r="O20" s="53"/>
      <c r="P20" s="55"/>
      <c r="Q20" s="55"/>
      <c r="R20" s="55"/>
      <c r="S20" s="53"/>
      <c r="T20" s="55"/>
      <c r="U20" s="55"/>
      <c r="V20" s="55"/>
      <c r="W20" s="53"/>
      <c r="X20" s="55"/>
    </row>
    <row r="21" spans="1:24" ht="15.75" customHeight="1" x14ac:dyDescent="0.2">
      <c r="A21" s="55"/>
      <c r="B21" s="53"/>
      <c r="C21" s="55"/>
      <c r="D21" s="77"/>
      <c r="E21" s="55"/>
      <c r="F21" s="55"/>
      <c r="G21" s="53"/>
      <c r="H21" s="55"/>
      <c r="I21" s="55"/>
      <c r="J21" s="55"/>
      <c r="K21" s="53"/>
      <c r="L21" s="55"/>
      <c r="M21" s="55"/>
      <c r="N21" s="55"/>
      <c r="O21" s="53"/>
      <c r="P21" s="55"/>
      <c r="Q21" s="55"/>
      <c r="R21" s="55"/>
      <c r="S21" s="53"/>
      <c r="T21" s="55"/>
      <c r="U21" s="55"/>
      <c r="V21" s="55"/>
      <c r="W21" s="53"/>
      <c r="X21" s="55"/>
    </row>
    <row r="22" spans="1:24" ht="15.75" customHeight="1" x14ac:dyDescent="0.2">
      <c r="A22" s="55"/>
      <c r="B22" s="53"/>
      <c r="C22" s="57" t="s">
        <v>2264</v>
      </c>
      <c r="D22" s="78" t="s">
        <v>2265</v>
      </c>
      <c r="E22" s="55"/>
      <c r="F22" s="55"/>
      <c r="G22" s="53"/>
      <c r="H22" s="55"/>
      <c r="I22" s="55"/>
      <c r="J22" s="55"/>
      <c r="K22" s="53"/>
      <c r="L22" s="55"/>
      <c r="M22" s="55"/>
      <c r="N22" s="55"/>
      <c r="O22" s="53"/>
      <c r="P22" s="55"/>
      <c r="Q22" s="55"/>
      <c r="R22" s="55"/>
      <c r="S22" s="53"/>
      <c r="T22" s="55"/>
      <c r="U22" s="55"/>
      <c r="V22" s="55"/>
      <c r="W22" s="53"/>
      <c r="X22" s="55"/>
    </row>
    <row r="23" spans="1:24" ht="15.75" customHeight="1" x14ac:dyDescent="0.2">
      <c r="A23" s="55"/>
      <c r="B23" s="53"/>
      <c r="C23" s="55"/>
      <c r="D23" s="69"/>
      <c r="E23" s="55"/>
      <c r="F23" s="55"/>
      <c r="G23" s="53"/>
      <c r="H23" s="55"/>
      <c r="I23" s="55"/>
      <c r="J23" s="55"/>
      <c r="K23" s="53"/>
      <c r="L23" s="55"/>
      <c r="M23" s="55"/>
      <c r="N23" s="55"/>
      <c r="O23" s="53"/>
      <c r="P23" s="55"/>
      <c r="Q23" s="55"/>
      <c r="R23" s="55"/>
      <c r="S23" s="53"/>
      <c r="T23" s="55"/>
      <c r="U23" s="55"/>
      <c r="V23" s="55"/>
      <c r="W23" s="53"/>
      <c r="X23" s="55"/>
    </row>
    <row r="24" spans="1:24" ht="15.75" customHeight="1" x14ac:dyDescent="0.2">
      <c r="A24" s="55"/>
      <c r="B24" s="53"/>
      <c r="C24" s="55"/>
      <c r="D24" s="77"/>
      <c r="E24" s="55"/>
      <c r="F24" s="55"/>
      <c r="G24" s="53"/>
      <c r="H24" s="55"/>
      <c r="I24" s="55"/>
      <c r="J24" s="55"/>
      <c r="K24" s="53"/>
      <c r="L24" s="55"/>
      <c r="M24" s="55"/>
      <c r="N24" s="55"/>
      <c r="O24" s="53"/>
      <c r="P24" s="55"/>
      <c r="Q24" s="55"/>
      <c r="R24" s="55"/>
      <c r="S24" s="53"/>
      <c r="T24" s="55"/>
      <c r="U24" s="55"/>
      <c r="V24" s="55"/>
      <c r="W24" s="53"/>
      <c r="X24" s="55"/>
    </row>
    <row r="25" spans="1:24" ht="15.75" customHeight="1" x14ac:dyDescent="0.2">
      <c r="A25" s="55"/>
      <c r="B25" s="53"/>
      <c r="C25" s="55"/>
      <c r="D25" s="77"/>
      <c r="E25" s="55"/>
      <c r="F25" s="55"/>
      <c r="G25" s="53"/>
      <c r="H25" s="55"/>
      <c r="I25" s="55"/>
      <c r="J25" s="55"/>
      <c r="K25" s="53"/>
      <c r="L25" s="55"/>
      <c r="M25" s="55"/>
      <c r="N25" s="55"/>
      <c r="O25" s="53"/>
      <c r="P25" s="55"/>
      <c r="Q25" s="55"/>
      <c r="R25" s="55"/>
      <c r="S25" s="53"/>
      <c r="T25" s="55"/>
      <c r="U25" s="55"/>
      <c r="V25" s="55"/>
      <c r="W25" s="53"/>
      <c r="X25" s="55"/>
    </row>
    <row r="26" spans="1:24" ht="15.75" customHeight="1" x14ac:dyDescent="0.2">
      <c r="A26" s="55"/>
      <c r="B26" s="53"/>
      <c r="C26" s="57" t="s">
        <v>2266</v>
      </c>
      <c r="D26" s="78" t="s">
        <v>2267</v>
      </c>
      <c r="E26" s="55"/>
      <c r="F26" s="55"/>
      <c r="G26" s="53"/>
      <c r="H26" s="55"/>
      <c r="I26" s="55"/>
      <c r="J26" s="55"/>
      <c r="K26" s="53"/>
      <c r="L26" s="55"/>
      <c r="M26" s="55"/>
      <c r="N26" s="55"/>
      <c r="O26" s="53"/>
      <c r="P26" s="55"/>
      <c r="Q26" s="55"/>
      <c r="R26" s="55"/>
      <c r="S26" s="53"/>
      <c r="T26" s="55"/>
      <c r="U26" s="55"/>
      <c r="V26" s="55"/>
      <c r="W26" s="53"/>
      <c r="X26" s="55"/>
    </row>
    <row r="27" spans="1:24" ht="15.75" customHeight="1" x14ac:dyDescent="0.2">
      <c r="A27" s="55"/>
      <c r="B27" s="53"/>
      <c r="C27" s="55"/>
      <c r="D27" s="69"/>
      <c r="E27" s="55"/>
      <c r="F27" s="55"/>
      <c r="G27" s="53"/>
      <c r="H27" s="55"/>
      <c r="I27" s="55"/>
      <c r="J27" s="55"/>
      <c r="K27" s="53"/>
      <c r="L27" s="55"/>
      <c r="M27" s="55"/>
      <c r="N27" s="55"/>
      <c r="O27" s="53"/>
      <c r="P27" s="55"/>
      <c r="Q27" s="55"/>
      <c r="R27" s="55"/>
      <c r="S27" s="53"/>
      <c r="T27" s="55"/>
      <c r="U27" s="55"/>
      <c r="V27" s="55"/>
      <c r="W27" s="53"/>
      <c r="X27" s="55"/>
    </row>
    <row r="28" spans="1:24" ht="15.75" customHeight="1" x14ac:dyDescent="0.2">
      <c r="A28" s="55"/>
      <c r="B28" s="53"/>
      <c r="C28" s="55"/>
      <c r="D28" s="77"/>
      <c r="E28" s="55"/>
      <c r="F28" s="55"/>
      <c r="G28" s="53"/>
      <c r="H28" s="55"/>
      <c r="I28" s="55"/>
      <c r="J28" s="55"/>
      <c r="K28" s="53"/>
      <c r="L28" s="55"/>
      <c r="M28" s="55"/>
      <c r="N28" s="55"/>
      <c r="O28" s="53"/>
      <c r="P28" s="55"/>
      <c r="Q28" s="55"/>
      <c r="R28" s="55"/>
      <c r="S28" s="53"/>
      <c r="T28" s="55"/>
      <c r="U28" s="55"/>
      <c r="V28" s="55"/>
      <c r="W28" s="53"/>
      <c r="X28" s="55"/>
    </row>
    <row r="29" spans="1:24" ht="15.75" customHeight="1" x14ac:dyDescent="0.2">
      <c r="A29" s="55"/>
      <c r="B29" s="53"/>
      <c r="C29" s="55"/>
      <c r="D29" s="77"/>
      <c r="E29" s="55"/>
      <c r="F29" s="55"/>
      <c r="G29" s="53"/>
      <c r="H29" s="55"/>
      <c r="I29" s="55"/>
      <c r="J29" s="55"/>
      <c r="K29" s="53"/>
      <c r="L29" s="55"/>
      <c r="M29" s="55"/>
      <c r="N29" s="55"/>
      <c r="O29" s="53"/>
      <c r="P29" s="55"/>
      <c r="Q29" s="55"/>
      <c r="R29" s="55"/>
      <c r="S29" s="53"/>
      <c r="T29" s="55"/>
      <c r="U29" s="55"/>
      <c r="V29" s="55"/>
      <c r="W29" s="53"/>
      <c r="X29" s="55"/>
    </row>
    <row r="30" spans="1:24" ht="15" x14ac:dyDescent="0.2">
      <c r="A30" s="55"/>
      <c r="B30" s="53"/>
      <c r="C30" s="57" t="s">
        <v>2268</v>
      </c>
      <c r="D30" s="79" t="s">
        <v>2269</v>
      </c>
      <c r="E30" s="56"/>
      <c r="F30" s="56"/>
      <c r="G30" s="61"/>
      <c r="H30" s="56"/>
      <c r="I30" s="56"/>
      <c r="J30" s="56"/>
      <c r="K30" s="61"/>
      <c r="L30" s="56"/>
      <c r="M30" s="56"/>
      <c r="N30" s="56"/>
      <c r="O30" s="61"/>
      <c r="P30" s="56"/>
      <c r="Q30" s="56"/>
      <c r="R30" s="56"/>
      <c r="S30" s="61"/>
      <c r="T30" s="56"/>
      <c r="U30" s="73" t="s">
        <v>2270</v>
      </c>
      <c r="V30" s="55"/>
      <c r="W30" s="53"/>
      <c r="X30" s="55"/>
    </row>
    <row r="31" spans="1:24" ht="15" x14ac:dyDescent="0.2">
      <c r="A31" s="55"/>
      <c r="B31" s="53"/>
      <c r="C31" s="55"/>
      <c r="D31" s="74"/>
      <c r="E31" s="55"/>
      <c r="F31" s="55"/>
      <c r="G31" s="53"/>
      <c r="H31" s="55"/>
      <c r="I31" s="55"/>
      <c r="J31" s="55"/>
      <c r="K31" s="53"/>
      <c r="L31" s="55"/>
      <c r="M31" s="55"/>
      <c r="N31" s="55"/>
      <c r="O31" s="53"/>
      <c r="P31" s="55"/>
      <c r="Q31" s="55"/>
      <c r="R31" s="55"/>
      <c r="S31" s="53"/>
      <c r="T31" s="55"/>
      <c r="U31" s="73" t="s">
        <v>2271</v>
      </c>
      <c r="V31" s="55"/>
      <c r="W31" s="53"/>
      <c r="X31" s="55"/>
    </row>
    <row r="32" spans="1:24" ht="12.75" x14ac:dyDescent="0.2">
      <c r="A32" s="55"/>
      <c r="B32" s="53"/>
      <c r="C32" s="55"/>
      <c r="D32" s="55"/>
      <c r="E32" s="55"/>
      <c r="F32" s="55"/>
      <c r="G32" s="53"/>
      <c r="H32" s="55"/>
      <c r="I32" s="55"/>
      <c r="J32" s="55"/>
      <c r="K32" s="53"/>
      <c r="L32" s="55"/>
      <c r="M32" s="55"/>
      <c r="N32" s="55"/>
      <c r="O32" s="53"/>
      <c r="P32" s="55"/>
      <c r="Q32" s="55"/>
      <c r="R32" s="55"/>
      <c r="S32" s="53"/>
      <c r="T32" s="55"/>
      <c r="U32" s="55"/>
      <c r="V32" s="55"/>
      <c r="W32" s="53"/>
      <c r="X32" s="55"/>
    </row>
    <row r="33" spans="1:24" ht="12.75" x14ac:dyDescent="0.2">
      <c r="A33" s="55"/>
      <c r="B33" s="53"/>
      <c r="C33" s="56"/>
      <c r="D33" s="56"/>
      <c r="E33" s="56"/>
      <c r="F33" s="56"/>
      <c r="G33" s="61"/>
      <c r="H33" s="56"/>
      <c r="I33" s="56"/>
      <c r="J33" s="56"/>
      <c r="K33" s="61"/>
      <c r="L33" s="56"/>
      <c r="M33" s="56"/>
      <c r="N33" s="56"/>
      <c r="O33" s="61"/>
      <c r="P33" s="56"/>
      <c r="Q33" s="56"/>
      <c r="R33" s="56"/>
      <c r="S33" s="61"/>
      <c r="T33" s="56"/>
      <c r="U33" s="56"/>
      <c r="V33" s="56"/>
      <c r="W33" s="61"/>
      <c r="X33" s="55"/>
    </row>
    <row r="34" spans="1:24" ht="12.75" x14ac:dyDescent="0.2">
      <c r="A34" s="55"/>
      <c r="B34" s="55"/>
      <c r="C34" s="55"/>
      <c r="D34" s="55"/>
      <c r="E34" s="55"/>
      <c r="F34" s="55"/>
      <c r="G34" s="55"/>
      <c r="H34" s="55"/>
      <c r="I34" s="55"/>
      <c r="J34" s="55"/>
      <c r="K34" s="55"/>
      <c r="L34" s="55"/>
      <c r="M34" s="55"/>
      <c r="N34" s="55"/>
      <c r="O34" s="55"/>
      <c r="P34" s="55"/>
      <c r="Q34" s="55"/>
      <c r="R34" s="55"/>
      <c r="S34" s="55"/>
      <c r="T34" s="55"/>
      <c r="U34" s="55"/>
      <c r="V34" s="55"/>
      <c r="W34" s="55"/>
      <c r="X34" s="55"/>
    </row>
  </sheetData>
  <mergeCells count="5">
    <mergeCell ref="D1:G1"/>
    <mergeCell ref="H1:K1"/>
    <mergeCell ref="L1:O1"/>
    <mergeCell ref="P1:S1"/>
    <mergeCell ref="T1:W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F3169"/>
  <sheetViews>
    <sheetView tabSelected="1" topLeftCell="A50" workbookViewId="0">
      <selection activeCell="C65" sqref="C65"/>
    </sheetView>
  </sheetViews>
  <sheetFormatPr defaultColWidth="14.42578125" defaultRowHeight="15.75" customHeight="1" x14ac:dyDescent="0.2"/>
  <cols>
    <col min="1" max="1" width="50" customWidth="1"/>
    <col min="3" max="3" width="59.140625" customWidth="1"/>
    <col min="4" max="4" width="17.7109375" customWidth="1"/>
    <col min="5" max="5" width="50" customWidth="1"/>
  </cols>
  <sheetData>
    <row r="1" spans="1:6" ht="15.75" customHeight="1" x14ac:dyDescent="0.2">
      <c r="A1" s="41" t="s">
        <v>33</v>
      </c>
      <c r="B1" s="40"/>
      <c r="C1" s="40"/>
      <c r="D1" s="40"/>
      <c r="E1" s="40"/>
      <c r="F1" s="40"/>
    </row>
    <row r="2" spans="1:6" ht="15.75" customHeight="1" x14ac:dyDescent="0.2">
      <c r="A2" s="40"/>
      <c r="B2" s="41" t="s">
        <v>398</v>
      </c>
      <c r="C2" s="40"/>
      <c r="D2" s="40"/>
      <c r="E2" s="40"/>
      <c r="F2" s="40"/>
    </row>
    <row r="3" spans="1:6" ht="15.75" customHeight="1" x14ac:dyDescent="0.2">
      <c r="A3" s="40"/>
      <c r="B3" s="41" t="s">
        <v>399</v>
      </c>
      <c r="C3" s="40"/>
      <c r="D3" s="40"/>
      <c r="E3" s="40"/>
      <c r="F3" s="40"/>
    </row>
    <row r="4" spans="1:6" ht="15.75" customHeight="1" x14ac:dyDescent="0.2">
      <c r="A4" s="40"/>
      <c r="B4" s="41" t="s">
        <v>400</v>
      </c>
      <c r="C4" s="40"/>
      <c r="D4" s="40"/>
      <c r="E4" s="40"/>
      <c r="F4" s="40"/>
    </row>
    <row r="5" spans="1:6" ht="15.75" customHeight="1" x14ac:dyDescent="0.2">
      <c r="A5" s="40"/>
      <c r="B5" s="41" t="s">
        <v>401</v>
      </c>
      <c r="C5" s="41" t="s">
        <v>33</v>
      </c>
      <c r="D5" s="40"/>
      <c r="E5" s="40"/>
      <c r="F5" s="40"/>
    </row>
    <row r="6" spans="1:6" ht="15.75" customHeight="1" x14ac:dyDescent="0.2">
      <c r="A6" s="40"/>
      <c r="B6" s="41" t="s">
        <v>402</v>
      </c>
      <c r="C6" s="41" t="s">
        <v>35</v>
      </c>
      <c r="D6" s="40"/>
      <c r="E6" s="40"/>
      <c r="F6" s="40"/>
    </row>
    <row r="7" spans="1:6" ht="15.75" customHeight="1" x14ac:dyDescent="0.2">
      <c r="A7" s="40"/>
      <c r="B7" s="41" t="s">
        <v>402</v>
      </c>
      <c r="C7" s="41" t="s">
        <v>2246</v>
      </c>
      <c r="D7" s="40"/>
      <c r="E7" s="40"/>
      <c r="F7" s="40"/>
    </row>
    <row r="8" spans="1:6" ht="15.75" customHeight="1" x14ac:dyDescent="0.2">
      <c r="A8" s="40"/>
      <c r="B8" s="41" t="s">
        <v>403</v>
      </c>
      <c r="C8" s="41" t="s">
        <v>25</v>
      </c>
      <c r="D8" s="41" t="s">
        <v>27</v>
      </c>
      <c r="E8" s="40"/>
      <c r="F8" s="40"/>
    </row>
    <row r="9" spans="1:6" ht="15.75" customHeight="1" x14ac:dyDescent="0.2">
      <c r="A9" s="40"/>
      <c r="B9" s="41" t="s">
        <v>403</v>
      </c>
      <c r="C9" s="41" t="s">
        <v>30</v>
      </c>
      <c r="D9" s="41" t="s">
        <v>31</v>
      </c>
      <c r="E9" s="40"/>
      <c r="F9" s="40"/>
    </row>
    <row r="10" spans="1:6" ht="15.75" customHeight="1" x14ac:dyDescent="0.2">
      <c r="A10" s="40"/>
      <c r="B10" s="41" t="s">
        <v>403</v>
      </c>
      <c r="C10" s="41" t="s">
        <v>41</v>
      </c>
      <c r="D10" s="41" t="s">
        <v>10</v>
      </c>
      <c r="E10" s="40"/>
      <c r="F10" s="40"/>
    </row>
    <row r="11" spans="1:6" ht="15.75" customHeight="1" x14ac:dyDescent="0.2">
      <c r="A11" s="40"/>
      <c r="B11" s="40"/>
      <c r="C11" s="40"/>
      <c r="D11" s="40"/>
      <c r="E11" s="40"/>
      <c r="F11" s="40"/>
    </row>
    <row r="12" spans="1:6" ht="15.75" customHeight="1" x14ac:dyDescent="0.2">
      <c r="A12" s="41" t="s">
        <v>9</v>
      </c>
      <c r="B12" s="40"/>
      <c r="C12" s="40"/>
      <c r="D12" s="40"/>
      <c r="E12" s="40"/>
      <c r="F12" s="40"/>
    </row>
    <row r="13" spans="1:6" ht="15.75" customHeight="1" x14ac:dyDescent="0.2">
      <c r="A13" s="40"/>
      <c r="B13" s="41" t="s">
        <v>398</v>
      </c>
      <c r="C13" s="40"/>
      <c r="D13" s="40"/>
      <c r="E13" s="40"/>
      <c r="F13" s="40"/>
    </row>
    <row r="14" spans="1:6" ht="15.75" customHeight="1" x14ac:dyDescent="0.2">
      <c r="A14" s="40"/>
      <c r="B14" s="41" t="s">
        <v>399</v>
      </c>
      <c r="C14" s="40"/>
      <c r="D14" s="40"/>
      <c r="E14" s="40"/>
      <c r="F14" s="40"/>
    </row>
    <row r="15" spans="1:6" ht="15.75" customHeight="1" x14ac:dyDescent="0.2">
      <c r="A15" s="40"/>
      <c r="B15" s="41" t="s">
        <v>400</v>
      </c>
      <c r="C15" s="40"/>
      <c r="D15" s="40"/>
      <c r="E15" s="40"/>
      <c r="F15" s="40"/>
    </row>
    <row r="16" spans="1:6" ht="15.75" customHeight="1" x14ac:dyDescent="0.2">
      <c r="B16" s="41" t="s">
        <v>401</v>
      </c>
      <c r="C16" s="41" t="s">
        <v>9</v>
      </c>
      <c r="D16" s="40"/>
      <c r="E16" s="40"/>
      <c r="F16" s="40"/>
    </row>
    <row r="17" spans="1:6" ht="15.75" customHeight="1" x14ac:dyDescent="0.2">
      <c r="A17" s="40"/>
      <c r="B17" s="41" t="s">
        <v>402</v>
      </c>
      <c r="C17" s="41" t="s">
        <v>15</v>
      </c>
      <c r="D17" s="40"/>
      <c r="E17" s="40"/>
      <c r="F17" s="40"/>
    </row>
    <row r="18" spans="1:6" ht="15.75" customHeight="1" x14ac:dyDescent="0.2">
      <c r="A18" s="40"/>
      <c r="B18" s="41" t="s">
        <v>402</v>
      </c>
      <c r="C18" s="41" t="s">
        <v>18</v>
      </c>
      <c r="D18" s="40"/>
      <c r="E18" s="40"/>
      <c r="F18" s="40"/>
    </row>
    <row r="19" spans="1:6" ht="15.75" customHeight="1" x14ac:dyDescent="0.2">
      <c r="B19" s="41" t="s">
        <v>402</v>
      </c>
      <c r="C19" s="41" t="s">
        <v>20</v>
      </c>
      <c r="D19" s="40"/>
      <c r="E19" s="40"/>
      <c r="F19" s="40"/>
    </row>
    <row r="20" spans="1:6" ht="15.75" customHeight="1" x14ac:dyDescent="0.2">
      <c r="B20" s="41" t="s">
        <v>402</v>
      </c>
      <c r="C20" s="41" t="s">
        <v>22</v>
      </c>
      <c r="D20" s="40"/>
      <c r="E20" s="40"/>
      <c r="F20" s="40"/>
    </row>
    <row r="21" spans="1:6" ht="15.75" customHeight="1" x14ac:dyDescent="0.2">
      <c r="A21" s="40"/>
      <c r="B21" s="41" t="s">
        <v>403</v>
      </c>
      <c r="C21" s="41" t="s">
        <v>25</v>
      </c>
      <c r="D21" s="41" t="s">
        <v>27</v>
      </c>
      <c r="E21" s="40"/>
      <c r="F21" s="40"/>
    </row>
    <row r="22" spans="1:6" ht="15.75" customHeight="1" x14ac:dyDescent="0.2">
      <c r="B22" s="41" t="s">
        <v>403</v>
      </c>
      <c r="C22" s="41" t="s">
        <v>30</v>
      </c>
      <c r="D22" s="41" t="s">
        <v>31</v>
      </c>
      <c r="E22" s="40"/>
      <c r="F22" s="40"/>
    </row>
    <row r="23" spans="1:6" ht="15.75" customHeight="1" x14ac:dyDescent="0.2">
      <c r="A23" s="40"/>
      <c r="B23" s="41" t="s">
        <v>403</v>
      </c>
      <c r="C23" s="41" t="s">
        <v>16</v>
      </c>
      <c r="D23" s="41" t="s">
        <v>10</v>
      </c>
      <c r="E23" s="40"/>
      <c r="F23" s="40"/>
    </row>
    <row r="24" spans="1:6" ht="15.75" customHeight="1" x14ac:dyDescent="0.2">
      <c r="A24" s="40"/>
      <c r="B24" s="40"/>
      <c r="C24" s="40"/>
      <c r="D24" s="40"/>
      <c r="E24" s="40"/>
      <c r="F24" s="40"/>
    </row>
    <row r="25" spans="1:6" ht="15.75" customHeight="1" x14ac:dyDescent="0.2">
      <c r="A25" s="41" t="s">
        <v>368</v>
      </c>
      <c r="B25" s="40"/>
      <c r="C25" s="40"/>
      <c r="D25" s="40"/>
      <c r="E25" s="40"/>
      <c r="F25" s="40"/>
    </row>
    <row r="26" spans="1:6" ht="15.75" customHeight="1" x14ac:dyDescent="0.2">
      <c r="A26" s="40"/>
      <c r="B26" s="41" t="s">
        <v>398</v>
      </c>
      <c r="C26" s="40"/>
      <c r="D26" s="40"/>
      <c r="E26" s="40"/>
      <c r="F26" s="40"/>
    </row>
    <row r="27" spans="1:6" ht="15.75" customHeight="1" x14ac:dyDescent="0.2">
      <c r="A27" s="40"/>
      <c r="B27" s="41" t="s">
        <v>399</v>
      </c>
      <c r="C27" s="40"/>
      <c r="D27" s="40"/>
      <c r="E27" s="40"/>
      <c r="F27" s="40"/>
    </row>
    <row r="28" spans="1:6" ht="15.75" customHeight="1" x14ac:dyDescent="0.2">
      <c r="A28" s="40"/>
      <c r="B28" s="41" t="s">
        <v>400</v>
      </c>
      <c r="C28" s="40"/>
      <c r="D28" s="40"/>
      <c r="E28" s="40"/>
      <c r="F28" s="40"/>
    </row>
    <row r="29" spans="1:6" ht="15.75" customHeight="1" x14ac:dyDescent="0.2">
      <c r="A29" s="40"/>
      <c r="B29" s="41" t="s">
        <v>401</v>
      </c>
      <c r="C29" s="41" t="s">
        <v>368</v>
      </c>
      <c r="D29" s="40"/>
      <c r="E29" s="40"/>
      <c r="F29" s="40"/>
    </row>
    <row r="30" spans="1:6" ht="25.5" x14ac:dyDescent="0.2">
      <c r="A30" s="41" t="s">
        <v>405</v>
      </c>
      <c r="B30" s="41" t="s">
        <v>402</v>
      </c>
      <c r="C30" s="41" t="s">
        <v>370</v>
      </c>
      <c r="D30" s="40"/>
      <c r="E30" s="40"/>
      <c r="F30" s="40"/>
    </row>
    <row r="31" spans="1:6" ht="12.75" x14ac:dyDescent="0.2">
      <c r="A31" s="41" t="s">
        <v>369</v>
      </c>
      <c r="B31" s="41" t="s">
        <v>402</v>
      </c>
      <c r="C31" s="41" t="s">
        <v>19</v>
      </c>
      <c r="D31" s="40"/>
      <c r="E31" s="40"/>
      <c r="F31" s="40"/>
    </row>
    <row r="32" spans="1:6" ht="12.75" x14ac:dyDescent="0.2">
      <c r="A32" s="40"/>
      <c r="B32" s="41" t="s">
        <v>403</v>
      </c>
      <c r="C32" s="41" t="s">
        <v>38</v>
      </c>
      <c r="D32" s="41" t="s">
        <v>26</v>
      </c>
      <c r="E32" s="40"/>
      <c r="F32" s="40"/>
    </row>
    <row r="33" spans="1:6" ht="12.75" x14ac:dyDescent="0.2">
      <c r="A33" s="40"/>
      <c r="B33" s="41" t="s">
        <v>403</v>
      </c>
      <c r="C33" s="41" t="s">
        <v>56</v>
      </c>
      <c r="D33" s="41" t="s">
        <v>29</v>
      </c>
      <c r="E33" s="40"/>
      <c r="F33" s="40"/>
    </row>
    <row r="34" spans="1:6" ht="12.75" x14ac:dyDescent="0.2">
      <c r="A34" s="40"/>
      <c r="B34" s="41" t="s">
        <v>403</v>
      </c>
      <c r="C34" s="41" t="s">
        <v>25</v>
      </c>
      <c r="D34" s="41" t="s">
        <v>27</v>
      </c>
      <c r="E34" s="40"/>
      <c r="F34" s="40"/>
    </row>
    <row r="35" spans="1:6" ht="12.75" x14ac:dyDescent="0.2">
      <c r="A35" s="40"/>
      <c r="B35" s="41" t="s">
        <v>403</v>
      </c>
      <c r="C35" s="41" t="s">
        <v>30</v>
      </c>
      <c r="D35" s="41" t="s">
        <v>31</v>
      </c>
      <c r="E35" s="40"/>
      <c r="F35" s="40"/>
    </row>
    <row r="36" spans="1:6" ht="12.75" x14ac:dyDescent="0.2">
      <c r="A36" s="41" t="s">
        <v>373</v>
      </c>
      <c r="B36" s="40"/>
      <c r="C36" s="40"/>
      <c r="D36" s="40"/>
      <c r="E36" s="40"/>
      <c r="F36" s="40"/>
    </row>
    <row r="37" spans="1:6" ht="12.75" x14ac:dyDescent="0.2">
      <c r="A37" s="40"/>
      <c r="B37" s="41" t="s">
        <v>398</v>
      </c>
      <c r="C37" s="40"/>
      <c r="D37" s="40"/>
      <c r="E37" s="40"/>
      <c r="F37" s="40"/>
    </row>
    <row r="38" spans="1:6" ht="12.75" x14ac:dyDescent="0.2">
      <c r="A38" s="40"/>
      <c r="B38" s="41" t="s">
        <v>399</v>
      </c>
      <c r="C38" s="40"/>
      <c r="D38" s="40"/>
      <c r="E38" s="40"/>
      <c r="F38" s="40"/>
    </row>
    <row r="39" spans="1:6" ht="12.75" x14ac:dyDescent="0.2">
      <c r="A39" s="40"/>
      <c r="B39" s="41" t="s">
        <v>400</v>
      </c>
      <c r="C39" s="40"/>
      <c r="D39" s="40"/>
      <c r="E39" s="40"/>
      <c r="F39" s="40"/>
    </row>
    <row r="40" spans="1:6" ht="12.75" x14ac:dyDescent="0.2">
      <c r="A40" s="40"/>
      <c r="B40" s="41" t="s">
        <v>401</v>
      </c>
      <c r="C40" s="41" t="s">
        <v>373</v>
      </c>
      <c r="D40" s="40"/>
      <c r="E40" s="40"/>
      <c r="F40" s="40"/>
    </row>
    <row r="41" spans="1:6" ht="38.25" x14ac:dyDescent="0.2">
      <c r="A41" s="41" t="s">
        <v>406</v>
      </c>
      <c r="B41" s="41" t="s">
        <v>402</v>
      </c>
      <c r="C41" s="41" t="s">
        <v>375</v>
      </c>
      <c r="D41" s="40"/>
      <c r="E41" s="40"/>
      <c r="F41" s="40"/>
    </row>
    <row r="42" spans="1:6" ht="12.75" x14ac:dyDescent="0.2">
      <c r="A42" s="41" t="s">
        <v>407</v>
      </c>
      <c r="B42" s="41" t="s">
        <v>402</v>
      </c>
      <c r="C42" s="41" t="s">
        <v>19</v>
      </c>
      <c r="D42" s="40"/>
      <c r="E42" s="40"/>
      <c r="F42" s="40"/>
    </row>
    <row r="43" spans="1:6" ht="12.75" x14ac:dyDescent="0.2">
      <c r="A43" s="41" t="s">
        <v>408</v>
      </c>
      <c r="B43" s="40"/>
      <c r="C43" s="40"/>
      <c r="D43" s="40"/>
      <c r="E43" s="40"/>
      <c r="F43" s="40"/>
    </row>
    <row r="44" spans="1:6" ht="12.75" x14ac:dyDescent="0.2">
      <c r="A44" s="41" t="s">
        <v>374</v>
      </c>
      <c r="B44" s="40"/>
      <c r="C44" s="40"/>
      <c r="D44" s="40"/>
      <c r="E44" s="40"/>
      <c r="F44" s="40"/>
    </row>
    <row r="45" spans="1:6" ht="12.75" x14ac:dyDescent="0.2">
      <c r="A45" s="40"/>
      <c r="B45" s="41" t="s">
        <v>403</v>
      </c>
      <c r="C45" s="41" t="s">
        <v>38</v>
      </c>
      <c r="D45" s="41" t="s">
        <v>26</v>
      </c>
      <c r="E45" s="40"/>
      <c r="F45" s="40"/>
    </row>
    <row r="46" spans="1:6" ht="12.75" x14ac:dyDescent="0.2">
      <c r="A46" s="40"/>
      <c r="B46" s="41" t="s">
        <v>403</v>
      </c>
      <c r="C46" s="41" t="s">
        <v>56</v>
      </c>
      <c r="D46" s="41" t="s">
        <v>29</v>
      </c>
      <c r="E46" s="40"/>
      <c r="F46" s="40"/>
    </row>
    <row r="47" spans="1:6" ht="12.75" x14ac:dyDescent="0.2">
      <c r="A47" s="40"/>
      <c r="B47" s="41" t="s">
        <v>403</v>
      </c>
      <c r="C47" s="41" t="s">
        <v>25</v>
      </c>
      <c r="D47" s="41" t="s">
        <v>27</v>
      </c>
      <c r="E47" s="40"/>
      <c r="F47" s="40"/>
    </row>
    <row r="48" spans="1:6" ht="12.75" x14ac:dyDescent="0.2">
      <c r="A48" s="40"/>
      <c r="B48" s="41" t="s">
        <v>403</v>
      </c>
      <c r="C48" s="41" t="s">
        <v>30</v>
      </c>
      <c r="D48" s="41" t="s">
        <v>31</v>
      </c>
      <c r="E48" s="40"/>
      <c r="F48" s="40"/>
    </row>
    <row r="49" spans="1:6" ht="12.75" x14ac:dyDescent="0.2">
      <c r="A49" s="40"/>
      <c r="B49" s="40"/>
      <c r="C49" s="40"/>
      <c r="D49" s="40"/>
      <c r="E49" s="40"/>
      <c r="F49" s="40"/>
    </row>
    <row r="50" spans="1:6" ht="12.75" x14ac:dyDescent="0.2">
      <c r="A50" s="41" t="s">
        <v>378</v>
      </c>
      <c r="B50" s="40"/>
      <c r="C50" s="40"/>
      <c r="D50" s="40"/>
      <c r="E50" s="40"/>
      <c r="F50" s="40"/>
    </row>
    <row r="51" spans="1:6" ht="12.75" x14ac:dyDescent="0.2">
      <c r="A51" s="40"/>
      <c r="B51" s="41" t="s">
        <v>398</v>
      </c>
      <c r="C51" s="40"/>
      <c r="D51" s="40"/>
      <c r="E51" s="40"/>
      <c r="F51" s="40"/>
    </row>
    <row r="52" spans="1:6" ht="12.75" x14ac:dyDescent="0.2">
      <c r="A52" s="40"/>
      <c r="B52" s="41" t="s">
        <v>399</v>
      </c>
      <c r="C52" s="40"/>
      <c r="D52" s="40"/>
      <c r="E52" s="40"/>
      <c r="F52" s="40"/>
    </row>
    <row r="53" spans="1:6" ht="12.75" x14ac:dyDescent="0.2">
      <c r="A53" s="40"/>
      <c r="B53" s="41" t="s">
        <v>400</v>
      </c>
      <c r="C53" s="40"/>
      <c r="D53" s="40"/>
      <c r="E53" s="40"/>
      <c r="F53" s="40"/>
    </row>
    <row r="54" spans="1:6" ht="12.75" x14ac:dyDescent="0.2">
      <c r="A54" s="40"/>
      <c r="B54" s="41" t="s">
        <v>401</v>
      </c>
      <c r="C54" s="41" t="s">
        <v>378</v>
      </c>
      <c r="D54" s="40"/>
      <c r="E54" s="40"/>
      <c r="F54" s="40"/>
    </row>
    <row r="55" spans="1:6" ht="38.25" x14ac:dyDescent="0.2">
      <c r="A55" s="41" t="s">
        <v>409</v>
      </c>
      <c r="B55" s="41" t="s">
        <v>402</v>
      </c>
      <c r="C55" s="41" t="s">
        <v>410</v>
      </c>
      <c r="D55" s="40"/>
      <c r="E55" s="40"/>
      <c r="F55" s="40"/>
    </row>
    <row r="56" spans="1:6" ht="12.75" x14ac:dyDescent="0.2">
      <c r="A56" s="41" t="s">
        <v>411</v>
      </c>
      <c r="B56" s="41" t="s">
        <v>402</v>
      </c>
      <c r="C56" s="41" t="s">
        <v>19</v>
      </c>
      <c r="D56" s="40"/>
      <c r="E56" s="40"/>
      <c r="F56" s="40"/>
    </row>
    <row r="57" spans="1:6" ht="12.75" x14ac:dyDescent="0.2">
      <c r="A57" s="41" t="s">
        <v>412</v>
      </c>
      <c r="B57" s="40"/>
      <c r="C57" s="40"/>
      <c r="D57" s="40"/>
      <c r="E57" s="40"/>
      <c r="F57" s="40"/>
    </row>
    <row r="58" spans="1:6" ht="12.75" x14ac:dyDescent="0.2">
      <c r="A58" s="41" t="s">
        <v>413</v>
      </c>
      <c r="B58" s="40"/>
      <c r="C58" s="40"/>
      <c r="D58" s="40"/>
      <c r="E58" s="40"/>
      <c r="F58" s="40"/>
    </row>
    <row r="59" spans="1:6" ht="12.75" x14ac:dyDescent="0.2">
      <c r="A59" s="41" t="s">
        <v>379</v>
      </c>
      <c r="B59" s="40"/>
      <c r="C59" s="40"/>
      <c r="D59" s="40"/>
      <c r="E59" s="40"/>
      <c r="F59" s="40"/>
    </row>
    <row r="60" spans="1:6" ht="12.75" x14ac:dyDescent="0.2">
      <c r="A60" s="40"/>
      <c r="B60" s="41" t="s">
        <v>403</v>
      </c>
      <c r="C60" s="41" t="s">
        <v>38</v>
      </c>
      <c r="D60" s="41" t="s">
        <v>26</v>
      </c>
      <c r="E60" s="40"/>
      <c r="F60" s="40"/>
    </row>
    <row r="61" spans="1:6" ht="12.75" x14ac:dyDescent="0.2">
      <c r="A61" s="40"/>
      <c r="B61" s="41" t="s">
        <v>403</v>
      </c>
      <c r="C61" s="41" t="s">
        <v>56</v>
      </c>
      <c r="D61" s="41" t="s">
        <v>29</v>
      </c>
      <c r="E61" s="40"/>
      <c r="F61" s="40"/>
    </row>
    <row r="62" spans="1:6" ht="12.75" x14ac:dyDescent="0.2">
      <c r="A62" s="40"/>
      <c r="B62" s="41" t="s">
        <v>403</v>
      </c>
      <c r="C62" s="41" t="s">
        <v>25</v>
      </c>
      <c r="D62" s="41" t="s">
        <v>27</v>
      </c>
      <c r="E62" s="40"/>
      <c r="F62" s="40"/>
    </row>
    <row r="63" spans="1:6" ht="12.75" x14ac:dyDescent="0.2">
      <c r="A63" s="40"/>
      <c r="B63" s="41" t="s">
        <v>403</v>
      </c>
      <c r="C63" s="41" t="s">
        <v>30</v>
      </c>
      <c r="D63" s="41" t="s">
        <v>31</v>
      </c>
      <c r="E63" s="40"/>
      <c r="F63" s="40"/>
    </row>
    <row r="64" spans="1:6" ht="12.75" x14ac:dyDescent="0.2">
      <c r="A64" s="40"/>
      <c r="B64" s="40"/>
      <c r="C64" s="40"/>
      <c r="D64" s="40"/>
      <c r="E64" s="40"/>
      <c r="F64" s="40"/>
    </row>
    <row r="65" spans="1:6" ht="12.75" x14ac:dyDescent="0.2">
      <c r="A65" s="41" t="s">
        <v>10</v>
      </c>
      <c r="B65" s="40"/>
      <c r="C65" s="40"/>
      <c r="D65" s="40"/>
      <c r="E65" s="40"/>
      <c r="F65" s="40"/>
    </row>
    <row r="66" spans="1:6" ht="12.75" x14ac:dyDescent="0.2">
      <c r="A66" s="40"/>
      <c r="B66" s="41" t="s">
        <v>398</v>
      </c>
      <c r="C66" s="40"/>
      <c r="D66" s="40"/>
      <c r="E66" s="40"/>
      <c r="F66" s="40"/>
    </row>
    <row r="67" spans="1:6" ht="12.75" x14ac:dyDescent="0.2">
      <c r="A67" s="40"/>
      <c r="B67" s="41" t="s">
        <v>399</v>
      </c>
      <c r="C67" s="40"/>
      <c r="D67" s="40"/>
      <c r="E67" s="40"/>
      <c r="F67" s="40"/>
    </row>
    <row r="68" spans="1:6" ht="12.75" x14ac:dyDescent="0.2">
      <c r="A68" s="40"/>
      <c r="B68" s="41" t="s">
        <v>400</v>
      </c>
      <c r="C68" s="40"/>
      <c r="D68" s="40"/>
      <c r="E68" s="40"/>
      <c r="F68" s="40"/>
    </row>
    <row r="69" spans="1:6" ht="12.75" x14ac:dyDescent="0.2">
      <c r="A69" s="40"/>
      <c r="B69" s="41" t="s">
        <v>401</v>
      </c>
      <c r="C69" s="41" t="s">
        <v>10</v>
      </c>
      <c r="D69" s="40"/>
      <c r="E69" s="40"/>
      <c r="F69" s="40"/>
    </row>
    <row r="70" spans="1:6" ht="25.5" x14ac:dyDescent="0.2">
      <c r="A70" s="41" t="s">
        <v>414</v>
      </c>
      <c r="B70" s="41" t="s">
        <v>402</v>
      </c>
      <c r="C70" s="41" t="s">
        <v>17</v>
      </c>
      <c r="D70" s="40"/>
      <c r="E70" s="40"/>
      <c r="F70" s="40"/>
    </row>
    <row r="71" spans="1:6" ht="12.75" x14ac:dyDescent="0.2">
      <c r="A71" s="41" t="s">
        <v>415</v>
      </c>
      <c r="B71" s="40"/>
      <c r="C71" s="40"/>
      <c r="D71" s="40"/>
      <c r="E71" s="40"/>
      <c r="F71" s="40"/>
    </row>
    <row r="72" spans="1:6" ht="12.75" x14ac:dyDescent="0.2">
      <c r="A72" s="41" t="s">
        <v>416</v>
      </c>
      <c r="B72" s="40"/>
      <c r="C72" s="40"/>
      <c r="D72" s="40"/>
      <c r="E72" s="40"/>
      <c r="F72" s="40"/>
    </row>
    <row r="73" spans="1:6" ht="12.75" x14ac:dyDescent="0.2">
      <c r="A73" s="41" t="s">
        <v>417</v>
      </c>
      <c r="B73" s="40"/>
      <c r="C73" s="40"/>
      <c r="D73" s="40"/>
      <c r="E73" s="40"/>
      <c r="F73" s="40"/>
    </row>
    <row r="74" spans="1:6" ht="12.75" x14ac:dyDescent="0.2">
      <c r="A74" s="41" t="s">
        <v>41</v>
      </c>
      <c r="B74" s="40"/>
      <c r="C74" s="40"/>
      <c r="D74" s="40"/>
      <c r="E74" s="40"/>
      <c r="F74" s="40"/>
    </row>
    <row r="75" spans="1:6" ht="12.75" x14ac:dyDescent="0.2">
      <c r="A75" s="41" t="s">
        <v>16</v>
      </c>
      <c r="B75" s="40"/>
      <c r="C75" s="40"/>
      <c r="D75" s="40"/>
      <c r="E75" s="40"/>
      <c r="F75" s="40"/>
    </row>
    <row r="76" spans="1:6" ht="12.75" x14ac:dyDescent="0.2">
      <c r="A76" s="40"/>
      <c r="B76" s="41" t="s">
        <v>403</v>
      </c>
      <c r="C76" s="41" t="s">
        <v>23</v>
      </c>
      <c r="D76" s="41" t="s">
        <v>26</v>
      </c>
      <c r="E76" s="40"/>
      <c r="F76" s="40"/>
    </row>
    <row r="77" spans="1:6" ht="12.75" x14ac:dyDescent="0.2">
      <c r="A77" s="40"/>
      <c r="B77" s="41" t="s">
        <v>403</v>
      </c>
      <c r="C77" s="41" t="s">
        <v>28</v>
      </c>
      <c r="D77" s="41" t="s">
        <v>29</v>
      </c>
      <c r="E77" s="40"/>
      <c r="F77" s="40"/>
    </row>
    <row r="78" spans="1:6" ht="12.75" x14ac:dyDescent="0.2">
      <c r="A78" s="40"/>
      <c r="B78" s="40"/>
      <c r="C78" s="40"/>
      <c r="D78" s="40"/>
      <c r="E78" s="40"/>
      <c r="F78" s="40"/>
    </row>
    <row r="79" spans="1:6" ht="12.75" x14ac:dyDescent="0.2">
      <c r="A79" s="41" t="s">
        <v>26</v>
      </c>
      <c r="B79" s="40"/>
      <c r="C79" s="40"/>
      <c r="D79" s="40"/>
      <c r="E79" s="40"/>
      <c r="F79" s="40"/>
    </row>
    <row r="80" spans="1:6" ht="12.75" x14ac:dyDescent="0.2">
      <c r="A80" s="40"/>
      <c r="B80" s="41" t="s">
        <v>398</v>
      </c>
      <c r="C80" s="40"/>
      <c r="D80" s="40"/>
      <c r="E80" s="40"/>
      <c r="F80" s="40"/>
    </row>
    <row r="81" spans="1:6" ht="12.75" x14ac:dyDescent="0.2">
      <c r="A81" s="40"/>
      <c r="B81" s="41" t="s">
        <v>399</v>
      </c>
      <c r="C81" s="40"/>
      <c r="D81" s="40"/>
      <c r="E81" s="40"/>
      <c r="F81" s="40"/>
    </row>
    <row r="82" spans="1:6" ht="12.75" x14ac:dyDescent="0.2">
      <c r="A82" s="40"/>
      <c r="B82" s="41" t="s">
        <v>400</v>
      </c>
      <c r="C82" s="40"/>
      <c r="D82" s="40"/>
      <c r="E82" s="40"/>
      <c r="F82" s="40"/>
    </row>
    <row r="83" spans="1:6" ht="12.75" x14ac:dyDescent="0.2">
      <c r="A83" s="40"/>
      <c r="B83" s="41" t="s">
        <v>401</v>
      </c>
      <c r="C83" s="41" t="s">
        <v>26</v>
      </c>
      <c r="D83" s="40"/>
      <c r="E83" s="40"/>
      <c r="F83" s="40"/>
    </row>
    <row r="84" spans="1:6" ht="51" x14ac:dyDescent="0.2">
      <c r="A84" s="41" t="s">
        <v>418</v>
      </c>
      <c r="B84" s="41" t="s">
        <v>402</v>
      </c>
      <c r="C84" s="41" t="s">
        <v>419</v>
      </c>
      <c r="D84" s="40"/>
      <c r="E84" s="40"/>
      <c r="F84" s="40"/>
    </row>
    <row r="85" spans="1:6" ht="12.75" x14ac:dyDescent="0.2">
      <c r="A85" s="41" t="s">
        <v>420</v>
      </c>
      <c r="B85" s="40"/>
      <c r="C85" s="40"/>
      <c r="D85" s="40"/>
      <c r="E85" s="40"/>
      <c r="F85" s="40"/>
    </row>
    <row r="86" spans="1:6" ht="12.75" x14ac:dyDescent="0.2">
      <c r="A86" s="41" t="s">
        <v>421</v>
      </c>
      <c r="B86" s="40"/>
      <c r="C86" s="40"/>
      <c r="D86" s="40"/>
      <c r="E86" s="40"/>
      <c r="F86" s="40"/>
    </row>
    <row r="87" spans="1:6" ht="12.75" x14ac:dyDescent="0.2">
      <c r="A87" s="41" t="s">
        <v>24</v>
      </c>
      <c r="B87" s="40"/>
      <c r="C87" s="40"/>
      <c r="D87" s="40"/>
      <c r="E87" s="40"/>
      <c r="F87" s="40"/>
    </row>
    <row r="88" spans="1:6" ht="12.75" x14ac:dyDescent="0.2">
      <c r="A88" s="41" t="s">
        <v>23</v>
      </c>
      <c r="B88" s="40"/>
      <c r="C88" s="40"/>
      <c r="D88" s="40"/>
      <c r="E88" s="40"/>
      <c r="F88" s="40"/>
    </row>
    <row r="89" spans="1:6" ht="12.75" x14ac:dyDescent="0.2">
      <c r="A89" s="40"/>
      <c r="B89" s="41" t="s">
        <v>422</v>
      </c>
      <c r="C89" s="41" t="s">
        <v>423</v>
      </c>
      <c r="D89" s="41" t="s">
        <v>424</v>
      </c>
      <c r="E89" s="40"/>
      <c r="F89" s="40"/>
    </row>
    <row r="90" spans="1:6" ht="12.75" x14ac:dyDescent="0.2">
      <c r="A90" s="40"/>
      <c r="B90" s="41" t="s">
        <v>422</v>
      </c>
      <c r="C90" s="41" t="s">
        <v>425</v>
      </c>
      <c r="D90" s="41" t="s">
        <v>426</v>
      </c>
      <c r="E90" s="40"/>
      <c r="F90" s="40"/>
    </row>
    <row r="91" spans="1:6" ht="12.75" x14ac:dyDescent="0.2">
      <c r="A91" s="40"/>
      <c r="B91" s="41" t="s">
        <v>403</v>
      </c>
      <c r="C91" s="41" t="s">
        <v>40</v>
      </c>
      <c r="D91" s="41" t="s">
        <v>60</v>
      </c>
      <c r="E91" s="40"/>
      <c r="F91" s="40"/>
    </row>
    <row r="92" spans="1:6" ht="12.75" x14ac:dyDescent="0.2">
      <c r="A92" s="40"/>
      <c r="B92" s="41" t="s">
        <v>403</v>
      </c>
      <c r="C92" s="41" t="s">
        <v>44</v>
      </c>
      <c r="D92" s="41" t="s">
        <v>75</v>
      </c>
      <c r="E92" s="40"/>
      <c r="F92" s="40"/>
    </row>
    <row r="93" spans="1:6" ht="12.75" x14ac:dyDescent="0.2">
      <c r="A93" s="40"/>
      <c r="B93" s="41" t="s">
        <v>403</v>
      </c>
      <c r="C93" s="41" t="s">
        <v>48</v>
      </c>
      <c r="D93" s="41" t="s">
        <v>87</v>
      </c>
      <c r="E93" s="40"/>
      <c r="F93" s="40"/>
    </row>
    <row r="94" spans="1:6" ht="12.75" x14ac:dyDescent="0.2">
      <c r="A94" s="40"/>
      <c r="B94" s="41" t="s">
        <v>403</v>
      </c>
      <c r="C94" s="41" t="s">
        <v>51</v>
      </c>
      <c r="D94" s="41" t="s">
        <v>115</v>
      </c>
      <c r="E94" s="40"/>
      <c r="F94" s="40"/>
    </row>
    <row r="95" spans="1:6" ht="12.75" x14ac:dyDescent="0.2">
      <c r="A95" s="40"/>
      <c r="B95" s="41" t="s">
        <v>403</v>
      </c>
      <c r="C95" s="41" t="s">
        <v>53</v>
      </c>
      <c r="D95" s="41" t="s">
        <v>164</v>
      </c>
      <c r="E95" s="40"/>
      <c r="F95" s="40"/>
    </row>
    <row r="96" spans="1:6" ht="12.75" x14ac:dyDescent="0.2">
      <c r="A96" s="40"/>
      <c r="B96" s="41" t="s">
        <v>403</v>
      </c>
      <c r="C96" s="41" t="s">
        <v>56</v>
      </c>
      <c r="D96" s="41" t="s">
        <v>29</v>
      </c>
      <c r="E96" s="40"/>
      <c r="F96" s="40"/>
    </row>
    <row r="97" spans="1:6" ht="12.75" x14ac:dyDescent="0.2">
      <c r="A97" s="40"/>
      <c r="B97" s="40"/>
      <c r="C97" s="40"/>
      <c r="D97" s="40"/>
      <c r="E97" s="40"/>
      <c r="F97" s="40"/>
    </row>
    <row r="98" spans="1:6" ht="12.75" x14ac:dyDescent="0.2">
      <c r="A98" s="41" t="s">
        <v>11</v>
      </c>
      <c r="B98" s="40"/>
      <c r="C98" s="40"/>
      <c r="D98" s="40"/>
      <c r="E98" s="40"/>
      <c r="F98" s="40"/>
    </row>
    <row r="99" spans="1:6" ht="12.75" x14ac:dyDescent="0.2">
      <c r="A99" s="40"/>
      <c r="B99" s="41" t="s">
        <v>398</v>
      </c>
      <c r="C99" s="40"/>
      <c r="D99" s="40"/>
      <c r="E99" s="40"/>
      <c r="F99" s="40"/>
    </row>
    <row r="100" spans="1:6" ht="12.75" x14ac:dyDescent="0.2">
      <c r="A100" s="40"/>
      <c r="B100" s="41" t="s">
        <v>399</v>
      </c>
      <c r="C100" s="40"/>
      <c r="D100" s="40"/>
      <c r="E100" s="40"/>
      <c r="F100" s="40"/>
    </row>
    <row r="101" spans="1:6" ht="12.75" x14ac:dyDescent="0.2">
      <c r="A101" s="40"/>
      <c r="B101" s="41" t="s">
        <v>400</v>
      </c>
      <c r="C101" s="40"/>
      <c r="D101" s="40"/>
      <c r="E101" s="40"/>
      <c r="F101" s="40"/>
    </row>
    <row r="102" spans="1:6" ht="12.75" x14ac:dyDescent="0.2">
      <c r="A102" s="40"/>
      <c r="B102" s="41" t="s">
        <v>401</v>
      </c>
      <c r="C102" s="41" t="s">
        <v>11</v>
      </c>
      <c r="D102" s="40"/>
      <c r="E102" s="40"/>
      <c r="F102" s="40"/>
    </row>
    <row r="103" spans="1:6" ht="76.5" x14ac:dyDescent="0.2">
      <c r="A103" s="41" t="s">
        <v>427</v>
      </c>
      <c r="B103" s="41" t="s">
        <v>402</v>
      </c>
      <c r="C103" s="41" t="s">
        <v>428</v>
      </c>
      <c r="D103" s="40"/>
      <c r="E103" s="40"/>
      <c r="F103" s="40"/>
    </row>
    <row r="104" spans="1:6" ht="12.75" x14ac:dyDescent="0.2">
      <c r="A104" s="41" t="s">
        <v>429</v>
      </c>
      <c r="B104" s="41" t="s">
        <v>402</v>
      </c>
      <c r="C104" s="41" t="s">
        <v>19</v>
      </c>
      <c r="D104" s="40"/>
      <c r="E104" s="40"/>
      <c r="F104" s="40"/>
    </row>
    <row r="105" spans="1:6" ht="12.75" x14ac:dyDescent="0.2">
      <c r="A105" s="41" t="s">
        <v>430</v>
      </c>
      <c r="B105" s="40"/>
      <c r="C105" s="40"/>
      <c r="D105" s="40"/>
      <c r="E105" s="40"/>
      <c r="F105" s="40"/>
    </row>
    <row r="106" spans="1:6" ht="12.75" x14ac:dyDescent="0.2">
      <c r="A106" s="41" t="s">
        <v>431</v>
      </c>
      <c r="B106" s="40"/>
      <c r="C106" s="40"/>
      <c r="D106" s="40"/>
      <c r="E106" s="40"/>
      <c r="F106" s="40"/>
    </row>
    <row r="107" spans="1:6" ht="12.75" x14ac:dyDescent="0.2">
      <c r="A107" s="41" t="s">
        <v>432</v>
      </c>
      <c r="B107" s="40"/>
      <c r="C107" s="40"/>
      <c r="D107" s="40"/>
      <c r="E107" s="40"/>
      <c r="F107" s="40"/>
    </row>
    <row r="108" spans="1:6" ht="12.75" x14ac:dyDescent="0.2">
      <c r="A108" s="41" t="s">
        <v>433</v>
      </c>
      <c r="B108" s="40"/>
      <c r="C108" s="40"/>
      <c r="D108" s="40"/>
      <c r="E108" s="40"/>
      <c r="F108" s="40"/>
    </row>
    <row r="109" spans="1:6" ht="12.75" x14ac:dyDescent="0.2">
      <c r="A109" s="41" t="s">
        <v>13</v>
      </c>
      <c r="B109" s="40"/>
      <c r="C109" s="40"/>
      <c r="D109" s="40"/>
      <c r="E109" s="40"/>
      <c r="F109" s="40"/>
    </row>
    <row r="110" spans="1:6" ht="12.75" x14ac:dyDescent="0.2">
      <c r="A110" s="40"/>
      <c r="B110" s="41" t="s">
        <v>403</v>
      </c>
      <c r="C110" s="41" t="s">
        <v>24</v>
      </c>
      <c r="D110" s="41" t="s">
        <v>26</v>
      </c>
      <c r="E110" s="40"/>
      <c r="F110" s="40"/>
    </row>
    <row r="111" spans="1:6" ht="12.75" x14ac:dyDescent="0.2">
      <c r="A111" s="40"/>
      <c r="B111" s="41" t="s">
        <v>403</v>
      </c>
      <c r="C111" s="41" t="s">
        <v>32</v>
      </c>
      <c r="D111" s="41" t="s">
        <v>29</v>
      </c>
      <c r="E111" s="40"/>
      <c r="F111" s="40"/>
    </row>
    <row r="112" spans="1:6" ht="12.75" x14ac:dyDescent="0.2">
      <c r="A112" s="40"/>
      <c r="B112" s="41" t="s">
        <v>403</v>
      </c>
      <c r="C112" s="41" t="s">
        <v>25</v>
      </c>
      <c r="D112" s="41" t="s">
        <v>27</v>
      </c>
      <c r="E112" s="40"/>
      <c r="F112" s="40"/>
    </row>
    <row r="113" spans="1:6" ht="12.75" x14ac:dyDescent="0.2">
      <c r="A113" s="40"/>
      <c r="B113" s="41" t="s">
        <v>403</v>
      </c>
      <c r="C113" s="41" t="s">
        <v>30</v>
      </c>
      <c r="D113" s="41" t="s">
        <v>31</v>
      </c>
      <c r="E113" s="40"/>
      <c r="F113" s="40"/>
    </row>
    <row r="114" spans="1:6" ht="12.75" x14ac:dyDescent="0.2">
      <c r="A114" s="40"/>
      <c r="B114" s="40"/>
      <c r="C114" s="40"/>
      <c r="D114" s="40"/>
      <c r="E114" s="40"/>
      <c r="F114" s="40"/>
    </row>
    <row r="115" spans="1:6" ht="12.75" x14ac:dyDescent="0.2">
      <c r="A115" s="41" t="s">
        <v>36</v>
      </c>
      <c r="B115" s="40"/>
      <c r="C115" s="40"/>
      <c r="D115" s="40"/>
      <c r="E115" s="40"/>
      <c r="F115" s="40"/>
    </row>
    <row r="116" spans="1:6" ht="12.75" x14ac:dyDescent="0.2">
      <c r="A116" s="40"/>
      <c r="B116" s="41" t="s">
        <v>398</v>
      </c>
      <c r="C116" s="40"/>
      <c r="D116" s="40"/>
      <c r="E116" s="40"/>
      <c r="F116" s="40"/>
    </row>
    <row r="117" spans="1:6" ht="12.75" x14ac:dyDescent="0.2">
      <c r="A117" s="40"/>
      <c r="B117" s="41" t="s">
        <v>399</v>
      </c>
      <c r="C117" s="40"/>
      <c r="D117" s="40"/>
      <c r="E117" s="40"/>
      <c r="F117" s="40"/>
    </row>
    <row r="118" spans="1:6" ht="12.75" x14ac:dyDescent="0.2">
      <c r="A118" s="40"/>
      <c r="B118" s="41" t="s">
        <v>400</v>
      </c>
      <c r="C118" s="40"/>
      <c r="D118" s="40"/>
      <c r="E118" s="40"/>
      <c r="F118" s="40"/>
    </row>
    <row r="119" spans="1:6" ht="12.75" x14ac:dyDescent="0.2">
      <c r="A119" s="40"/>
      <c r="B119" s="41" t="s">
        <v>401</v>
      </c>
      <c r="C119" s="41" t="s">
        <v>36</v>
      </c>
      <c r="D119" s="40"/>
      <c r="E119" s="40"/>
      <c r="F119" s="40"/>
    </row>
    <row r="120" spans="1:6" ht="51" x14ac:dyDescent="0.2">
      <c r="A120" s="41" t="s">
        <v>434</v>
      </c>
      <c r="B120" s="41" t="s">
        <v>402</v>
      </c>
      <c r="C120" s="41" t="s">
        <v>435</v>
      </c>
      <c r="D120" s="40"/>
      <c r="E120" s="40"/>
      <c r="F120" s="40"/>
    </row>
    <row r="121" spans="1:6" ht="12.75" x14ac:dyDescent="0.2">
      <c r="A121" s="41" t="s">
        <v>436</v>
      </c>
      <c r="B121" s="41" t="s">
        <v>402</v>
      </c>
      <c r="C121" s="41" t="s">
        <v>19</v>
      </c>
      <c r="D121" s="40"/>
      <c r="E121" s="40"/>
      <c r="F121" s="40"/>
    </row>
    <row r="122" spans="1:6" ht="12.75" x14ac:dyDescent="0.2">
      <c r="A122" s="41" t="s">
        <v>437</v>
      </c>
      <c r="B122" s="40"/>
      <c r="C122" s="40"/>
      <c r="D122" s="40"/>
      <c r="E122" s="40"/>
      <c r="F122" s="40"/>
    </row>
    <row r="123" spans="1:6" ht="12.75" x14ac:dyDescent="0.2">
      <c r="A123" s="41" t="s">
        <v>37</v>
      </c>
      <c r="B123" s="40"/>
      <c r="C123" s="40"/>
      <c r="D123" s="40"/>
      <c r="E123" s="40"/>
      <c r="F123" s="40"/>
    </row>
    <row r="124" spans="1:6" ht="12.75" x14ac:dyDescent="0.2">
      <c r="A124" s="40"/>
      <c r="B124" s="41" t="s">
        <v>403</v>
      </c>
      <c r="C124" s="41" t="s">
        <v>24</v>
      </c>
      <c r="D124" s="41" t="s">
        <v>26</v>
      </c>
      <c r="E124" s="40"/>
      <c r="F124" s="40"/>
    </row>
    <row r="125" spans="1:6" ht="12.75" x14ac:dyDescent="0.2">
      <c r="A125" s="40"/>
      <c r="B125" s="41" t="s">
        <v>403</v>
      </c>
      <c r="C125" s="41" t="s">
        <v>32</v>
      </c>
      <c r="D125" s="41" t="s">
        <v>29</v>
      </c>
      <c r="E125" s="40"/>
      <c r="F125" s="40"/>
    </row>
    <row r="126" spans="1:6" ht="12.75" x14ac:dyDescent="0.2">
      <c r="A126" s="40"/>
      <c r="B126" s="41" t="s">
        <v>403</v>
      </c>
      <c r="C126" s="41" t="s">
        <v>25</v>
      </c>
      <c r="D126" s="41" t="s">
        <v>27</v>
      </c>
      <c r="E126" s="40"/>
      <c r="F126" s="40"/>
    </row>
    <row r="127" spans="1:6" ht="12.75" x14ac:dyDescent="0.2">
      <c r="A127" s="40"/>
      <c r="B127" s="41" t="s">
        <v>403</v>
      </c>
      <c r="C127" s="41" t="s">
        <v>30</v>
      </c>
      <c r="D127" s="41" t="s">
        <v>31</v>
      </c>
      <c r="E127" s="40"/>
      <c r="F127" s="40"/>
    </row>
    <row r="128" spans="1:6" ht="12.75" x14ac:dyDescent="0.2">
      <c r="A128" s="40"/>
      <c r="B128" s="40"/>
      <c r="C128" s="40"/>
      <c r="D128" s="40"/>
      <c r="E128" s="40"/>
      <c r="F128" s="40"/>
    </row>
    <row r="129" spans="1:6" ht="12.75" x14ac:dyDescent="0.2">
      <c r="A129" s="41" t="s">
        <v>55</v>
      </c>
      <c r="B129" s="40"/>
      <c r="C129" s="40"/>
      <c r="D129" s="40"/>
      <c r="E129" s="40"/>
      <c r="F129" s="40"/>
    </row>
    <row r="130" spans="1:6" ht="12.75" x14ac:dyDescent="0.2">
      <c r="A130" s="40"/>
      <c r="B130" s="41" t="s">
        <v>398</v>
      </c>
      <c r="C130" s="40"/>
      <c r="D130" s="40"/>
      <c r="E130" s="40"/>
      <c r="F130" s="40"/>
    </row>
    <row r="131" spans="1:6" ht="12.75" x14ac:dyDescent="0.2">
      <c r="A131" s="40"/>
      <c r="B131" s="41" t="s">
        <v>399</v>
      </c>
      <c r="C131" s="40"/>
      <c r="D131" s="40"/>
      <c r="E131" s="40"/>
      <c r="F131" s="40"/>
    </row>
    <row r="132" spans="1:6" ht="12.75" x14ac:dyDescent="0.2">
      <c r="A132" s="40"/>
      <c r="B132" s="41" t="s">
        <v>400</v>
      </c>
      <c r="C132" s="40"/>
      <c r="D132" s="40"/>
      <c r="E132" s="40"/>
      <c r="F132" s="40"/>
    </row>
    <row r="133" spans="1:6" ht="12.75" x14ac:dyDescent="0.2">
      <c r="A133" s="40"/>
      <c r="B133" s="41" t="s">
        <v>401</v>
      </c>
      <c r="C133" s="41" t="s">
        <v>55</v>
      </c>
      <c r="D133" s="40"/>
      <c r="E133" s="40"/>
      <c r="F133" s="40"/>
    </row>
    <row r="134" spans="1:6" ht="63.75" x14ac:dyDescent="0.2">
      <c r="A134" s="41" t="s">
        <v>438</v>
      </c>
      <c r="B134" s="41" t="s">
        <v>402</v>
      </c>
      <c r="C134" s="41" t="s">
        <v>59</v>
      </c>
      <c r="D134" s="40"/>
      <c r="E134" s="40"/>
      <c r="F134" s="40"/>
    </row>
    <row r="135" spans="1:6" ht="12.75" x14ac:dyDescent="0.2">
      <c r="A135" s="41" t="s">
        <v>439</v>
      </c>
      <c r="B135" s="41" t="s">
        <v>402</v>
      </c>
      <c r="C135" s="41" t="s">
        <v>19</v>
      </c>
      <c r="D135" s="40"/>
      <c r="E135" s="40"/>
      <c r="F135" s="40"/>
    </row>
    <row r="136" spans="1:6" ht="12.75" x14ac:dyDescent="0.2">
      <c r="A136" s="41" t="s">
        <v>440</v>
      </c>
      <c r="B136" s="40"/>
      <c r="C136" s="40"/>
      <c r="D136" s="40"/>
      <c r="E136" s="40"/>
      <c r="F136" s="40"/>
    </row>
    <row r="137" spans="1:6" ht="12.75" x14ac:dyDescent="0.2">
      <c r="A137" s="41" t="s">
        <v>441</v>
      </c>
      <c r="B137" s="40"/>
      <c r="C137" s="40"/>
      <c r="D137" s="40"/>
      <c r="E137" s="40"/>
      <c r="F137" s="40"/>
    </row>
    <row r="138" spans="1:6" ht="12.75" x14ac:dyDescent="0.2">
      <c r="A138" s="41" t="s">
        <v>58</v>
      </c>
      <c r="B138" s="40"/>
      <c r="C138" s="40"/>
      <c r="D138" s="40"/>
      <c r="E138" s="40"/>
      <c r="F138" s="40"/>
    </row>
    <row r="139" spans="1:6" ht="12.75" x14ac:dyDescent="0.2">
      <c r="A139" s="40"/>
      <c r="B139" s="41" t="s">
        <v>403</v>
      </c>
      <c r="C139" s="41" t="s">
        <v>24</v>
      </c>
      <c r="D139" s="41" t="s">
        <v>26</v>
      </c>
      <c r="E139" s="40"/>
      <c r="F139" s="40"/>
    </row>
    <row r="140" spans="1:6" ht="12.75" x14ac:dyDescent="0.2">
      <c r="A140" s="40"/>
      <c r="B140" s="41" t="s">
        <v>403</v>
      </c>
      <c r="C140" s="41" t="s">
        <v>32</v>
      </c>
      <c r="D140" s="41" t="s">
        <v>29</v>
      </c>
      <c r="E140" s="40"/>
      <c r="F140" s="40"/>
    </row>
    <row r="141" spans="1:6" ht="12.75" x14ac:dyDescent="0.2">
      <c r="A141" s="40"/>
      <c r="B141" s="41" t="s">
        <v>403</v>
      </c>
      <c r="C141" s="41" t="s">
        <v>25</v>
      </c>
      <c r="D141" s="41" t="s">
        <v>27</v>
      </c>
      <c r="E141" s="40"/>
      <c r="F141" s="40"/>
    </row>
    <row r="142" spans="1:6" ht="12.75" x14ac:dyDescent="0.2">
      <c r="A142" s="40"/>
      <c r="B142" s="41" t="s">
        <v>403</v>
      </c>
      <c r="C142" s="41" t="s">
        <v>30</v>
      </c>
      <c r="D142" s="41" t="s">
        <v>31</v>
      </c>
      <c r="E142" s="40"/>
      <c r="F142" s="40"/>
    </row>
    <row r="143" spans="1:6" ht="12.75" x14ac:dyDescent="0.2">
      <c r="A143" s="40"/>
      <c r="B143" s="40"/>
      <c r="C143" s="40"/>
      <c r="D143" s="40"/>
      <c r="E143" s="40"/>
      <c r="F143" s="40"/>
    </row>
    <row r="144" spans="1:6" ht="12.75" x14ac:dyDescent="0.2">
      <c r="A144" s="41" t="s">
        <v>60</v>
      </c>
      <c r="B144" s="40"/>
      <c r="C144" s="40"/>
      <c r="D144" s="40"/>
      <c r="E144" s="40"/>
      <c r="F144" s="40"/>
    </row>
    <row r="145" spans="1:6" ht="12.75" x14ac:dyDescent="0.2">
      <c r="A145" s="40"/>
      <c r="B145" s="41" t="s">
        <v>398</v>
      </c>
      <c r="C145" s="40"/>
      <c r="D145" s="40"/>
      <c r="E145" s="40"/>
      <c r="F145" s="40"/>
    </row>
    <row r="146" spans="1:6" ht="12.75" x14ac:dyDescent="0.2">
      <c r="A146" s="40"/>
      <c r="B146" s="41" t="s">
        <v>399</v>
      </c>
      <c r="C146" s="40"/>
      <c r="D146" s="40"/>
      <c r="E146" s="40"/>
      <c r="F146" s="40"/>
    </row>
    <row r="147" spans="1:6" ht="12.75" x14ac:dyDescent="0.2">
      <c r="A147" s="40"/>
      <c r="B147" s="41" t="s">
        <v>400</v>
      </c>
      <c r="C147" s="40"/>
      <c r="D147" s="40"/>
      <c r="E147" s="40"/>
      <c r="F147" s="40"/>
    </row>
    <row r="148" spans="1:6" ht="12.75" x14ac:dyDescent="0.2">
      <c r="A148" s="40"/>
      <c r="B148" s="41" t="s">
        <v>401</v>
      </c>
      <c r="C148" s="41" t="s">
        <v>60</v>
      </c>
      <c r="D148" s="40"/>
      <c r="E148" s="40"/>
      <c r="F148" s="40"/>
    </row>
    <row r="149" spans="1:6" ht="12.75" x14ac:dyDescent="0.2">
      <c r="A149" s="41" t="s">
        <v>442</v>
      </c>
      <c r="B149" s="41" t="s">
        <v>402</v>
      </c>
      <c r="C149" s="41" t="s">
        <v>62</v>
      </c>
      <c r="D149" s="40"/>
      <c r="E149" s="40"/>
      <c r="F149" s="40"/>
    </row>
    <row r="150" spans="1:6" ht="12.75" x14ac:dyDescent="0.2">
      <c r="A150" s="41" t="s">
        <v>40</v>
      </c>
      <c r="B150" s="40"/>
      <c r="C150" s="40"/>
      <c r="D150" s="40"/>
      <c r="E150" s="40"/>
      <c r="F150" s="40"/>
    </row>
    <row r="151" spans="1:6" ht="12.75" x14ac:dyDescent="0.2">
      <c r="A151" s="40"/>
      <c r="B151" s="41" t="s">
        <v>422</v>
      </c>
      <c r="C151" s="41" t="s">
        <v>425</v>
      </c>
      <c r="D151" s="41" t="s">
        <v>426</v>
      </c>
      <c r="E151" s="40"/>
      <c r="F151" s="40"/>
    </row>
    <row r="152" spans="1:6" ht="12.75" x14ac:dyDescent="0.2">
      <c r="A152" s="40"/>
      <c r="B152" s="41" t="s">
        <v>403</v>
      </c>
      <c r="C152" s="41" t="s">
        <v>13</v>
      </c>
      <c r="D152" s="41" t="s">
        <v>11</v>
      </c>
      <c r="E152" s="40"/>
      <c r="F152" s="40"/>
    </row>
    <row r="153" spans="1:6" ht="12.75" x14ac:dyDescent="0.2">
      <c r="A153" s="40"/>
      <c r="B153" s="41" t="s">
        <v>403</v>
      </c>
      <c r="C153" s="41" t="s">
        <v>37</v>
      </c>
      <c r="D153" s="41" t="s">
        <v>36</v>
      </c>
      <c r="E153" s="40"/>
      <c r="F153" s="40"/>
    </row>
    <row r="154" spans="1:6" ht="12.75" x14ac:dyDescent="0.2">
      <c r="A154" s="40"/>
      <c r="B154" s="41" t="s">
        <v>403</v>
      </c>
      <c r="C154" s="41" t="s">
        <v>58</v>
      </c>
      <c r="D154" s="41" t="s">
        <v>55</v>
      </c>
      <c r="E154" s="40"/>
      <c r="F154" s="40"/>
    </row>
    <row r="155" spans="1:6" ht="12.75" x14ac:dyDescent="0.2">
      <c r="A155" s="40"/>
      <c r="B155" s="41" t="s">
        <v>403</v>
      </c>
      <c r="C155" s="41" t="s">
        <v>24</v>
      </c>
      <c r="D155" s="41" t="s">
        <v>26</v>
      </c>
      <c r="E155" s="40"/>
      <c r="F155" s="40"/>
    </row>
    <row r="156" spans="1:6" ht="12.75" x14ac:dyDescent="0.2">
      <c r="A156" s="40"/>
      <c r="B156" s="40"/>
      <c r="C156" s="40"/>
      <c r="D156" s="40"/>
      <c r="E156" s="40"/>
      <c r="F156" s="40"/>
    </row>
    <row r="157" spans="1:6" ht="12.75" x14ac:dyDescent="0.2">
      <c r="A157" s="41" t="s">
        <v>71</v>
      </c>
      <c r="B157" s="40"/>
      <c r="C157" s="40"/>
      <c r="D157" s="40"/>
      <c r="E157" s="40"/>
      <c r="F157" s="40"/>
    </row>
    <row r="158" spans="1:6" ht="12.75" x14ac:dyDescent="0.2">
      <c r="A158" s="40"/>
      <c r="B158" s="41" t="s">
        <v>398</v>
      </c>
      <c r="C158" s="40"/>
      <c r="D158" s="40"/>
      <c r="E158" s="40"/>
      <c r="F158" s="40"/>
    </row>
    <row r="159" spans="1:6" ht="12.75" x14ac:dyDescent="0.2">
      <c r="A159" s="40"/>
      <c r="B159" s="41" t="s">
        <v>399</v>
      </c>
      <c r="C159" s="40"/>
      <c r="D159" s="40"/>
      <c r="E159" s="40"/>
      <c r="F159" s="40"/>
    </row>
    <row r="160" spans="1:6" ht="12.75" x14ac:dyDescent="0.2">
      <c r="A160" s="40"/>
      <c r="B160" s="41" t="s">
        <v>400</v>
      </c>
      <c r="C160" s="40"/>
      <c r="D160" s="40"/>
      <c r="E160" s="40"/>
      <c r="F160" s="40"/>
    </row>
    <row r="161" spans="1:6" ht="12.75" x14ac:dyDescent="0.2">
      <c r="A161" s="40"/>
      <c r="B161" s="41" t="s">
        <v>401</v>
      </c>
      <c r="C161" s="41" t="s">
        <v>71</v>
      </c>
      <c r="D161" s="40"/>
      <c r="E161" s="40"/>
      <c r="F161" s="40"/>
    </row>
    <row r="162" spans="1:6" ht="25.5" x14ac:dyDescent="0.2">
      <c r="A162" s="41" t="s">
        <v>444</v>
      </c>
      <c r="B162" s="41" t="s">
        <v>402</v>
      </c>
      <c r="C162" s="41" t="s">
        <v>73</v>
      </c>
      <c r="D162" s="40"/>
      <c r="E162" s="40"/>
      <c r="F162" s="40"/>
    </row>
    <row r="163" spans="1:6" ht="12.75" x14ac:dyDescent="0.2">
      <c r="A163" s="41" t="s">
        <v>445</v>
      </c>
      <c r="B163" s="41" t="s">
        <v>402</v>
      </c>
      <c r="C163" s="41" t="s">
        <v>19</v>
      </c>
      <c r="D163" s="40"/>
      <c r="E163" s="40"/>
      <c r="F163" s="40"/>
    </row>
    <row r="164" spans="1:6" ht="12.75" x14ac:dyDescent="0.2">
      <c r="A164" s="41" t="s">
        <v>446</v>
      </c>
      <c r="B164" s="40"/>
      <c r="C164" s="40"/>
      <c r="D164" s="40"/>
      <c r="E164" s="40"/>
      <c r="F164" s="40"/>
    </row>
    <row r="165" spans="1:6" ht="12.75" x14ac:dyDescent="0.2">
      <c r="A165" s="41" t="s">
        <v>447</v>
      </c>
      <c r="B165" s="40"/>
      <c r="C165" s="40"/>
      <c r="D165" s="40"/>
      <c r="E165" s="40"/>
      <c r="F165" s="40"/>
    </row>
    <row r="166" spans="1:6" ht="12.75" x14ac:dyDescent="0.2">
      <c r="A166" s="41" t="s">
        <v>448</v>
      </c>
      <c r="B166" s="40"/>
      <c r="C166" s="40"/>
      <c r="D166" s="40"/>
      <c r="E166" s="40"/>
      <c r="F166" s="40"/>
    </row>
    <row r="167" spans="1:6" ht="12.75" x14ac:dyDescent="0.2">
      <c r="A167" s="41" t="s">
        <v>72</v>
      </c>
      <c r="B167" s="40"/>
      <c r="C167" s="40"/>
      <c r="D167" s="40"/>
      <c r="E167" s="40"/>
      <c r="F167" s="40"/>
    </row>
    <row r="168" spans="1:6" ht="12.75" x14ac:dyDescent="0.2">
      <c r="A168" s="40"/>
      <c r="B168" s="41" t="s">
        <v>403</v>
      </c>
      <c r="C168" s="41" t="s">
        <v>24</v>
      </c>
      <c r="D168" s="41" t="s">
        <v>26</v>
      </c>
      <c r="E168" s="40"/>
      <c r="F168" s="40"/>
    </row>
    <row r="169" spans="1:6" ht="12.75" x14ac:dyDescent="0.2">
      <c r="A169" s="40"/>
      <c r="B169" s="41" t="s">
        <v>403</v>
      </c>
      <c r="C169" s="41" t="s">
        <v>32</v>
      </c>
      <c r="D169" s="41" t="s">
        <v>29</v>
      </c>
      <c r="E169" s="40"/>
      <c r="F169" s="40"/>
    </row>
    <row r="170" spans="1:6" ht="12.75" x14ac:dyDescent="0.2">
      <c r="A170" s="40"/>
      <c r="B170" s="41" t="s">
        <v>403</v>
      </c>
      <c r="C170" s="41" t="s">
        <v>25</v>
      </c>
      <c r="D170" s="41" t="s">
        <v>27</v>
      </c>
      <c r="E170" s="40"/>
      <c r="F170" s="40"/>
    </row>
    <row r="171" spans="1:6" ht="12.75" x14ac:dyDescent="0.2">
      <c r="A171" s="40"/>
      <c r="B171" s="41" t="s">
        <v>403</v>
      </c>
      <c r="C171" s="41" t="s">
        <v>30</v>
      </c>
      <c r="D171" s="41" t="s">
        <v>31</v>
      </c>
      <c r="E171" s="40"/>
      <c r="F171" s="40"/>
    </row>
    <row r="172" spans="1:6" ht="12.75" x14ac:dyDescent="0.2">
      <c r="A172" s="40"/>
      <c r="B172" s="40"/>
      <c r="C172" s="40"/>
      <c r="D172" s="40"/>
      <c r="E172" s="40"/>
      <c r="F172" s="40"/>
    </row>
    <row r="173" spans="1:6" ht="12.75" x14ac:dyDescent="0.2">
      <c r="A173" s="41" t="s">
        <v>84</v>
      </c>
      <c r="B173" s="40"/>
      <c r="C173" s="40"/>
      <c r="D173" s="40"/>
      <c r="E173" s="40"/>
      <c r="F173" s="40"/>
    </row>
    <row r="174" spans="1:6" ht="12.75" x14ac:dyDescent="0.2">
      <c r="A174" s="40"/>
      <c r="B174" s="41" t="s">
        <v>398</v>
      </c>
      <c r="C174" s="40"/>
      <c r="D174" s="40"/>
      <c r="E174" s="40"/>
      <c r="F174" s="40"/>
    </row>
    <row r="175" spans="1:6" ht="12.75" x14ac:dyDescent="0.2">
      <c r="A175" s="40"/>
      <c r="B175" s="41" t="s">
        <v>399</v>
      </c>
      <c r="C175" s="40"/>
      <c r="D175" s="40"/>
      <c r="E175" s="40"/>
      <c r="F175" s="40"/>
    </row>
    <row r="176" spans="1:6" ht="12.75" x14ac:dyDescent="0.2">
      <c r="A176" s="40"/>
      <c r="B176" s="41" t="s">
        <v>400</v>
      </c>
      <c r="C176" s="40"/>
      <c r="D176" s="40"/>
      <c r="E176" s="40"/>
      <c r="F176" s="40"/>
    </row>
    <row r="177" spans="1:6" ht="12.75" x14ac:dyDescent="0.2">
      <c r="A177" s="40"/>
      <c r="B177" s="41" t="s">
        <v>401</v>
      </c>
      <c r="C177" s="41" t="s">
        <v>84</v>
      </c>
      <c r="D177" s="40"/>
      <c r="E177" s="40"/>
      <c r="F177" s="40"/>
    </row>
    <row r="178" spans="1:6" ht="25.5" x14ac:dyDescent="0.2">
      <c r="A178" s="41" t="s">
        <v>449</v>
      </c>
      <c r="B178" s="41" t="s">
        <v>402</v>
      </c>
      <c r="C178" s="41" t="s">
        <v>95</v>
      </c>
      <c r="D178" s="40"/>
      <c r="E178" s="40"/>
      <c r="F178" s="40"/>
    </row>
    <row r="179" spans="1:6" ht="12.75" x14ac:dyDescent="0.2">
      <c r="A179" s="41" t="s">
        <v>450</v>
      </c>
      <c r="B179" s="41" t="s">
        <v>402</v>
      </c>
      <c r="C179" s="41" t="s">
        <v>19</v>
      </c>
      <c r="D179" s="40"/>
      <c r="E179" s="40"/>
      <c r="F179" s="40"/>
    </row>
    <row r="180" spans="1:6" ht="12.75" x14ac:dyDescent="0.2">
      <c r="A180" s="41" t="s">
        <v>451</v>
      </c>
      <c r="B180" s="40"/>
      <c r="C180" s="40"/>
      <c r="D180" s="40"/>
      <c r="E180" s="40"/>
      <c r="F180" s="40"/>
    </row>
    <row r="181" spans="1:6" ht="12.75" x14ac:dyDescent="0.2">
      <c r="A181" s="41" t="s">
        <v>452</v>
      </c>
      <c r="B181" s="40"/>
      <c r="C181" s="40"/>
      <c r="D181" s="40"/>
      <c r="E181" s="40"/>
      <c r="F181" s="40"/>
    </row>
    <row r="182" spans="1:6" ht="12.75" x14ac:dyDescent="0.2">
      <c r="A182" s="41" t="s">
        <v>453</v>
      </c>
      <c r="B182" s="40"/>
      <c r="C182" s="40"/>
      <c r="D182" s="40"/>
      <c r="E182" s="40"/>
      <c r="F182" s="40"/>
    </row>
    <row r="183" spans="1:6" ht="12.75" x14ac:dyDescent="0.2">
      <c r="A183" s="41" t="s">
        <v>454</v>
      </c>
      <c r="B183" s="40"/>
      <c r="C183" s="40"/>
      <c r="D183" s="40"/>
      <c r="E183" s="40"/>
      <c r="F183" s="40"/>
    </row>
    <row r="184" spans="1:6" ht="12.75" x14ac:dyDescent="0.2">
      <c r="A184" s="41" t="s">
        <v>83</v>
      </c>
      <c r="B184" s="40"/>
      <c r="C184" s="40"/>
      <c r="D184" s="40"/>
      <c r="E184" s="40"/>
      <c r="F184" s="40"/>
    </row>
    <row r="185" spans="1:6" ht="12.75" x14ac:dyDescent="0.2">
      <c r="A185" s="40"/>
      <c r="B185" s="41" t="s">
        <v>403</v>
      </c>
      <c r="C185" s="41" t="s">
        <v>24</v>
      </c>
      <c r="D185" s="41" t="s">
        <v>26</v>
      </c>
      <c r="E185" s="40"/>
      <c r="F185" s="40"/>
    </row>
    <row r="186" spans="1:6" ht="12.75" x14ac:dyDescent="0.2">
      <c r="A186" s="40"/>
      <c r="B186" s="41" t="s">
        <v>403</v>
      </c>
      <c r="C186" s="41" t="s">
        <v>32</v>
      </c>
      <c r="D186" s="41" t="s">
        <v>29</v>
      </c>
      <c r="E186" s="40"/>
      <c r="F186" s="40"/>
    </row>
    <row r="187" spans="1:6" ht="12.75" x14ac:dyDescent="0.2">
      <c r="A187" s="40"/>
      <c r="B187" s="41" t="s">
        <v>403</v>
      </c>
      <c r="C187" s="41" t="s">
        <v>25</v>
      </c>
      <c r="D187" s="41" t="s">
        <v>27</v>
      </c>
      <c r="E187" s="40"/>
      <c r="F187" s="40"/>
    </row>
    <row r="188" spans="1:6" ht="12.75" x14ac:dyDescent="0.2">
      <c r="A188" s="40"/>
      <c r="B188" s="41" t="s">
        <v>403</v>
      </c>
      <c r="C188" s="41" t="s">
        <v>30</v>
      </c>
      <c r="D188" s="41" t="s">
        <v>31</v>
      </c>
      <c r="E188" s="40"/>
      <c r="F188" s="40"/>
    </row>
    <row r="189" spans="1:6" ht="12.75" x14ac:dyDescent="0.2">
      <c r="A189" s="40"/>
      <c r="B189" s="40"/>
      <c r="C189" s="40"/>
      <c r="D189" s="40"/>
      <c r="E189" s="40"/>
      <c r="F189" s="40"/>
    </row>
    <row r="190" spans="1:6" ht="12.75" x14ac:dyDescent="0.2">
      <c r="A190" s="41" t="s">
        <v>75</v>
      </c>
      <c r="B190" s="40"/>
      <c r="C190" s="40"/>
      <c r="D190" s="40"/>
      <c r="E190" s="40"/>
      <c r="F190" s="40"/>
    </row>
    <row r="191" spans="1:6" ht="12.75" x14ac:dyDescent="0.2">
      <c r="A191" s="40"/>
      <c r="B191" s="41" t="s">
        <v>398</v>
      </c>
      <c r="C191" s="40"/>
      <c r="D191" s="40"/>
      <c r="E191" s="40"/>
      <c r="F191" s="40"/>
    </row>
    <row r="192" spans="1:6" ht="12.75" x14ac:dyDescent="0.2">
      <c r="A192" s="40"/>
      <c r="B192" s="41" t="s">
        <v>399</v>
      </c>
      <c r="C192" s="40"/>
      <c r="D192" s="40"/>
      <c r="E192" s="40"/>
      <c r="F192" s="40"/>
    </row>
    <row r="193" spans="1:6" ht="12.75" x14ac:dyDescent="0.2">
      <c r="A193" s="40"/>
      <c r="B193" s="41" t="s">
        <v>400</v>
      </c>
      <c r="C193" s="40"/>
      <c r="D193" s="40"/>
      <c r="E193" s="40"/>
      <c r="F193" s="40"/>
    </row>
    <row r="194" spans="1:6" ht="12.75" x14ac:dyDescent="0.2">
      <c r="A194" s="40"/>
      <c r="B194" s="41" t="s">
        <v>401</v>
      </c>
      <c r="C194" s="41" t="s">
        <v>75</v>
      </c>
      <c r="D194" s="40"/>
      <c r="E194" s="40"/>
      <c r="F194" s="40"/>
    </row>
    <row r="195" spans="1:6" ht="12.75" x14ac:dyDescent="0.2">
      <c r="A195" s="41" t="s">
        <v>455</v>
      </c>
      <c r="B195" s="41" t="s">
        <v>402</v>
      </c>
      <c r="C195" s="41" t="s">
        <v>76</v>
      </c>
      <c r="D195" s="40"/>
      <c r="E195" s="40"/>
      <c r="F195" s="40"/>
    </row>
    <row r="196" spans="1:6" ht="12.75" x14ac:dyDescent="0.2">
      <c r="A196" s="41" t="s">
        <v>44</v>
      </c>
      <c r="B196" s="40"/>
      <c r="C196" s="40"/>
      <c r="D196" s="40"/>
      <c r="E196" s="40"/>
      <c r="F196" s="40"/>
    </row>
    <row r="197" spans="1:6" ht="12.75" x14ac:dyDescent="0.2">
      <c r="A197" s="40"/>
      <c r="B197" s="41" t="s">
        <v>403</v>
      </c>
      <c r="C197" s="41" t="s">
        <v>72</v>
      </c>
      <c r="D197" s="41" t="s">
        <v>71</v>
      </c>
      <c r="E197" s="40"/>
      <c r="F197" s="40"/>
    </row>
    <row r="198" spans="1:6" ht="12.75" x14ac:dyDescent="0.2">
      <c r="A198" s="40"/>
      <c r="B198" s="41" t="s">
        <v>403</v>
      </c>
      <c r="C198" s="41" t="s">
        <v>83</v>
      </c>
      <c r="D198" s="41" t="s">
        <v>84</v>
      </c>
      <c r="E198" s="40"/>
      <c r="F198" s="40"/>
    </row>
    <row r="199" spans="1:6" ht="12.75" x14ac:dyDescent="0.2">
      <c r="A199" s="40"/>
      <c r="B199" s="41" t="s">
        <v>403</v>
      </c>
      <c r="C199" s="41" t="s">
        <v>24</v>
      </c>
      <c r="D199" s="41" t="s">
        <v>26</v>
      </c>
      <c r="E199" s="40"/>
      <c r="F199" s="40"/>
    </row>
    <row r="200" spans="1:6" ht="12.75" x14ac:dyDescent="0.2">
      <c r="A200" s="40"/>
      <c r="B200" s="40"/>
      <c r="C200" s="40"/>
      <c r="D200" s="40"/>
      <c r="E200" s="40"/>
      <c r="F200" s="40"/>
    </row>
    <row r="201" spans="1:6" ht="12.75" x14ac:dyDescent="0.2">
      <c r="A201" s="41" t="s">
        <v>91</v>
      </c>
      <c r="B201" s="40"/>
      <c r="C201" s="40"/>
      <c r="D201" s="40"/>
      <c r="E201" s="40"/>
      <c r="F201" s="40"/>
    </row>
    <row r="202" spans="1:6" ht="12.75" x14ac:dyDescent="0.2">
      <c r="A202" s="40"/>
      <c r="B202" s="41" t="s">
        <v>398</v>
      </c>
      <c r="C202" s="40"/>
      <c r="D202" s="40"/>
      <c r="E202" s="40"/>
      <c r="F202" s="40"/>
    </row>
    <row r="203" spans="1:6" ht="12.75" x14ac:dyDescent="0.2">
      <c r="A203" s="40"/>
      <c r="B203" s="41" t="s">
        <v>399</v>
      </c>
      <c r="C203" s="40"/>
      <c r="D203" s="40"/>
      <c r="E203" s="40"/>
      <c r="F203" s="40"/>
    </row>
    <row r="204" spans="1:6" ht="12.75" x14ac:dyDescent="0.2">
      <c r="A204" s="40"/>
      <c r="B204" s="41" t="s">
        <v>400</v>
      </c>
      <c r="C204" s="40"/>
      <c r="D204" s="40"/>
      <c r="E204" s="40"/>
      <c r="F204" s="40"/>
    </row>
    <row r="205" spans="1:6" ht="12.75" x14ac:dyDescent="0.2">
      <c r="A205" s="40"/>
      <c r="B205" s="41" t="s">
        <v>401</v>
      </c>
      <c r="C205" s="41" t="s">
        <v>91</v>
      </c>
      <c r="D205" s="40"/>
      <c r="E205" s="40"/>
      <c r="F205" s="40"/>
    </row>
    <row r="206" spans="1:6" ht="38.25" x14ac:dyDescent="0.2">
      <c r="A206" s="41" t="s">
        <v>456</v>
      </c>
      <c r="B206" s="41" t="s">
        <v>402</v>
      </c>
      <c r="C206" s="41" t="s">
        <v>125</v>
      </c>
      <c r="D206" s="40"/>
      <c r="E206" s="40"/>
      <c r="F206" s="40"/>
    </row>
    <row r="207" spans="1:6" ht="12.75" x14ac:dyDescent="0.2">
      <c r="A207" s="41" t="s">
        <v>457</v>
      </c>
      <c r="B207" s="41" t="s">
        <v>402</v>
      </c>
      <c r="C207" s="41" t="s">
        <v>19</v>
      </c>
      <c r="D207" s="40"/>
      <c r="E207" s="40"/>
      <c r="F207" s="40"/>
    </row>
    <row r="208" spans="1:6" ht="12.75" x14ac:dyDescent="0.2">
      <c r="A208" s="41" t="s">
        <v>458</v>
      </c>
      <c r="B208" s="40"/>
      <c r="C208" s="40"/>
      <c r="D208" s="40"/>
      <c r="E208" s="40"/>
      <c r="F208" s="40"/>
    </row>
    <row r="209" spans="1:6" ht="12.75" x14ac:dyDescent="0.2">
      <c r="A209" s="41" t="s">
        <v>459</v>
      </c>
      <c r="B209" s="40"/>
      <c r="C209" s="40"/>
      <c r="D209" s="40"/>
      <c r="E209" s="40"/>
      <c r="F209" s="40"/>
    </row>
    <row r="210" spans="1:6" ht="12.75" x14ac:dyDescent="0.2">
      <c r="A210" s="41" t="s">
        <v>460</v>
      </c>
      <c r="B210" s="40"/>
      <c r="C210" s="40"/>
      <c r="D210" s="40"/>
      <c r="E210" s="40"/>
      <c r="F210" s="40"/>
    </row>
    <row r="211" spans="1:6" ht="12.75" x14ac:dyDescent="0.2">
      <c r="A211" s="41" t="s">
        <v>461</v>
      </c>
      <c r="B211" s="40"/>
      <c r="C211" s="40"/>
      <c r="D211" s="40"/>
      <c r="E211" s="40"/>
      <c r="F211" s="40"/>
    </row>
    <row r="212" spans="1:6" ht="12.75" x14ac:dyDescent="0.2">
      <c r="A212" s="41" t="s">
        <v>90</v>
      </c>
      <c r="B212" s="40"/>
      <c r="C212" s="40"/>
      <c r="D212" s="40"/>
      <c r="E212" s="40"/>
      <c r="F212" s="40"/>
    </row>
    <row r="213" spans="1:6" ht="12.75" x14ac:dyDescent="0.2">
      <c r="A213" s="40"/>
      <c r="B213" s="41" t="s">
        <v>403</v>
      </c>
      <c r="C213" s="41" t="s">
        <v>24</v>
      </c>
      <c r="D213" s="41" t="s">
        <v>26</v>
      </c>
      <c r="E213" s="40"/>
      <c r="F213" s="40"/>
    </row>
    <row r="214" spans="1:6" ht="12.75" x14ac:dyDescent="0.2">
      <c r="A214" s="40"/>
      <c r="B214" s="41" t="s">
        <v>403</v>
      </c>
      <c r="C214" s="41" t="s">
        <v>32</v>
      </c>
      <c r="D214" s="41" t="s">
        <v>29</v>
      </c>
      <c r="E214" s="40"/>
      <c r="F214" s="40"/>
    </row>
    <row r="215" spans="1:6" ht="12.75" x14ac:dyDescent="0.2">
      <c r="A215" s="40"/>
      <c r="B215" s="41" t="s">
        <v>403</v>
      </c>
      <c r="C215" s="41" t="s">
        <v>25</v>
      </c>
      <c r="D215" s="41" t="s">
        <v>27</v>
      </c>
      <c r="E215" s="40"/>
      <c r="F215" s="40"/>
    </row>
    <row r="216" spans="1:6" ht="12.75" x14ac:dyDescent="0.2">
      <c r="A216" s="40"/>
      <c r="B216" s="41" t="s">
        <v>403</v>
      </c>
      <c r="C216" s="41" t="s">
        <v>30</v>
      </c>
      <c r="D216" s="41" t="s">
        <v>31</v>
      </c>
      <c r="E216" s="40"/>
      <c r="F216" s="40"/>
    </row>
    <row r="217" spans="1:6" ht="12.75" x14ac:dyDescent="0.2">
      <c r="A217" s="40"/>
      <c r="B217" s="40"/>
      <c r="C217" s="40"/>
      <c r="D217" s="40"/>
      <c r="E217" s="40"/>
      <c r="F217" s="40"/>
    </row>
    <row r="218" spans="1:6" ht="12.75" x14ac:dyDescent="0.2">
      <c r="A218" s="41" t="s">
        <v>98</v>
      </c>
      <c r="B218" s="40"/>
      <c r="C218" s="40"/>
      <c r="D218" s="40"/>
      <c r="E218" s="40"/>
      <c r="F218" s="40"/>
    </row>
    <row r="219" spans="1:6" ht="12.75" x14ac:dyDescent="0.2">
      <c r="A219" s="40"/>
      <c r="B219" s="41" t="s">
        <v>398</v>
      </c>
      <c r="C219" s="40"/>
      <c r="D219" s="40"/>
      <c r="E219" s="40"/>
      <c r="F219" s="40"/>
    </row>
    <row r="220" spans="1:6" ht="12.75" x14ac:dyDescent="0.2">
      <c r="A220" s="40"/>
      <c r="B220" s="41" t="s">
        <v>399</v>
      </c>
      <c r="C220" s="40"/>
      <c r="D220" s="40"/>
      <c r="E220" s="40"/>
      <c r="F220" s="40"/>
    </row>
    <row r="221" spans="1:6" ht="12.75" x14ac:dyDescent="0.2">
      <c r="A221" s="40"/>
      <c r="B221" s="41" t="s">
        <v>400</v>
      </c>
      <c r="C221" s="40"/>
      <c r="D221" s="40"/>
      <c r="E221" s="40"/>
      <c r="F221" s="40"/>
    </row>
    <row r="222" spans="1:6" ht="12.75" x14ac:dyDescent="0.2">
      <c r="A222" s="40"/>
      <c r="B222" s="41" t="s">
        <v>401</v>
      </c>
      <c r="C222" s="41" t="s">
        <v>98</v>
      </c>
      <c r="D222" s="40"/>
      <c r="E222" s="40"/>
      <c r="F222" s="40"/>
    </row>
    <row r="223" spans="1:6" ht="38.25" x14ac:dyDescent="0.2">
      <c r="A223" s="41" t="s">
        <v>462</v>
      </c>
      <c r="B223" s="41" t="s">
        <v>402</v>
      </c>
      <c r="C223" s="41" t="s">
        <v>149</v>
      </c>
      <c r="D223" s="40"/>
      <c r="E223" s="40"/>
      <c r="F223" s="40"/>
    </row>
    <row r="224" spans="1:6" ht="12.75" x14ac:dyDescent="0.2">
      <c r="A224" s="41" t="s">
        <v>463</v>
      </c>
      <c r="B224" s="41" t="s">
        <v>402</v>
      </c>
      <c r="C224" s="41" t="s">
        <v>19</v>
      </c>
      <c r="D224" s="40"/>
      <c r="E224" s="40"/>
      <c r="F224" s="40"/>
    </row>
    <row r="225" spans="1:6" ht="12.75" x14ac:dyDescent="0.2">
      <c r="A225" s="41" t="s">
        <v>464</v>
      </c>
      <c r="B225" s="40"/>
      <c r="C225" s="40"/>
      <c r="D225" s="40"/>
      <c r="E225" s="40"/>
      <c r="F225" s="40"/>
    </row>
    <row r="226" spans="1:6" ht="12.75" x14ac:dyDescent="0.2">
      <c r="A226" s="41" t="s">
        <v>97</v>
      </c>
      <c r="B226" s="40"/>
      <c r="C226" s="40"/>
      <c r="D226" s="40"/>
      <c r="E226" s="40"/>
      <c r="F226" s="40"/>
    </row>
    <row r="227" spans="1:6" ht="12.75" x14ac:dyDescent="0.2">
      <c r="A227" s="40"/>
      <c r="B227" s="41" t="s">
        <v>403</v>
      </c>
      <c r="C227" s="41" t="s">
        <v>24</v>
      </c>
      <c r="D227" s="41" t="s">
        <v>26</v>
      </c>
      <c r="E227" s="40"/>
      <c r="F227" s="40"/>
    </row>
    <row r="228" spans="1:6" ht="12.75" x14ac:dyDescent="0.2">
      <c r="A228" s="40"/>
      <c r="B228" s="41" t="s">
        <v>403</v>
      </c>
      <c r="C228" s="41" t="s">
        <v>32</v>
      </c>
      <c r="D228" s="41" t="s">
        <v>29</v>
      </c>
      <c r="E228" s="40"/>
      <c r="F228" s="40"/>
    </row>
    <row r="229" spans="1:6" ht="12.75" x14ac:dyDescent="0.2">
      <c r="A229" s="40"/>
      <c r="B229" s="41" t="s">
        <v>403</v>
      </c>
      <c r="C229" s="41" t="s">
        <v>25</v>
      </c>
      <c r="D229" s="41" t="s">
        <v>27</v>
      </c>
      <c r="E229" s="40"/>
      <c r="F229" s="40"/>
    </row>
    <row r="230" spans="1:6" ht="12.75" x14ac:dyDescent="0.2">
      <c r="A230" s="40"/>
      <c r="B230" s="41" t="s">
        <v>403</v>
      </c>
      <c r="C230" s="41" t="s">
        <v>30</v>
      </c>
      <c r="D230" s="41" t="s">
        <v>31</v>
      </c>
      <c r="E230" s="40"/>
      <c r="F230" s="40"/>
    </row>
    <row r="231" spans="1:6" ht="12.75" x14ac:dyDescent="0.2">
      <c r="A231" s="40"/>
      <c r="B231" s="40"/>
      <c r="C231" s="40"/>
      <c r="D231" s="40"/>
      <c r="E231" s="40"/>
      <c r="F231" s="40"/>
    </row>
    <row r="232" spans="1:6" ht="12.75" x14ac:dyDescent="0.2">
      <c r="A232" s="41" t="s">
        <v>101</v>
      </c>
      <c r="B232" s="40"/>
      <c r="C232" s="40"/>
      <c r="D232" s="40"/>
      <c r="E232" s="40"/>
      <c r="F232" s="40"/>
    </row>
    <row r="233" spans="1:6" ht="12.75" x14ac:dyDescent="0.2">
      <c r="A233" s="40"/>
      <c r="B233" s="41" t="s">
        <v>398</v>
      </c>
      <c r="C233" s="40"/>
      <c r="D233" s="40"/>
      <c r="E233" s="40"/>
      <c r="F233" s="40"/>
    </row>
    <row r="234" spans="1:6" ht="12.75" x14ac:dyDescent="0.2">
      <c r="A234" s="40"/>
      <c r="B234" s="41" t="s">
        <v>399</v>
      </c>
      <c r="C234" s="40"/>
      <c r="D234" s="40"/>
      <c r="E234" s="40"/>
      <c r="F234" s="40"/>
    </row>
    <row r="235" spans="1:6" ht="12.75" x14ac:dyDescent="0.2">
      <c r="A235" s="40"/>
      <c r="B235" s="41" t="s">
        <v>400</v>
      </c>
      <c r="C235" s="40"/>
      <c r="D235" s="40"/>
      <c r="E235" s="40"/>
      <c r="F235" s="40"/>
    </row>
    <row r="236" spans="1:6" ht="12.75" x14ac:dyDescent="0.2">
      <c r="A236" s="40"/>
      <c r="B236" s="41" t="s">
        <v>401</v>
      </c>
      <c r="C236" s="41" t="s">
        <v>101</v>
      </c>
      <c r="D236" s="40"/>
      <c r="E236" s="40"/>
      <c r="F236" s="40"/>
    </row>
    <row r="237" spans="1:6" ht="51" x14ac:dyDescent="0.2">
      <c r="A237" s="41" t="s">
        <v>465</v>
      </c>
      <c r="B237" s="41" t="s">
        <v>402</v>
      </c>
      <c r="C237" s="41" t="s">
        <v>170</v>
      </c>
      <c r="D237" s="40"/>
      <c r="E237" s="40"/>
      <c r="F237" s="40"/>
    </row>
    <row r="238" spans="1:6" ht="12.75" x14ac:dyDescent="0.2">
      <c r="A238" s="41" t="s">
        <v>466</v>
      </c>
      <c r="B238" s="41" t="s">
        <v>402</v>
      </c>
      <c r="C238" s="41" t="s">
        <v>19</v>
      </c>
      <c r="D238" s="40"/>
      <c r="E238" s="40"/>
      <c r="F238" s="40"/>
    </row>
    <row r="239" spans="1:6" ht="12.75" x14ac:dyDescent="0.2">
      <c r="A239" s="41" t="s">
        <v>467</v>
      </c>
      <c r="B239" s="40"/>
      <c r="C239" s="40"/>
      <c r="D239" s="40"/>
      <c r="E239" s="40"/>
      <c r="F239" s="40"/>
    </row>
    <row r="240" spans="1:6" ht="12.75" x14ac:dyDescent="0.2">
      <c r="A240" s="41" t="s">
        <v>468</v>
      </c>
      <c r="B240" s="40"/>
      <c r="C240" s="40"/>
      <c r="D240" s="40"/>
      <c r="E240" s="40"/>
      <c r="F240" s="40"/>
    </row>
    <row r="241" spans="1:6" ht="12.75" x14ac:dyDescent="0.2">
      <c r="A241" s="41" t="s">
        <v>469</v>
      </c>
      <c r="B241" s="40"/>
      <c r="C241" s="40"/>
      <c r="D241" s="40"/>
      <c r="E241" s="40"/>
      <c r="F241" s="40"/>
    </row>
    <row r="242" spans="1:6" ht="12.75" x14ac:dyDescent="0.2">
      <c r="A242" s="41" t="s">
        <v>470</v>
      </c>
      <c r="B242" s="40"/>
      <c r="C242" s="40"/>
      <c r="D242" s="40"/>
      <c r="E242" s="40"/>
      <c r="F242" s="40"/>
    </row>
    <row r="243" spans="1:6" ht="12.75" x14ac:dyDescent="0.2">
      <c r="A243" s="41" t="s">
        <v>471</v>
      </c>
      <c r="B243" s="40"/>
      <c r="C243" s="40"/>
      <c r="D243" s="40"/>
      <c r="E243" s="40"/>
      <c r="F243" s="40"/>
    </row>
    <row r="244" spans="1:6" ht="12.75" x14ac:dyDescent="0.2">
      <c r="A244" s="41" t="s">
        <v>100</v>
      </c>
      <c r="B244" s="40"/>
      <c r="C244" s="40"/>
      <c r="D244" s="40"/>
      <c r="E244" s="40"/>
      <c r="F244" s="40"/>
    </row>
    <row r="245" spans="1:6" ht="12.75" x14ac:dyDescent="0.2">
      <c r="A245" s="40"/>
      <c r="B245" s="41" t="s">
        <v>403</v>
      </c>
      <c r="C245" s="41" t="s">
        <v>24</v>
      </c>
      <c r="D245" s="41" t="s">
        <v>26</v>
      </c>
      <c r="E245" s="40"/>
      <c r="F245" s="40"/>
    </row>
    <row r="246" spans="1:6" ht="12.75" x14ac:dyDescent="0.2">
      <c r="A246" s="40"/>
      <c r="B246" s="41" t="s">
        <v>403</v>
      </c>
      <c r="C246" s="41" t="s">
        <v>32</v>
      </c>
      <c r="D246" s="41" t="s">
        <v>29</v>
      </c>
      <c r="E246" s="40"/>
      <c r="F246" s="40"/>
    </row>
    <row r="247" spans="1:6" ht="12.75" x14ac:dyDescent="0.2">
      <c r="A247" s="40"/>
      <c r="B247" s="41" t="s">
        <v>403</v>
      </c>
      <c r="C247" s="41" t="s">
        <v>25</v>
      </c>
      <c r="D247" s="41" t="s">
        <v>27</v>
      </c>
      <c r="E247" s="40"/>
      <c r="F247" s="40"/>
    </row>
    <row r="248" spans="1:6" ht="12.75" x14ac:dyDescent="0.2">
      <c r="A248" s="40"/>
      <c r="B248" s="41" t="s">
        <v>403</v>
      </c>
      <c r="C248" s="41" t="s">
        <v>30</v>
      </c>
      <c r="D248" s="41" t="s">
        <v>31</v>
      </c>
      <c r="E248" s="40"/>
      <c r="F248" s="40"/>
    </row>
    <row r="249" spans="1:6" ht="12.75" x14ac:dyDescent="0.2">
      <c r="A249" s="40"/>
      <c r="B249" s="40"/>
      <c r="C249" s="40"/>
      <c r="D249" s="40"/>
      <c r="E249" s="40"/>
      <c r="F249" s="40"/>
    </row>
    <row r="250" spans="1:6" ht="12.75" x14ac:dyDescent="0.2">
      <c r="A250" s="41" t="s">
        <v>103</v>
      </c>
      <c r="B250" s="40"/>
      <c r="C250" s="40"/>
      <c r="D250" s="40"/>
      <c r="E250" s="40"/>
      <c r="F250" s="40"/>
    </row>
    <row r="251" spans="1:6" ht="12.75" x14ac:dyDescent="0.2">
      <c r="A251" s="40"/>
      <c r="B251" s="41" t="s">
        <v>398</v>
      </c>
      <c r="C251" s="40"/>
      <c r="D251" s="40"/>
      <c r="E251" s="40"/>
      <c r="F251" s="40"/>
    </row>
    <row r="252" spans="1:6" ht="12.75" x14ac:dyDescent="0.2">
      <c r="A252" s="40"/>
      <c r="B252" s="41" t="s">
        <v>399</v>
      </c>
      <c r="C252" s="40"/>
      <c r="D252" s="40"/>
      <c r="E252" s="40"/>
      <c r="F252" s="40"/>
    </row>
    <row r="253" spans="1:6" ht="12.75" x14ac:dyDescent="0.2">
      <c r="A253" s="40"/>
      <c r="B253" s="41" t="s">
        <v>400</v>
      </c>
      <c r="C253" s="40"/>
      <c r="D253" s="40"/>
      <c r="E253" s="40"/>
      <c r="F253" s="40"/>
    </row>
    <row r="254" spans="1:6" ht="12.75" x14ac:dyDescent="0.2">
      <c r="A254" s="40"/>
      <c r="B254" s="41" t="s">
        <v>401</v>
      </c>
      <c r="C254" s="41" t="s">
        <v>103</v>
      </c>
      <c r="D254" s="40"/>
      <c r="E254" s="40"/>
      <c r="F254" s="40"/>
    </row>
    <row r="255" spans="1:6" ht="38.25" x14ac:dyDescent="0.2">
      <c r="A255" s="41" t="s">
        <v>472</v>
      </c>
      <c r="B255" s="41" t="s">
        <v>402</v>
      </c>
      <c r="C255" s="41" t="s">
        <v>189</v>
      </c>
      <c r="D255" s="40"/>
      <c r="E255" s="40"/>
      <c r="F255" s="40"/>
    </row>
    <row r="256" spans="1:6" ht="12.75" x14ac:dyDescent="0.2">
      <c r="A256" s="41" t="s">
        <v>473</v>
      </c>
      <c r="B256" s="41" t="s">
        <v>402</v>
      </c>
      <c r="C256" s="41" t="s">
        <v>19</v>
      </c>
      <c r="D256" s="40"/>
      <c r="E256" s="40"/>
      <c r="F256" s="40"/>
    </row>
    <row r="257" spans="1:6" ht="12.75" x14ac:dyDescent="0.2">
      <c r="A257" s="41" t="s">
        <v>474</v>
      </c>
      <c r="B257" s="40"/>
      <c r="C257" s="40"/>
      <c r="D257" s="40"/>
      <c r="E257" s="40"/>
      <c r="F257" s="40"/>
    </row>
    <row r="258" spans="1:6" ht="12.75" x14ac:dyDescent="0.2">
      <c r="A258" s="41" t="s">
        <v>475</v>
      </c>
      <c r="B258" s="40"/>
      <c r="C258" s="40"/>
      <c r="D258" s="40"/>
      <c r="E258" s="40"/>
      <c r="F258" s="40"/>
    </row>
    <row r="259" spans="1:6" ht="12.75" x14ac:dyDescent="0.2">
      <c r="A259" s="41" t="s">
        <v>476</v>
      </c>
      <c r="B259" s="40"/>
      <c r="C259" s="40"/>
      <c r="D259" s="40"/>
      <c r="E259" s="40"/>
      <c r="F259" s="40"/>
    </row>
    <row r="260" spans="1:6" ht="12.75" x14ac:dyDescent="0.2">
      <c r="A260" s="41" t="s">
        <v>102</v>
      </c>
      <c r="B260" s="40"/>
      <c r="C260" s="40"/>
      <c r="D260" s="40"/>
      <c r="E260" s="40"/>
      <c r="F260" s="40"/>
    </row>
    <row r="261" spans="1:6" ht="12.75" x14ac:dyDescent="0.2">
      <c r="A261" s="40"/>
      <c r="B261" s="41" t="s">
        <v>422</v>
      </c>
      <c r="C261" s="41" t="s">
        <v>477</v>
      </c>
      <c r="D261" s="41" t="s">
        <v>478</v>
      </c>
      <c r="E261" s="40"/>
      <c r="F261" s="40"/>
    </row>
    <row r="262" spans="1:6" ht="12.75" x14ac:dyDescent="0.2">
      <c r="A262" s="40"/>
      <c r="B262" s="41" t="s">
        <v>403</v>
      </c>
      <c r="C262" s="41" t="s">
        <v>24</v>
      </c>
      <c r="D262" s="41" t="s">
        <v>26</v>
      </c>
      <c r="E262" s="40"/>
      <c r="F262" s="40"/>
    </row>
    <row r="263" spans="1:6" ht="12.75" x14ac:dyDescent="0.2">
      <c r="A263" s="40"/>
      <c r="B263" s="41" t="s">
        <v>403</v>
      </c>
      <c r="C263" s="41" t="s">
        <v>32</v>
      </c>
      <c r="D263" s="41" t="s">
        <v>29</v>
      </c>
      <c r="E263" s="40"/>
      <c r="F263" s="40"/>
    </row>
    <row r="264" spans="1:6" ht="12.75" x14ac:dyDescent="0.2">
      <c r="A264" s="40"/>
      <c r="B264" s="41" t="s">
        <v>403</v>
      </c>
      <c r="C264" s="41" t="s">
        <v>25</v>
      </c>
      <c r="D264" s="41" t="s">
        <v>27</v>
      </c>
      <c r="E264" s="40"/>
      <c r="F264" s="40"/>
    </row>
    <row r="265" spans="1:6" ht="12.75" x14ac:dyDescent="0.2">
      <c r="A265" s="40"/>
      <c r="B265" s="41" t="s">
        <v>403</v>
      </c>
      <c r="C265" s="41" t="s">
        <v>30</v>
      </c>
      <c r="D265" s="41" t="s">
        <v>31</v>
      </c>
      <c r="E265" s="40"/>
      <c r="F265" s="40"/>
    </row>
    <row r="266" spans="1:6" ht="12.75" x14ac:dyDescent="0.2">
      <c r="A266" s="40"/>
      <c r="B266" s="40"/>
      <c r="C266" s="40"/>
      <c r="D266" s="40"/>
      <c r="E266" s="40"/>
      <c r="F266" s="40"/>
    </row>
    <row r="267" spans="1:6" ht="12.75" x14ac:dyDescent="0.2">
      <c r="A267" s="41" t="s">
        <v>106</v>
      </c>
      <c r="B267" s="40"/>
      <c r="C267" s="40"/>
      <c r="D267" s="40"/>
      <c r="E267" s="40"/>
      <c r="F267" s="40"/>
    </row>
    <row r="268" spans="1:6" ht="12.75" x14ac:dyDescent="0.2">
      <c r="A268" s="40"/>
      <c r="B268" s="41" t="s">
        <v>398</v>
      </c>
      <c r="C268" s="40"/>
      <c r="D268" s="40"/>
      <c r="E268" s="40"/>
      <c r="F268" s="40"/>
    </row>
    <row r="269" spans="1:6" ht="12.75" x14ac:dyDescent="0.2">
      <c r="A269" s="40"/>
      <c r="B269" s="41" t="s">
        <v>399</v>
      </c>
      <c r="C269" s="40"/>
      <c r="D269" s="40"/>
      <c r="E269" s="40"/>
      <c r="F269" s="40"/>
    </row>
    <row r="270" spans="1:6" ht="12.75" x14ac:dyDescent="0.2">
      <c r="A270" s="40"/>
      <c r="B270" s="41" t="s">
        <v>400</v>
      </c>
      <c r="C270" s="40"/>
      <c r="D270" s="40"/>
      <c r="E270" s="40"/>
      <c r="F270" s="40"/>
    </row>
    <row r="271" spans="1:6" ht="12.75" x14ac:dyDescent="0.2">
      <c r="A271" s="40"/>
      <c r="B271" s="41" t="s">
        <v>401</v>
      </c>
      <c r="C271" s="41" t="s">
        <v>106</v>
      </c>
      <c r="D271" s="40"/>
      <c r="E271" s="40"/>
      <c r="F271" s="40"/>
    </row>
    <row r="272" spans="1:6" ht="38.25" x14ac:dyDescent="0.2">
      <c r="A272" s="41" t="s">
        <v>479</v>
      </c>
      <c r="B272" s="41" t="s">
        <v>402</v>
      </c>
      <c r="C272" s="41" t="s">
        <v>480</v>
      </c>
      <c r="D272" s="40"/>
      <c r="E272" s="40"/>
      <c r="F272" s="40"/>
    </row>
    <row r="273" spans="1:6" ht="12.75" x14ac:dyDescent="0.2">
      <c r="A273" s="41" t="s">
        <v>481</v>
      </c>
      <c r="B273" s="41" t="s">
        <v>402</v>
      </c>
      <c r="C273" s="41" t="s">
        <v>19</v>
      </c>
      <c r="D273" s="40"/>
      <c r="E273" s="40"/>
      <c r="F273" s="40"/>
    </row>
    <row r="274" spans="1:6" ht="12.75" x14ac:dyDescent="0.2">
      <c r="A274" s="41" t="s">
        <v>482</v>
      </c>
      <c r="B274" s="40"/>
      <c r="C274" s="40"/>
      <c r="D274" s="40"/>
      <c r="E274" s="40"/>
      <c r="F274" s="40"/>
    </row>
    <row r="275" spans="1:6" ht="12.75" x14ac:dyDescent="0.2">
      <c r="A275" s="41" t="s">
        <v>483</v>
      </c>
      <c r="B275" s="40"/>
      <c r="C275" s="40"/>
      <c r="D275" s="40"/>
      <c r="E275" s="40"/>
      <c r="F275" s="40"/>
    </row>
    <row r="276" spans="1:6" ht="12.75" x14ac:dyDescent="0.2">
      <c r="A276" s="41" t="s">
        <v>484</v>
      </c>
      <c r="B276" s="40"/>
      <c r="C276" s="40"/>
      <c r="D276" s="40"/>
      <c r="E276" s="40"/>
      <c r="F276" s="40"/>
    </row>
    <row r="277" spans="1:6" ht="12.75" x14ac:dyDescent="0.2">
      <c r="A277" s="41" t="s">
        <v>485</v>
      </c>
      <c r="B277" s="40"/>
      <c r="C277" s="40"/>
      <c r="D277" s="40"/>
      <c r="E277" s="40"/>
      <c r="F277" s="40"/>
    </row>
    <row r="278" spans="1:6" ht="12.75" x14ac:dyDescent="0.2">
      <c r="A278" s="41" t="s">
        <v>105</v>
      </c>
      <c r="B278" s="40"/>
      <c r="C278" s="40"/>
      <c r="D278" s="40"/>
      <c r="E278" s="40"/>
      <c r="F278" s="40"/>
    </row>
    <row r="279" spans="1:6" ht="12.75" x14ac:dyDescent="0.2">
      <c r="A279" s="40"/>
      <c r="B279" s="41" t="s">
        <v>422</v>
      </c>
      <c r="C279" s="41" t="s">
        <v>486</v>
      </c>
      <c r="D279" s="41" t="s">
        <v>487</v>
      </c>
      <c r="E279" s="40"/>
      <c r="F279" s="40"/>
    </row>
    <row r="280" spans="1:6" ht="12.75" x14ac:dyDescent="0.2">
      <c r="A280" s="40"/>
      <c r="B280" s="41" t="s">
        <v>422</v>
      </c>
      <c r="C280" s="41" t="s">
        <v>488</v>
      </c>
      <c r="D280" s="41" t="s">
        <v>489</v>
      </c>
      <c r="E280" s="40"/>
      <c r="F280" s="40"/>
    </row>
    <row r="281" spans="1:6" ht="12.75" x14ac:dyDescent="0.2">
      <c r="A281" s="40"/>
      <c r="B281" s="41" t="s">
        <v>403</v>
      </c>
      <c r="C281" s="41" t="s">
        <v>24</v>
      </c>
      <c r="D281" s="41" t="s">
        <v>26</v>
      </c>
      <c r="E281" s="40"/>
      <c r="F281" s="40"/>
    </row>
    <row r="282" spans="1:6" ht="12.75" x14ac:dyDescent="0.2">
      <c r="A282" s="40"/>
      <c r="B282" s="41" t="s">
        <v>403</v>
      </c>
      <c r="C282" s="41" t="s">
        <v>32</v>
      </c>
      <c r="D282" s="41" t="s">
        <v>29</v>
      </c>
      <c r="E282" s="40"/>
      <c r="F282" s="40"/>
    </row>
    <row r="283" spans="1:6" ht="12.75" x14ac:dyDescent="0.2">
      <c r="A283" s="40"/>
      <c r="B283" s="41" t="s">
        <v>403</v>
      </c>
      <c r="C283" s="41" t="s">
        <v>25</v>
      </c>
      <c r="D283" s="41" t="s">
        <v>27</v>
      </c>
      <c r="E283" s="40"/>
      <c r="F283" s="40"/>
    </row>
    <row r="284" spans="1:6" ht="12.75" x14ac:dyDescent="0.2">
      <c r="A284" s="40"/>
      <c r="B284" s="41" t="s">
        <v>403</v>
      </c>
      <c r="C284" s="41" t="s">
        <v>30</v>
      </c>
      <c r="D284" s="41" t="s">
        <v>31</v>
      </c>
      <c r="E284" s="40"/>
      <c r="F284" s="40"/>
    </row>
    <row r="285" spans="1:6" ht="12.75" x14ac:dyDescent="0.2">
      <c r="A285" s="40"/>
      <c r="B285" s="40"/>
      <c r="C285" s="40"/>
      <c r="D285" s="40"/>
      <c r="E285" s="40"/>
      <c r="F285" s="40"/>
    </row>
    <row r="286" spans="1:6" ht="12.75" x14ac:dyDescent="0.2">
      <c r="A286" s="41" t="s">
        <v>109</v>
      </c>
      <c r="B286" s="40"/>
      <c r="C286" s="40"/>
      <c r="D286" s="40"/>
      <c r="E286" s="40"/>
      <c r="F286" s="40"/>
    </row>
    <row r="287" spans="1:6" ht="12.75" x14ac:dyDescent="0.2">
      <c r="A287" s="40"/>
      <c r="B287" s="41" t="s">
        <v>398</v>
      </c>
      <c r="C287" s="40"/>
      <c r="D287" s="40"/>
      <c r="E287" s="40"/>
      <c r="F287" s="40"/>
    </row>
    <row r="288" spans="1:6" ht="12.75" x14ac:dyDescent="0.2">
      <c r="A288" s="40"/>
      <c r="B288" s="41" t="s">
        <v>399</v>
      </c>
      <c r="C288" s="40"/>
      <c r="D288" s="40"/>
      <c r="E288" s="40"/>
      <c r="F288" s="40"/>
    </row>
    <row r="289" spans="1:6" ht="12.75" x14ac:dyDescent="0.2">
      <c r="A289" s="40"/>
      <c r="B289" s="41" t="s">
        <v>400</v>
      </c>
      <c r="C289" s="40"/>
      <c r="D289" s="40"/>
      <c r="E289" s="40"/>
      <c r="F289" s="40"/>
    </row>
    <row r="290" spans="1:6" ht="12.75" x14ac:dyDescent="0.2">
      <c r="A290" s="40"/>
      <c r="B290" s="41" t="s">
        <v>401</v>
      </c>
      <c r="C290" s="41" t="s">
        <v>109</v>
      </c>
      <c r="D290" s="40"/>
      <c r="E290" s="40"/>
      <c r="F290" s="40"/>
    </row>
    <row r="291" spans="1:6" ht="25.5" x14ac:dyDescent="0.2">
      <c r="A291" s="41" t="s">
        <v>491</v>
      </c>
      <c r="B291" s="41" t="s">
        <v>402</v>
      </c>
      <c r="C291" s="41" t="s">
        <v>218</v>
      </c>
      <c r="D291" s="40"/>
      <c r="E291" s="40"/>
      <c r="F291" s="40"/>
    </row>
    <row r="292" spans="1:6" ht="12.75" x14ac:dyDescent="0.2">
      <c r="A292" s="41" t="s">
        <v>492</v>
      </c>
      <c r="B292" s="41" t="s">
        <v>402</v>
      </c>
      <c r="C292" s="41" t="s">
        <v>19</v>
      </c>
      <c r="D292" s="40"/>
      <c r="E292" s="40"/>
      <c r="F292" s="40"/>
    </row>
    <row r="293" spans="1:6" ht="12.75" x14ac:dyDescent="0.2">
      <c r="A293" s="41" t="s">
        <v>493</v>
      </c>
      <c r="B293" s="40"/>
      <c r="C293" s="40"/>
      <c r="D293" s="40"/>
      <c r="E293" s="40"/>
      <c r="F293" s="40"/>
    </row>
    <row r="294" spans="1:6" ht="12.75" x14ac:dyDescent="0.2">
      <c r="A294" s="41" t="s">
        <v>494</v>
      </c>
      <c r="B294" s="40"/>
      <c r="C294" s="40"/>
      <c r="D294" s="40"/>
      <c r="E294" s="40"/>
      <c r="F294" s="40"/>
    </row>
    <row r="295" spans="1:6" ht="12.75" x14ac:dyDescent="0.2">
      <c r="A295" s="41" t="s">
        <v>495</v>
      </c>
      <c r="B295" s="40"/>
      <c r="C295" s="40"/>
      <c r="D295" s="40"/>
      <c r="E295" s="40"/>
      <c r="F295" s="40"/>
    </row>
    <row r="296" spans="1:6" ht="12.75" x14ac:dyDescent="0.2">
      <c r="A296" s="41" t="s">
        <v>496</v>
      </c>
      <c r="B296" s="40"/>
      <c r="C296" s="40"/>
      <c r="D296" s="40"/>
      <c r="E296" s="40"/>
      <c r="F296" s="40"/>
    </row>
    <row r="297" spans="1:6" ht="12.75" x14ac:dyDescent="0.2">
      <c r="A297" s="41" t="s">
        <v>108</v>
      </c>
      <c r="B297" s="40"/>
      <c r="C297" s="40"/>
      <c r="D297" s="40"/>
      <c r="E297" s="40"/>
      <c r="F297" s="40"/>
    </row>
    <row r="298" spans="1:6" ht="12.75" x14ac:dyDescent="0.2">
      <c r="A298" s="40"/>
      <c r="B298" s="41" t="s">
        <v>403</v>
      </c>
      <c r="C298" s="41" t="s">
        <v>24</v>
      </c>
      <c r="D298" s="41" t="s">
        <v>26</v>
      </c>
      <c r="E298" s="40"/>
      <c r="F298" s="40"/>
    </row>
    <row r="299" spans="1:6" ht="12.75" x14ac:dyDescent="0.2">
      <c r="A299" s="40"/>
      <c r="B299" s="41" t="s">
        <v>403</v>
      </c>
      <c r="C299" s="41" t="s">
        <v>32</v>
      </c>
      <c r="D299" s="41" t="s">
        <v>29</v>
      </c>
      <c r="E299" s="40"/>
      <c r="F299" s="40"/>
    </row>
    <row r="300" spans="1:6" ht="12.75" x14ac:dyDescent="0.2">
      <c r="A300" s="40"/>
      <c r="B300" s="41" t="s">
        <v>403</v>
      </c>
      <c r="C300" s="41" t="s">
        <v>25</v>
      </c>
      <c r="D300" s="41" t="s">
        <v>27</v>
      </c>
      <c r="E300" s="40"/>
      <c r="F300" s="40"/>
    </row>
    <row r="301" spans="1:6" ht="12.75" x14ac:dyDescent="0.2">
      <c r="A301" s="40"/>
      <c r="B301" s="41" t="s">
        <v>403</v>
      </c>
      <c r="C301" s="41" t="s">
        <v>30</v>
      </c>
      <c r="D301" s="41" t="s">
        <v>31</v>
      </c>
      <c r="E301" s="40"/>
      <c r="F301" s="40"/>
    </row>
    <row r="302" spans="1:6" ht="12.75" x14ac:dyDescent="0.2">
      <c r="A302" s="40"/>
      <c r="B302" s="40"/>
      <c r="C302" s="40"/>
      <c r="D302" s="40"/>
      <c r="E302" s="40"/>
      <c r="F302" s="40"/>
    </row>
    <row r="303" spans="1:6" ht="12.75" x14ac:dyDescent="0.2">
      <c r="A303" s="41" t="s">
        <v>111</v>
      </c>
      <c r="B303" s="40"/>
      <c r="C303" s="40"/>
      <c r="D303" s="40"/>
      <c r="E303" s="40"/>
      <c r="F303" s="40"/>
    </row>
    <row r="304" spans="1:6" ht="12.75" x14ac:dyDescent="0.2">
      <c r="A304" s="40"/>
      <c r="B304" s="41" t="s">
        <v>398</v>
      </c>
      <c r="C304" s="40"/>
      <c r="D304" s="40"/>
      <c r="E304" s="40"/>
      <c r="F304" s="40"/>
    </row>
    <row r="305" spans="1:6" ht="12.75" x14ac:dyDescent="0.2">
      <c r="A305" s="40"/>
      <c r="B305" s="41" t="s">
        <v>399</v>
      </c>
      <c r="C305" s="40"/>
      <c r="D305" s="40"/>
      <c r="E305" s="40"/>
      <c r="F305" s="40"/>
    </row>
    <row r="306" spans="1:6" ht="12.75" x14ac:dyDescent="0.2">
      <c r="A306" s="40"/>
      <c r="B306" s="41" t="s">
        <v>400</v>
      </c>
      <c r="C306" s="40"/>
      <c r="D306" s="40"/>
      <c r="E306" s="40"/>
      <c r="F306" s="40"/>
    </row>
    <row r="307" spans="1:6" ht="12.75" x14ac:dyDescent="0.2">
      <c r="A307" s="40"/>
      <c r="B307" s="41" t="s">
        <v>401</v>
      </c>
      <c r="C307" s="41" t="s">
        <v>111</v>
      </c>
      <c r="D307" s="40"/>
      <c r="E307" s="40"/>
      <c r="F307" s="40"/>
    </row>
    <row r="308" spans="1:6" ht="25.5" x14ac:dyDescent="0.2">
      <c r="A308" s="41" t="s">
        <v>497</v>
      </c>
      <c r="B308" s="41" t="s">
        <v>402</v>
      </c>
      <c r="C308" s="41" t="s">
        <v>233</v>
      </c>
      <c r="D308" s="40"/>
      <c r="E308" s="40"/>
      <c r="F308" s="40"/>
    </row>
    <row r="309" spans="1:6" ht="12.75" x14ac:dyDescent="0.2">
      <c r="A309" s="41" t="s">
        <v>498</v>
      </c>
      <c r="B309" s="41" t="s">
        <v>402</v>
      </c>
      <c r="C309" s="41" t="s">
        <v>19</v>
      </c>
      <c r="D309" s="40"/>
      <c r="E309" s="40"/>
      <c r="F309" s="40"/>
    </row>
    <row r="310" spans="1:6" ht="12.75" x14ac:dyDescent="0.2">
      <c r="A310" s="41" t="s">
        <v>499</v>
      </c>
      <c r="B310" s="40"/>
      <c r="C310" s="40"/>
      <c r="D310" s="40"/>
      <c r="E310" s="40"/>
      <c r="F310" s="40"/>
    </row>
    <row r="311" spans="1:6" ht="12.75" x14ac:dyDescent="0.2">
      <c r="A311" s="41" t="s">
        <v>500</v>
      </c>
      <c r="B311" s="40"/>
      <c r="C311" s="40"/>
      <c r="D311" s="40"/>
      <c r="E311" s="40"/>
      <c r="F311" s="40"/>
    </row>
    <row r="312" spans="1:6" ht="12.75" x14ac:dyDescent="0.2">
      <c r="A312" s="41" t="s">
        <v>501</v>
      </c>
      <c r="B312" s="40"/>
      <c r="C312" s="40"/>
      <c r="D312" s="40"/>
      <c r="E312" s="40"/>
      <c r="F312" s="40"/>
    </row>
    <row r="313" spans="1:6" ht="12.75" x14ac:dyDescent="0.2">
      <c r="A313" s="41" t="s">
        <v>502</v>
      </c>
      <c r="B313" s="40"/>
      <c r="C313" s="40"/>
      <c r="D313" s="40"/>
      <c r="E313" s="40"/>
      <c r="F313" s="40"/>
    </row>
    <row r="314" spans="1:6" ht="12.75" x14ac:dyDescent="0.2">
      <c r="A314" s="41" t="s">
        <v>503</v>
      </c>
      <c r="B314" s="40"/>
      <c r="C314" s="40"/>
      <c r="D314" s="40"/>
      <c r="E314" s="40"/>
      <c r="F314" s="40"/>
    </row>
    <row r="315" spans="1:6" ht="12.75" x14ac:dyDescent="0.2">
      <c r="A315" s="41" t="s">
        <v>110</v>
      </c>
      <c r="B315" s="40"/>
      <c r="C315" s="40"/>
      <c r="D315" s="40"/>
      <c r="E315" s="40"/>
      <c r="F315" s="40"/>
    </row>
    <row r="316" spans="1:6" ht="12.75" x14ac:dyDescent="0.2">
      <c r="A316" s="40"/>
      <c r="B316" s="41" t="s">
        <v>403</v>
      </c>
      <c r="C316" s="41" t="s">
        <v>24</v>
      </c>
      <c r="D316" s="41" t="s">
        <v>26</v>
      </c>
      <c r="E316" s="40"/>
      <c r="F316" s="40"/>
    </row>
    <row r="317" spans="1:6" ht="12.75" x14ac:dyDescent="0.2">
      <c r="A317" s="40"/>
      <c r="B317" s="41" t="s">
        <v>403</v>
      </c>
      <c r="C317" s="41" t="s">
        <v>32</v>
      </c>
      <c r="D317" s="41" t="s">
        <v>29</v>
      </c>
      <c r="E317" s="40"/>
      <c r="F317" s="40"/>
    </row>
    <row r="318" spans="1:6" ht="12.75" x14ac:dyDescent="0.2">
      <c r="A318" s="40"/>
      <c r="B318" s="41" t="s">
        <v>403</v>
      </c>
      <c r="C318" s="41" t="s">
        <v>25</v>
      </c>
      <c r="D318" s="41" t="s">
        <v>27</v>
      </c>
      <c r="E318" s="40"/>
      <c r="F318" s="40"/>
    </row>
    <row r="319" spans="1:6" ht="12.75" x14ac:dyDescent="0.2">
      <c r="A319" s="40"/>
      <c r="B319" s="41" t="s">
        <v>403</v>
      </c>
      <c r="C319" s="41" t="s">
        <v>30</v>
      </c>
      <c r="D319" s="41" t="s">
        <v>31</v>
      </c>
      <c r="E319" s="40"/>
      <c r="F319" s="40"/>
    </row>
    <row r="320" spans="1:6" ht="12.75" x14ac:dyDescent="0.2">
      <c r="A320" s="40"/>
      <c r="B320" s="40"/>
      <c r="C320" s="40"/>
      <c r="D320" s="40"/>
      <c r="E320" s="40"/>
      <c r="F320" s="40"/>
    </row>
    <row r="321" spans="1:6" ht="12.75" x14ac:dyDescent="0.2">
      <c r="A321" s="41" t="s">
        <v>114</v>
      </c>
      <c r="B321" s="40"/>
      <c r="C321" s="40"/>
      <c r="D321" s="40"/>
      <c r="E321" s="40"/>
      <c r="F321" s="40"/>
    </row>
    <row r="322" spans="1:6" ht="12.75" x14ac:dyDescent="0.2">
      <c r="A322" s="40"/>
      <c r="B322" s="41" t="s">
        <v>398</v>
      </c>
      <c r="C322" s="40"/>
      <c r="D322" s="40"/>
      <c r="E322" s="40"/>
      <c r="F322" s="40"/>
    </row>
    <row r="323" spans="1:6" ht="12.75" x14ac:dyDescent="0.2">
      <c r="A323" s="40"/>
      <c r="B323" s="41" t="s">
        <v>399</v>
      </c>
      <c r="C323" s="40"/>
      <c r="D323" s="40"/>
      <c r="E323" s="40"/>
      <c r="F323" s="40"/>
    </row>
    <row r="324" spans="1:6" ht="12.75" x14ac:dyDescent="0.2">
      <c r="A324" s="40"/>
      <c r="B324" s="41" t="s">
        <v>400</v>
      </c>
      <c r="C324" s="40"/>
      <c r="D324" s="40"/>
      <c r="E324" s="40"/>
      <c r="F324" s="40"/>
    </row>
    <row r="325" spans="1:6" ht="12.75" x14ac:dyDescent="0.2">
      <c r="A325" s="40"/>
      <c r="B325" s="41" t="s">
        <v>401</v>
      </c>
      <c r="C325" s="41" t="s">
        <v>114</v>
      </c>
      <c r="D325" s="40"/>
      <c r="E325" s="40"/>
      <c r="F325" s="40"/>
    </row>
    <row r="326" spans="1:6" ht="38.25" x14ac:dyDescent="0.2">
      <c r="A326" s="41" t="s">
        <v>504</v>
      </c>
      <c r="B326" s="41" t="s">
        <v>402</v>
      </c>
      <c r="C326" s="41" t="s">
        <v>249</v>
      </c>
      <c r="D326" s="40"/>
      <c r="E326" s="40"/>
      <c r="F326" s="40"/>
    </row>
    <row r="327" spans="1:6" ht="12.75" x14ac:dyDescent="0.2">
      <c r="A327" s="41" t="s">
        <v>505</v>
      </c>
      <c r="B327" s="41" t="s">
        <v>402</v>
      </c>
      <c r="C327" s="41" t="s">
        <v>19</v>
      </c>
      <c r="D327" s="40"/>
      <c r="E327" s="40"/>
      <c r="F327" s="40"/>
    </row>
    <row r="328" spans="1:6" ht="12.75" x14ac:dyDescent="0.2">
      <c r="A328" s="41" t="s">
        <v>506</v>
      </c>
      <c r="B328" s="40"/>
      <c r="C328" s="40"/>
      <c r="D328" s="40"/>
      <c r="E328" s="40"/>
      <c r="F328" s="40"/>
    </row>
    <row r="329" spans="1:6" ht="12.75" x14ac:dyDescent="0.2">
      <c r="A329" s="41" t="s">
        <v>507</v>
      </c>
      <c r="B329" s="40"/>
      <c r="C329" s="40"/>
      <c r="D329" s="40"/>
      <c r="E329" s="40"/>
      <c r="F329" s="40"/>
    </row>
    <row r="330" spans="1:6" ht="12.75" x14ac:dyDescent="0.2">
      <c r="A330" s="41" t="s">
        <v>112</v>
      </c>
      <c r="B330" s="40"/>
      <c r="C330" s="40"/>
      <c r="D330" s="40"/>
      <c r="E330" s="40"/>
      <c r="F330" s="40"/>
    </row>
    <row r="331" spans="1:6" ht="12.75" x14ac:dyDescent="0.2">
      <c r="A331" s="40"/>
      <c r="B331" s="41" t="s">
        <v>422</v>
      </c>
      <c r="C331" s="41" t="s">
        <v>508</v>
      </c>
      <c r="D331" s="41" t="s">
        <v>509</v>
      </c>
      <c r="E331" s="40"/>
      <c r="F331" s="40"/>
    </row>
    <row r="332" spans="1:6" ht="12.75" x14ac:dyDescent="0.2">
      <c r="A332" s="40"/>
      <c r="B332" s="41" t="s">
        <v>403</v>
      </c>
      <c r="C332" s="41" t="s">
        <v>24</v>
      </c>
      <c r="D332" s="41" t="s">
        <v>26</v>
      </c>
      <c r="E332" s="40"/>
      <c r="F332" s="40"/>
    </row>
    <row r="333" spans="1:6" ht="12.75" x14ac:dyDescent="0.2">
      <c r="A333" s="40"/>
      <c r="B333" s="41" t="s">
        <v>403</v>
      </c>
      <c r="C333" s="41" t="s">
        <v>32</v>
      </c>
      <c r="D333" s="41" t="s">
        <v>29</v>
      </c>
      <c r="E333" s="40"/>
      <c r="F333" s="40"/>
    </row>
    <row r="334" spans="1:6" ht="12.75" x14ac:dyDescent="0.2">
      <c r="A334" s="40"/>
      <c r="B334" s="41" t="s">
        <v>403</v>
      </c>
      <c r="C334" s="41" t="s">
        <v>25</v>
      </c>
      <c r="D334" s="41" t="s">
        <v>27</v>
      </c>
      <c r="E334" s="40"/>
      <c r="F334" s="40"/>
    </row>
    <row r="335" spans="1:6" ht="12.75" x14ac:dyDescent="0.2">
      <c r="A335" s="40"/>
      <c r="B335" s="41" t="s">
        <v>403</v>
      </c>
      <c r="C335" s="41" t="s">
        <v>30</v>
      </c>
      <c r="D335" s="41" t="s">
        <v>31</v>
      </c>
      <c r="E335" s="40"/>
      <c r="F335" s="40"/>
    </row>
    <row r="336" spans="1:6" ht="12.75" x14ac:dyDescent="0.2">
      <c r="A336" s="40"/>
      <c r="B336" s="40"/>
      <c r="C336" s="40"/>
      <c r="D336" s="40"/>
      <c r="E336" s="40"/>
      <c r="F336" s="40"/>
    </row>
    <row r="337" spans="1:6" ht="12.75" x14ac:dyDescent="0.2">
      <c r="A337" s="41" t="s">
        <v>87</v>
      </c>
      <c r="B337" s="40"/>
      <c r="C337" s="40"/>
      <c r="D337" s="40"/>
      <c r="E337" s="40"/>
      <c r="F337" s="40"/>
    </row>
    <row r="338" spans="1:6" ht="12.75" x14ac:dyDescent="0.2">
      <c r="A338" s="40"/>
      <c r="B338" s="41" t="s">
        <v>398</v>
      </c>
      <c r="C338" s="40"/>
      <c r="D338" s="40"/>
      <c r="E338" s="40"/>
      <c r="F338" s="40"/>
    </row>
    <row r="339" spans="1:6" ht="12.75" x14ac:dyDescent="0.2">
      <c r="A339" s="40"/>
      <c r="B339" s="41" t="s">
        <v>399</v>
      </c>
      <c r="C339" s="40"/>
      <c r="D339" s="40"/>
      <c r="E339" s="40"/>
      <c r="F339" s="40"/>
    </row>
    <row r="340" spans="1:6" ht="12.75" x14ac:dyDescent="0.2">
      <c r="A340" s="40"/>
      <c r="B340" s="41" t="s">
        <v>400</v>
      </c>
      <c r="C340" s="40"/>
      <c r="D340" s="40"/>
      <c r="E340" s="40"/>
      <c r="F340" s="40"/>
    </row>
    <row r="341" spans="1:6" ht="12.75" x14ac:dyDescent="0.2">
      <c r="A341" s="40"/>
      <c r="B341" s="41" t="s">
        <v>401</v>
      </c>
      <c r="C341" s="41" t="s">
        <v>87</v>
      </c>
      <c r="D341" s="40"/>
      <c r="E341" s="40"/>
      <c r="F341" s="40"/>
    </row>
    <row r="342" spans="1:6" ht="12.75" x14ac:dyDescent="0.2">
      <c r="A342" s="41" t="s">
        <v>510</v>
      </c>
      <c r="B342" s="41" t="s">
        <v>402</v>
      </c>
      <c r="C342" s="41" t="s">
        <v>88</v>
      </c>
      <c r="D342" s="40"/>
      <c r="E342" s="40"/>
      <c r="F342" s="40"/>
    </row>
    <row r="343" spans="1:6" ht="12.75" x14ac:dyDescent="0.2">
      <c r="A343" s="41" t="s">
        <v>48</v>
      </c>
      <c r="B343" s="40"/>
      <c r="C343" s="40"/>
      <c r="D343" s="40"/>
      <c r="E343" s="40"/>
      <c r="F343" s="40"/>
    </row>
    <row r="344" spans="1:6" ht="12.75" x14ac:dyDescent="0.2">
      <c r="A344" s="40"/>
      <c r="B344" s="41" t="s">
        <v>422</v>
      </c>
      <c r="C344" s="41" t="s">
        <v>423</v>
      </c>
      <c r="D344" s="41" t="s">
        <v>424</v>
      </c>
      <c r="E344" s="40"/>
      <c r="F344" s="40"/>
    </row>
    <row r="345" spans="1:6" ht="12.75" x14ac:dyDescent="0.2">
      <c r="A345" s="40"/>
      <c r="B345" s="41" t="s">
        <v>403</v>
      </c>
      <c r="C345" s="41" t="s">
        <v>90</v>
      </c>
      <c r="D345" s="41" t="s">
        <v>91</v>
      </c>
      <c r="E345" s="40"/>
      <c r="F345" s="40"/>
    </row>
    <row r="346" spans="1:6" ht="12.75" x14ac:dyDescent="0.2">
      <c r="A346" s="40"/>
      <c r="B346" s="41" t="s">
        <v>403</v>
      </c>
      <c r="C346" s="41" t="s">
        <v>97</v>
      </c>
      <c r="D346" s="41" t="s">
        <v>98</v>
      </c>
      <c r="E346" s="40"/>
      <c r="F346" s="40"/>
    </row>
    <row r="347" spans="1:6" ht="12.75" x14ac:dyDescent="0.2">
      <c r="A347" s="40"/>
      <c r="B347" s="41" t="s">
        <v>403</v>
      </c>
      <c r="C347" s="41" t="s">
        <v>100</v>
      </c>
      <c r="D347" s="41" t="s">
        <v>101</v>
      </c>
      <c r="E347" s="40"/>
      <c r="F347" s="40"/>
    </row>
    <row r="348" spans="1:6" ht="12.75" x14ac:dyDescent="0.2">
      <c r="A348" s="40"/>
      <c r="B348" s="41" t="s">
        <v>403</v>
      </c>
      <c r="C348" s="41" t="s">
        <v>102</v>
      </c>
      <c r="D348" s="41" t="s">
        <v>103</v>
      </c>
      <c r="E348" s="40"/>
      <c r="F348" s="40"/>
    </row>
    <row r="349" spans="1:6" ht="12.75" x14ac:dyDescent="0.2">
      <c r="A349" s="40"/>
      <c r="B349" s="41" t="s">
        <v>403</v>
      </c>
      <c r="C349" s="41" t="s">
        <v>105</v>
      </c>
      <c r="D349" s="41" t="s">
        <v>106</v>
      </c>
      <c r="E349" s="40"/>
      <c r="F349" s="40"/>
    </row>
    <row r="350" spans="1:6" ht="12.75" x14ac:dyDescent="0.2">
      <c r="A350" s="40"/>
      <c r="B350" s="41" t="s">
        <v>403</v>
      </c>
      <c r="C350" s="41" t="s">
        <v>108</v>
      </c>
      <c r="D350" s="41" t="s">
        <v>109</v>
      </c>
      <c r="E350" s="40"/>
      <c r="F350" s="40"/>
    </row>
    <row r="351" spans="1:6" ht="12.75" x14ac:dyDescent="0.2">
      <c r="A351" s="40"/>
      <c r="B351" s="41" t="s">
        <v>403</v>
      </c>
      <c r="C351" s="41" t="s">
        <v>110</v>
      </c>
      <c r="D351" s="41" t="s">
        <v>111</v>
      </c>
      <c r="E351" s="40"/>
      <c r="F351" s="40"/>
    </row>
    <row r="352" spans="1:6" ht="12.75" x14ac:dyDescent="0.2">
      <c r="A352" s="40"/>
      <c r="B352" s="41" t="s">
        <v>403</v>
      </c>
      <c r="C352" s="41" t="s">
        <v>112</v>
      </c>
      <c r="D352" s="41" t="s">
        <v>114</v>
      </c>
      <c r="E352" s="40"/>
      <c r="F352" s="40"/>
    </row>
    <row r="353" spans="1:6" ht="12.75" x14ac:dyDescent="0.2">
      <c r="A353" s="40"/>
      <c r="B353" s="41" t="s">
        <v>403</v>
      </c>
      <c r="C353" s="41" t="s">
        <v>24</v>
      </c>
      <c r="D353" s="41" t="s">
        <v>26</v>
      </c>
      <c r="E353" s="40"/>
      <c r="F353" s="40"/>
    </row>
    <row r="354" spans="1:6" ht="12.75" x14ac:dyDescent="0.2">
      <c r="A354" s="40"/>
      <c r="B354" s="40"/>
      <c r="C354" s="40"/>
      <c r="D354" s="40"/>
      <c r="E354" s="40"/>
      <c r="F354" s="40"/>
    </row>
    <row r="355" spans="1:6" ht="12.75" x14ac:dyDescent="0.2">
      <c r="A355" s="41" t="s">
        <v>120</v>
      </c>
      <c r="B355" s="40"/>
      <c r="C355" s="40"/>
      <c r="D355" s="40"/>
      <c r="E355" s="40"/>
      <c r="F355" s="40"/>
    </row>
    <row r="356" spans="1:6" ht="12.75" x14ac:dyDescent="0.2">
      <c r="A356" s="40"/>
      <c r="B356" s="41" t="s">
        <v>398</v>
      </c>
      <c r="C356" s="40"/>
      <c r="D356" s="40"/>
      <c r="E356" s="40"/>
      <c r="F356" s="40"/>
    </row>
    <row r="357" spans="1:6" ht="12.75" x14ac:dyDescent="0.2">
      <c r="A357" s="40"/>
      <c r="B357" s="41" t="s">
        <v>399</v>
      </c>
      <c r="C357" s="40"/>
      <c r="D357" s="40"/>
      <c r="E357" s="40"/>
      <c r="F357" s="40"/>
    </row>
    <row r="358" spans="1:6" ht="12.75" x14ac:dyDescent="0.2">
      <c r="A358" s="40"/>
      <c r="B358" s="41" t="s">
        <v>400</v>
      </c>
      <c r="C358" s="40"/>
      <c r="D358" s="40"/>
      <c r="E358" s="40"/>
      <c r="F358" s="40"/>
    </row>
    <row r="359" spans="1:6" ht="12.75" x14ac:dyDescent="0.2">
      <c r="A359" s="40"/>
      <c r="B359" s="41" t="s">
        <v>401</v>
      </c>
      <c r="C359" s="41" t="s">
        <v>120</v>
      </c>
      <c r="D359" s="40"/>
      <c r="E359" s="40"/>
      <c r="F359" s="40"/>
    </row>
    <row r="360" spans="1:6" ht="25.5" x14ac:dyDescent="0.2">
      <c r="A360" s="41" t="s">
        <v>511</v>
      </c>
      <c r="B360" s="41" t="s">
        <v>402</v>
      </c>
      <c r="C360" s="41" t="s">
        <v>266</v>
      </c>
      <c r="D360" s="40"/>
      <c r="E360" s="40"/>
      <c r="F360" s="40"/>
    </row>
    <row r="361" spans="1:6" ht="12.75" x14ac:dyDescent="0.2">
      <c r="A361" s="41" t="s">
        <v>512</v>
      </c>
      <c r="B361" s="41" t="s">
        <v>402</v>
      </c>
      <c r="C361" s="41" t="s">
        <v>19</v>
      </c>
      <c r="D361" s="40"/>
      <c r="E361" s="40"/>
      <c r="F361" s="40"/>
    </row>
    <row r="362" spans="1:6" ht="12.75" x14ac:dyDescent="0.2">
      <c r="A362" s="41" t="s">
        <v>513</v>
      </c>
      <c r="B362" s="40"/>
      <c r="C362" s="40"/>
      <c r="D362" s="40"/>
      <c r="E362" s="40"/>
      <c r="F362" s="40"/>
    </row>
    <row r="363" spans="1:6" ht="12.75" x14ac:dyDescent="0.2">
      <c r="A363" s="41" t="s">
        <v>514</v>
      </c>
      <c r="B363" s="40"/>
      <c r="C363" s="40"/>
      <c r="D363" s="40"/>
      <c r="E363" s="40"/>
      <c r="F363" s="40"/>
    </row>
    <row r="364" spans="1:6" ht="12.75" x14ac:dyDescent="0.2">
      <c r="A364" s="41" t="s">
        <v>515</v>
      </c>
      <c r="B364" s="40"/>
      <c r="C364" s="40"/>
      <c r="D364" s="40"/>
      <c r="E364" s="40"/>
      <c r="F364" s="40"/>
    </row>
    <row r="365" spans="1:6" ht="12.75" x14ac:dyDescent="0.2">
      <c r="A365" s="41" t="s">
        <v>516</v>
      </c>
      <c r="B365" s="40"/>
      <c r="C365" s="40"/>
      <c r="D365" s="40"/>
      <c r="E365" s="40"/>
      <c r="F365" s="40"/>
    </row>
    <row r="366" spans="1:6" ht="12.75" x14ac:dyDescent="0.2">
      <c r="A366" s="41" t="s">
        <v>119</v>
      </c>
      <c r="B366" s="40"/>
      <c r="C366" s="40"/>
      <c r="D366" s="40"/>
      <c r="E366" s="40"/>
      <c r="F366" s="40"/>
    </row>
    <row r="367" spans="1:6" ht="12.75" x14ac:dyDescent="0.2">
      <c r="A367" s="40"/>
      <c r="B367" s="41" t="s">
        <v>422</v>
      </c>
      <c r="C367" s="41" t="s">
        <v>423</v>
      </c>
      <c r="D367" s="41" t="s">
        <v>424</v>
      </c>
      <c r="E367" s="40"/>
      <c r="F367" s="40"/>
    </row>
    <row r="368" spans="1:6" ht="12.75" x14ac:dyDescent="0.2">
      <c r="A368" s="40"/>
      <c r="B368" s="41" t="s">
        <v>403</v>
      </c>
      <c r="C368" s="41" t="s">
        <v>24</v>
      </c>
      <c r="D368" s="41" t="s">
        <v>26</v>
      </c>
      <c r="E368" s="40"/>
      <c r="F368" s="40"/>
    </row>
    <row r="369" spans="1:6" ht="12.75" x14ac:dyDescent="0.2">
      <c r="A369" s="40"/>
      <c r="B369" s="41" t="s">
        <v>403</v>
      </c>
      <c r="C369" s="41" t="s">
        <v>32</v>
      </c>
      <c r="D369" s="41" t="s">
        <v>29</v>
      </c>
      <c r="E369" s="40"/>
      <c r="F369" s="40"/>
    </row>
    <row r="370" spans="1:6" ht="12.75" x14ac:dyDescent="0.2">
      <c r="A370" s="40"/>
      <c r="B370" s="41" t="s">
        <v>403</v>
      </c>
      <c r="C370" s="41" t="s">
        <v>25</v>
      </c>
      <c r="D370" s="41" t="s">
        <v>27</v>
      </c>
      <c r="E370" s="40"/>
      <c r="F370" s="40"/>
    </row>
    <row r="371" spans="1:6" ht="12.75" x14ac:dyDescent="0.2">
      <c r="A371" s="40"/>
      <c r="B371" s="41" t="s">
        <v>403</v>
      </c>
      <c r="C371" s="41" t="s">
        <v>30</v>
      </c>
      <c r="D371" s="41" t="s">
        <v>31</v>
      </c>
      <c r="E371" s="40"/>
      <c r="F371" s="40"/>
    </row>
    <row r="372" spans="1:6" ht="12.75" x14ac:dyDescent="0.2">
      <c r="A372" s="40"/>
      <c r="B372" s="40"/>
      <c r="C372" s="40"/>
      <c r="D372" s="40"/>
      <c r="E372" s="40"/>
      <c r="F372" s="40"/>
    </row>
    <row r="373" spans="1:6" ht="12.75" x14ac:dyDescent="0.2">
      <c r="A373" s="41" t="s">
        <v>127</v>
      </c>
      <c r="B373" s="40"/>
      <c r="C373" s="40"/>
      <c r="D373" s="40"/>
      <c r="E373" s="40"/>
      <c r="F373" s="40"/>
    </row>
    <row r="374" spans="1:6" ht="12.75" x14ac:dyDescent="0.2">
      <c r="A374" s="40"/>
      <c r="B374" s="41" t="s">
        <v>398</v>
      </c>
      <c r="C374" s="40"/>
      <c r="D374" s="40"/>
      <c r="E374" s="40"/>
      <c r="F374" s="40"/>
    </row>
    <row r="375" spans="1:6" ht="12.75" x14ac:dyDescent="0.2">
      <c r="A375" s="40"/>
      <c r="B375" s="41" t="s">
        <v>399</v>
      </c>
      <c r="C375" s="40"/>
      <c r="D375" s="40"/>
      <c r="E375" s="40"/>
      <c r="F375" s="40"/>
    </row>
    <row r="376" spans="1:6" ht="12.75" x14ac:dyDescent="0.2">
      <c r="A376" s="40"/>
      <c r="B376" s="41" t="s">
        <v>400</v>
      </c>
      <c r="C376" s="40"/>
      <c r="D376" s="40"/>
      <c r="E376" s="40"/>
      <c r="F376" s="40"/>
    </row>
    <row r="377" spans="1:6" ht="12.75" x14ac:dyDescent="0.2">
      <c r="A377" s="40"/>
      <c r="B377" s="41" t="s">
        <v>401</v>
      </c>
      <c r="C377" s="41" t="s">
        <v>127</v>
      </c>
      <c r="D377" s="40"/>
      <c r="E377" s="40"/>
      <c r="F377" s="40"/>
    </row>
    <row r="378" spans="1:6" ht="51" x14ac:dyDescent="0.2">
      <c r="A378" s="41" t="s">
        <v>517</v>
      </c>
      <c r="B378" s="41" t="s">
        <v>402</v>
      </c>
      <c r="C378" s="41" t="s">
        <v>292</v>
      </c>
      <c r="D378" s="40"/>
      <c r="E378" s="40"/>
      <c r="F378" s="40"/>
    </row>
    <row r="379" spans="1:6" ht="12.75" x14ac:dyDescent="0.2">
      <c r="A379" s="41" t="s">
        <v>518</v>
      </c>
      <c r="B379" s="41" t="s">
        <v>402</v>
      </c>
      <c r="C379" s="41" t="s">
        <v>19</v>
      </c>
      <c r="D379" s="40"/>
      <c r="E379" s="40"/>
      <c r="F379" s="40"/>
    </row>
    <row r="380" spans="1:6" ht="12.75" x14ac:dyDescent="0.2">
      <c r="A380" s="41" t="s">
        <v>519</v>
      </c>
      <c r="B380" s="40"/>
      <c r="C380" s="40"/>
      <c r="D380" s="40"/>
      <c r="E380" s="40"/>
      <c r="F380" s="40"/>
    </row>
    <row r="381" spans="1:6" ht="12.75" x14ac:dyDescent="0.2">
      <c r="A381" s="41" t="s">
        <v>520</v>
      </c>
      <c r="B381" s="40"/>
      <c r="C381" s="40"/>
      <c r="D381" s="40"/>
      <c r="E381" s="40"/>
      <c r="F381" s="40"/>
    </row>
    <row r="382" spans="1:6" ht="12.75" x14ac:dyDescent="0.2">
      <c r="A382" s="41" t="s">
        <v>521</v>
      </c>
      <c r="B382" s="40"/>
      <c r="C382" s="40"/>
      <c r="D382" s="40"/>
      <c r="E382" s="40"/>
      <c r="F382" s="40"/>
    </row>
    <row r="383" spans="1:6" ht="12.75" x14ac:dyDescent="0.2">
      <c r="A383" s="41" t="s">
        <v>522</v>
      </c>
      <c r="B383" s="40"/>
      <c r="C383" s="40"/>
      <c r="D383" s="40"/>
      <c r="E383" s="40"/>
      <c r="F383" s="40"/>
    </row>
    <row r="384" spans="1:6" ht="12.75" x14ac:dyDescent="0.2">
      <c r="A384" s="41" t="s">
        <v>523</v>
      </c>
      <c r="B384" s="40"/>
      <c r="C384" s="40"/>
      <c r="D384" s="40"/>
      <c r="E384" s="40"/>
      <c r="F384" s="40"/>
    </row>
    <row r="385" spans="1:6" ht="12.75" x14ac:dyDescent="0.2">
      <c r="A385" s="41" t="s">
        <v>524</v>
      </c>
      <c r="B385" s="40"/>
      <c r="C385" s="40"/>
      <c r="D385" s="40"/>
      <c r="E385" s="40"/>
      <c r="F385" s="40"/>
    </row>
    <row r="386" spans="1:6" ht="12.75" x14ac:dyDescent="0.2">
      <c r="A386" s="41" t="s">
        <v>525</v>
      </c>
      <c r="B386" s="40"/>
      <c r="C386" s="40"/>
      <c r="D386" s="40"/>
      <c r="E386" s="40"/>
      <c r="F386" s="40"/>
    </row>
    <row r="387" spans="1:6" ht="12.75" x14ac:dyDescent="0.2">
      <c r="A387" s="41" t="s">
        <v>526</v>
      </c>
      <c r="B387" s="40"/>
      <c r="C387" s="40"/>
      <c r="D387" s="40"/>
      <c r="E387" s="40"/>
      <c r="F387" s="40"/>
    </row>
    <row r="388" spans="1:6" ht="12.75" x14ac:dyDescent="0.2">
      <c r="A388" s="41" t="s">
        <v>527</v>
      </c>
      <c r="B388" s="40"/>
      <c r="C388" s="40"/>
      <c r="D388" s="40"/>
      <c r="E388" s="40"/>
      <c r="F388" s="40"/>
    </row>
    <row r="389" spans="1:6" ht="12.75" x14ac:dyDescent="0.2">
      <c r="A389" s="41" t="s">
        <v>126</v>
      </c>
      <c r="B389" s="40"/>
      <c r="C389" s="40"/>
      <c r="D389" s="40"/>
      <c r="E389" s="40"/>
      <c r="F389" s="40"/>
    </row>
    <row r="390" spans="1:6" ht="12.75" x14ac:dyDescent="0.2">
      <c r="A390" s="40"/>
      <c r="B390" s="41" t="s">
        <v>403</v>
      </c>
      <c r="C390" s="41" t="s">
        <v>24</v>
      </c>
      <c r="D390" s="41" t="s">
        <v>26</v>
      </c>
      <c r="E390" s="40"/>
      <c r="F390" s="40"/>
    </row>
    <row r="391" spans="1:6" ht="12.75" x14ac:dyDescent="0.2">
      <c r="A391" s="40"/>
      <c r="B391" s="41" t="s">
        <v>403</v>
      </c>
      <c r="C391" s="41" t="s">
        <v>32</v>
      </c>
      <c r="D391" s="41" t="s">
        <v>29</v>
      </c>
      <c r="E391" s="40"/>
      <c r="F391" s="40"/>
    </row>
    <row r="392" spans="1:6" ht="12.75" x14ac:dyDescent="0.2">
      <c r="A392" s="40"/>
      <c r="B392" s="41" t="s">
        <v>403</v>
      </c>
      <c r="C392" s="41" t="s">
        <v>25</v>
      </c>
      <c r="D392" s="41" t="s">
        <v>27</v>
      </c>
      <c r="E392" s="40"/>
      <c r="F392" s="40"/>
    </row>
    <row r="393" spans="1:6" ht="12.75" x14ac:dyDescent="0.2">
      <c r="A393" s="40"/>
      <c r="B393" s="41" t="s">
        <v>403</v>
      </c>
      <c r="C393" s="41" t="s">
        <v>30</v>
      </c>
      <c r="D393" s="41" t="s">
        <v>31</v>
      </c>
      <c r="E393" s="40"/>
      <c r="F393" s="40"/>
    </row>
    <row r="394" spans="1:6" ht="12.75" x14ac:dyDescent="0.2">
      <c r="A394" s="40"/>
      <c r="B394" s="40"/>
      <c r="C394" s="40"/>
      <c r="D394" s="40"/>
      <c r="E394" s="40"/>
      <c r="F394" s="40"/>
    </row>
    <row r="395" spans="1:6" ht="12.75" x14ac:dyDescent="0.2">
      <c r="A395" s="41" t="s">
        <v>131</v>
      </c>
      <c r="B395" s="40"/>
      <c r="C395" s="40"/>
      <c r="D395" s="40"/>
      <c r="E395" s="40"/>
      <c r="F395" s="40"/>
    </row>
    <row r="396" spans="1:6" ht="12.75" x14ac:dyDescent="0.2">
      <c r="A396" s="40"/>
      <c r="B396" s="41" t="s">
        <v>398</v>
      </c>
      <c r="C396" s="40"/>
      <c r="D396" s="40"/>
      <c r="E396" s="40"/>
      <c r="F396" s="40"/>
    </row>
    <row r="397" spans="1:6" ht="12.75" x14ac:dyDescent="0.2">
      <c r="A397" s="40"/>
      <c r="B397" s="41" t="s">
        <v>399</v>
      </c>
      <c r="C397" s="40"/>
      <c r="D397" s="40"/>
      <c r="E397" s="40"/>
      <c r="F397" s="40"/>
    </row>
    <row r="398" spans="1:6" ht="12.75" x14ac:dyDescent="0.2">
      <c r="A398" s="40"/>
      <c r="B398" s="41" t="s">
        <v>400</v>
      </c>
      <c r="C398" s="40"/>
      <c r="D398" s="40"/>
      <c r="E398" s="40"/>
      <c r="F398" s="40"/>
    </row>
    <row r="399" spans="1:6" ht="12.75" x14ac:dyDescent="0.2">
      <c r="A399" s="40"/>
      <c r="B399" s="41" t="s">
        <v>401</v>
      </c>
      <c r="C399" s="41" t="s">
        <v>131</v>
      </c>
      <c r="D399" s="40"/>
      <c r="E399" s="40"/>
      <c r="F399" s="40"/>
    </row>
    <row r="400" spans="1:6" ht="38.25" x14ac:dyDescent="0.2">
      <c r="A400" s="41" t="s">
        <v>528</v>
      </c>
      <c r="B400" s="41" t="s">
        <v>402</v>
      </c>
      <c r="C400" s="41" t="s">
        <v>309</v>
      </c>
      <c r="D400" s="40"/>
      <c r="E400" s="40"/>
      <c r="F400" s="40"/>
    </row>
    <row r="401" spans="1:6" ht="12.75" x14ac:dyDescent="0.2">
      <c r="A401" s="41" t="s">
        <v>529</v>
      </c>
      <c r="B401" s="41" t="s">
        <v>402</v>
      </c>
      <c r="C401" s="41" t="s">
        <v>19</v>
      </c>
      <c r="D401" s="40"/>
      <c r="E401" s="40"/>
      <c r="F401" s="40"/>
    </row>
    <row r="402" spans="1:6" ht="12.75" x14ac:dyDescent="0.2">
      <c r="A402" s="41" t="s">
        <v>530</v>
      </c>
      <c r="B402" s="40"/>
      <c r="C402" s="40"/>
      <c r="D402" s="40"/>
      <c r="E402" s="40"/>
      <c r="F402" s="40"/>
    </row>
    <row r="403" spans="1:6" ht="12.75" x14ac:dyDescent="0.2">
      <c r="A403" s="41" t="s">
        <v>531</v>
      </c>
      <c r="B403" s="40"/>
      <c r="C403" s="40"/>
      <c r="D403" s="40"/>
      <c r="E403" s="40"/>
      <c r="F403" s="40"/>
    </row>
    <row r="404" spans="1:6" ht="12.75" x14ac:dyDescent="0.2">
      <c r="A404" s="41" t="s">
        <v>532</v>
      </c>
      <c r="B404" s="40"/>
      <c r="C404" s="40"/>
      <c r="D404" s="40"/>
      <c r="E404" s="40"/>
      <c r="F404" s="40"/>
    </row>
    <row r="405" spans="1:6" ht="12.75" x14ac:dyDescent="0.2">
      <c r="A405" s="41" t="s">
        <v>533</v>
      </c>
      <c r="B405" s="40"/>
      <c r="C405" s="40"/>
      <c r="D405" s="40"/>
      <c r="E405" s="40"/>
      <c r="F405" s="40"/>
    </row>
    <row r="406" spans="1:6" ht="12.75" x14ac:dyDescent="0.2">
      <c r="A406" s="41" t="s">
        <v>130</v>
      </c>
      <c r="B406" s="40"/>
      <c r="C406" s="40"/>
      <c r="D406" s="40"/>
      <c r="E406" s="40"/>
      <c r="F406" s="40"/>
    </row>
    <row r="407" spans="1:6" ht="12.75" x14ac:dyDescent="0.2">
      <c r="A407" s="40"/>
      <c r="B407" s="41" t="s">
        <v>403</v>
      </c>
      <c r="C407" s="41" t="s">
        <v>24</v>
      </c>
      <c r="D407" s="41" t="s">
        <v>26</v>
      </c>
      <c r="E407" s="40"/>
      <c r="F407" s="40"/>
    </row>
    <row r="408" spans="1:6" ht="12.75" x14ac:dyDescent="0.2">
      <c r="A408" s="40"/>
      <c r="B408" s="41" t="s">
        <v>403</v>
      </c>
      <c r="C408" s="41" t="s">
        <v>32</v>
      </c>
      <c r="D408" s="41" t="s">
        <v>29</v>
      </c>
      <c r="E408" s="40"/>
      <c r="F408" s="40"/>
    </row>
    <row r="409" spans="1:6" ht="12.75" x14ac:dyDescent="0.2">
      <c r="A409" s="40"/>
      <c r="B409" s="41" t="s">
        <v>403</v>
      </c>
      <c r="C409" s="41" t="s">
        <v>25</v>
      </c>
      <c r="D409" s="41" t="s">
        <v>27</v>
      </c>
      <c r="E409" s="40"/>
      <c r="F409" s="40"/>
    </row>
    <row r="410" spans="1:6" ht="12.75" x14ac:dyDescent="0.2">
      <c r="A410" s="40"/>
      <c r="B410" s="41" t="s">
        <v>403</v>
      </c>
      <c r="C410" s="41" t="s">
        <v>30</v>
      </c>
      <c r="D410" s="41" t="s">
        <v>31</v>
      </c>
      <c r="E410" s="40"/>
      <c r="F410" s="40"/>
    </row>
    <row r="411" spans="1:6" ht="12.75" x14ac:dyDescent="0.2">
      <c r="A411" s="40"/>
      <c r="B411" s="40"/>
      <c r="C411" s="40"/>
      <c r="D411" s="40"/>
      <c r="E411" s="40"/>
      <c r="F411" s="40"/>
    </row>
    <row r="412" spans="1:6" ht="12.75" x14ac:dyDescent="0.2">
      <c r="A412" s="41" t="s">
        <v>134</v>
      </c>
      <c r="B412" s="40"/>
      <c r="C412" s="40"/>
      <c r="D412" s="40"/>
      <c r="E412" s="40"/>
      <c r="F412" s="40"/>
    </row>
    <row r="413" spans="1:6" ht="12.75" x14ac:dyDescent="0.2">
      <c r="A413" s="40"/>
      <c r="B413" s="41" t="s">
        <v>398</v>
      </c>
      <c r="C413" s="40"/>
      <c r="D413" s="40"/>
      <c r="E413" s="40"/>
      <c r="F413" s="40"/>
    </row>
    <row r="414" spans="1:6" ht="12.75" x14ac:dyDescent="0.2">
      <c r="A414" s="40"/>
      <c r="B414" s="41" t="s">
        <v>399</v>
      </c>
      <c r="C414" s="40"/>
      <c r="D414" s="40"/>
      <c r="E414" s="40"/>
      <c r="F414" s="40"/>
    </row>
    <row r="415" spans="1:6" ht="12.75" x14ac:dyDescent="0.2">
      <c r="A415" s="40"/>
      <c r="B415" s="41" t="s">
        <v>400</v>
      </c>
      <c r="C415" s="40"/>
      <c r="D415" s="40"/>
      <c r="E415" s="40"/>
      <c r="F415" s="40"/>
    </row>
    <row r="416" spans="1:6" ht="12.75" x14ac:dyDescent="0.2">
      <c r="A416" s="40"/>
      <c r="B416" s="41" t="s">
        <v>401</v>
      </c>
      <c r="C416" s="41" t="s">
        <v>134</v>
      </c>
      <c r="D416" s="40"/>
      <c r="E416" s="40"/>
      <c r="F416" s="40"/>
    </row>
    <row r="417" spans="1:6" ht="38.25" x14ac:dyDescent="0.2">
      <c r="A417" s="41" t="s">
        <v>534</v>
      </c>
      <c r="B417" s="41" t="s">
        <v>402</v>
      </c>
      <c r="C417" s="41" t="s">
        <v>332</v>
      </c>
      <c r="D417" s="40"/>
      <c r="E417" s="40"/>
      <c r="F417" s="40"/>
    </row>
    <row r="418" spans="1:6" ht="12.75" x14ac:dyDescent="0.2">
      <c r="A418" s="41" t="s">
        <v>535</v>
      </c>
      <c r="B418" s="41" t="s">
        <v>402</v>
      </c>
      <c r="C418" s="41" t="s">
        <v>19</v>
      </c>
      <c r="D418" s="40"/>
      <c r="E418" s="40"/>
      <c r="F418" s="40"/>
    </row>
    <row r="419" spans="1:6" ht="12.75" x14ac:dyDescent="0.2">
      <c r="A419" s="41" t="s">
        <v>536</v>
      </c>
      <c r="B419" s="40"/>
      <c r="C419" s="40"/>
      <c r="D419" s="40"/>
      <c r="E419" s="40"/>
      <c r="F419" s="40"/>
    </row>
    <row r="420" spans="1:6" ht="12.75" x14ac:dyDescent="0.2">
      <c r="A420" s="41" t="s">
        <v>537</v>
      </c>
      <c r="B420" s="40"/>
      <c r="C420" s="40"/>
      <c r="D420" s="40"/>
      <c r="E420" s="40"/>
      <c r="F420" s="40"/>
    </row>
    <row r="421" spans="1:6" ht="12.75" x14ac:dyDescent="0.2">
      <c r="A421" s="41" t="s">
        <v>538</v>
      </c>
      <c r="B421" s="40"/>
      <c r="C421" s="40"/>
      <c r="D421" s="40"/>
      <c r="E421" s="40"/>
      <c r="F421" s="40"/>
    </row>
    <row r="422" spans="1:6" ht="12.75" x14ac:dyDescent="0.2">
      <c r="A422" s="41" t="s">
        <v>539</v>
      </c>
      <c r="B422" s="40"/>
      <c r="C422" s="40"/>
      <c r="D422" s="40"/>
      <c r="E422" s="40"/>
      <c r="F422" s="40"/>
    </row>
    <row r="423" spans="1:6" ht="12.75" x14ac:dyDescent="0.2">
      <c r="A423" s="41" t="s">
        <v>540</v>
      </c>
      <c r="B423" s="40"/>
      <c r="C423" s="40"/>
      <c r="D423" s="40"/>
      <c r="E423" s="40"/>
      <c r="F423" s="40"/>
    </row>
    <row r="424" spans="1:6" ht="12.75" x14ac:dyDescent="0.2">
      <c r="A424" s="41" t="s">
        <v>541</v>
      </c>
      <c r="B424" s="40"/>
      <c r="C424" s="40"/>
      <c r="D424" s="40"/>
      <c r="E424" s="40"/>
      <c r="F424" s="40"/>
    </row>
    <row r="425" spans="1:6" ht="12.75" x14ac:dyDescent="0.2">
      <c r="A425" s="41" t="s">
        <v>542</v>
      </c>
      <c r="B425" s="40"/>
      <c r="C425" s="40"/>
      <c r="D425" s="40"/>
      <c r="E425" s="40"/>
      <c r="F425" s="40"/>
    </row>
    <row r="426" spans="1:6" ht="12.75" x14ac:dyDescent="0.2">
      <c r="A426" s="41" t="s">
        <v>132</v>
      </c>
      <c r="B426" s="40"/>
      <c r="C426" s="40"/>
      <c r="D426" s="40"/>
      <c r="E426" s="40"/>
      <c r="F426" s="40"/>
    </row>
    <row r="427" spans="1:6" ht="12.75" x14ac:dyDescent="0.2">
      <c r="A427" s="40"/>
      <c r="B427" s="41" t="s">
        <v>422</v>
      </c>
      <c r="C427" s="41" t="s">
        <v>423</v>
      </c>
      <c r="D427" s="41" t="s">
        <v>424</v>
      </c>
      <c r="E427" s="40"/>
      <c r="F427" s="40"/>
    </row>
    <row r="428" spans="1:6" ht="12.75" x14ac:dyDescent="0.2">
      <c r="A428" s="40"/>
      <c r="B428" s="41" t="s">
        <v>403</v>
      </c>
      <c r="C428" s="41" t="s">
        <v>24</v>
      </c>
      <c r="D428" s="41" t="s">
        <v>26</v>
      </c>
      <c r="E428" s="40"/>
      <c r="F428" s="40"/>
    </row>
    <row r="429" spans="1:6" ht="12.75" x14ac:dyDescent="0.2">
      <c r="A429" s="40"/>
      <c r="B429" s="41" t="s">
        <v>403</v>
      </c>
      <c r="C429" s="41" t="s">
        <v>32</v>
      </c>
      <c r="D429" s="41" t="s">
        <v>29</v>
      </c>
      <c r="E429" s="40"/>
      <c r="F429" s="40"/>
    </row>
    <row r="430" spans="1:6" ht="12.75" x14ac:dyDescent="0.2">
      <c r="A430" s="40"/>
      <c r="B430" s="41" t="s">
        <v>403</v>
      </c>
      <c r="C430" s="41" t="s">
        <v>25</v>
      </c>
      <c r="D430" s="41" t="s">
        <v>27</v>
      </c>
      <c r="E430" s="40"/>
      <c r="F430" s="40"/>
    </row>
    <row r="431" spans="1:6" ht="12.75" x14ac:dyDescent="0.2">
      <c r="A431" s="40"/>
      <c r="B431" s="41" t="s">
        <v>403</v>
      </c>
      <c r="C431" s="41" t="s">
        <v>30</v>
      </c>
      <c r="D431" s="41" t="s">
        <v>31</v>
      </c>
      <c r="E431" s="40"/>
      <c r="F431" s="40"/>
    </row>
    <row r="432" spans="1:6" ht="12.75" x14ac:dyDescent="0.2">
      <c r="A432" s="40"/>
      <c r="B432" s="40"/>
      <c r="C432" s="40"/>
      <c r="D432" s="40"/>
      <c r="E432" s="40"/>
      <c r="F432" s="40"/>
    </row>
    <row r="433" spans="1:6" ht="12.75" x14ac:dyDescent="0.2">
      <c r="A433" s="41" t="s">
        <v>137</v>
      </c>
      <c r="B433" s="40"/>
      <c r="C433" s="40"/>
      <c r="D433" s="40"/>
      <c r="E433" s="40"/>
      <c r="F433" s="40"/>
    </row>
    <row r="434" spans="1:6" ht="12.75" x14ac:dyDescent="0.2">
      <c r="A434" s="40"/>
      <c r="B434" s="41" t="s">
        <v>398</v>
      </c>
      <c r="C434" s="40"/>
      <c r="D434" s="40"/>
      <c r="E434" s="40"/>
      <c r="F434" s="40"/>
    </row>
    <row r="435" spans="1:6" ht="12.75" x14ac:dyDescent="0.2">
      <c r="A435" s="40"/>
      <c r="B435" s="41" t="s">
        <v>399</v>
      </c>
      <c r="C435" s="40"/>
      <c r="D435" s="40"/>
      <c r="E435" s="40"/>
      <c r="F435" s="40"/>
    </row>
    <row r="436" spans="1:6" ht="12.75" x14ac:dyDescent="0.2">
      <c r="A436" s="40"/>
      <c r="B436" s="41" t="s">
        <v>400</v>
      </c>
      <c r="C436" s="40"/>
      <c r="D436" s="40"/>
      <c r="E436" s="40"/>
      <c r="F436" s="40"/>
    </row>
    <row r="437" spans="1:6" ht="12.75" x14ac:dyDescent="0.2">
      <c r="A437" s="40"/>
      <c r="B437" s="41" t="s">
        <v>401</v>
      </c>
      <c r="C437" s="41" t="s">
        <v>137</v>
      </c>
      <c r="D437" s="40"/>
      <c r="E437" s="40"/>
      <c r="F437" s="40"/>
    </row>
    <row r="438" spans="1:6" ht="38.25" x14ac:dyDescent="0.2">
      <c r="A438" s="41" t="s">
        <v>543</v>
      </c>
      <c r="B438" s="41" t="s">
        <v>402</v>
      </c>
      <c r="C438" s="41" t="s">
        <v>353</v>
      </c>
      <c r="D438" s="40"/>
      <c r="E438" s="40"/>
      <c r="F438" s="40"/>
    </row>
    <row r="439" spans="1:6" ht="12.75" x14ac:dyDescent="0.2">
      <c r="A439" s="41" t="s">
        <v>545</v>
      </c>
      <c r="B439" s="41" t="s">
        <v>402</v>
      </c>
      <c r="C439" s="41" t="s">
        <v>19</v>
      </c>
      <c r="D439" s="40"/>
      <c r="E439" s="40"/>
      <c r="F439" s="40"/>
    </row>
    <row r="440" spans="1:6" ht="12.75" x14ac:dyDescent="0.2">
      <c r="A440" s="41" t="s">
        <v>546</v>
      </c>
      <c r="B440" s="40"/>
      <c r="C440" s="40"/>
      <c r="D440" s="40"/>
      <c r="E440" s="40"/>
      <c r="F440" s="40"/>
    </row>
    <row r="441" spans="1:6" ht="12.75" x14ac:dyDescent="0.2">
      <c r="A441" s="41" t="s">
        <v>547</v>
      </c>
      <c r="B441" s="40"/>
      <c r="C441" s="40"/>
      <c r="D441" s="40"/>
      <c r="E441" s="40"/>
      <c r="F441" s="40"/>
    </row>
    <row r="442" spans="1:6" ht="12.75" x14ac:dyDescent="0.2">
      <c r="A442" s="41" t="s">
        <v>548</v>
      </c>
      <c r="B442" s="40"/>
      <c r="C442" s="40"/>
      <c r="D442" s="40"/>
      <c r="E442" s="40"/>
      <c r="F442" s="40"/>
    </row>
    <row r="443" spans="1:6" ht="12.75" x14ac:dyDescent="0.2">
      <c r="A443" s="41" t="s">
        <v>549</v>
      </c>
      <c r="B443" s="40"/>
      <c r="C443" s="40"/>
      <c r="D443" s="40"/>
      <c r="E443" s="40"/>
      <c r="F443" s="40"/>
    </row>
    <row r="444" spans="1:6" ht="12.75" x14ac:dyDescent="0.2">
      <c r="A444" s="41" t="s">
        <v>550</v>
      </c>
      <c r="B444" s="40"/>
      <c r="C444" s="40"/>
      <c r="D444" s="40"/>
      <c r="E444" s="40"/>
      <c r="F444" s="40"/>
    </row>
    <row r="445" spans="1:6" ht="12.75" x14ac:dyDescent="0.2">
      <c r="A445" s="41" t="s">
        <v>551</v>
      </c>
      <c r="B445" s="40"/>
      <c r="C445" s="40"/>
      <c r="D445" s="40"/>
      <c r="E445" s="40"/>
      <c r="F445" s="40"/>
    </row>
    <row r="446" spans="1:6" ht="12.75" x14ac:dyDescent="0.2">
      <c r="A446" s="41" t="s">
        <v>552</v>
      </c>
      <c r="B446" s="40"/>
      <c r="C446" s="40"/>
      <c r="D446" s="40"/>
      <c r="E446" s="40"/>
      <c r="F446" s="40"/>
    </row>
    <row r="447" spans="1:6" ht="12.75" x14ac:dyDescent="0.2">
      <c r="A447" s="41" t="s">
        <v>553</v>
      </c>
      <c r="B447" s="40"/>
      <c r="C447" s="40"/>
      <c r="D447" s="40"/>
      <c r="E447" s="40"/>
      <c r="F447" s="40"/>
    </row>
    <row r="448" spans="1:6" ht="12.75" x14ac:dyDescent="0.2">
      <c r="A448" s="41" t="s">
        <v>136</v>
      </c>
      <c r="B448" s="40"/>
      <c r="C448" s="40"/>
      <c r="D448" s="40"/>
      <c r="E448" s="40"/>
      <c r="F448" s="40"/>
    </row>
    <row r="449" spans="1:6" ht="12.75" x14ac:dyDescent="0.2">
      <c r="A449" s="40"/>
      <c r="B449" s="41" t="s">
        <v>422</v>
      </c>
      <c r="C449" s="41" t="s">
        <v>554</v>
      </c>
      <c r="D449" s="41" t="s">
        <v>555</v>
      </c>
      <c r="E449" s="40"/>
      <c r="F449" s="40"/>
    </row>
    <row r="450" spans="1:6" ht="12.75" x14ac:dyDescent="0.2">
      <c r="A450" s="40"/>
      <c r="B450" s="41" t="s">
        <v>403</v>
      </c>
      <c r="C450" s="41" t="s">
        <v>24</v>
      </c>
      <c r="D450" s="41" t="s">
        <v>26</v>
      </c>
      <c r="E450" s="40"/>
      <c r="F450" s="40"/>
    </row>
    <row r="451" spans="1:6" ht="12.75" x14ac:dyDescent="0.2">
      <c r="A451" s="40"/>
      <c r="B451" s="41" t="s">
        <v>403</v>
      </c>
      <c r="C451" s="41" t="s">
        <v>32</v>
      </c>
      <c r="D451" s="41" t="s">
        <v>29</v>
      </c>
      <c r="E451" s="40"/>
      <c r="F451" s="40"/>
    </row>
    <row r="452" spans="1:6" ht="12.75" x14ac:dyDescent="0.2">
      <c r="A452" s="40"/>
      <c r="B452" s="41" t="s">
        <v>403</v>
      </c>
      <c r="C452" s="41" t="s">
        <v>25</v>
      </c>
      <c r="D452" s="41" t="s">
        <v>27</v>
      </c>
      <c r="E452" s="40"/>
      <c r="F452" s="40"/>
    </row>
    <row r="453" spans="1:6" ht="12.75" x14ac:dyDescent="0.2">
      <c r="A453" s="40"/>
      <c r="B453" s="41" t="s">
        <v>403</v>
      </c>
      <c r="C453" s="41" t="s">
        <v>30</v>
      </c>
      <c r="D453" s="41" t="s">
        <v>31</v>
      </c>
      <c r="E453" s="40"/>
      <c r="F453" s="40"/>
    </row>
    <row r="454" spans="1:6" ht="12.75" x14ac:dyDescent="0.2">
      <c r="A454" s="40"/>
      <c r="B454" s="40"/>
      <c r="C454" s="40"/>
      <c r="D454" s="40"/>
      <c r="E454" s="40"/>
      <c r="F454" s="40"/>
    </row>
    <row r="455" spans="1:6" ht="12.75" x14ac:dyDescent="0.2">
      <c r="A455" s="41" t="s">
        <v>140</v>
      </c>
      <c r="B455" s="40"/>
      <c r="C455" s="40"/>
      <c r="D455" s="40"/>
      <c r="E455" s="40"/>
      <c r="F455" s="40"/>
    </row>
    <row r="456" spans="1:6" ht="12.75" x14ac:dyDescent="0.2">
      <c r="A456" s="40"/>
      <c r="B456" s="41" t="s">
        <v>398</v>
      </c>
      <c r="C456" s="40"/>
      <c r="D456" s="40"/>
      <c r="E456" s="40"/>
      <c r="F456" s="40"/>
    </row>
    <row r="457" spans="1:6" ht="12.75" x14ac:dyDescent="0.2">
      <c r="A457" s="40"/>
      <c r="B457" s="41" t="s">
        <v>399</v>
      </c>
      <c r="C457" s="40"/>
      <c r="D457" s="40"/>
      <c r="E457" s="40"/>
      <c r="F457" s="40"/>
    </row>
    <row r="458" spans="1:6" ht="12.75" x14ac:dyDescent="0.2">
      <c r="A458" s="40"/>
      <c r="B458" s="41" t="s">
        <v>400</v>
      </c>
      <c r="C458" s="40"/>
      <c r="D458" s="40"/>
      <c r="E458" s="40"/>
      <c r="F458" s="40"/>
    </row>
    <row r="459" spans="1:6" ht="12.75" x14ac:dyDescent="0.2">
      <c r="A459" s="40"/>
      <c r="B459" s="41" t="s">
        <v>401</v>
      </c>
      <c r="C459" s="41" t="s">
        <v>140</v>
      </c>
      <c r="D459" s="40"/>
      <c r="E459" s="40"/>
      <c r="F459" s="40"/>
    </row>
    <row r="460" spans="1:6" ht="51" x14ac:dyDescent="0.2">
      <c r="A460" s="41" t="s">
        <v>556</v>
      </c>
      <c r="B460" s="41" t="s">
        <v>402</v>
      </c>
      <c r="C460" s="41" t="s">
        <v>364</v>
      </c>
      <c r="D460" s="40"/>
      <c r="E460" s="40"/>
      <c r="F460" s="40"/>
    </row>
    <row r="461" spans="1:6" ht="12.75" x14ac:dyDescent="0.2">
      <c r="A461" s="41" t="s">
        <v>557</v>
      </c>
      <c r="B461" s="41" t="s">
        <v>402</v>
      </c>
      <c r="C461" s="41" t="s">
        <v>19</v>
      </c>
      <c r="D461" s="40"/>
      <c r="E461" s="40"/>
      <c r="F461" s="40"/>
    </row>
    <row r="462" spans="1:6" ht="12.75" x14ac:dyDescent="0.2">
      <c r="A462" s="41" t="s">
        <v>558</v>
      </c>
      <c r="B462" s="40"/>
      <c r="C462" s="40"/>
      <c r="D462" s="40"/>
      <c r="E462" s="40"/>
      <c r="F462" s="40"/>
    </row>
    <row r="463" spans="1:6" ht="12.75" x14ac:dyDescent="0.2">
      <c r="A463" s="41" t="s">
        <v>559</v>
      </c>
      <c r="B463" s="40"/>
      <c r="C463" s="40"/>
      <c r="D463" s="40"/>
      <c r="E463" s="40"/>
      <c r="F463" s="40"/>
    </row>
    <row r="464" spans="1:6" ht="12.75" x14ac:dyDescent="0.2">
      <c r="A464" s="41" t="s">
        <v>560</v>
      </c>
      <c r="B464" s="40"/>
      <c r="C464" s="40"/>
      <c r="D464" s="40"/>
      <c r="E464" s="40"/>
      <c r="F464" s="40"/>
    </row>
    <row r="465" spans="1:6" ht="12.75" x14ac:dyDescent="0.2">
      <c r="A465" s="41" t="s">
        <v>561</v>
      </c>
      <c r="B465" s="40"/>
      <c r="C465" s="40"/>
      <c r="D465" s="40"/>
      <c r="E465" s="40"/>
      <c r="F465" s="40"/>
    </row>
    <row r="466" spans="1:6" ht="12.75" x14ac:dyDescent="0.2">
      <c r="A466" s="41" t="s">
        <v>562</v>
      </c>
      <c r="B466" s="40"/>
      <c r="C466" s="40"/>
      <c r="D466" s="40"/>
      <c r="E466" s="40"/>
      <c r="F466" s="40"/>
    </row>
    <row r="467" spans="1:6" ht="12.75" x14ac:dyDescent="0.2">
      <c r="A467" s="41" t="s">
        <v>563</v>
      </c>
      <c r="B467" s="40"/>
      <c r="C467" s="40"/>
      <c r="D467" s="40"/>
      <c r="E467" s="40"/>
      <c r="F467" s="40"/>
    </row>
    <row r="468" spans="1:6" ht="12.75" x14ac:dyDescent="0.2">
      <c r="A468" s="41" t="s">
        <v>564</v>
      </c>
      <c r="B468" s="40"/>
      <c r="C468" s="40"/>
      <c r="D468" s="40"/>
      <c r="E468" s="40"/>
      <c r="F468" s="40"/>
    </row>
    <row r="469" spans="1:6" ht="12.75" x14ac:dyDescent="0.2">
      <c r="A469" s="41" t="s">
        <v>565</v>
      </c>
      <c r="B469" s="40"/>
      <c r="C469" s="40"/>
      <c r="D469" s="40"/>
      <c r="E469" s="40"/>
      <c r="F469" s="40"/>
    </row>
    <row r="470" spans="1:6" ht="12.75" x14ac:dyDescent="0.2">
      <c r="A470" s="41" t="s">
        <v>566</v>
      </c>
      <c r="B470" s="40"/>
      <c r="C470" s="40"/>
      <c r="D470" s="40"/>
      <c r="E470" s="40"/>
      <c r="F470" s="40"/>
    </row>
    <row r="471" spans="1:6" ht="12.75" x14ac:dyDescent="0.2">
      <c r="A471" s="41" t="s">
        <v>138</v>
      </c>
      <c r="B471" s="40"/>
      <c r="C471" s="40"/>
      <c r="D471" s="40"/>
      <c r="E471" s="40"/>
      <c r="F471" s="40"/>
    </row>
    <row r="472" spans="1:6" ht="12.75" x14ac:dyDescent="0.2">
      <c r="A472" s="40"/>
      <c r="B472" s="41" t="s">
        <v>422</v>
      </c>
      <c r="C472" s="41" t="s">
        <v>423</v>
      </c>
      <c r="D472" s="41" t="s">
        <v>424</v>
      </c>
      <c r="E472" s="40"/>
      <c r="F472" s="40"/>
    </row>
    <row r="473" spans="1:6" ht="12.75" x14ac:dyDescent="0.2">
      <c r="A473" s="40"/>
      <c r="B473" s="41" t="s">
        <v>422</v>
      </c>
      <c r="C473" s="41" t="s">
        <v>567</v>
      </c>
      <c r="D473" s="41" t="s">
        <v>568</v>
      </c>
      <c r="E473" s="40"/>
      <c r="F473" s="40"/>
    </row>
    <row r="474" spans="1:6" ht="12.75" x14ac:dyDescent="0.2">
      <c r="A474" s="40"/>
      <c r="B474" s="41" t="s">
        <v>403</v>
      </c>
      <c r="C474" s="41" t="s">
        <v>24</v>
      </c>
      <c r="D474" s="41" t="s">
        <v>26</v>
      </c>
      <c r="E474" s="40"/>
      <c r="F474" s="40"/>
    </row>
    <row r="475" spans="1:6" ht="12.75" x14ac:dyDescent="0.2">
      <c r="A475" s="40"/>
      <c r="B475" s="41" t="s">
        <v>403</v>
      </c>
      <c r="C475" s="41" t="s">
        <v>32</v>
      </c>
      <c r="D475" s="41" t="s">
        <v>29</v>
      </c>
      <c r="E475" s="40"/>
      <c r="F475" s="40"/>
    </row>
    <row r="476" spans="1:6" ht="12.75" x14ac:dyDescent="0.2">
      <c r="A476" s="40"/>
      <c r="B476" s="41" t="s">
        <v>403</v>
      </c>
      <c r="C476" s="41" t="s">
        <v>25</v>
      </c>
      <c r="D476" s="41" t="s">
        <v>27</v>
      </c>
      <c r="E476" s="40"/>
      <c r="F476" s="40"/>
    </row>
    <row r="477" spans="1:6" ht="12.75" x14ac:dyDescent="0.2">
      <c r="A477" s="40"/>
      <c r="B477" s="41" t="s">
        <v>403</v>
      </c>
      <c r="C477" s="41" t="s">
        <v>30</v>
      </c>
      <c r="D477" s="41" t="s">
        <v>31</v>
      </c>
      <c r="E477" s="40"/>
      <c r="F477" s="40"/>
    </row>
    <row r="478" spans="1:6" ht="12.75" x14ac:dyDescent="0.2">
      <c r="A478" s="40"/>
      <c r="B478" s="40"/>
      <c r="C478" s="40"/>
      <c r="D478" s="40"/>
      <c r="E478" s="40"/>
      <c r="F478" s="40"/>
    </row>
    <row r="479" spans="1:6" ht="12.75" x14ac:dyDescent="0.2">
      <c r="A479" s="41" t="s">
        <v>115</v>
      </c>
      <c r="B479" s="40"/>
      <c r="C479" s="40"/>
      <c r="D479" s="40"/>
      <c r="E479" s="40"/>
      <c r="F479" s="40"/>
    </row>
    <row r="480" spans="1:6" ht="12.75" x14ac:dyDescent="0.2">
      <c r="A480" s="40"/>
      <c r="B480" s="41" t="s">
        <v>398</v>
      </c>
      <c r="C480" s="40"/>
      <c r="D480" s="40"/>
      <c r="E480" s="40"/>
      <c r="F480" s="40"/>
    </row>
    <row r="481" spans="1:6" ht="12.75" x14ac:dyDescent="0.2">
      <c r="A481" s="40"/>
      <c r="B481" s="41" t="s">
        <v>399</v>
      </c>
      <c r="C481" s="40"/>
      <c r="D481" s="40"/>
      <c r="E481" s="40"/>
      <c r="F481" s="40"/>
    </row>
    <row r="482" spans="1:6" ht="12.75" x14ac:dyDescent="0.2">
      <c r="A482" s="40"/>
      <c r="B482" s="41" t="s">
        <v>400</v>
      </c>
      <c r="C482" s="40"/>
      <c r="D482" s="40"/>
      <c r="E482" s="40"/>
      <c r="F482" s="40"/>
    </row>
    <row r="483" spans="1:6" ht="12.75" x14ac:dyDescent="0.2">
      <c r="A483" s="40"/>
      <c r="B483" s="41" t="s">
        <v>401</v>
      </c>
      <c r="C483" s="41" t="s">
        <v>115</v>
      </c>
      <c r="D483" s="40"/>
      <c r="E483" s="40"/>
      <c r="F483" s="40"/>
    </row>
    <row r="484" spans="1:6" ht="12.75" x14ac:dyDescent="0.2">
      <c r="A484" s="41" t="s">
        <v>569</v>
      </c>
      <c r="B484" s="41" t="s">
        <v>402</v>
      </c>
      <c r="C484" s="41" t="s">
        <v>117</v>
      </c>
      <c r="D484" s="40"/>
      <c r="E484" s="40"/>
      <c r="F484" s="40"/>
    </row>
    <row r="485" spans="1:6" ht="12.75" x14ac:dyDescent="0.2">
      <c r="A485" s="41" t="s">
        <v>570</v>
      </c>
      <c r="B485" s="40"/>
      <c r="C485" s="40"/>
      <c r="D485" s="40"/>
      <c r="E485" s="40"/>
      <c r="F485" s="40"/>
    </row>
    <row r="486" spans="1:6" ht="12.75" x14ac:dyDescent="0.2">
      <c r="A486" s="41" t="s">
        <v>571</v>
      </c>
      <c r="B486" s="40"/>
      <c r="C486" s="40"/>
      <c r="D486" s="40"/>
      <c r="E486" s="40"/>
      <c r="F486" s="40"/>
    </row>
    <row r="487" spans="1:6" ht="12.75" x14ac:dyDescent="0.2">
      <c r="A487" s="41" t="s">
        <v>572</v>
      </c>
      <c r="B487" s="40"/>
      <c r="C487" s="40"/>
      <c r="D487" s="40"/>
      <c r="E487" s="40"/>
      <c r="F487" s="40"/>
    </row>
    <row r="488" spans="1:6" ht="12.75" x14ac:dyDescent="0.2">
      <c r="A488" s="41" t="s">
        <v>51</v>
      </c>
      <c r="B488" s="40"/>
      <c r="C488" s="40"/>
      <c r="D488" s="40"/>
      <c r="E488" s="40"/>
      <c r="F488" s="40"/>
    </row>
    <row r="489" spans="1:6" ht="12.75" x14ac:dyDescent="0.2">
      <c r="A489" s="40"/>
      <c r="B489" s="41" t="s">
        <v>403</v>
      </c>
      <c r="C489" s="41" t="s">
        <v>119</v>
      </c>
      <c r="D489" s="41" t="s">
        <v>120</v>
      </c>
      <c r="E489" s="40"/>
      <c r="F489" s="40"/>
    </row>
    <row r="490" spans="1:6" ht="12.75" x14ac:dyDescent="0.2">
      <c r="A490" s="40"/>
      <c r="B490" s="41" t="s">
        <v>403</v>
      </c>
      <c r="C490" s="41" t="s">
        <v>126</v>
      </c>
      <c r="D490" s="41" t="s">
        <v>127</v>
      </c>
      <c r="E490" s="40"/>
      <c r="F490" s="40"/>
    </row>
    <row r="491" spans="1:6" ht="12.75" x14ac:dyDescent="0.2">
      <c r="A491" s="40"/>
      <c r="B491" s="41" t="s">
        <v>403</v>
      </c>
      <c r="C491" s="41" t="s">
        <v>130</v>
      </c>
      <c r="D491" s="41" t="s">
        <v>131</v>
      </c>
      <c r="E491" s="40"/>
      <c r="F491" s="40"/>
    </row>
    <row r="492" spans="1:6" ht="12.75" x14ac:dyDescent="0.2">
      <c r="A492" s="40"/>
      <c r="B492" s="41" t="s">
        <v>403</v>
      </c>
      <c r="C492" s="41" t="s">
        <v>132</v>
      </c>
      <c r="D492" s="41" t="s">
        <v>134</v>
      </c>
      <c r="E492" s="40"/>
      <c r="F492" s="40"/>
    </row>
    <row r="493" spans="1:6" ht="12.75" x14ac:dyDescent="0.2">
      <c r="A493" s="40"/>
      <c r="B493" s="41" t="s">
        <v>403</v>
      </c>
      <c r="C493" s="41" t="s">
        <v>136</v>
      </c>
      <c r="D493" s="41" t="s">
        <v>137</v>
      </c>
      <c r="E493" s="40"/>
      <c r="F493" s="40"/>
    </row>
    <row r="494" spans="1:6" ht="12.75" x14ac:dyDescent="0.2">
      <c r="A494" s="40"/>
      <c r="B494" s="41" t="s">
        <v>403</v>
      </c>
      <c r="C494" s="41" t="s">
        <v>138</v>
      </c>
      <c r="D494" s="41" t="s">
        <v>140</v>
      </c>
      <c r="E494" s="40"/>
      <c r="F494" s="40"/>
    </row>
    <row r="495" spans="1:6" ht="12.75" x14ac:dyDescent="0.2">
      <c r="A495" s="40"/>
      <c r="B495" s="41" t="s">
        <v>403</v>
      </c>
      <c r="C495" s="41" t="s">
        <v>24</v>
      </c>
      <c r="D495" s="41" t="s">
        <v>26</v>
      </c>
      <c r="E495" s="40"/>
      <c r="F495" s="40"/>
    </row>
    <row r="496" spans="1:6" ht="12.75" x14ac:dyDescent="0.2">
      <c r="A496" s="40"/>
      <c r="B496" s="40"/>
      <c r="C496" s="40"/>
      <c r="D496" s="40"/>
      <c r="E496" s="40"/>
      <c r="F496" s="40"/>
    </row>
    <row r="497" spans="1:6" ht="12.75" x14ac:dyDescent="0.2">
      <c r="A497" s="41" t="s">
        <v>146</v>
      </c>
      <c r="B497" s="40"/>
      <c r="C497" s="40"/>
      <c r="D497" s="40"/>
      <c r="E497" s="40"/>
      <c r="F497" s="40"/>
    </row>
    <row r="498" spans="1:6" ht="12.75" x14ac:dyDescent="0.2">
      <c r="A498" s="40"/>
      <c r="B498" s="41" t="s">
        <v>398</v>
      </c>
      <c r="C498" s="40"/>
      <c r="D498" s="40"/>
      <c r="E498" s="40"/>
      <c r="F498" s="40"/>
    </row>
    <row r="499" spans="1:6" ht="12.75" x14ac:dyDescent="0.2">
      <c r="A499" s="40"/>
      <c r="B499" s="41" t="s">
        <v>399</v>
      </c>
      <c r="C499" s="40"/>
      <c r="D499" s="40"/>
      <c r="E499" s="40"/>
      <c r="F499" s="40"/>
    </row>
    <row r="500" spans="1:6" ht="12.75" x14ac:dyDescent="0.2">
      <c r="A500" s="40"/>
      <c r="B500" s="41" t="s">
        <v>400</v>
      </c>
      <c r="C500" s="40"/>
      <c r="D500" s="40"/>
      <c r="E500" s="40"/>
      <c r="F500" s="40"/>
    </row>
    <row r="501" spans="1:6" ht="12.75" x14ac:dyDescent="0.2">
      <c r="A501" s="40"/>
      <c r="B501" s="41" t="s">
        <v>401</v>
      </c>
      <c r="C501" s="41" t="s">
        <v>146</v>
      </c>
      <c r="D501" s="40"/>
      <c r="E501" s="40"/>
      <c r="F501" s="40"/>
    </row>
    <row r="502" spans="1:6" ht="12.75" x14ac:dyDescent="0.2">
      <c r="A502" s="41" t="s">
        <v>573</v>
      </c>
      <c r="B502" s="41" t="s">
        <v>402</v>
      </c>
      <c r="C502" s="41" t="s">
        <v>365</v>
      </c>
      <c r="D502" s="40"/>
      <c r="E502" s="40"/>
      <c r="F502" s="40"/>
    </row>
    <row r="503" spans="1:6" ht="12.75" x14ac:dyDescent="0.2">
      <c r="A503" s="41" t="s">
        <v>574</v>
      </c>
      <c r="B503" s="41" t="s">
        <v>402</v>
      </c>
      <c r="C503" s="41" t="s">
        <v>19</v>
      </c>
      <c r="D503" s="40"/>
      <c r="E503" s="40"/>
      <c r="F503" s="40"/>
    </row>
    <row r="504" spans="1:6" ht="12.75" x14ac:dyDescent="0.2">
      <c r="A504" s="41" t="s">
        <v>575</v>
      </c>
      <c r="B504" s="40"/>
      <c r="C504" s="40"/>
      <c r="D504" s="40"/>
      <c r="E504" s="40"/>
      <c r="F504" s="40"/>
    </row>
    <row r="505" spans="1:6" ht="12.75" x14ac:dyDescent="0.2">
      <c r="A505" s="41" t="s">
        <v>576</v>
      </c>
      <c r="B505" s="40"/>
      <c r="C505" s="40"/>
      <c r="D505" s="40"/>
      <c r="E505" s="40"/>
      <c r="F505" s="40"/>
    </row>
    <row r="506" spans="1:6" ht="12.75" x14ac:dyDescent="0.2">
      <c r="A506" s="41" t="s">
        <v>577</v>
      </c>
      <c r="B506" s="40"/>
      <c r="C506" s="40"/>
      <c r="D506" s="40"/>
      <c r="E506" s="40"/>
      <c r="F506" s="40"/>
    </row>
    <row r="507" spans="1:6" ht="12.75" x14ac:dyDescent="0.2">
      <c r="A507" s="41" t="s">
        <v>578</v>
      </c>
      <c r="B507" s="40"/>
      <c r="C507" s="40"/>
      <c r="D507" s="40"/>
      <c r="E507" s="40"/>
      <c r="F507" s="40"/>
    </row>
    <row r="508" spans="1:6" ht="12.75" x14ac:dyDescent="0.2">
      <c r="A508" s="41" t="s">
        <v>579</v>
      </c>
      <c r="B508" s="40"/>
      <c r="C508" s="40"/>
      <c r="D508" s="40"/>
      <c r="E508" s="40"/>
      <c r="F508" s="40"/>
    </row>
    <row r="509" spans="1:6" ht="12.75" x14ac:dyDescent="0.2">
      <c r="A509" s="41" t="s">
        <v>145</v>
      </c>
      <c r="B509" s="40"/>
      <c r="C509" s="40"/>
      <c r="D509" s="40"/>
      <c r="E509" s="40"/>
      <c r="F509" s="40"/>
    </row>
    <row r="510" spans="1:6" ht="12.75" x14ac:dyDescent="0.2">
      <c r="A510" s="40"/>
      <c r="B510" s="41" t="s">
        <v>403</v>
      </c>
      <c r="C510" s="41" t="s">
        <v>24</v>
      </c>
      <c r="D510" s="41" t="s">
        <v>26</v>
      </c>
      <c r="E510" s="40"/>
      <c r="F510" s="40"/>
    </row>
    <row r="511" spans="1:6" ht="12.75" x14ac:dyDescent="0.2">
      <c r="A511" s="40"/>
      <c r="B511" s="41" t="s">
        <v>403</v>
      </c>
      <c r="C511" s="41" t="s">
        <v>32</v>
      </c>
      <c r="D511" s="41" t="s">
        <v>29</v>
      </c>
      <c r="E511" s="40"/>
      <c r="F511" s="40"/>
    </row>
    <row r="512" spans="1:6" ht="12.75" x14ac:dyDescent="0.2">
      <c r="A512" s="40"/>
      <c r="B512" s="41" t="s">
        <v>403</v>
      </c>
      <c r="C512" s="41" t="s">
        <v>25</v>
      </c>
      <c r="D512" s="41" t="s">
        <v>27</v>
      </c>
      <c r="E512" s="40"/>
      <c r="F512" s="40"/>
    </row>
    <row r="513" spans="1:6" ht="12.75" x14ac:dyDescent="0.2">
      <c r="A513" s="40"/>
      <c r="B513" s="41" t="s">
        <v>403</v>
      </c>
      <c r="C513" s="41" t="s">
        <v>30</v>
      </c>
      <c r="D513" s="41" t="s">
        <v>31</v>
      </c>
      <c r="E513" s="40"/>
      <c r="F513" s="40"/>
    </row>
    <row r="514" spans="1:6" ht="12.75" x14ac:dyDescent="0.2">
      <c r="A514" s="40"/>
      <c r="B514" s="40"/>
      <c r="C514" s="40"/>
      <c r="D514" s="40"/>
      <c r="E514" s="40"/>
      <c r="F514" s="40"/>
    </row>
    <row r="515" spans="1:6" ht="12.75" x14ac:dyDescent="0.2">
      <c r="A515" s="41" t="s">
        <v>153</v>
      </c>
      <c r="B515" s="40"/>
      <c r="C515" s="40"/>
      <c r="D515" s="40"/>
      <c r="E515" s="40"/>
      <c r="F515" s="40"/>
    </row>
    <row r="516" spans="1:6" ht="12.75" x14ac:dyDescent="0.2">
      <c r="A516" s="40"/>
      <c r="B516" s="41" t="s">
        <v>398</v>
      </c>
      <c r="C516" s="40"/>
      <c r="D516" s="40"/>
      <c r="E516" s="40"/>
      <c r="F516" s="40"/>
    </row>
    <row r="517" spans="1:6" ht="12.75" x14ac:dyDescent="0.2">
      <c r="A517" s="40"/>
      <c r="B517" s="41" t="s">
        <v>399</v>
      </c>
      <c r="C517" s="40"/>
      <c r="D517" s="40"/>
      <c r="E517" s="40"/>
      <c r="F517" s="40"/>
    </row>
    <row r="518" spans="1:6" ht="12.75" x14ac:dyDescent="0.2">
      <c r="A518" s="40"/>
      <c r="B518" s="41" t="s">
        <v>400</v>
      </c>
      <c r="C518" s="40"/>
      <c r="D518" s="40"/>
      <c r="E518" s="40"/>
      <c r="F518" s="40"/>
    </row>
    <row r="519" spans="1:6" ht="12.75" x14ac:dyDescent="0.2">
      <c r="A519" s="40"/>
      <c r="B519" s="41" t="s">
        <v>401</v>
      </c>
      <c r="C519" s="41" t="s">
        <v>153</v>
      </c>
      <c r="D519" s="40"/>
      <c r="E519" s="40"/>
      <c r="F519" s="40"/>
    </row>
    <row r="520" spans="1:6" ht="25.5" x14ac:dyDescent="0.2">
      <c r="A520" s="41" t="s">
        <v>152</v>
      </c>
      <c r="B520" s="41" t="s">
        <v>402</v>
      </c>
      <c r="C520" s="41" t="s">
        <v>366</v>
      </c>
      <c r="D520" s="40"/>
      <c r="E520" s="40"/>
      <c r="F520" s="40"/>
    </row>
    <row r="521" spans="1:6" ht="12.75" x14ac:dyDescent="0.2">
      <c r="A521" s="40"/>
      <c r="B521" s="41" t="s">
        <v>402</v>
      </c>
      <c r="C521" s="41" t="s">
        <v>19</v>
      </c>
      <c r="D521" s="40"/>
      <c r="E521" s="40"/>
      <c r="F521" s="40"/>
    </row>
    <row r="522" spans="1:6" ht="12.75" x14ac:dyDescent="0.2">
      <c r="A522" s="40"/>
      <c r="B522" s="41" t="s">
        <v>403</v>
      </c>
      <c r="C522" s="41" t="s">
        <v>24</v>
      </c>
      <c r="D522" s="41" t="s">
        <v>26</v>
      </c>
      <c r="E522" s="40"/>
      <c r="F522" s="40"/>
    </row>
    <row r="523" spans="1:6" ht="12.75" x14ac:dyDescent="0.2">
      <c r="A523" s="40"/>
      <c r="B523" s="41" t="s">
        <v>403</v>
      </c>
      <c r="C523" s="41" t="s">
        <v>32</v>
      </c>
      <c r="D523" s="41" t="s">
        <v>29</v>
      </c>
      <c r="E523" s="40"/>
      <c r="F523" s="40"/>
    </row>
    <row r="524" spans="1:6" ht="12.75" x14ac:dyDescent="0.2">
      <c r="A524" s="40"/>
      <c r="B524" s="41" t="s">
        <v>403</v>
      </c>
      <c r="C524" s="41" t="s">
        <v>25</v>
      </c>
      <c r="D524" s="41" t="s">
        <v>27</v>
      </c>
      <c r="E524" s="40"/>
      <c r="F524" s="40"/>
    </row>
    <row r="525" spans="1:6" ht="12.75" x14ac:dyDescent="0.2">
      <c r="A525" s="40"/>
      <c r="B525" s="41" t="s">
        <v>403</v>
      </c>
      <c r="C525" s="41" t="s">
        <v>30</v>
      </c>
      <c r="D525" s="41" t="s">
        <v>31</v>
      </c>
      <c r="E525" s="40"/>
      <c r="F525" s="40"/>
    </row>
    <row r="526" spans="1:6" ht="12.75" x14ac:dyDescent="0.2">
      <c r="A526" s="40"/>
      <c r="B526" s="40"/>
      <c r="C526" s="40"/>
      <c r="D526" s="40"/>
      <c r="E526" s="40"/>
      <c r="F526" s="40"/>
    </row>
    <row r="527" spans="1:6" ht="12.75" x14ac:dyDescent="0.2">
      <c r="A527" s="41" t="s">
        <v>156</v>
      </c>
      <c r="B527" s="40"/>
      <c r="C527" s="40"/>
      <c r="D527" s="40"/>
      <c r="E527" s="40"/>
      <c r="F527" s="40"/>
    </row>
    <row r="528" spans="1:6" ht="12.75" x14ac:dyDescent="0.2">
      <c r="A528" s="40"/>
      <c r="B528" s="41" t="s">
        <v>398</v>
      </c>
      <c r="C528" s="40"/>
      <c r="D528" s="40"/>
      <c r="E528" s="40"/>
      <c r="F528" s="40"/>
    </row>
    <row r="529" spans="1:6" ht="12.75" x14ac:dyDescent="0.2">
      <c r="A529" s="40"/>
      <c r="B529" s="41" t="s">
        <v>399</v>
      </c>
      <c r="C529" s="40"/>
      <c r="D529" s="40"/>
      <c r="E529" s="40"/>
      <c r="F529" s="40"/>
    </row>
    <row r="530" spans="1:6" ht="12.75" x14ac:dyDescent="0.2">
      <c r="A530" s="40"/>
      <c r="B530" s="41" t="s">
        <v>400</v>
      </c>
      <c r="C530" s="40"/>
      <c r="D530" s="40"/>
      <c r="E530" s="40"/>
      <c r="F530" s="40"/>
    </row>
    <row r="531" spans="1:6" ht="12.75" x14ac:dyDescent="0.2">
      <c r="A531" s="40"/>
      <c r="B531" s="41" t="s">
        <v>401</v>
      </c>
      <c r="C531" s="41" t="s">
        <v>156</v>
      </c>
      <c r="D531" s="40"/>
      <c r="E531" s="40"/>
      <c r="F531" s="40"/>
    </row>
    <row r="532" spans="1:6" ht="25.5" x14ac:dyDescent="0.2">
      <c r="A532" s="41" t="s">
        <v>155</v>
      </c>
      <c r="B532" s="41" t="s">
        <v>402</v>
      </c>
      <c r="C532" s="41" t="s">
        <v>371</v>
      </c>
      <c r="D532" s="40"/>
      <c r="E532" s="40"/>
      <c r="F532" s="40"/>
    </row>
    <row r="533" spans="1:6" ht="12.75" x14ac:dyDescent="0.2">
      <c r="A533" s="40"/>
      <c r="B533" s="41" t="s">
        <v>402</v>
      </c>
      <c r="C533" s="41" t="s">
        <v>19</v>
      </c>
      <c r="D533" s="40"/>
      <c r="E533" s="40"/>
      <c r="F533" s="40"/>
    </row>
    <row r="534" spans="1:6" ht="12.75" x14ac:dyDescent="0.2">
      <c r="A534" s="40"/>
      <c r="B534" s="41" t="s">
        <v>403</v>
      </c>
      <c r="C534" s="41" t="s">
        <v>24</v>
      </c>
      <c r="D534" s="41" t="s">
        <v>26</v>
      </c>
      <c r="E534" s="40"/>
      <c r="F534" s="40"/>
    </row>
    <row r="535" spans="1:6" ht="12.75" x14ac:dyDescent="0.2">
      <c r="A535" s="40"/>
      <c r="B535" s="41" t="s">
        <v>403</v>
      </c>
      <c r="C535" s="41" t="s">
        <v>32</v>
      </c>
      <c r="D535" s="41" t="s">
        <v>29</v>
      </c>
      <c r="E535" s="40"/>
      <c r="F535" s="40"/>
    </row>
    <row r="536" spans="1:6" ht="12.75" x14ac:dyDescent="0.2">
      <c r="A536" s="40"/>
      <c r="B536" s="41" t="s">
        <v>403</v>
      </c>
      <c r="C536" s="41" t="s">
        <v>25</v>
      </c>
      <c r="D536" s="41" t="s">
        <v>27</v>
      </c>
      <c r="E536" s="40"/>
      <c r="F536" s="40"/>
    </row>
    <row r="537" spans="1:6" ht="12.75" x14ac:dyDescent="0.2">
      <c r="A537" s="40"/>
      <c r="B537" s="41" t="s">
        <v>403</v>
      </c>
      <c r="C537" s="41" t="s">
        <v>30</v>
      </c>
      <c r="D537" s="41" t="s">
        <v>31</v>
      </c>
      <c r="E537" s="40"/>
      <c r="F537" s="40"/>
    </row>
    <row r="538" spans="1:6" ht="12.75" x14ac:dyDescent="0.2">
      <c r="A538" s="40"/>
      <c r="B538" s="40"/>
      <c r="C538" s="40"/>
      <c r="D538" s="40"/>
      <c r="E538" s="40"/>
      <c r="F538" s="40"/>
    </row>
    <row r="539" spans="1:6" ht="12.75" x14ac:dyDescent="0.2">
      <c r="A539" s="41" t="s">
        <v>159</v>
      </c>
      <c r="B539" s="40"/>
      <c r="C539" s="40"/>
      <c r="D539" s="40"/>
      <c r="E539" s="40"/>
      <c r="F539" s="40"/>
    </row>
    <row r="540" spans="1:6" ht="12.75" x14ac:dyDescent="0.2">
      <c r="A540" s="40"/>
      <c r="B540" s="41" t="s">
        <v>398</v>
      </c>
      <c r="C540" s="40"/>
      <c r="D540" s="40"/>
      <c r="E540" s="40"/>
      <c r="F540" s="40"/>
    </row>
    <row r="541" spans="1:6" ht="12.75" x14ac:dyDescent="0.2">
      <c r="A541" s="40"/>
      <c r="B541" s="41" t="s">
        <v>399</v>
      </c>
      <c r="C541" s="40"/>
      <c r="D541" s="40"/>
      <c r="E541" s="40"/>
      <c r="F541" s="40"/>
    </row>
    <row r="542" spans="1:6" ht="12.75" x14ac:dyDescent="0.2">
      <c r="A542" s="40"/>
      <c r="B542" s="41" t="s">
        <v>400</v>
      </c>
      <c r="C542" s="40"/>
      <c r="D542" s="40"/>
      <c r="E542" s="40"/>
      <c r="F542" s="40"/>
    </row>
    <row r="543" spans="1:6" ht="12.75" x14ac:dyDescent="0.2">
      <c r="A543" s="40"/>
      <c r="B543" s="41" t="s">
        <v>401</v>
      </c>
      <c r="C543" s="41" t="s">
        <v>159</v>
      </c>
      <c r="D543" s="40"/>
      <c r="E543" s="40"/>
      <c r="F543" s="40"/>
    </row>
    <row r="544" spans="1:6" ht="38.25" x14ac:dyDescent="0.2">
      <c r="A544" s="41" t="s">
        <v>580</v>
      </c>
      <c r="B544" s="41" t="s">
        <v>402</v>
      </c>
      <c r="C544" s="41" t="s">
        <v>377</v>
      </c>
      <c r="D544" s="40"/>
      <c r="E544" s="40"/>
      <c r="F544" s="40"/>
    </row>
    <row r="545" spans="1:6" ht="12.75" x14ac:dyDescent="0.2">
      <c r="A545" s="41" t="s">
        <v>581</v>
      </c>
      <c r="B545" s="41" t="s">
        <v>402</v>
      </c>
      <c r="C545" s="41" t="s">
        <v>19</v>
      </c>
      <c r="D545" s="40"/>
      <c r="E545" s="40"/>
      <c r="F545" s="40"/>
    </row>
    <row r="546" spans="1:6" ht="12.75" x14ac:dyDescent="0.2">
      <c r="A546" s="41" t="s">
        <v>582</v>
      </c>
      <c r="B546" s="40"/>
      <c r="C546" s="40"/>
      <c r="D546" s="40"/>
      <c r="E546" s="40"/>
      <c r="F546" s="40"/>
    </row>
    <row r="547" spans="1:6" ht="12.75" x14ac:dyDescent="0.2">
      <c r="A547" s="41" t="s">
        <v>583</v>
      </c>
      <c r="B547" s="40"/>
      <c r="C547" s="40"/>
      <c r="D547" s="40"/>
      <c r="E547" s="40"/>
      <c r="F547" s="40"/>
    </row>
    <row r="548" spans="1:6" ht="12.75" x14ac:dyDescent="0.2">
      <c r="A548" s="41" t="s">
        <v>584</v>
      </c>
      <c r="B548" s="40"/>
      <c r="C548" s="40"/>
      <c r="D548" s="40"/>
      <c r="E548" s="40"/>
      <c r="F548" s="40"/>
    </row>
    <row r="549" spans="1:6" ht="12.75" x14ac:dyDescent="0.2">
      <c r="A549" s="41" t="s">
        <v>585</v>
      </c>
      <c r="B549" s="40"/>
      <c r="C549" s="40"/>
      <c r="D549" s="40"/>
      <c r="E549" s="40"/>
      <c r="F549" s="40"/>
    </row>
    <row r="550" spans="1:6" ht="12.75" x14ac:dyDescent="0.2">
      <c r="A550" s="41" t="s">
        <v>158</v>
      </c>
      <c r="B550" s="40"/>
      <c r="C550" s="40"/>
      <c r="D550" s="40"/>
      <c r="E550" s="40"/>
      <c r="F550" s="40"/>
    </row>
    <row r="551" spans="1:6" ht="12.75" x14ac:dyDescent="0.2">
      <c r="A551" s="40"/>
      <c r="B551" s="41" t="s">
        <v>403</v>
      </c>
      <c r="C551" s="41" t="s">
        <v>24</v>
      </c>
      <c r="D551" s="41" t="s">
        <v>26</v>
      </c>
      <c r="E551" s="40"/>
      <c r="F551" s="40"/>
    </row>
    <row r="552" spans="1:6" ht="12.75" x14ac:dyDescent="0.2">
      <c r="A552" s="40"/>
      <c r="B552" s="41" t="s">
        <v>403</v>
      </c>
      <c r="C552" s="41" t="s">
        <v>32</v>
      </c>
      <c r="D552" s="41" t="s">
        <v>29</v>
      </c>
      <c r="E552" s="40"/>
      <c r="F552" s="40"/>
    </row>
    <row r="553" spans="1:6" ht="12.75" x14ac:dyDescent="0.2">
      <c r="A553" s="40"/>
      <c r="B553" s="41" t="s">
        <v>403</v>
      </c>
      <c r="C553" s="41" t="s">
        <v>25</v>
      </c>
      <c r="D553" s="41" t="s">
        <v>27</v>
      </c>
      <c r="E553" s="40"/>
      <c r="F553" s="40"/>
    </row>
    <row r="554" spans="1:6" ht="12.75" x14ac:dyDescent="0.2">
      <c r="A554" s="40"/>
      <c r="B554" s="41" t="s">
        <v>403</v>
      </c>
      <c r="C554" s="41" t="s">
        <v>30</v>
      </c>
      <c r="D554" s="41" t="s">
        <v>31</v>
      </c>
      <c r="E554" s="40"/>
      <c r="F554" s="40"/>
    </row>
    <row r="555" spans="1:6" ht="12.75" x14ac:dyDescent="0.2">
      <c r="A555" s="40"/>
      <c r="B555" s="40"/>
      <c r="C555" s="40"/>
      <c r="D555" s="40"/>
      <c r="E555" s="40"/>
      <c r="F555" s="40"/>
    </row>
    <row r="556" spans="1:6" ht="12.75" x14ac:dyDescent="0.2">
      <c r="A556" s="41" t="s">
        <v>142</v>
      </c>
      <c r="B556" s="40"/>
      <c r="C556" s="40"/>
      <c r="D556" s="40"/>
      <c r="E556" s="40"/>
      <c r="F556" s="40"/>
    </row>
    <row r="557" spans="1:6" ht="12.75" x14ac:dyDescent="0.2">
      <c r="A557" s="40"/>
      <c r="B557" s="41" t="s">
        <v>398</v>
      </c>
      <c r="C557" s="40"/>
      <c r="D557" s="40"/>
      <c r="E557" s="40"/>
      <c r="F557" s="40"/>
    </row>
    <row r="558" spans="1:6" ht="12.75" x14ac:dyDescent="0.2">
      <c r="A558" s="40"/>
      <c r="B558" s="41" t="s">
        <v>399</v>
      </c>
      <c r="C558" s="40"/>
      <c r="D558" s="40"/>
      <c r="E558" s="40"/>
      <c r="F558" s="40"/>
    </row>
    <row r="559" spans="1:6" ht="12.75" x14ac:dyDescent="0.2">
      <c r="A559" s="40"/>
      <c r="B559" s="41" t="s">
        <v>400</v>
      </c>
      <c r="C559" s="40"/>
      <c r="D559" s="40"/>
      <c r="E559" s="40"/>
      <c r="F559" s="40"/>
    </row>
    <row r="560" spans="1:6" ht="12.75" x14ac:dyDescent="0.2">
      <c r="A560" s="40"/>
      <c r="B560" s="41" t="s">
        <v>401</v>
      </c>
      <c r="C560" s="41" t="s">
        <v>142</v>
      </c>
      <c r="D560" s="40"/>
      <c r="E560" s="40"/>
      <c r="F560" s="40"/>
    </row>
    <row r="561" spans="1:6" ht="12.75" x14ac:dyDescent="0.2">
      <c r="A561" s="41" t="s">
        <v>587</v>
      </c>
      <c r="B561" s="41" t="s">
        <v>402</v>
      </c>
      <c r="C561" s="41" t="s">
        <v>144</v>
      </c>
      <c r="D561" s="40"/>
      <c r="E561" s="40"/>
      <c r="F561" s="40"/>
    </row>
    <row r="562" spans="1:6" ht="12.75" x14ac:dyDescent="0.2">
      <c r="A562" s="41" t="s">
        <v>588</v>
      </c>
      <c r="B562" s="40"/>
      <c r="C562" s="40"/>
      <c r="D562" s="40"/>
      <c r="E562" s="40"/>
      <c r="F562" s="40"/>
    </row>
    <row r="563" spans="1:6" ht="12.75" x14ac:dyDescent="0.2">
      <c r="A563" s="41" t="s">
        <v>589</v>
      </c>
      <c r="B563" s="40"/>
      <c r="C563" s="40"/>
      <c r="D563" s="40"/>
      <c r="E563" s="40"/>
      <c r="F563" s="40"/>
    </row>
    <row r="564" spans="1:6" ht="12.75" x14ac:dyDescent="0.2">
      <c r="A564" s="41" t="s">
        <v>143</v>
      </c>
      <c r="B564" s="40"/>
      <c r="C564" s="40"/>
      <c r="D564" s="40"/>
      <c r="E564" s="40"/>
      <c r="F564" s="40"/>
    </row>
    <row r="565" spans="1:6" ht="12.75" x14ac:dyDescent="0.2">
      <c r="A565" s="40"/>
      <c r="B565" s="41" t="s">
        <v>403</v>
      </c>
      <c r="C565" s="41" t="s">
        <v>145</v>
      </c>
      <c r="D565" s="41" t="s">
        <v>146</v>
      </c>
      <c r="E565" s="40"/>
      <c r="F565" s="40"/>
    </row>
    <row r="566" spans="1:6" ht="12.75" x14ac:dyDescent="0.2">
      <c r="A566" s="40"/>
      <c r="B566" s="41" t="s">
        <v>403</v>
      </c>
      <c r="C566" s="41" t="s">
        <v>152</v>
      </c>
      <c r="D566" s="41" t="s">
        <v>153</v>
      </c>
      <c r="E566" s="40"/>
      <c r="F566" s="40"/>
    </row>
    <row r="567" spans="1:6" ht="12.75" x14ac:dyDescent="0.2">
      <c r="A567" s="40"/>
      <c r="B567" s="41" t="s">
        <v>403</v>
      </c>
      <c r="C567" s="41" t="s">
        <v>155</v>
      </c>
      <c r="D567" s="41" t="s">
        <v>156</v>
      </c>
      <c r="E567" s="40"/>
      <c r="F567" s="40"/>
    </row>
    <row r="568" spans="1:6" ht="12.75" x14ac:dyDescent="0.2">
      <c r="A568" s="40"/>
      <c r="B568" s="41" t="s">
        <v>403</v>
      </c>
      <c r="C568" s="41" t="s">
        <v>158</v>
      </c>
      <c r="D568" s="41" t="s">
        <v>159</v>
      </c>
      <c r="E568" s="40"/>
      <c r="F568" s="40"/>
    </row>
    <row r="569" spans="1:6" ht="12.75" x14ac:dyDescent="0.2">
      <c r="A569" s="40"/>
      <c r="B569" s="41" t="s">
        <v>403</v>
      </c>
      <c r="C569" s="41" t="s">
        <v>24</v>
      </c>
      <c r="D569" s="41" t="s">
        <v>26</v>
      </c>
      <c r="E569" s="40"/>
      <c r="F569" s="40"/>
    </row>
    <row r="570" spans="1:6" ht="12.75" x14ac:dyDescent="0.2">
      <c r="A570" s="40"/>
      <c r="B570" s="40"/>
      <c r="C570" s="40"/>
      <c r="D570" s="40"/>
      <c r="E570" s="40"/>
      <c r="F570" s="40"/>
    </row>
    <row r="571" spans="1:6" ht="12.75" x14ac:dyDescent="0.2">
      <c r="A571" s="41" t="s">
        <v>167</v>
      </c>
      <c r="B571" s="40"/>
      <c r="C571" s="40"/>
      <c r="D571" s="40"/>
      <c r="E571" s="40"/>
      <c r="F571" s="40"/>
    </row>
    <row r="572" spans="1:6" ht="12.75" x14ac:dyDescent="0.2">
      <c r="A572" s="40"/>
      <c r="B572" s="41" t="s">
        <v>398</v>
      </c>
      <c r="C572" s="40"/>
      <c r="D572" s="40"/>
      <c r="E572" s="40"/>
      <c r="F572" s="40"/>
    </row>
    <row r="573" spans="1:6" ht="12.75" x14ac:dyDescent="0.2">
      <c r="A573" s="40"/>
      <c r="B573" s="41" t="s">
        <v>399</v>
      </c>
      <c r="C573" s="40"/>
      <c r="D573" s="40"/>
      <c r="E573" s="40"/>
      <c r="F573" s="40"/>
    </row>
    <row r="574" spans="1:6" ht="12.75" x14ac:dyDescent="0.2">
      <c r="A574" s="40"/>
      <c r="B574" s="41" t="s">
        <v>400</v>
      </c>
      <c r="C574" s="40"/>
      <c r="D574" s="40"/>
      <c r="E574" s="40"/>
      <c r="F574" s="40"/>
    </row>
    <row r="575" spans="1:6" ht="12.75" x14ac:dyDescent="0.2">
      <c r="A575" s="40"/>
      <c r="B575" s="41" t="s">
        <v>401</v>
      </c>
      <c r="C575" s="41" t="s">
        <v>167</v>
      </c>
      <c r="D575" s="40"/>
      <c r="E575" s="40"/>
      <c r="F575" s="40"/>
    </row>
    <row r="576" spans="1:6" ht="38.25" x14ac:dyDescent="0.2">
      <c r="A576" s="41" t="s">
        <v>590</v>
      </c>
      <c r="B576" s="41" t="s">
        <v>402</v>
      </c>
      <c r="C576" s="41" t="s">
        <v>381</v>
      </c>
      <c r="D576" s="40"/>
      <c r="E576" s="40"/>
      <c r="F576" s="40"/>
    </row>
    <row r="577" spans="1:6" ht="12.75" x14ac:dyDescent="0.2">
      <c r="A577" s="41" t="s">
        <v>591</v>
      </c>
      <c r="B577" s="41" t="s">
        <v>402</v>
      </c>
      <c r="C577" s="41" t="s">
        <v>19</v>
      </c>
      <c r="D577" s="40"/>
      <c r="E577" s="40"/>
      <c r="F577" s="40"/>
    </row>
    <row r="578" spans="1:6" ht="12.75" x14ac:dyDescent="0.2">
      <c r="A578" s="41" t="s">
        <v>592</v>
      </c>
      <c r="B578" s="40"/>
      <c r="C578" s="40"/>
      <c r="D578" s="40"/>
      <c r="E578" s="40"/>
      <c r="F578" s="40"/>
    </row>
    <row r="579" spans="1:6" ht="12.75" x14ac:dyDescent="0.2">
      <c r="A579" s="41" t="s">
        <v>593</v>
      </c>
      <c r="B579" s="40"/>
      <c r="C579" s="40"/>
      <c r="D579" s="40"/>
      <c r="E579" s="40"/>
      <c r="F579" s="40"/>
    </row>
    <row r="580" spans="1:6" ht="12.75" x14ac:dyDescent="0.2">
      <c r="A580" s="41" t="s">
        <v>594</v>
      </c>
      <c r="B580" s="40"/>
      <c r="C580" s="40"/>
      <c r="D580" s="40"/>
      <c r="E580" s="40"/>
      <c r="F580" s="40"/>
    </row>
    <row r="581" spans="1:6" ht="12.75" x14ac:dyDescent="0.2">
      <c r="A581" s="41" t="s">
        <v>595</v>
      </c>
      <c r="B581" s="40"/>
      <c r="C581" s="40"/>
      <c r="D581" s="40"/>
      <c r="E581" s="40"/>
      <c r="F581" s="40"/>
    </row>
    <row r="582" spans="1:6" ht="12.75" x14ac:dyDescent="0.2">
      <c r="A582" s="41" t="s">
        <v>596</v>
      </c>
      <c r="B582" s="40"/>
      <c r="C582" s="40"/>
      <c r="D582" s="40"/>
      <c r="E582" s="40"/>
      <c r="F582" s="40"/>
    </row>
    <row r="583" spans="1:6" ht="12.75" x14ac:dyDescent="0.2">
      <c r="A583" s="41" t="s">
        <v>166</v>
      </c>
      <c r="B583" s="40"/>
      <c r="C583" s="40"/>
      <c r="D583" s="40"/>
      <c r="E583" s="40"/>
      <c r="F583" s="40"/>
    </row>
    <row r="584" spans="1:6" ht="12.75" x14ac:dyDescent="0.2">
      <c r="A584" s="40"/>
      <c r="B584" s="41" t="s">
        <v>403</v>
      </c>
      <c r="C584" s="41" t="s">
        <v>24</v>
      </c>
      <c r="D584" s="41" t="s">
        <v>26</v>
      </c>
      <c r="E584" s="40"/>
      <c r="F584" s="40"/>
    </row>
    <row r="585" spans="1:6" ht="12.75" x14ac:dyDescent="0.2">
      <c r="A585" s="40"/>
      <c r="B585" s="41" t="s">
        <v>403</v>
      </c>
      <c r="C585" s="41" t="s">
        <v>32</v>
      </c>
      <c r="D585" s="41" t="s">
        <v>29</v>
      </c>
      <c r="E585" s="40"/>
      <c r="F585" s="40"/>
    </row>
    <row r="586" spans="1:6" ht="12.75" x14ac:dyDescent="0.2">
      <c r="A586" s="40"/>
      <c r="B586" s="41" t="s">
        <v>403</v>
      </c>
      <c r="C586" s="41" t="s">
        <v>25</v>
      </c>
      <c r="D586" s="41" t="s">
        <v>27</v>
      </c>
      <c r="E586" s="40"/>
      <c r="F586" s="40"/>
    </row>
    <row r="587" spans="1:6" ht="12.75" x14ac:dyDescent="0.2">
      <c r="A587" s="40"/>
      <c r="B587" s="41" t="s">
        <v>403</v>
      </c>
      <c r="C587" s="41" t="s">
        <v>30</v>
      </c>
      <c r="D587" s="41" t="s">
        <v>31</v>
      </c>
      <c r="E587" s="40"/>
      <c r="F587" s="40"/>
    </row>
    <row r="588" spans="1:6" ht="12.75" x14ac:dyDescent="0.2">
      <c r="A588" s="40"/>
      <c r="B588" s="40"/>
      <c r="C588" s="40"/>
      <c r="D588" s="40"/>
      <c r="E588" s="40"/>
      <c r="F588" s="40"/>
    </row>
    <row r="589" spans="1:6" ht="12.75" x14ac:dyDescent="0.2">
      <c r="A589" s="41" t="s">
        <v>174</v>
      </c>
      <c r="B589" s="40"/>
      <c r="C589" s="40"/>
      <c r="D589" s="40"/>
      <c r="E589" s="40"/>
      <c r="F589" s="40"/>
    </row>
    <row r="590" spans="1:6" ht="12.75" x14ac:dyDescent="0.2">
      <c r="A590" s="40"/>
      <c r="B590" s="41" t="s">
        <v>398</v>
      </c>
      <c r="C590" s="40"/>
      <c r="D590" s="40"/>
      <c r="E590" s="40"/>
      <c r="F590" s="40"/>
    </row>
    <row r="591" spans="1:6" ht="12.75" x14ac:dyDescent="0.2">
      <c r="A591" s="40"/>
      <c r="B591" s="41" t="s">
        <v>399</v>
      </c>
      <c r="C591" s="40"/>
      <c r="D591" s="40"/>
      <c r="E591" s="40"/>
      <c r="F591" s="40"/>
    </row>
    <row r="592" spans="1:6" ht="12.75" x14ac:dyDescent="0.2">
      <c r="A592" s="40"/>
      <c r="B592" s="41" t="s">
        <v>400</v>
      </c>
      <c r="C592" s="40"/>
      <c r="D592" s="40"/>
      <c r="E592" s="40"/>
      <c r="F592" s="40"/>
    </row>
    <row r="593" spans="1:6" ht="12.75" x14ac:dyDescent="0.2">
      <c r="A593" s="40"/>
      <c r="B593" s="41" t="s">
        <v>401</v>
      </c>
      <c r="C593" s="41" t="s">
        <v>174</v>
      </c>
      <c r="D593" s="40"/>
      <c r="E593" s="40"/>
      <c r="F593" s="40"/>
    </row>
    <row r="594" spans="1:6" ht="38.25" x14ac:dyDescent="0.2">
      <c r="A594" s="41" t="s">
        <v>597</v>
      </c>
      <c r="B594" s="41" t="s">
        <v>402</v>
      </c>
      <c r="C594" s="41" t="s">
        <v>383</v>
      </c>
      <c r="D594" s="40"/>
      <c r="E594" s="40"/>
      <c r="F594" s="40"/>
    </row>
    <row r="595" spans="1:6" ht="12.75" x14ac:dyDescent="0.2">
      <c r="A595" s="41" t="s">
        <v>598</v>
      </c>
      <c r="B595" s="41" t="s">
        <v>402</v>
      </c>
      <c r="C595" s="41" t="s">
        <v>19</v>
      </c>
      <c r="D595" s="40"/>
      <c r="E595" s="40"/>
      <c r="F595" s="40"/>
    </row>
    <row r="596" spans="1:6" ht="12.75" x14ac:dyDescent="0.2">
      <c r="A596" s="41" t="s">
        <v>599</v>
      </c>
      <c r="B596" s="40"/>
      <c r="C596" s="40"/>
      <c r="D596" s="40"/>
      <c r="E596" s="40"/>
      <c r="F596" s="40"/>
    </row>
    <row r="597" spans="1:6" ht="12.75" x14ac:dyDescent="0.2">
      <c r="A597" s="41" t="s">
        <v>600</v>
      </c>
      <c r="B597" s="40"/>
      <c r="C597" s="40"/>
      <c r="D597" s="40"/>
      <c r="E597" s="40"/>
      <c r="F597" s="40"/>
    </row>
    <row r="598" spans="1:6" ht="12.75" x14ac:dyDescent="0.2">
      <c r="A598" s="41" t="s">
        <v>173</v>
      </c>
      <c r="B598" s="40"/>
      <c r="C598" s="40"/>
      <c r="D598" s="40"/>
      <c r="E598" s="40"/>
      <c r="F598" s="40"/>
    </row>
    <row r="599" spans="1:6" ht="12.75" x14ac:dyDescent="0.2">
      <c r="A599" s="40"/>
      <c r="B599" s="41" t="s">
        <v>403</v>
      </c>
      <c r="C599" s="41" t="s">
        <v>24</v>
      </c>
      <c r="D599" s="41" t="s">
        <v>26</v>
      </c>
      <c r="E599" s="40"/>
      <c r="F599" s="40"/>
    </row>
    <row r="600" spans="1:6" ht="12.75" x14ac:dyDescent="0.2">
      <c r="A600" s="40"/>
      <c r="B600" s="41" t="s">
        <v>403</v>
      </c>
      <c r="C600" s="41" t="s">
        <v>32</v>
      </c>
      <c r="D600" s="41" t="s">
        <v>29</v>
      </c>
      <c r="E600" s="40"/>
      <c r="F600" s="40"/>
    </row>
    <row r="601" spans="1:6" ht="12.75" x14ac:dyDescent="0.2">
      <c r="A601" s="40"/>
      <c r="B601" s="41" t="s">
        <v>403</v>
      </c>
      <c r="C601" s="41" t="s">
        <v>25</v>
      </c>
      <c r="D601" s="41" t="s">
        <v>27</v>
      </c>
      <c r="E601" s="40"/>
      <c r="F601" s="40"/>
    </row>
    <row r="602" spans="1:6" ht="12.75" x14ac:dyDescent="0.2">
      <c r="A602" s="40"/>
      <c r="B602" s="41" t="s">
        <v>403</v>
      </c>
      <c r="C602" s="41" t="s">
        <v>30</v>
      </c>
      <c r="D602" s="41" t="s">
        <v>31</v>
      </c>
      <c r="E602" s="40"/>
      <c r="F602" s="40"/>
    </row>
    <row r="603" spans="1:6" ht="12.75" x14ac:dyDescent="0.2">
      <c r="A603" s="40"/>
      <c r="B603" s="40"/>
      <c r="C603" s="40"/>
      <c r="D603" s="40"/>
      <c r="E603" s="40"/>
      <c r="F603" s="40"/>
    </row>
    <row r="604" spans="1:6" ht="12.75" x14ac:dyDescent="0.2">
      <c r="A604" s="41" t="s">
        <v>178</v>
      </c>
      <c r="B604" s="40"/>
      <c r="C604" s="40"/>
      <c r="D604" s="40"/>
      <c r="E604" s="40"/>
      <c r="F604" s="40"/>
    </row>
    <row r="605" spans="1:6" ht="12.75" x14ac:dyDescent="0.2">
      <c r="A605" s="40"/>
      <c r="B605" s="41" t="s">
        <v>398</v>
      </c>
      <c r="C605" s="40"/>
      <c r="D605" s="40"/>
      <c r="E605" s="40"/>
      <c r="F605" s="40"/>
    </row>
    <row r="606" spans="1:6" ht="12.75" x14ac:dyDescent="0.2">
      <c r="A606" s="40"/>
      <c r="B606" s="41" t="s">
        <v>399</v>
      </c>
      <c r="C606" s="40"/>
      <c r="D606" s="40"/>
      <c r="E606" s="40"/>
      <c r="F606" s="40"/>
    </row>
    <row r="607" spans="1:6" ht="12.75" x14ac:dyDescent="0.2">
      <c r="A607" s="40"/>
      <c r="B607" s="41" t="s">
        <v>400</v>
      </c>
      <c r="C607" s="40"/>
      <c r="D607" s="40"/>
      <c r="E607" s="40"/>
      <c r="F607" s="40"/>
    </row>
    <row r="608" spans="1:6" ht="12.75" x14ac:dyDescent="0.2">
      <c r="A608" s="40"/>
      <c r="B608" s="41" t="s">
        <v>401</v>
      </c>
      <c r="C608" s="41" t="s">
        <v>178</v>
      </c>
      <c r="D608" s="40"/>
      <c r="E608" s="40"/>
      <c r="F608" s="40"/>
    </row>
    <row r="609" spans="1:6" ht="25.5" x14ac:dyDescent="0.2">
      <c r="A609" s="41" t="s">
        <v>601</v>
      </c>
      <c r="B609" s="41" t="s">
        <v>402</v>
      </c>
      <c r="C609" s="41" t="s">
        <v>602</v>
      </c>
      <c r="D609" s="40"/>
      <c r="E609" s="40"/>
      <c r="F609" s="40"/>
    </row>
    <row r="610" spans="1:6" ht="12.75" x14ac:dyDescent="0.2">
      <c r="A610" s="41" t="s">
        <v>603</v>
      </c>
      <c r="B610" s="41" t="s">
        <v>402</v>
      </c>
      <c r="C610" s="41" t="s">
        <v>19</v>
      </c>
      <c r="D610" s="40"/>
      <c r="E610" s="40"/>
      <c r="F610" s="40"/>
    </row>
    <row r="611" spans="1:6" ht="12.75" x14ac:dyDescent="0.2">
      <c r="A611" s="41" t="s">
        <v>604</v>
      </c>
      <c r="B611" s="40"/>
      <c r="C611" s="40"/>
      <c r="D611" s="40"/>
      <c r="E611" s="40"/>
      <c r="F611" s="40"/>
    </row>
    <row r="612" spans="1:6" ht="12.75" x14ac:dyDescent="0.2">
      <c r="A612" s="41" t="s">
        <v>591</v>
      </c>
      <c r="B612" s="40"/>
      <c r="C612" s="40"/>
      <c r="D612" s="40"/>
      <c r="E612" s="40"/>
      <c r="F612" s="40"/>
    </row>
    <row r="613" spans="1:6" ht="12.75" x14ac:dyDescent="0.2">
      <c r="A613" s="41" t="s">
        <v>605</v>
      </c>
      <c r="B613" s="40"/>
      <c r="C613" s="40"/>
      <c r="D613" s="40"/>
      <c r="E613" s="40"/>
      <c r="F613" s="40"/>
    </row>
    <row r="614" spans="1:6" ht="12.75" x14ac:dyDescent="0.2">
      <c r="A614" s="41" t="s">
        <v>606</v>
      </c>
      <c r="B614" s="40"/>
      <c r="C614" s="40"/>
      <c r="D614" s="40"/>
      <c r="E614" s="40"/>
      <c r="F614" s="40"/>
    </row>
    <row r="615" spans="1:6" ht="12.75" x14ac:dyDescent="0.2">
      <c r="A615" s="41" t="s">
        <v>177</v>
      </c>
      <c r="B615" s="40"/>
      <c r="C615" s="40"/>
      <c r="D615" s="40"/>
      <c r="E615" s="40"/>
      <c r="F615" s="40"/>
    </row>
    <row r="616" spans="1:6" ht="12.75" x14ac:dyDescent="0.2">
      <c r="A616" s="40"/>
      <c r="B616" s="41" t="s">
        <v>403</v>
      </c>
      <c r="C616" s="41" t="s">
        <v>24</v>
      </c>
      <c r="D616" s="41" t="s">
        <v>26</v>
      </c>
      <c r="E616" s="40"/>
      <c r="F616" s="40"/>
    </row>
    <row r="617" spans="1:6" ht="12.75" x14ac:dyDescent="0.2">
      <c r="A617" s="40"/>
      <c r="B617" s="41" t="s">
        <v>403</v>
      </c>
      <c r="C617" s="41" t="s">
        <v>32</v>
      </c>
      <c r="D617" s="41" t="s">
        <v>29</v>
      </c>
      <c r="E617" s="40"/>
      <c r="F617" s="40"/>
    </row>
    <row r="618" spans="1:6" ht="12.75" x14ac:dyDescent="0.2">
      <c r="A618" s="40"/>
      <c r="B618" s="41" t="s">
        <v>403</v>
      </c>
      <c r="C618" s="41" t="s">
        <v>25</v>
      </c>
      <c r="D618" s="41" t="s">
        <v>27</v>
      </c>
      <c r="E618" s="40"/>
      <c r="F618" s="40"/>
    </row>
    <row r="619" spans="1:6" ht="12.75" x14ac:dyDescent="0.2">
      <c r="A619" s="40"/>
      <c r="B619" s="41" t="s">
        <v>403</v>
      </c>
      <c r="C619" s="41" t="s">
        <v>30</v>
      </c>
      <c r="D619" s="41" t="s">
        <v>31</v>
      </c>
      <c r="E619" s="40"/>
      <c r="F619" s="40"/>
    </row>
    <row r="620" spans="1:6" ht="12.75" x14ac:dyDescent="0.2">
      <c r="A620" s="40"/>
      <c r="B620" s="40"/>
      <c r="C620" s="40"/>
      <c r="D620" s="40"/>
      <c r="E620" s="40"/>
      <c r="F620" s="40"/>
    </row>
    <row r="621" spans="1:6" ht="12.75" x14ac:dyDescent="0.2">
      <c r="A621" s="41" t="s">
        <v>164</v>
      </c>
      <c r="B621" s="40"/>
      <c r="C621" s="40"/>
      <c r="D621" s="40"/>
      <c r="E621" s="40"/>
      <c r="F621" s="40"/>
    </row>
    <row r="622" spans="1:6" ht="12.75" x14ac:dyDescent="0.2">
      <c r="A622" s="40"/>
      <c r="B622" s="41" t="s">
        <v>398</v>
      </c>
      <c r="C622" s="40"/>
      <c r="D622" s="40"/>
      <c r="E622" s="40"/>
      <c r="F622" s="40"/>
    </row>
    <row r="623" spans="1:6" ht="12.75" x14ac:dyDescent="0.2">
      <c r="A623" s="40"/>
      <c r="B623" s="41" t="s">
        <v>399</v>
      </c>
      <c r="C623" s="40"/>
      <c r="D623" s="40"/>
      <c r="E623" s="40"/>
      <c r="F623" s="40"/>
    </row>
    <row r="624" spans="1:6" ht="12.75" x14ac:dyDescent="0.2">
      <c r="A624" s="40"/>
      <c r="B624" s="41" t="s">
        <v>400</v>
      </c>
      <c r="C624" s="40"/>
      <c r="D624" s="40"/>
      <c r="E624" s="40"/>
      <c r="F624" s="40"/>
    </row>
    <row r="625" spans="1:6" ht="12.75" x14ac:dyDescent="0.2">
      <c r="A625" s="40"/>
      <c r="B625" s="41" t="s">
        <v>401</v>
      </c>
      <c r="C625" s="41" t="s">
        <v>164</v>
      </c>
      <c r="D625" s="40"/>
      <c r="E625" s="40"/>
      <c r="F625" s="40"/>
    </row>
    <row r="626" spans="1:6" ht="12.75" x14ac:dyDescent="0.2">
      <c r="A626" s="41" t="s">
        <v>607</v>
      </c>
      <c r="B626" s="41" t="s">
        <v>402</v>
      </c>
      <c r="C626" s="41" t="s">
        <v>165</v>
      </c>
      <c r="D626" s="40"/>
      <c r="E626" s="40"/>
      <c r="F626" s="40"/>
    </row>
    <row r="627" spans="1:6" ht="12.75" x14ac:dyDescent="0.2">
      <c r="A627" s="41" t="s">
        <v>608</v>
      </c>
      <c r="B627" s="40"/>
      <c r="C627" s="40"/>
      <c r="D627" s="40"/>
      <c r="E627" s="40"/>
      <c r="F627" s="40"/>
    </row>
    <row r="628" spans="1:6" ht="12.75" x14ac:dyDescent="0.2">
      <c r="A628" s="41" t="s">
        <v>53</v>
      </c>
      <c r="B628" s="40"/>
      <c r="C628" s="40"/>
      <c r="D628" s="40"/>
      <c r="E628" s="40"/>
      <c r="F628" s="40"/>
    </row>
    <row r="629" spans="1:6" ht="12.75" x14ac:dyDescent="0.2">
      <c r="A629" s="40"/>
      <c r="B629" s="41" t="s">
        <v>403</v>
      </c>
      <c r="C629" s="41" t="s">
        <v>166</v>
      </c>
      <c r="D629" s="41" t="s">
        <v>167</v>
      </c>
      <c r="E629" s="40"/>
      <c r="F629" s="40"/>
    </row>
    <row r="630" spans="1:6" ht="12.75" x14ac:dyDescent="0.2">
      <c r="A630" s="40"/>
      <c r="B630" s="41" t="s">
        <v>403</v>
      </c>
      <c r="C630" s="41" t="s">
        <v>173</v>
      </c>
      <c r="D630" s="41" t="s">
        <v>174</v>
      </c>
      <c r="E630" s="40"/>
      <c r="F630" s="40"/>
    </row>
    <row r="631" spans="1:6" ht="12.75" x14ac:dyDescent="0.2">
      <c r="A631" s="40"/>
      <c r="B631" s="41" t="s">
        <v>403</v>
      </c>
      <c r="C631" s="41" t="s">
        <v>177</v>
      </c>
      <c r="D631" s="41" t="s">
        <v>178</v>
      </c>
      <c r="E631" s="40"/>
      <c r="F631" s="40"/>
    </row>
    <row r="632" spans="1:6" ht="12.75" x14ac:dyDescent="0.2">
      <c r="A632" s="40"/>
      <c r="B632" s="41" t="s">
        <v>403</v>
      </c>
      <c r="C632" s="41" t="s">
        <v>24</v>
      </c>
      <c r="D632" s="41" t="s">
        <v>26</v>
      </c>
      <c r="E632" s="40"/>
      <c r="F632" s="40"/>
    </row>
    <row r="633" spans="1:6" ht="12.75" x14ac:dyDescent="0.2">
      <c r="A633" s="40"/>
      <c r="B633" s="41" t="s">
        <v>403</v>
      </c>
      <c r="C633" s="41" t="s">
        <v>32</v>
      </c>
      <c r="D633" s="41" t="s">
        <v>29</v>
      </c>
      <c r="E633" s="40"/>
      <c r="F633" s="40"/>
    </row>
    <row r="634" spans="1:6" ht="12.75" x14ac:dyDescent="0.2">
      <c r="A634" s="40"/>
      <c r="B634" s="40"/>
      <c r="C634" s="40"/>
      <c r="D634" s="40"/>
      <c r="E634" s="40"/>
      <c r="F634" s="40"/>
    </row>
    <row r="635" spans="1:6" ht="12.75" x14ac:dyDescent="0.2">
      <c r="A635" s="41" t="s">
        <v>29</v>
      </c>
      <c r="B635" s="40"/>
      <c r="C635" s="40"/>
      <c r="D635" s="40"/>
      <c r="E635" s="40"/>
      <c r="F635" s="40"/>
    </row>
    <row r="636" spans="1:6" ht="12.75" x14ac:dyDescent="0.2">
      <c r="A636" s="40"/>
      <c r="B636" s="41" t="s">
        <v>398</v>
      </c>
      <c r="C636" s="40"/>
      <c r="D636" s="40"/>
      <c r="E636" s="40"/>
      <c r="F636" s="40"/>
    </row>
    <row r="637" spans="1:6" ht="12.75" x14ac:dyDescent="0.2">
      <c r="A637" s="40"/>
      <c r="B637" s="41" t="s">
        <v>399</v>
      </c>
      <c r="C637" s="40"/>
      <c r="D637" s="40"/>
      <c r="E637" s="40"/>
      <c r="F637" s="40"/>
    </row>
    <row r="638" spans="1:6" ht="12.75" x14ac:dyDescent="0.2">
      <c r="A638" s="40"/>
      <c r="B638" s="41" t="s">
        <v>400</v>
      </c>
      <c r="C638" s="40"/>
      <c r="D638" s="40"/>
      <c r="E638" s="40"/>
      <c r="F638" s="40"/>
    </row>
    <row r="639" spans="1:6" ht="12.75" x14ac:dyDescent="0.2">
      <c r="A639" s="40"/>
      <c r="B639" s="41" t="s">
        <v>401</v>
      </c>
      <c r="C639" s="41" t="s">
        <v>29</v>
      </c>
      <c r="D639" s="40"/>
      <c r="E639" s="40"/>
      <c r="F639" s="40"/>
    </row>
    <row r="640" spans="1:6" ht="51" x14ac:dyDescent="0.2">
      <c r="A640" s="41" t="s">
        <v>609</v>
      </c>
      <c r="B640" s="41" t="s">
        <v>402</v>
      </c>
      <c r="C640" s="41" t="s">
        <v>647</v>
      </c>
      <c r="D640" s="40"/>
      <c r="E640" s="40"/>
      <c r="F640" s="40"/>
    </row>
    <row r="641" spans="1:6" ht="12.75" x14ac:dyDescent="0.2">
      <c r="A641" s="41" t="s">
        <v>610</v>
      </c>
      <c r="B641" s="40"/>
      <c r="C641" s="40"/>
      <c r="D641" s="40"/>
      <c r="E641" s="40"/>
      <c r="F641" s="40"/>
    </row>
    <row r="642" spans="1:6" ht="12.75" x14ac:dyDescent="0.2">
      <c r="A642" s="41" t="s">
        <v>611</v>
      </c>
      <c r="B642" s="40"/>
      <c r="C642" s="40"/>
      <c r="D642" s="40"/>
      <c r="E642" s="40"/>
      <c r="F642" s="40"/>
    </row>
    <row r="643" spans="1:6" ht="12.75" x14ac:dyDescent="0.2">
      <c r="A643" s="41" t="s">
        <v>612</v>
      </c>
      <c r="B643" s="40"/>
      <c r="C643" s="40"/>
      <c r="D643" s="40"/>
      <c r="E643" s="40"/>
      <c r="F643" s="40"/>
    </row>
    <row r="644" spans="1:6" ht="12.75" x14ac:dyDescent="0.2">
      <c r="A644" s="41" t="s">
        <v>613</v>
      </c>
      <c r="B644" s="40"/>
      <c r="C644" s="40"/>
      <c r="D644" s="40"/>
      <c r="E644" s="40"/>
      <c r="F644" s="40"/>
    </row>
    <row r="645" spans="1:6" ht="12.75" x14ac:dyDescent="0.2">
      <c r="A645" s="41" t="s">
        <v>614</v>
      </c>
      <c r="B645" s="40"/>
      <c r="C645" s="40"/>
      <c r="D645" s="40"/>
      <c r="E645" s="40"/>
      <c r="F645" s="40"/>
    </row>
    <row r="646" spans="1:6" ht="12.75" x14ac:dyDescent="0.2">
      <c r="A646" s="41" t="s">
        <v>615</v>
      </c>
      <c r="B646" s="40"/>
      <c r="C646" s="40"/>
      <c r="D646" s="40"/>
      <c r="E646" s="40"/>
      <c r="F646" s="40"/>
    </row>
    <row r="647" spans="1:6" ht="12.75" x14ac:dyDescent="0.2">
      <c r="A647" s="41" t="s">
        <v>616</v>
      </c>
      <c r="B647" s="40"/>
      <c r="C647" s="40"/>
      <c r="D647" s="40"/>
      <c r="E647" s="40"/>
      <c r="F647" s="40"/>
    </row>
    <row r="648" spans="1:6" ht="12.75" x14ac:dyDescent="0.2">
      <c r="A648" s="41" t="s">
        <v>56</v>
      </c>
      <c r="B648" s="40"/>
      <c r="C648" s="40"/>
      <c r="D648" s="40"/>
      <c r="E648" s="40"/>
      <c r="F648" s="40"/>
    </row>
    <row r="649" spans="1:6" ht="12.75" x14ac:dyDescent="0.2">
      <c r="A649" s="41" t="s">
        <v>32</v>
      </c>
      <c r="B649" s="40"/>
      <c r="C649" s="40"/>
      <c r="D649" s="40"/>
      <c r="E649" s="40"/>
      <c r="F649" s="40"/>
    </row>
    <row r="650" spans="1:6" ht="12.75" x14ac:dyDescent="0.2">
      <c r="A650" s="41" t="s">
        <v>28</v>
      </c>
      <c r="B650" s="40"/>
      <c r="C650" s="40"/>
      <c r="D650" s="40"/>
      <c r="E650" s="40"/>
      <c r="F650" s="40"/>
    </row>
    <row r="651" spans="1:6" ht="12.75" x14ac:dyDescent="0.2">
      <c r="A651" s="40"/>
      <c r="B651" s="41" t="s">
        <v>422</v>
      </c>
      <c r="C651" s="41" t="s">
        <v>508</v>
      </c>
      <c r="D651" s="41" t="s">
        <v>509</v>
      </c>
      <c r="E651" s="40"/>
      <c r="F651" s="40"/>
    </row>
    <row r="652" spans="1:6" ht="12.75" x14ac:dyDescent="0.2">
      <c r="A652" s="40"/>
      <c r="B652" s="41" t="s">
        <v>422</v>
      </c>
      <c r="C652" s="41" t="s">
        <v>423</v>
      </c>
      <c r="D652" s="41" t="s">
        <v>424</v>
      </c>
      <c r="E652" s="40"/>
      <c r="F652" s="40"/>
    </row>
    <row r="653" spans="1:6" ht="12.75" x14ac:dyDescent="0.2">
      <c r="A653" s="40"/>
      <c r="B653" s="41" t="s">
        <v>403</v>
      </c>
      <c r="C653" s="41" t="s">
        <v>617</v>
      </c>
      <c r="D653" s="41" t="s">
        <v>239</v>
      </c>
      <c r="E653" s="40"/>
      <c r="F653" s="40"/>
    </row>
    <row r="654" spans="1:6" ht="12.75" x14ac:dyDescent="0.2">
      <c r="A654" s="40"/>
      <c r="B654" s="41" t="s">
        <v>403</v>
      </c>
      <c r="C654" s="41" t="s">
        <v>618</v>
      </c>
      <c r="D654" s="41" t="s">
        <v>256</v>
      </c>
      <c r="E654" s="40"/>
      <c r="F654" s="40"/>
    </row>
    <row r="655" spans="1:6" ht="12.75" x14ac:dyDescent="0.2">
      <c r="A655" s="40"/>
      <c r="B655" s="41" t="s">
        <v>403</v>
      </c>
      <c r="C655" s="41" t="s">
        <v>229</v>
      </c>
      <c r="D655" s="41" t="s">
        <v>300</v>
      </c>
      <c r="E655" s="40"/>
      <c r="F655" s="40"/>
    </row>
    <row r="656" spans="1:6" ht="12.75" x14ac:dyDescent="0.2">
      <c r="A656" s="40"/>
      <c r="B656" s="41" t="s">
        <v>403</v>
      </c>
      <c r="C656" s="41" t="s">
        <v>232</v>
      </c>
      <c r="D656" s="41" t="s">
        <v>325</v>
      </c>
      <c r="E656" s="40"/>
      <c r="F656" s="40"/>
    </row>
    <row r="657" spans="1:6" ht="12.75" x14ac:dyDescent="0.2">
      <c r="A657" s="40"/>
      <c r="B657" s="41" t="s">
        <v>403</v>
      </c>
      <c r="C657" s="41" t="s">
        <v>53</v>
      </c>
      <c r="D657" s="41" t="s">
        <v>164</v>
      </c>
      <c r="E657" s="40"/>
      <c r="F657" s="40"/>
    </row>
    <row r="658" spans="1:6" ht="12.75" x14ac:dyDescent="0.2">
      <c r="A658" s="40"/>
      <c r="B658" s="41" t="s">
        <v>403</v>
      </c>
      <c r="C658" s="41" t="s">
        <v>38</v>
      </c>
      <c r="D658" s="41" t="s">
        <v>26</v>
      </c>
      <c r="E658" s="40"/>
      <c r="F658" s="40"/>
    </row>
    <row r="659" spans="1:6" ht="12.75" x14ac:dyDescent="0.2">
      <c r="A659" s="40"/>
      <c r="B659" s="40"/>
      <c r="C659" s="40"/>
      <c r="D659" s="40"/>
      <c r="E659" s="40"/>
      <c r="F659" s="40"/>
    </row>
    <row r="660" spans="1:6" ht="12.75" x14ac:dyDescent="0.2">
      <c r="A660" s="41" t="s">
        <v>244</v>
      </c>
      <c r="B660" s="40"/>
      <c r="C660" s="40"/>
      <c r="D660" s="40"/>
      <c r="E660" s="40"/>
      <c r="F660" s="40"/>
    </row>
    <row r="661" spans="1:6" ht="12.75" x14ac:dyDescent="0.2">
      <c r="A661" s="40"/>
      <c r="B661" s="41" t="s">
        <v>398</v>
      </c>
      <c r="C661" s="40"/>
      <c r="D661" s="40"/>
      <c r="E661" s="40"/>
      <c r="F661" s="40"/>
    </row>
    <row r="662" spans="1:6" ht="12.75" x14ac:dyDescent="0.2">
      <c r="A662" s="40"/>
      <c r="B662" s="41" t="s">
        <v>399</v>
      </c>
      <c r="C662" s="40"/>
      <c r="D662" s="40"/>
      <c r="E662" s="40"/>
      <c r="F662" s="40"/>
    </row>
    <row r="663" spans="1:6" ht="12.75" x14ac:dyDescent="0.2">
      <c r="A663" s="40"/>
      <c r="B663" s="41" t="s">
        <v>400</v>
      </c>
      <c r="C663" s="40"/>
      <c r="D663" s="40"/>
      <c r="E663" s="40"/>
      <c r="F663" s="40"/>
    </row>
    <row r="664" spans="1:6" ht="12.75" x14ac:dyDescent="0.2">
      <c r="A664" s="40"/>
      <c r="B664" s="41" t="s">
        <v>401</v>
      </c>
      <c r="C664" s="41" t="s">
        <v>244</v>
      </c>
      <c r="D664" s="40"/>
      <c r="E664" s="40"/>
      <c r="F664" s="40"/>
    </row>
    <row r="665" spans="1:6" ht="38.25" x14ac:dyDescent="0.2">
      <c r="A665" s="41" t="s">
        <v>619</v>
      </c>
      <c r="B665" s="41" t="s">
        <v>402</v>
      </c>
      <c r="C665" s="41" t="s">
        <v>620</v>
      </c>
      <c r="D665" s="40"/>
      <c r="E665" s="40"/>
      <c r="F665" s="40"/>
    </row>
    <row r="666" spans="1:6" ht="12.75" x14ac:dyDescent="0.2">
      <c r="A666" s="41" t="s">
        <v>621</v>
      </c>
      <c r="B666" s="41" t="s">
        <v>402</v>
      </c>
      <c r="C666" s="41" t="s">
        <v>19</v>
      </c>
      <c r="D666" s="40"/>
      <c r="E666" s="40"/>
      <c r="F666" s="40"/>
    </row>
    <row r="667" spans="1:6" ht="12.75" x14ac:dyDescent="0.2">
      <c r="A667" s="41" t="s">
        <v>622</v>
      </c>
      <c r="B667" s="40"/>
      <c r="C667" s="40"/>
      <c r="D667" s="40"/>
      <c r="E667" s="40"/>
      <c r="F667" s="40"/>
    </row>
    <row r="668" spans="1:6" ht="12.75" x14ac:dyDescent="0.2">
      <c r="A668" s="41" t="s">
        <v>623</v>
      </c>
      <c r="B668" s="40"/>
      <c r="C668" s="40"/>
      <c r="D668" s="40"/>
      <c r="E668" s="40"/>
      <c r="F668" s="40"/>
    </row>
    <row r="669" spans="1:6" ht="12.75" x14ac:dyDescent="0.2">
      <c r="A669" s="41" t="s">
        <v>624</v>
      </c>
      <c r="B669" s="40"/>
      <c r="C669" s="40"/>
      <c r="D669" s="40"/>
      <c r="E669" s="40"/>
      <c r="F669" s="40"/>
    </row>
    <row r="670" spans="1:6" ht="12.75" x14ac:dyDescent="0.2">
      <c r="A670" s="41" t="s">
        <v>625</v>
      </c>
      <c r="B670" s="40"/>
      <c r="C670" s="40"/>
      <c r="D670" s="40"/>
      <c r="E670" s="40"/>
      <c r="F670" s="40"/>
    </row>
    <row r="671" spans="1:6" ht="12.75" x14ac:dyDescent="0.2">
      <c r="A671" s="41" t="s">
        <v>626</v>
      </c>
      <c r="B671" s="40"/>
      <c r="C671" s="40"/>
      <c r="D671" s="40"/>
      <c r="E671" s="40"/>
      <c r="F671" s="40"/>
    </row>
    <row r="672" spans="1:6" ht="12.75" x14ac:dyDescent="0.2">
      <c r="A672" s="41" t="s">
        <v>243</v>
      </c>
      <c r="B672" s="40"/>
      <c r="C672" s="40"/>
      <c r="D672" s="40"/>
      <c r="E672" s="40"/>
      <c r="F672" s="40"/>
    </row>
    <row r="673" spans="1:6" ht="12.75" x14ac:dyDescent="0.2">
      <c r="A673" s="40"/>
      <c r="B673" s="41" t="s">
        <v>403</v>
      </c>
      <c r="C673" s="41" t="s">
        <v>24</v>
      </c>
      <c r="D673" s="41" t="s">
        <v>26</v>
      </c>
      <c r="E673" s="40"/>
      <c r="F673" s="40"/>
    </row>
    <row r="674" spans="1:6" ht="12.75" x14ac:dyDescent="0.2">
      <c r="A674" s="40"/>
      <c r="B674" s="41" t="s">
        <v>403</v>
      </c>
      <c r="C674" s="41" t="s">
        <v>32</v>
      </c>
      <c r="D674" s="41" t="s">
        <v>29</v>
      </c>
      <c r="E674" s="40"/>
      <c r="F674" s="40"/>
    </row>
    <row r="675" spans="1:6" ht="12.75" x14ac:dyDescent="0.2">
      <c r="A675" s="40"/>
      <c r="B675" s="41" t="s">
        <v>403</v>
      </c>
      <c r="C675" s="41" t="s">
        <v>25</v>
      </c>
      <c r="D675" s="41" t="s">
        <v>27</v>
      </c>
      <c r="E675" s="40"/>
      <c r="F675" s="40"/>
    </row>
    <row r="676" spans="1:6" ht="12.75" x14ac:dyDescent="0.2">
      <c r="A676" s="40"/>
      <c r="B676" s="41" t="s">
        <v>403</v>
      </c>
      <c r="C676" s="41" t="s">
        <v>30</v>
      </c>
      <c r="D676" s="41" t="s">
        <v>31</v>
      </c>
      <c r="E676" s="40"/>
      <c r="F676" s="40"/>
    </row>
    <row r="677" spans="1:6" ht="12.75" x14ac:dyDescent="0.2">
      <c r="A677" s="40"/>
      <c r="B677" s="40"/>
      <c r="C677" s="40"/>
      <c r="D677" s="40"/>
      <c r="E677" s="40"/>
      <c r="F677" s="40"/>
    </row>
    <row r="678" spans="1:6" ht="12.75" x14ac:dyDescent="0.2">
      <c r="A678" s="41" t="s">
        <v>239</v>
      </c>
      <c r="B678" s="40"/>
      <c r="C678" s="40"/>
      <c r="D678" s="40"/>
      <c r="E678" s="40"/>
      <c r="F678" s="40"/>
    </row>
    <row r="679" spans="1:6" ht="12.75" x14ac:dyDescent="0.2">
      <c r="A679" s="40"/>
      <c r="B679" s="41" t="s">
        <v>398</v>
      </c>
      <c r="C679" s="40"/>
      <c r="D679" s="40"/>
      <c r="E679" s="40"/>
      <c r="F679" s="40"/>
    </row>
    <row r="680" spans="1:6" ht="12.75" x14ac:dyDescent="0.2">
      <c r="A680" s="40"/>
      <c r="B680" s="41" t="s">
        <v>399</v>
      </c>
      <c r="C680" s="40"/>
      <c r="D680" s="40"/>
      <c r="E680" s="40"/>
      <c r="F680" s="40"/>
    </row>
    <row r="681" spans="1:6" ht="12.75" x14ac:dyDescent="0.2">
      <c r="A681" s="40"/>
      <c r="B681" s="41" t="s">
        <v>400</v>
      </c>
      <c r="C681" s="40"/>
      <c r="D681" s="40"/>
      <c r="E681" s="40"/>
      <c r="F681" s="40"/>
    </row>
    <row r="682" spans="1:6" ht="12.75" x14ac:dyDescent="0.2">
      <c r="A682" s="40"/>
      <c r="B682" s="41" t="s">
        <v>401</v>
      </c>
      <c r="C682" s="41" t="s">
        <v>239</v>
      </c>
      <c r="D682" s="40"/>
      <c r="E682" s="40"/>
      <c r="F682" s="40"/>
    </row>
    <row r="683" spans="1:6" ht="12.75" x14ac:dyDescent="0.2">
      <c r="A683" s="41" t="s">
        <v>627</v>
      </c>
      <c r="B683" s="41" t="s">
        <v>402</v>
      </c>
      <c r="C683" s="41" t="s">
        <v>241</v>
      </c>
      <c r="D683" s="40"/>
      <c r="E683" s="40"/>
      <c r="F683" s="40"/>
    </row>
    <row r="684" spans="1:6" ht="12.75" x14ac:dyDescent="0.2">
      <c r="A684" s="41" t="s">
        <v>215</v>
      </c>
      <c r="B684" s="40"/>
      <c r="C684" s="40"/>
      <c r="D684" s="40"/>
      <c r="E684" s="40"/>
      <c r="F684" s="40"/>
    </row>
    <row r="685" spans="1:6" ht="12.75" x14ac:dyDescent="0.2">
      <c r="A685" s="40"/>
      <c r="B685" s="41" t="s">
        <v>422</v>
      </c>
      <c r="C685" s="41" t="s">
        <v>508</v>
      </c>
      <c r="D685" s="41" t="s">
        <v>509</v>
      </c>
      <c r="E685" s="40"/>
      <c r="F685" s="40"/>
    </row>
    <row r="686" spans="1:6" ht="12.75" x14ac:dyDescent="0.2">
      <c r="A686" s="40"/>
      <c r="B686" s="41" t="s">
        <v>403</v>
      </c>
      <c r="C686" s="41" t="s">
        <v>243</v>
      </c>
      <c r="D686" s="41" t="s">
        <v>244</v>
      </c>
      <c r="E686" s="40"/>
      <c r="F686" s="40"/>
    </row>
    <row r="687" spans="1:6" ht="12.75" x14ac:dyDescent="0.2">
      <c r="A687" s="40"/>
      <c r="B687" s="41" t="s">
        <v>403</v>
      </c>
      <c r="C687" s="41" t="s">
        <v>37</v>
      </c>
      <c r="D687" s="41" t="s">
        <v>36</v>
      </c>
      <c r="E687" s="40"/>
      <c r="F687" s="40"/>
    </row>
    <row r="688" spans="1:6" ht="12.75" x14ac:dyDescent="0.2">
      <c r="A688" s="40"/>
      <c r="B688" s="41" t="s">
        <v>403</v>
      </c>
      <c r="C688" s="41" t="s">
        <v>58</v>
      </c>
      <c r="D688" s="41" t="s">
        <v>55</v>
      </c>
      <c r="E688" s="40"/>
      <c r="F688" s="40"/>
    </row>
    <row r="689" spans="1:6" ht="12.75" x14ac:dyDescent="0.2">
      <c r="A689" s="40"/>
      <c r="B689" s="41" t="s">
        <v>403</v>
      </c>
      <c r="C689" s="41" t="s">
        <v>83</v>
      </c>
      <c r="D689" s="41" t="s">
        <v>84</v>
      </c>
      <c r="E689" s="40"/>
      <c r="F689" s="40"/>
    </row>
    <row r="690" spans="1:6" ht="12.75" x14ac:dyDescent="0.2">
      <c r="A690" s="40"/>
      <c r="B690" s="41" t="s">
        <v>403</v>
      </c>
      <c r="C690" s="41" t="s">
        <v>32</v>
      </c>
      <c r="D690" s="41" t="s">
        <v>29</v>
      </c>
      <c r="E690" s="40"/>
      <c r="F690" s="40"/>
    </row>
    <row r="691" spans="1:6" ht="12.75" x14ac:dyDescent="0.2">
      <c r="A691" s="40"/>
      <c r="B691" s="40"/>
      <c r="C691" s="40"/>
      <c r="D691" s="40"/>
      <c r="E691" s="40"/>
      <c r="F691" s="40"/>
    </row>
    <row r="692" spans="1:6" ht="12.75" x14ac:dyDescent="0.2">
      <c r="A692" s="41" t="s">
        <v>261</v>
      </c>
      <c r="B692" s="40"/>
      <c r="C692" s="40"/>
      <c r="D692" s="40"/>
      <c r="E692" s="40"/>
      <c r="F692" s="40"/>
    </row>
    <row r="693" spans="1:6" ht="12.75" x14ac:dyDescent="0.2">
      <c r="A693" s="40"/>
      <c r="B693" s="41" t="s">
        <v>398</v>
      </c>
      <c r="C693" s="40"/>
      <c r="D693" s="40"/>
      <c r="E693" s="40"/>
      <c r="F693" s="40"/>
    </row>
    <row r="694" spans="1:6" ht="12.75" x14ac:dyDescent="0.2">
      <c r="A694" s="40"/>
      <c r="B694" s="41" t="s">
        <v>399</v>
      </c>
      <c r="C694" s="40"/>
      <c r="D694" s="40"/>
      <c r="E694" s="40"/>
      <c r="F694" s="40"/>
    </row>
    <row r="695" spans="1:6" ht="12.75" x14ac:dyDescent="0.2">
      <c r="A695" s="40"/>
      <c r="B695" s="41" t="s">
        <v>400</v>
      </c>
      <c r="C695" s="40"/>
      <c r="D695" s="40"/>
      <c r="E695" s="40"/>
      <c r="F695" s="40"/>
    </row>
    <row r="696" spans="1:6" ht="12.75" x14ac:dyDescent="0.2">
      <c r="A696" s="40"/>
      <c r="B696" s="41" t="s">
        <v>401</v>
      </c>
      <c r="C696" s="41" t="s">
        <v>261</v>
      </c>
      <c r="D696" s="40"/>
      <c r="E696" s="40"/>
      <c r="F696" s="40"/>
    </row>
    <row r="697" spans="1:6" ht="25.5" x14ac:dyDescent="0.2">
      <c r="A697" s="41" t="s">
        <v>628</v>
      </c>
      <c r="B697" s="41" t="s">
        <v>402</v>
      </c>
      <c r="C697" s="41" t="s">
        <v>372</v>
      </c>
      <c r="D697" s="40"/>
      <c r="E697" s="40"/>
      <c r="F697" s="40"/>
    </row>
    <row r="698" spans="1:6" ht="12.75" x14ac:dyDescent="0.2">
      <c r="A698" s="41" t="s">
        <v>629</v>
      </c>
      <c r="B698" s="41" t="s">
        <v>402</v>
      </c>
      <c r="C698" s="41" t="s">
        <v>19</v>
      </c>
      <c r="D698" s="40"/>
      <c r="E698" s="40"/>
      <c r="F698" s="40"/>
    </row>
    <row r="699" spans="1:6" ht="12.75" x14ac:dyDescent="0.2">
      <c r="A699" s="41" t="s">
        <v>630</v>
      </c>
      <c r="B699" s="40"/>
      <c r="C699" s="40"/>
      <c r="D699" s="40"/>
      <c r="E699" s="40"/>
      <c r="F699" s="40"/>
    </row>
    <row r="700" spans="1:6" ht="12.75" x14ac:dyDescent="0.2">
      <c r="A700" s="41" t="s">
        <v>631</v>
      </c>
      <c r="B700" s="40"/>
      <c r="C700" s="40"/>
      <c r="D700" s="40"/>
      <c r="E700" s="40"/>
      <c r="F700" s="40"/>
    </row>
    <row r="701" spans="1:6" ht="12.75" x14ac:dyDescent="0.2">
      <c r="A701" s="41" t="s">
        <v>632</v>
      </c>
      <c r="B701" s="40"/>
      <c r="C701" s="40"/>
      <c r="D701" s="40"/>
      <c r="E701" s="40"/>
      <c r="F701" s="40"/>
    </row>
    <row r="702" spans="1:6" ht="12.75" x14ac:dyDescent="0.2">
      <c r="A702" s="41" t="s">
        <v>633</v>
      </c>
      <c r="B702" s="40"/>
      <c r="C702" s="40"/>
      <c r="D702" s="40"/>
      <c r="E702" s="40"/>
      <c r="F702" s="40"/>
    </row>
    <row r="703" spans="1:6" ht="12.75" x14ac:dyDescent="0.2">
      <c r="A703" s="41" t="s">
        <v>634</v>
      </c>
      <c r="B703" s="40"/>
      <c r="C703" s="40"/>
      <c r="D703" s="40"/>
      <c r="E703" s="40"/>
      <c r="F703" s="40"/>
    </row>
    <row r="704" spans="1:6" ht="12.75" x14ac:dyDescent="0.2">
      <c r="A704" s="41" t="s">
        <v>635</v>
      </c>
      <c r="B704" s="40"/>
      <c r="C704" s="40"/>
      <c r="D704" s="40"/>
      <c r="E704" s="40"/>
      <c r="F704" s="40"/>
    </row>
    <row r="705" spans="1:6" ht="12.75" x14ac:dyDescent="0.2">
      <c r="A705" s="41" t="s">
        <v>260</v>
      </c>
      <c r="B705" s="40"/>
      <c r="C705" s="40"/>
      <c r="D705" s="40"/>
      <c r="E705" s="40"/>
      <c r="F705" s="40"/>
    </row>
    <row r="706" spans="1:6" ht="12.75" x14ac:dyDescent="0.2">
      <c r="A706" s="40"/>
      <c r="B706" s="41" t="s">
        <v>422</v>
      </c>
      <c r="C706" s="41" t="s">
        <v>423</v>
      </c>
      <c r="D706" s="41" t="s">
        <v>424</v>
      </c>
      <c r="E706" s="40"/>
      <c r="F706" s="40"/>
    </row>
    <row r="707" spans="1:6" ht="12.75" x14ac:dyDescent="0.2">
      <c r="A707" s="40"/>
      <c r="B707" s="41" t="s">
        <v>403</v>
      </c>
      <c r="C707" s="41" t="s">
        <v>24</v>
      </c>
      <c r="D707" s="41" t="s">
        <v>26</v>
      </c>
      <c r="E707" s="40"/>
      <c r="F707" s="40"/>
    </row>
    <row r="708" spans="1:6" ht="12.75" x14ac:dyDescent="0.2">
      <c r="A708" s="40"/>
      <c r="B708" s="41" t="s">
        <v>403</v>
      </c>
      <c r="C708" s="41" t="s">
        <v>32</v>
      </c>
      <c r="D708" s="41" t="s">
        <v>29</v>
      </c>
      <c r="E708" s="40"/>
      <c r="F708" s="40"/>
    </row>
    <row r="709" spans="1:6" ht="12.75" x14ac:dyDescent="0.2">
      <c r="A709" s="40"/>
      <c r="B709" s="41" t="s">
        <v>403</v>
      </c>
      <c r="C709" s="41" t="s">
        <v>25</v>
      </c>
      <c r="D709" s="41" t="s">
        <v>27</v>
      </c>
      <c r="E709" s="40"/>
      <c r="F709" s="40"/>
    </row>
    <row r="710" spans="1:6" ht="12.75" x14ac:dyDescent="0.2">
      <c r="A710" s="40"/>
      <c r="B710" s="41" t="s">
        <v>403</v>
      </c>
      <c r="C710" s="41" t="s">
        <v>30</v>
      </c>
      <c r="D710" s="41" t="s">
        <v>31</v>
      </c>
      <c r="E710" s="40"/>
      <c r="F710" s="40"/>
    </row>
    <row r="711" spans="1:6" ht="12.75" x14ac:dyDescent="0.2">
      <c r="A711" s="40"/>
      <c r="B711" s="40"/>
      <c r="C711" s="40"/>
      <c r="D711" s="40"/>
      <c r="E711" s="40"/>
      <c r="F711" s="40"/>
    </row>
    <row r="712" spans="1:6" ht="12.75" x14ac:dyDescent="0.2">
      <c r="A712" s="41" t="s">
        <v>272</v>
      </c>
      <c r="B712" s="40"/>
      <c r="C712" s="40"/>
      <c r="D712" s="40"/>
      <c r="E712" s="40"/>
      <c r="F712" s="40"/>
    </row>
    <row r="713" spans="1:6" ht="12.75" x14ac:dyDescent="0.2">
      <c r="A713" s="40"/>
      <c r="B713" s="41" t="s">
        <v>398</v>
      </c>
      <c r="C713" s="40"/>
      <c r="D713" s="40"/>
      <c r="E713" s="40"/>
      <c r="F713" s="40"/>
    </row>
    <row r="714" spans="1:6" ht="12.75" x14ac:dyDescent="0.2">
      <c r="A714" s="40"/>
      <c r="B714" s="41" t="s">
        <v>399</v>
      </c>
      <c r="C714" s="40"/>
      <c r="D714" s="40"/>
      <c r="E714" s="40"/>
      <c r="F714" s="40"/>
    </row>
    <row r="715" spans="1:6" ht="12.75" x14ac:dyDescent="0.2">
      <c r="A715" s="40"/>
      <c r="B715" s="41" t="s">
        <v>400</v>
      </c>
      <c r="C715" s="40"/>
      <c r="D715" s="40"/>
      <c r="E715" s="40"/>
      <c r="F715" s="40"/>
    </row>
    <row r="716" spans="1:6" ht="12.75" x14ac:dyDescent="0.2">
      <c r="A716" s="40"/>
      <c r="B716" s="41" t="s">
        <v>401</v>
      </c>
      <c r="C716" s="41" t="s">
        <v>272</v>
      </c>
      <c r="D716" s="40"/>
      <c r="E716" s="40"/>
      <c r="F716" s="40"/>
    </row>
    <row r="717" spans="1:6" ht="51" x14ac:dyDescent="0.2">
      <c r="A717" s="41" t="s">
        <v>637</v>
      </c>
      <c r="B717" s="41" t="s">
        <v>402</v>
      </c>
      <c r="C717" s="41" t="s">
        <v>376</v>
      </c>
      <c r="D717" s="40"/>
      <c r="E717" s="40"/>
      <c r="F717" s="40"/>
    </row>
    <row r="718" spans="1:6" ht="12.75" x14ac:dyDescent="0.2">
      <c r="A718" s="41" t="s">
        <v>638</v>
      </c>
      <c r="B718" s="41" t="s">
        <v>402</v>
      </c>
      <c r="C718" s="41" t="s">
        <v>19</v>
      </c>
      <c r="D718" s="40"/>
      <c r="E718" s="40"/>
      <c r="F718" s="40"/>
    </row>
    <row r="719" spans="1:6" ht="12.75" x14ac:dyDescent="0.2">
      <c r="A719" s="41" t="s">
        <v>639</v>
      </c>
      <c r="B719" s="40"/>
      <c r="C719" s="40"/>
      <c r="D719" s="40"/>
      <c r="E719" s="40"/>
      <c r="F719" s="40"/>
    </row>
    <row r="720" spans="1:6" ht="12.75" x14ac:dyDescent="0.2">
      <c r="A720" s="41" t="s">
        <v>640</v>
      </c>
      <c r="B720" s="40"/>
      <c r="C720" s="40"/>
      <c r="D720" s="40"/>
      <c r="E720" s="40"/>
      <c r="F720" s="40"/>
    </row>
    <row r="721" spans="1:6" ht="12.75" x14ac:dyDescent="0.2">
      <c r="A721" s="41" t="s">
        <v>641</v>
      </c>
      <c r="B721" s="40"/>
      <c r="C721" s="40"/>
      <c r="D721" s="40"/>
      <c r="E721" s="40"/>
      <c r="F721" s="40"/>
    </row>
    <row r="722" spans="1:6" ht="12.75" x14ac:dyDescent="0.2">
      <c r="A722" s="41" t="s">
        <v>642</v>
      </c>
      <c r="B722" s="40"/>
      <c r="C722" s="40"/>
      <c r="D722" s="40"/>
      <c r="E722" s="40"/>
      <c r="F722" s="40"/>
    </row>
    <row r="723" spans="1:6" ht="12.75" x14ac:dyDescent="0.2">
      <c r="A723" s="41" t="s">
        <v>643</v>
      </c>
      <c r="B723" s="40"/>
      <c r="C723" s="40"/>
      <c r="D723" s="40"/>
      <c r="E723" s="40"/>
      <c r="F723" s="40"/>
    </row>
    <row r="724" spans="1:6" ht="12.75" x14ac:dyDescent="0.2">
      <c r="A724" s="41" t="s">
        <v>644</v>
      </c>
      <c r="B724" s="40"/>
      <c r="C724" s="40"/>
      <c r="D724" s="40"/>
      <c r="E724" s="40"/>
      <c r="F724" s="40"/>
    </row>
    <row r="725" spans="1:6" ht="12.75" x14ac:dyDescent="0.2">
      <c r="A725" s="41" t="s">
        <v>645</v>
      </c>
      <c r="B725" s="40"/>
      <c r="C725" s="40"/>
      <c r="D725" s="40"/>
      <c r="E725" s="40"/>
      <c r="F725" s="40"/>
    </row>
    <row r="726" spans="1:6" ht="12.75" x14ac:dyDescent="0.2">
      <c r="A726" s="41" t="s">
        <v>271</v>
      </c>
      <c r="B726" s="40"/>
      <c r="C726" s="40"/>
      <c r="D726" s="40"/>
      <c r="E726" s="40"/>
      <c r="F726" s="40"/>
    </row>
    <row r="727" spans="1:6" ht="12.75" x14ac:dyDescent="0.2">
      <c r="A727" s="40"/>
      <c r="B727" s="41" t="s">
        <v>422</v>
      </c>
      <c r="C727" s="41" t="s">
        <v>423</v>
      </c>
      <c r="D727" s="41" t="s">
        <v>424</v>
      </c>
      <c r="E727" s="40"/>
      <c r="F727" s="40"/>
    </row>
    <row r="728" spans="1:6" ht="12.75" x14ac:dyDescent="0.2">
      <c r="A728" s="40"/>
      <c r="B728" s="41" t="s">
        <v>422</v>
      </c>
      <c r="C728" s="41" t="s">
        <v>646</v>
      </c>
      <c r="D728" s="41" t="s">
        <v>424</v>
      </c>
      <c r="E728" s="40"/>
      <c r="F728" s="40"/>
    </row>
    <row r="729" spans="1:6" ht="12.75" x14ac:dyDescent="0.2">
      <c r="A729" s="40"/>
      <c r="B729" s="41" t="s">
        <v>422</v>
      </c>
      <c r="C729" s="41" t="s">
        <v>488</v>
      </c>
      <c r="D729" s="41" t="s">
        <v>489</v>
      </c>
      <c r="E729" s="40"/>
      <c r="F729" s="40"/>
    </row>
    <row r="730" spans="1:6" ht="12.75" x14ac:dyDescent="0.2">
      <c r="A730" s="40"/>
      <c r="B730" s="41" t="s">
        <v>403</v>
      </c>
      <c r="C730" s="41" t="s">
        <v>24</v>
      </c>
      <c r="D730" s="41" t="s">
        <v>26</v>
      </c>
      <c r="E730" s="40"/>
      <c r="F730" s="40"/>
    </row>
    <row r="731" spans="1:6" ht="12.75" x14ac:dyDescent="0.2">
      <c r="A731" s="40"/>
      <c r="B731" s="41" t="s">
        <v>403</v>
      </c>
      <c r="C731" s="41" t="s">
        <v>32</v>
      </c>
      <c r="D731" s="41" t="s">
        <v>29</v>
      </c>
      <c r="E731" s="40"/>
      <c r="F731" s="40"/>
    </row>
    <row r="732" spans="1:6" ht="12.75" x14ac:dyDescent="0.2">
      <c r="A732" s="40"/>
      <c r="B732" s="41" t="s">
        <v>403</v>
      </c>
      <c r="C732" s="41" t="s">
        <v>25</v>
      </c>
      <c r="D732" s="41" t="s">
        <v>27</v>
      </c>
      <c r="E732" s="40"/>
      <c r="F732" s="40"/>
    </row>
    <row r="733" spans="1:6" ht="12.75" x14ac:dyDescent="0.2">
      <c r="A733" s="40"/>
      <c r="B733" s="41" t="s">
        <v>403</v>
      </c>
      <c r="C733" s="41" t="s">
        <v>30</v>
      </c>
      <c r="D733" s="41" t="s">
        <v>31</v>
      </c>
      <c r="E733" s="40"/>
      <c r="F733" s="40"/>
    </row>
    <row r="734" spans="1:6" ht="12.75" x14ac:dyDescent="0.2">
      <c r="A734" s="40"/>
      <c r="B734" s="40"/>
      <c r="C734" s="40"/>
      <c r="D734" s="40"/>
      <c r="E734" s="40"/>
      <c r="F734" s="40"/>
    </row>
    <row r="735" spans="1:6" ht="12.75" x14ac:dyDescent="0.2">
      <c r="A735" s="41" t="s">
        <v>276</v>
      </c>
      <c r="B735" s="40"/>
      <c r="C735" s="40"/>
      <c r="D735" s="40"/>
      <c r="E735" s="40"/>
      <c r="F735" s="40"/>
    </row>
    <row r="736" spans="1:6" ht="12.75" x14ac:dyDescent="0.2">
      <c r="A736" s="40"/>
      <c r="B736" s="41" t="s">
        <v>398</v>
      </c>
      <c r="C736" s="40"/>
      <c r="D736" s="40"/>
      <c r="E736" s="40"/>
      <c r="F736" s="40"/>
    </row>
    <row r="737" spans="1:6" ht="12.75" x14ac:dyDescent="0.2">
      <c r="A737" s="40"/>
      <c r="B737" s="41" t="s">
        <v>399</v>
      </c>
      <c r="C737" s="40"/>
      <c r="D737" s="40"/>
      <c r="E737" s="40"/>
      <c r="F737" s="40"/>
    </row>
    <row r="738" spans="1:6" ht="12.75" x14ac:dyDescent="0.2">
      <c r="A738" s="40"/>
      <c r="B738" s="41" t="s">
        <v>400</v>
      </c>
      <c r="C738" s="40"/>
      <c r="D738" s="40"/>
      <c r="E738" s="40"/>
      <c r="F738" s="40"/>
    </row>
    <row r="739" spans="1:6" ht="12.75" x14ac:dyDescent="0.2">
      <c r="A739" s="40"/>
      <c r="B739" s="41" t="s">
        <v>401</v>
      </c>
      <c r="C739" s="41" t="s">
        <v>276</v>
      </c>
      <c r="D739" s="40"/>
      <c r="E739" s="40"/>
      <c r="F739" s="40"/>
    </row>
    <row r="740" spans="1:6" ht="51" x14ac:dyDescent="0.2">
      <c r="A740" s="41" t="s">
        <v>648</v>
      </c>
      <c r="B740" s="41" t="s">
        <v>402</v>
      </c>
      <c r="C740" s="41" t="s">
        <v>382</v>
      </c>
      <c r="D740" s="40"/>
      <c r="E740" s="40"/>
      <c r="F740" s="40"/>
    </row>
    <row r="741" spans="1:6" ht="12.75" x14ac:dyDescent="0.2">
      <c r="A741" s="41" t="s">
        <v>649</v>
      </c>
      <c r="B741" s="41" t="s">
        <v>402</v>
      </c>
      <c r="C741" s="41" t="s">
        <v>19</v>
      </c>
      <c r="D741" s="40"/>
      <c r="E741" s="40"/>
      <c r="F741" s="40"/>
    </row>
    <row r="742" spans="1:6" ht="12.75" x14ac:dyDescent="0.2">
      <c r="A742" s="41" t="s">
        <v>650</v>
      </c>
      <c r="B742" s="40"/>
      <c r="C742" s="40"/>
      <c r="D742" s="40"/>
      <c r="E742" s="40"/>
      <c r="F742" s="40"/>
    </row>
    <row r="743" spans="1:6" ht="12.75" x14ac:dyDescent="0.2">
      <c r="A743" s="41" t="s">
        <v>651</v>
      </c>
      <c r="B743" s="40"/>
      <c r="C743" s="40"/>
      <c r="D743" s="40"/>
      <c r="E743" s="40"/>
      <c r="F743" s="40"/>
    </row>
    <row r="744" spans="1:6" ht="12.75" x14ac:dyDescent="0.2">
      <c r="A744" s="41" t="s">
        <v>652</v>
      </c>
      <c r="B744" s="40"/>
      <c r="C744" s="40"/>
      <c r="D744" s="40"/>
      <c r="E744" s="40"/>
      <c r="F744" s="40"/>
    </row>
    <row r="745" spans="1:6" ht="12.75" x14ac:dyDescent="0.2">
      <c r="A745" s="41" t="s">
        <v>653</v>
      </c>
      <c r="B745" s="40"/>
      <c r="C745" s="40"/>
      <c r="D745" s="40"/>
      <c r="E745" s="40"/>
      <c r="F745" s="40"/>
    </row>
    <row r="746" spans="1:6" ht="12.75" x14ac:dyDescent="0.2">
      <c r="A746" s="41" t="s">
        <v>654</v>
      </c>
      <c r="B746" s="40"/>
      <c r="C746" s="40"/>
      <c r="D746" s="40"/>
      <c r="E746" s="40"/>
      <c r="F746" s="40"/>
    </row>
    <row r="747" spans="1:6" ht="12.75" x14ac:dyDescent="0.2">
      <c r="A747" s="41" t="s">
        <v>655</v>
      </c>
      <c r="B747" s="40"/>
      <c r="C747" s="40"/>
      <c r="D747" s="40"/>
      <c r="E747" s="40"/>
      <c r="F747" s="40"/>
    </row>
    <row r="748" spans="1:6" ht="12.75" x14ac:dyDescent="0.2">
      <c r="A748" s="41" t="s">
        <v>656</v>
      </c>
      <c r="B748" s="40"/>
      <c r="C748" s="40"/>
      <c r="D748" s="40"/>
      <c r="E748" s="40"/>
      <c r="F748" s="40"/>
    </row>
    <row r="749" spans="1:6" ht="12.75" x14ac:dyDescent="0.2">
      <c r="A749" s="41" t="s">
        <v>657</v>
      </c>
      <c r="B749" s="40"/>
      <c r="C749" s="40"/>
      <c r="D749" s="40"/>
      <c r="E749" s="40"/>
      <c r="F749" s="40"/>
    </row>
    <row r="750" spans="1:6" ht="12.75" x14ac:dyDescent="0.2">
      <c r="A750" s="41" t="s">
        <v>658</v>
      </c>
      <c r="B750" s="40"/>
      <c r="C750" s="40"/>
      <c r="D750" s="40"/>
      <c r="E750" s="40"/>
      <c r="F750" s="40"/>
    </row>
    <row r="751" spans="1:6" ht="12.75" x14ac:dyDescent="0.2">
      <c r="A751" s="41" t="s">
        <v>275</v>
      </c>
      <c r="B751" s="40"/>
      <c r="C751" s="40"/>
      <c r="D751" s="40"/>
      <c r="E751" s="40"/>
      <c r="F751" s="40"/>
    </row>
    <row r="752" spans="1:6" ht="12.75" x14ac:dyDescent="0.2">
      <c r="A752" s="40"/>
      <c r="B752" s="41" t="s">
        <v>422</v>
      </c>
      <c r="C752" s="41" t="s">
        <v>423</v>
      </c>
      <c r="D752" s="41" t="s">
        <v>424</v>
      </c>
      <c r="E752" s="40"/>
      <c r="F752" s="40"/>
    </row>
    <row r="753" spans="1:6" ht="12.75" x14ac:dyDescent="0.2">
      <c r="A753" s="40"/>
      <c r="B753" s="41" t="s">
        <v>403</v>
      </c>
      <c r="C753" s="41" t="s">
        <v>24</v>
      </c>
      <c r="D753" s="41" t="s">
        <v>26</v>
      </c>
      <c r="E753" s="40"/>
      <c r="F753" s="40"/>
    </row>
    <row r="754" spans="1:6" ht="12.75" x14ac:dyDescent="0.2">
      <c r="A754" s="40"/>
      <c r="B754" s="41" t="s">
        <v>403</v>
      </c>
      <c r="C754" s="41" t="s">
        <v>32</v>
      </c>
      <c r="D754" s="41" t="s">
        <v>29</v>
      </c>
      <c r="E754" s="40"/>
      <c r="F754" s="40"/>
    </row>
    <row r="755" spans="1:6" ht="12.75" x14ac:dyDescent="0.2">
      <c r="A755" s="40"/>
      <c r="B755" s="41" t="s">
        <v>403</v>
      </c>
      <c r="C755" s="41" t="s">
        <v>25</v>
      </c>
      <c r="D755" s="41" t="s">
        <v>27</v>
      </c>
      <c r="E755" s="40"/>
      <c r="F755" s="40"/>
    </row>
    <row r="756" spans="1:6" ht="12.75" x14ac:dyDescent="0.2">
      <c r="A756" s="40"/>
      <c r="B756" s="41" t="s">
        <v>403</v>
      </c>
      <c r="C756" s="41" t="s">
        <v>30</v>
      </c>
      <c r="D756" s="41" t="s">
        <v>31</v>
      </c>
      <c r="E756" s="40"/>
      <c r="F756" s="40"/>
    </row>
    <row r="757" spans="1:6" ht="12.75" x14ac:dyDescent="0.2">
      <c r="A757" s="40"/>
      <c r="B757" s="40"/>
      <c r="C757" s="40"/>
      <c r="D757" s="40"/>
      <c r="E757" s="40"/>
      <c r="F757" s="40"/>
    </row>
    <row r="758" spans="1:6" ht="12.75" x14ac:dyDescent="0.2">
      <c r="A758" s="41" t="s">
        <v>279</v>
      </c>
      <c r="B758" s="40"/>
      <c r="C758" s="40"/>
      <c r="D758" s="40"/>
      <c r="E758" s="40"/>
      <c r="F758" s="40"/>
    </row>
    <row r="759" spans="1:6" ht="12.75" x14ac:dyDescent="0.2">
      <c r="A759" s="40"/>
      <c r="B759" s="41" t="s">
        <v>398</v>
      </c>
      <c r="C759" s="40"/>
      <c r="D759" s="40"/>
      <c r="E759" s="40"/>
      <c r="F759" s="40"/>
    </row>
    <row r="760" spans="1:6" ht="12.75" x14ac:dyDescent="0.2">
      <c r="A760" s="40"/>
      <c r="B760" s="41" t="s">
        <v>399</v>
      </c>
      <c r="C760" s="40"/>
      <c r="D760" s="40"/>
      <c r="E760" s="40"/>
      <c r="F760" s="40"/>
    </row>
    <row r="761" spans="1:6" ht="12.75" x14ac:dyDescent="0.2">
      <c r="A761" s="40"/>
      <c r="B761" s="41" t="s">
        <v>400</v>
      </c>
      <c r="C761" s="40"/>
      <c r="D761" s="40"/>
      <c r="E761" s="40"/>
      <c r="F761" s="40"/>
    </row>
    <row r="762" spans="1:6" ht="12.75" x14ac:dyDescent="0.2">
      <c r="A762" s="40"/>
      <c r="B762" s="41" t="s">
        <v>401</v>
      </c>
      <c r="C762" s="41" t="s">
        <v>279</v>
      </c>
      <c r="D762" s="40"/>
      <c r="E762" s="40"/>
      <c r="F762" s="40"/>
    </row>
    <row r="763" spans="1:6" ht="38.25" x14ac:dyDescent="0.2">
      <c r="A763" s="41" t="s">
        <v>659</v>
      </c>
      <c r="B763" s="41" t="s">
        <v>402</v>
      </c>
      <c r="C763" s="41" t="s">
        <v>384</v>
      </c>
      <c r="D763" s="40"/>
      <c r="E763" s="40"/>
      <c r="F763" s="40"/>
    </row>
    <row r="764" spans="1:6" ht="12.75" x14ac:dyDescent="0.2">
      <c r="A764" s="41" t="s">
        <v>660</v>
      </c>
      <c r="B764" s="41" t="s">
        <v>402</v>
      </c>
      <c r="C764" s="41" t="s">
        <v>19</v>
      </c>
      <c r="D764" s="40"/>
      <c r="E764" s="40"/>
      <c r="F764" s="40"/>
    </row>
    <row r="765" spans="1:6" ht="12.75" x14ac:dyDescent="0.2">
      <c r="A765" s="41" t="s">
        <v>661</v>
      </c>
      <c r="B765" s="40"/>
      <c r="C765" s="40"/>
      <c r="D765" s="40"/>
      <c r="E765" s="40"/>
      <c r="F765" s="40"/>
    </row>
    <row r="766" spans="1:6" ht="12.75" x14ac:dyDescent="0.2">
      <c r="A766" s="41" t="s">
        <v>662</v>
      </c>
      <c r="B766" s="40"/>
      <c r="C766" s="40"/>
      <c r="D766" s="40"/>
      <c r="E766" s="40"/>
      <c r="F766" s="40"/>
    </row>
    <row r="767" spans="1:6" ht="12.75" x14ac:dyDescent="0.2">
      <c r="A767" s="41" t="s">
        <v>663</v>
      </c>
      <c r="B767" s="40"/>
      <c r="C767" s="40"/>
      <c r="D767" s="40"/>
      <c r="E767" s="40"/>
      <c r="F767" s="40"/>
    </row>
    <row r="768" spans="1:6" ht="12.75" x14ac:dyDescent="0.2">
      <c r="A768" s="41" t="s">
        <v>664</v>
      </c>
      <c r="B768" s="40"/>
      <c r="C768" s="40"/>
      <c r="D768" s="40"/>
      <c r="E768" s="40"/>
      <c r="F768" s="40"/>
    </row>
    <row r="769" spans="1:6" ht="12.75" x14ac:dyDescent="0.2">
      <c r="A769" s="41" t="s">
        <v>278</v>
      </c>
      <c r="B769" s="40"/>
      <c r="C769" s="40"/>
      <c r="D769" s="40"/>
      <c r="E769" s="40"/>
      <c r="F769" s="40"/>
    </row>
    <row r="770" spans="1:6" ht="12.75" x14ac:dyDescent="0.2">
      <c r="A770" s="40"/>
      <c r="B770" s="41" t="s">
        <v>422</v>
      </c>
      <c r="C770" s="41" t="s">
        <v>423</v>
      </c>
      <c r="D770" s="41" t="s">
        <v>424</v>
      </c>
      <c r="E770" s="40"/>
      <c r="F770" s="40"/>
    </row>
    <row r="771" spans="1:6" ht="12.75" x14ac:dyDescent="0.2">
      <c r="A771" s="40"/>
      <c r="B771" s="41" t="s">
        <v>403</v>
      </c>
      <c r="C771" s="41" t="s">
        <v>24</v>
      </c>
      <c r="D771" s="41" t="s">
        <v>26</v>
      </c>
      <c r="E771" s="40"/>
      <c r="F771" s="40"/>
    </row>
    <row r="772" spans="1:6" ht="12.75" x14ac:dyDescent="0.2">
      <c r="A772" s="40"/>
      <c r="B772" s="41" t="s">
        <v>403</v>
      </c>
      <c r="C772" s="41" t="s">
        <v>32</v>
      </c>
      <c r="D772" s="41" t="s">
        <v>29</v>
      </c>
      <c r="E772" s="40"/>
      <c r="F772" s="40"/>
    </row>
    <row r="773" spans="1:6" ht="12.75" x14ac:dyDescent="0.2">
      <c r="A773" s="40"/>
      <c r="B773" s="41" t="s">
        <v>403</v>
      </c>
      <c r="C773" s="41" t="s">
        <v>25</v>
      </c>
      <c r="D773" s="41" t="s">
        <v>27</v>
      </c>
      <c r="E773" s="40"/>
      <c r="F773" s="40"/>
    </row>
    <row r="774" spans="1:6" ht="12.75" x14ac:dyDescent="0.2">
      <c r="A774" s="40"/>
      <c r="B774" s="41" t="s">
        <v>403</v>
      </c>
      <c r="C774" s="41" t="s">
        <v>30</v>
      </c>
      <c r="D774" s="41" t="s">
        <v>31</v>
      </c>
      <c r="E774" s="40"/>
      <c r="F774" s="40"/>
    </row>
    <row r="775" spans="1:6" ht="12.75" x14ac:dyDescent="0.2">
      <c r="A775" s="40"/>
      <c r="B775" s="40"/>
      <c r="C775" s="40"/>
      <c r="D775" s="40"/>
      <c r="E775" s="40"/>
      <c r="F775" s="40"/>
    </row>
    <row r="776" spans="1:6" ht="12.75" x14ac:dyDescent="0.2">
      <c r="A776" s="41" t="s">
        <v>282</v>
      </c>
      <c r="B776" s="40"/>
      <c r="C776" s="40"/>
      <c r="D776" s="40"/>
      <c r="E776" s="40"/>
      <c r="F776" s="40"/>
    </row>
    <row r="777" spans="1:6" ht="12.75" x14ac:dyDescent="0.2">
      <c r="A777" s="40"/>
      <c r="B777" s="41" t="s">
        <v>398</v>
      </c>
      <c r="C777" s="40"/>
      <c r="D777" s="40"/>
      <c r="E777" s="40"/>
      <c r="F777" s="40"/>
    </row>
    <row r="778" spans="1:6" ht="12.75" x14ac:dyDescent="0.2">
      <c r="A778" s="40"/>
      <c r="B778" s="41" t="s">
        <v>399</v>
      </c>
      <c r="C778" s="40"/>
      <c r="D778" s="40"/>
      <c r="E778" s="40"/>
      <c r="F778" s="40"/>
    </row>
    <row r="779" spans="1:6" ht="12.75" x14ac:dyDescent="0.2">
      <c r="A779" s="40"/>
      <c r="B779" s="41" t="s">
        <v>400</v>
      </c>
      <c r="C779" s="40"/>
      <c r="D779" s="40"/>
      <c r="E779" s="40"/>
      <c r="F779" s="40"/>
    </row>
    <row r="780" spans="1:6" ht="12.75" x14ac:dyDescent="0.2">
      <c r="A780" s="40"/>
      <c r="B780" s="41" t="s">
        <v>401</v>
      </c>
      <c r="C780" s="41" t="s">
        <v>282</v>
      </c>
      <c r="D780" s="40"/>
      <c r="E780" s="40"/>
      <c r="F780" s="40"/>
    </row>
    <row r="781" spans="1:6" ht="38.25" x14ac:dyDescent="0.2">
      <c r="A781" s="41" t="s">
        <v>665</v>
      </c>
      <c r="B781" s="41" t="s">
        <v>402</v>
      </c>
      <c r="C781" s="41" t="s">
        <v>388</v>
      </c>
      <c r="D781" s="40"/>
      <c r="E781" s="40"/>
      <c r="F781" s="40"/>
    </row>
    <row r="782" spans="1:6" ht="12.75" x14ac:dyDescent="0.2">
      <c r="A782" s="41" t="s">
        <v>666</v>
      </c>
      <c r="B782" s="41" t="s">
        <v>402</v>
      </c>
      <c r="C782" s="41" t="s">
        <v>19</v>
      </c>
      <c r="D782" s="40"/>
      <c r="E782" s="40"/>
      <c r="F782" s="40"/>
    </row>
    <row r="783" spans="1:6" ht="12.75" x14ac:dyDescent="0.2">
      <c r="A783" s="41" t="s">
        <v>667</v>
      </c>
      <c r="B783" s="40"/>
      <c r="C783" s="40"/>
      <c r="D783" s="40"/>
      <c r="E783" s="40"/>
      <c r="F783" s="40"/>
    </row>
    <row r="784" spans="1:6" ht="12.75" x14ac:dyDescent="0.2">
      <c r="A784" s="41" t="s">
        <v>668</v>
      </c>
      <c r="B784" s="40"/>
      <c r="C784" s="40"/>
      <c r="D784" s="40"/>
      <c r="E784" s="40"/>
      <c r="F784" s="40"/>
    </row>
    <row r="785" spans="1:6" ht="12.75" x14ac:dyDescent="0.2">
      <c r="A785" s="41" t="s">
        <v>669</v>
      </c>
      <c r="B785" s="40"/>
      <c r="C785" s="40"/>
      <c r="D785" s="40"/>
      <c r="E785" s="40"/>
      <c r="F785" s="40"/>
    </row>
    <row r="786" spans="1:6" ht="12.75" x14ac:dyDescent="0.2">
      <c r="A786" s="41" t="s">
        <v>281</v>
      </c>
      <c r="B786" s="40"/>
      <c r="C786" s="40"/>
      <c r="D786" s="40"/>
      <c r="E786" s="40"/>
      <c r="F786" s="40"/>
    </row>
    <row r="787" spans="1:6" ht="12.75" x14ac:dyDescent="0.2">
      <c r="A787" s="40"/>
      <c r="B787" s="41" t="s">
        <v>422</v>
      </c>
      <c r="C787" s="41" t="s">
        <v>423</v>
      </c>
      <c r="D787" s="41" t="s">
        <v>424</v>
      </c>
      <c r="E787" s="40"/>
      <c r="F787" s="40"/>
    </row>
    <row r="788" spans="1:6" ht="12.75" x14ac:dyDescent="0.2">
      <c r="A788" s="40"/>
      <c r="B788" s="41" t="s">
        <v>403</v>
      </c>
      <c r="C788" s="41" t="s">
        <v>24</v>
      </c>
      <c r="D788" s="41" t="s">
        <v>26</v>
      </c>
      <c r="E788" s="40"/>
      <c r="F788" s="40"/>
    </row>
    <row r="789" spans="1:6" ht="12.75" x14ac:dyDescent="0.2">
      <c r="A789" s="40"/>
      <c r="B789" s="41" t="s">
        <v>403</v>
      </c>
      <c r="C789" s="41" t="s">
        <v>32</v>
      </c>
      <c r="D789" s="41" t="s">
        <v>29</v>
      </c>
      <c r="E789" s="40"/>
      <c r="F789" s="40"/>
    </row>
    <row r="790" spans="1:6" ht="12.75" x14ac:dyDescent="0.2">
      <c r="A790" s="40"/>
      <c r="B790" s="41" t="s">
        <v>403</v>
      </c>
      <c r="C790" s="41" t="s">
        <v>25</v>
      </c>
      <c r="D790" s="41" t="s">
        <v>27</v>
      </c>
      <c r="E790" s="40"/>
      <c r="F790" s="40"/>
    </row>
    <row r="791" spans="1:6" ht="12.75" x14ac:dyDescent="0.2">
      <c r="A791" s="40"/>
      <c r="B791" s="41" t="s">
        <v>403</v>
      </c>
      <c r="C791" s="41" t="s">
        <v>30</v>
      </c>
      <c r="D791" s="41" t="s">
        <v>31</v>
      </c>
      <c r="E791" s="40"/>
      <c r="F791" s="40"/>
    </row>
    <row r="792" spans="1:6" ht="12.75" x14ac:dyDescent="0.2">
      <c r="A792" s="40"/>
      <c r="B792" s="40"/>
      <c r="C792" s="40"/>
      <c r="D792" s="40"/>
      <c r="E792" s="40"/>
      <c r="F792" s="40"/>
    </row>
    <row r="793" spans="1:6" ht="12.75" x14ac:dyDescent="0.2">
      <c r="A793" s="41" t="s">
        <v>286</v>
      </c>
      <c r="B793" s="40"/>
      <c r="C793" s="40"/>
      <c r="D793" s="40"/>
      <c r="E793" s="40"/>
      <c r="F793" s="40"/>
    </row>
    <row r="794" spans="1:6" ht="12.75" x14ac:dyDescent="0.2">
      <c r="A794" s="40"/>
      <c r="B794" s="41" t="s">
        <v>398</v>
      </c>
      <c r="C794" s="40"/>
      <c r="D794" s="40"/>
      <c r="E794" s="40"/>
      <c r="F794" s="40"/>
    </row>
    <row r="795" spans="1:6" ht="12.75" x14ac:dyDescent="0.2">
      <c r="A795" s="40"/>
      <c r="B795" s="41" t="s">
        <v>399</v>
      </c>
      <c r="C795" s="40"/>
      <c r="D795" s="40"/>
      <c r="E795" s="40"/>
      <c r="F795" s="40"/>
    </row>
    <row r="796" spans="1:6" ht="12.75" x14ac:dyDescent="0.2">
      <c r="A796" s="40"/>
      <c r="B796" s="41" t="s">
        <v>400</v>
      </c>
      <c r="C796" s="40"/>
      <c r="D796" s="40"/>
      <c r="E796" s="40"/>
      <c r="F796" s="40"/>
    </row>
    <row r="797" spans="1:6" ht="12.75" x14ac:dyDescent="0.2">
      <c r="A797" s="40"/>
      <c r="B797" s="41" t="s">
        <v>401</v>
      </c>
      <c r="C797" s="41" t="s">
        <v>286</v>
      </c>
      <c r="D797" s="40"/>
      <c r="E797" s="40"/>
      <c r="F797" s="40"/>
    </row>
    <row r="798" spans="1:6" ht="25.5" x14ac:dyDescent="0.2">
      <c r="A798" s="41" t="s">
        <v>670</v>
      </c>
      <c r="B798" s="41" t="s">
        <v>402</v>
      </c>
      <c r="C798" s="41" t="s">
        <v>389</v>
      </c>
      <c r="D798" s="40"/>
      <c r="E798" s="40"/>
      <c r="F798" s="40"/>
    </row>
    <row r="799" spans="1:6" ht="12.75" x14ac:dyDescent="0.2">
      <c r="A799" s="41" t="s">
        <v>671</v>
      </c>
      <c r="B799" s="41" t="s">
        <v>402</v>
      </c>
      <c r="C799" s="41" t="s">
        <v>19</v>
      </c>
      <c r="D799" s="40"/>
      <c r="E799" s="40"/>
      <c r="F799" s="40"/>
    </row>
    <row r="800" spans="1:6" ht="12.75" x14ac:dyDescent="0.2">
      <c r="A800" s="41" t="s">
        <v>672</v>
      </c>
      <c r="B800" s="40"/>
      <c r="C800" s="40"/>
      <c r="D800" s="40"/>
      <c r="E800" s="40"/>
      <c r="F800" s="40"/>
    </row>
    <row r="801" spans="1:6" ht="12.75" x14ac:dyDescent="0.2">
      <c r="A801" s="41" t="s">
        <v>673</v>
      </c>
      <c r="B801" s="40"/>
      <c r="C801" s="40"/>
      <c r="D801" s="40"/>
      <c r="E801" s="40"/>
      <c r="F801" s="40"/>
    </row>
    <row r="802" spans="1:6" ht="12.75" x14ac:dyDescent="0.2">
      <c r="A802" s="41" t="s">
        <v>674</v>
      </c>
      <c r="B802" s="40"/>
      <c r="C802" s="40"/>
      <c r="D802" s="40"/>
      <c r="E802" s="40"/>
      <c r="F802" s="40"/>
    </row>
    <row r="803" spans="1:6" ht="12.75" x14ac:dyDescent="0.2">
      <c r="A803" s="41" t="s">
        <v>675</v>
      </c>
      <c r="B803" s="40"/>
      <c r="C803" s="40"/>
      <c r="D803" s="40"/>
      <c r="E803" s="40"/>
      <c r="F803" s="40"/>
    </row>
    <row r="804" spans="1:6" ht="12.75" x14ac:dyDescent="0.2">
      <c r="A804" s="41" t="s">
        <v>285</v>
      </c>
      <c r="B804" s="40"/>
      <c r="C804" s="40"/>
      <c r="D804" s="40"/>
      <c r="E804" s="40"/>
      <c r="F804" s="40"/>
    </row>
    <row r="805" spans="1:6" ht="12.75" x14ac:dyDescent="0.2">
      <c r="A805" s="40"/>
      <c r="B805" s="41" t="s">
        <v>403</v>
      </c>
      <c r="C805" s="41" t="s">
        <v>24</v>
      </c>
      <c r="D805" s="41" t="s">
        <v>26</v>
      </c>
      <c r="E805" s="40"/>
      <c r="F805" s="40"/>
    </row>
    <row r="806" spans="1:6" ht="12.75" x14ac:dyDescent="0.2">
      <c r="A806" s="40"/>
      <c r="B806" s="41" t="s">
        <v>403</v>
      </c>
      <c r="C806" s="41" t="s">
        <v>32</v>
      </c>
      <c r="D806" s="41" t="s">
        <v>29</v>
      </c>
      <c r="E806" s="40"/>
      <c r="F806" s="40"/>
    </row>
    <row r="807" spans="1:6" ht="12.75" x14ac:dyDescent="0.2">
      <c r="A807" s="40"/>
      <c r="B807" s="41" t="s">
        <v>403</v>
      </c>
      <c r="C807" s="41" t="s">
        <v>25</v>
      </c>
      <c r="D807" s="41" t="s">
        <v>27</v>
      </c>
      <c r="E807" s="40"/>
      <c r="F807" s="40"/>
    </row>
    <row r="808" spans="1:6" ht="12.75" x14ac:dyDescent="0.2">
      <c r="A808" s="40"/>
      <c r="B808" s="41" t="s">
        <v>403</v>
      </c>
      <c r="C808" s="41" t="s">
        <v>30</v>
      </c>
      <c r="D808" s="41" t="s">
        <v>31</v>
      </c>
      <c r="E808" s="40"/>
      <c r="F808" s="40"/>
    </row>
    <row r="809" spans="1:6" ht="12.75" x14ac:dyDescent="0.2">
      <c r="A809" s="40"/>
      <c r="B809" s="40"/>
      <c r="C809" s="40"/>
      <c r="D809" s="40"/>
      <c r="E809" s="40"/>
      <c r="F809" s="40"/>
    </row>
    <row r="810" spans="1:6" ht="12.75" x14ac:dyDescent="0.2">
      <c r="A810" s="41" t="s">
        <v>289</v>
      </c>
      <c r="B810" s="40"/>
      <c r="C810" s="40"/>
      <c r="D810" s="40"/>
      <c r="E810" s="40"/>
      <c r="F810" s="40"/>
    </row>
    <row r="811" spans="1:6" ht="12.75" x14ac:dyDescent="0.2">
      <c r="A811" s="40"/>
      <c r="B811" s="41" t="s">
        <v>398</v>
      </c>
      <c r="C811" s="40"/>
      <c r="D811" s="40"/>
      <c r="E811" s="40"/>
      <c r="F811" s="40"/>
    </row>
    <row r="812" spans="1:6" ht="12.75" x14ac:dyDescent="0.2">
      <c r="A812" s="40"/>
      <c r="B812" s="41" t="s">
        <v>399</v>
      </c>
      <c r="C812" s="40"/>
      <c r="D812" s="40"/>
      <c r="E812" s="40"/>
      <c r="F812" s="40"/>
    </row>
    <row r="813" spans="1:6" ht="12.75" x14ac:dyDescent="0.2">
      <c r="A813" s="40"/>
      <c r="B813" s="41" t="s">
        <v>400</v>
      </c>
      <c r="C813" s="40"/>
      <c r="D813" s="40"/>
      <c r="E813" s="40"/>
      <c r="F813" s="40"/>
    </row>
    <row r="814" spans="1:6" ht="12.75" x14ac:dyDescent="0.2">
      <c r="A814" s="40"/>
      <c r="B814" s="41" t="s">
        <v>401</v>
      </c>
      <c r="C814" s="41" t="s">
        <v>289</v>
      </c>
      <c r="D814" s="40"/>
      <c r="E814" s="40"/>
      <c r="F814" s="40"/>
    </row>
    <row r="815" spans="1:6" ht="12.75" x14ac:dyDescent="0.2">
      <c r="A815" s="41" t="s">
        <v>676</v>
      </c>
      <c r="B815" s="41" t="s">
        <v>402</v>
      </c>
      <c r="C815" s="41" t="s">
        <v>393</v>
      </c>
      <c r="D815" s="40"/>
      <c r="E815" s="40"/>
      <c r="F815" s="40"/>
    </row>
    <row r="816" spans="1:6" ht="12.75" x14ac:dyDescent="0.2">
      <c r="A816" s="41" t="s">
        <v>677</v>
      </c>
      <c r="B816" s="41" t="s">
        <v>402</v>
      </c>
      <c r="C816" s="41" t="s">
        <v>19</v>
      </c>
      <c r="D816" s="40"/>
      <c r="E816" s="40"/>
      <c r="F816" s="40"/>
    </row>
    <row r="817" spans="1:6" ht="12.75" x14ac:dyDescent="0.2">
      <c r="A817" s="41" t="s">
        <v>678</v>
      </c>
      <c r="B817" s="40"/>
      <c r="C817" s="40"/>
      <c r="D817" s="40"/>
      <c r="E817" s="40"/>
      <c r="F817" s="40"/>
    </row>
    <row r="818" spans="1:6" ht="12.75" x14ac:dyDescent="0.2">
      <c r="A818" s="41" t="s">
        <v>679</v>
      </c>
      <c r="B818" s="40"/>
      <c r="C818" s="40"/>
      <c r="D818" s="40"/>
      <c r="E818" s="40"/>
      <c r="F818" s="40"/>
    </row>
    <row r="819" spans="1:6" ht="12.75" x14ac:dyDescent="0.2">
      <c r="A819" s="41" t="s">
        <v>288</v>
      </c>
      <c r="B819" s="40"/>
      <c r="C819" s="40"/>
      <c r="D819" s="40"/>
      <c r="E819" s="40"/>
      <c r="F819" s="40"/>
    </row>
    <row r="820" spans="1:6" ht="12.75" x14ac:dyDescent="0.2">
      <c r="A820" s="40"/>
      <c r="B820" s="41" t="s">
        <v>422</v>
      </c>
      <c r="C820" s="41" t="s">
        <v>423</v>
      </c>
      <c r="D820" s="41" t="s">
        <v>424</v>
      </c>
      <c r="E820" s="40"/>
      <c r="F820" s="40"/>
    </row>
    <row r="821" spans="1:6" ht="12.75" x14ac:dyDescent="0.2">
      <c r="A821" s="40"/>
      <c r="B821" s="41" t="s">
        <v>403</v>
      </c>
      <c r="C821" s="41" t="s">
        <v>24</v>
      </c>
      <c r="D821" s="41" t="s">
        <v>26</v>
      </c>
      <c r="E821" s="40"/>
      <c r="F821" s="40"/>
    </row>
    <row r="822" spans="1:6" ht="12.75" x14ac:dyDescent="0.2">
      <c r="A822" s="40"/>
      <c r="B822" s="41" t="s">
        <v>403</v>
      </c>
      <c r="C822" s="41" t="s">
        <v>32</v>
      </c>
      <c r="D822" s="41" t="s">
        <v>29</v>
      </c>
      <c r="E822" s="40"/>
      <c r="F822" s="40"/>
    </row>
    <row r="823" spans="1:6" ht="12.75" x14ac:dyDescent="0.2">
      <c r="A823" s="40"/>
      <c r="B823" s="41" t="s">
        <v>403</v>
      </c>
      <c r="C823" s="41" t="s">
        <v>25</v>
      </c>
      <c r="D823" s="41" t="s">
        <v>27</v>
      </c>
      <c r="E823" s="40"/>
      <c r="F823" s="40"/>
    </row>
    <row r="824" spans="1:6" ht="12.75" x14ac:dyDescent="0.2">
      <c r="A824" s="40"/>
      <c r="B824" s="41" t="s">
        <v>403</v>
      </c>
      <c r="C824" s="41" t="s">
        <v>30</v>
      </c>
      <c r="D824" s="41" t="s">
        <v>31</v>
      </c>
      <c r="E824" s="40"/>
      <c r="F824" s="40"/>
    </row>
    <row r="825" spans="1:6" ht="12.75" x14ac:dyDescent="0.2">
      <c r="A825" s="40"/>
      <c r="B825" s="40"/>
      <c r="C825" s="40"/>
      <c r="D825" s="40"/>
      <c r="E825" s="40"/>
      <c r="F825" s="40"/>
    </row>
    <row r="826" spans="1:6" ht="12.75" x14ac:dyDescent="0.2">
      <c r="A826" s="41" t="s">
        <v>294</v>
      </c>
      <c r="B826" s="40"/>
      <c r="C826" s="40"/>
      <c r="D826" s="40"/>
      <c r="E826" s="40"/>
      <c r="F826" s="40"/>
    </row>
    <row r="827" spans="1:6" ht="12.75" x14ac:dyDescent="0.2">
      <c r="A827" s="40"/>
      <c r="B827" s="41" t="s">
        <v>398</v>
      </c>
      <c r="C827" s="40"/>
      <c r="D827" s="40"/>
      <c r="E827" s="40"/>
      <c r="F827" s="40"/>
    </row>
    <row r="828" spans="1:6" ht="12.75" x14ac:dyDescent="0.2">
      <c r="A828" s="40"/>
      <c r="B828" s="41" t="s">
        <v>399</v>
      </c>
      <c r="C828" s="40"/>
      <c r="D828" s="40"/>
      <c r="E828" s="40"/>
      <c r="F828" s="40"/>
    </row>
    <row r="829" spans="1:6" ht="12.75" x14ac:dyDescent="0.2">
      <c r="A829" s="40"/>
      <c r="B829" s="41" t="s">
        <v>400</v>
      </c>
      <c r="C829" s="40"/>
      <c r="D829" s="40"/>
      <c r="E829" s="40"/>
      <c r="F829" s="40"/>
    </row>
    <row r="830" spans="1:6" ht="12.75" x14ac:dyDescent="0.2">
      <c r="A830" s="40"/>
      <c r="B830" s="41" t="s">
        <v>401</v>
      </c>
      <c r="C830" s="41" t="s">
        <v>294</v>
      </c>
      <c r="D830" s="40"/>
      <c r="E830" s="40"/>
      <c r="F830" s="40"/>
    </row>
    <row r="831" spans="1:6" ht="38.25" x14ac:dyDescent="0.2">
      <c r="A831" s="41" t="s">
        <v>680</v>
      </c>
      <c r="B831" s="41" t="s">
        <v>402</v>
      </c>
      <c r="C831" s="41" t="s">
        <v>404</v>
      </c>
      <c r="D831" s="40"/>
      <c r="E831" s="40"/>
      <c r="F831" s="40"/>
    </row>
    <row r="832" spans="1:6" ht="12.75" x14ac:dyDescent="0.2">
      <c r="A832" s="41" t="s">
        <v>681</v>
      </c>
      <c r="B832" s="41" t="s">
        <v>402</v>
      </c>
      <c r="C832" s="41" t="s">
        <v>19</v>
      </c>
      <c r="D832" s="40"/>
      <c r="E832" s="40"/>
      <c r="F832" s="40"/>
    </row>
    <row r="833" spans="1:6" ht="12.75" x14ac:dyDescent="0.2">
      <c r="A833" s="41" t="s">
        <v>682</v>
      </c>
      <c r="B833" s="40"/>
      <c r="C833" s="40"/>
      <c r="D833" s="40"/>
      <c r="E833" s="40"/>
      <c r="F833" s="40"/>
    </row>
    <row r="834" spans="1:6" ht="12.75" x14ac:dyDescent="0.2">
      <c r="A834" s="41" t="s">
        <v>683</v>
      </c>
      <c r="B834" s="40"/>
      <c r="C834" s="40"/>
      <c r="D834" s="40"/>
      <c r="E834" s="40"/>
      <c r="F834" s="40"/>
    </row>
    <row r="835" spans="1:6" ht="12.75" x14ac:dyDescent="0.2">
      <c r="A835" s="41" t="s">
        <v>684</v>
      </c>
      <c r="B835" s="40"/>
      <c r="C835" s="40"/>
      <c r="D835" s="40"/>
      <c r="E835" s="40"/>
      <c r="F835" s="40"/>
    </row>
    <row r="836" spans="1:6" ht="12.75" x14ac:dyDescent="0.2">
      <c r="A836" s="41" t="s">
        <v>685</v>
      </c>
      <c r="B836" s="40"/>
      <c r="C836" s="40"/>
      <c r="D836" s="40"/>
      <c r="E836" s="40"/>
      <c r="F836" s="40"/>
    </row>
    <row r="837" spans="1:6" ht="12.75" x14ac:dyDescent="0.2">
      <c r="A837" s="41" t="s">
        <v>686</v>
      </c>
      <c r="B837" s="40"/>
      <c r="C837" s="40"/>
      <c r="D837" s="40"/>
      <c r="E837" s="40"/>
      <c r="F837" s="40"/>
    </row>
    <row r="838" spans="1:6" ht="12.75" x14ac:dyDescent="0.2">
      <c r="A838" s="41" t="s">
        <v>687</v>
      </c>
      <c r="B838" s="40"/>
      <c r="C838" s="40"/>
      <c r="D838" s="40"/>
      <c r="E838" s="40"/>
      <c r="F838" s="40"/>
    </row>
    <row r="839" spans="1:6" ht="12.75" x14ac:dyDescent="0.2">
      <c r="A839" s="41" t="s">
        <v>293</v>
      </c>
      <c r="B839" s="40"/>
      <c r="C839" s="40"/>
      <c r="D839" s="40"/>
      <c r="E839" s="40"/>
      <c r="F839" s="40"/>
    </row>
    <row r="840" spans="1:6" ht="12.75" x14ac:dyDescent="0.2">
      <c r="A840" s="40"/>
      <c r="B840" s="41" t="s">
        <v>422</v>
      </c>
      <c r="C840" s="41" t="s">
        <v>423</v>
      </c>
      <c r="D840" s="41" t="s">
        <v>424</v>
      </c>
      <c r="E840" s="40"/>
      <c r="F840" s="40"/>
    </row>
    <row r="841" spans="1:6" ht="12.75" x14ac:dyDescent="0.2">
      <c r="A841" s="40"/>
      <c r="B841" s="41" t="s">
        <v>422</v>
      </c>
      <c r="C841" s="41" t="s">
        <v>688</v>
      </c>
      <c r="D841" s="41" t="s">
        <v>689</v>
      </c>
      <c r="E841" s="40"/>
      <c r="F841" s="40"/>
    </row>
    <row r="842" spans="1:6" ht="12.75" x14ac:dyDescent="0.2">
      <c r="A842" s="40"/>
      <c r="B842" s="41" t="s">
        <v>403</v>
      </c>
      <c r="C842" s="41" t="s">
        <v>24</v>
      </c>
      <c r="D842" s="41" t="s">
        <v>26</v>
      </c>
      <c r="E842" s="40"/>
      <c r="F842" s="40"/>
    </row>
    <row r="843" spans="1:6" ht="12.75" x14ac:dyDescent="0.2">
      <c r="A843" s="40"/>
      <c r="B843" s="41" t="s">
        <v>403</v>
      </c>
      <c r="C843" s="41" t="s">
        <v>32</v>
      </c>
      <c r="D843" s="41" t="s">
        <v>29</v>
      </c>
      <c r="E843" s="40"/>
      <c r="F843" s="40"/>
    </row>
    <row r="844" spans="1:6" ht="12.75" x14ac:dyDescent="0.2">
      <c r="A844" s="40"/>
      <c r="B844" s="41" t="s">
        <v>403</v>
      </c>
      <c r="C844" s="41" t="s">
        <v>25</v>
      </c>
      <c r="D844" s="41" t="s">
        <v>27</v>
      </c>
      <c r="E844" s="40"/>
      <c r="F844" s="40"/>
    </row>
    <row r="845" spans="1:6" ht="12.75" x14ac:dyDescent="0.2">
      <c r="A845" s="40"/>
      <c r="B845" s="41" t="s">
        <v>403</v>
      </c>
      <c r="C845" s="41" t="s">
        <v>30</v>
      </c>
      <c r="D845" s="41" t="s">
        <v>31</v>
      </c>
      <c r="E845" s="40"/>
      <c r="F845" s="40"/>
    </row>
    <row r="846" spans="1:6" ht="12.75" x14ac:dyDescent="0.2">
      <c r="A846" s="40"/>
      <c r="B846" s="40"/>
      <c r="C846" s="40"/>
      <c r="D846" s="40"/>
      <c r="E846" s="40"/>
      <c r="F846" s="40"/>
    </row>
    <row r="847" spans="1:6" ht="12.75" x14ac:dyDescent="0.2">
      <c r="A847" s="41" t="s">
        <v>297</v>
      </c>
      <c r="B847" s="40"/>
      <c r="C847" s="40"/>
      <c r="D847" s="40"/>
      <c r="E847" s="40"/>
      <c r="F847" s="40"/>
    </row>
    <row r="848" spans="1:6" ht="12.75" x14ac:dyDescent="0.2">
      <c r="A848" s="40"/>
      <c r="B848" s="41" t="s">
        <v>398</v>
      </c>
      <c r="C848" s="40"/>
      <c r="D848" s="40"/>
      <c r="E848" s="40"/>
      <c r="F848" s="40"/>
    </row>
    <row r="849" spans="1:6" ht="12.75" x14ac:dyDescent="0.2">
      <c r="A849" s="40"/>
      <c r="B849" s="41" t="s">
        <v>399</v>
      </c>
      <c r="C849" s="40"/>
      <c r="D849" s="40"/>
      <c r="E849" s="40"/>
      <c r="F849" s="40"/>
    </row>
    <row r="850" spans="1:6" ht="12.75" x14ac:dyDescent="0.2">
      <c r="A850" s="40"/>
      <c r="B850" s="41" t="s">
        <v>400</v>
      </c>
      <c r="C850" s="40"/>
      <c r="D850" s="40"/>
      <c r="E850" s="40"/>
      <c r="F850" s="40"/>
    </row>
    <row r="851" spans="1:6" ht="12.75" x14ac:dyDescent="0.2">
      <c r="A851" s="40"/>
      <c r="B851" s="41" t="s">
        <v>401</v>
      </c>
      <c r="C851" s="41" t="s">
        <v>297</v>
      </c>
      <c r="D851" s="40"/>
      <c r="E851" s="40"/>
      <c r="F851" s="40"/>
    </row>
    <row r="852" spans="1:6" ht="38.25" x14ac:dyDescent="0.2">
      <c r="A852" s="41" t="s">
        <v>690</v>
      </c>
      <c r="B852" s="41" t="s">
        <v>402</v>
      </c>
      <c r="C852" s="41" t="s">
        <v>443</v>
      </c>
      <c r="D852" s="40"/>
      <c r="E852" s="40"/>
      <c r="F852" s="40"/>
    </row>
    <row r="853" spans="1:6" ht="12.75" x14ac:dyDescent="0.2">
      <c r="A853" s="41" t="s">
        <v>691</v>
      </c>
      <c r="B853" s="41" t="s">
        <v>402</v>
      </c>
      <c r="C853" s="41" t="s">
        <v>19</v>
      </c>
      <c r="D853" s="40"/>
      <c r="E853" s="40"/>
      <c r="F853" s="40"/>
    </row>
    <row r="854" spans="1:6" ht="12.75" x14ac:dyDescent="0.2">
      <c r="A854" s="41" t="s">
        <v>692</v>
      </c>
      <c r="B854" s="40"/>
      <c r="C854" s="40"/>
      <c r="D854" s="40"/>
      <c r="E854" s="40"/>
      <c r="F854" s="40"/>
    </row>
    <row r="855" spans="1:6" ht="12.75" x14ac:dyDescent="0.2">
      <c r="A855" s="41" t="s">
        <v>693</v>
      </c>
      <c r="B855" s="40"/>
      <c r="C855" s="40"/>
      <c r="D855" s="40"/>
      <c r="E855" s="40"/>
      <c r="F855" s="40"/>
    </row>
    <row r="856" spans="1:6" ht="12.75" x14ac:dyDescent="0.2">
      <c r="A856" s="41" t="s">
        <v>296</v>
      </c>
      <c r="B856" s="40"/>
      <c r="C856" s="40"/>
      <c r="D856" s="40"/>
      <c r="E856" s="40"/>
      <c r="F856" s="40"/>
    </row>
    <row r="857" spans="1:6" ht="12.75" x14ac:dyDescent="0.2">
      <c r="A857" s="40"/>
      <c r="B857" s="41" t="s">
        <v>403</v>
      </c>
      <c r="C857" s="41" t="s">
        <v>24</v>
      </c>
      <c r="D857" s="41" t="s">
        <v>26</v>
      </c>
      <c r="E857" s="40"/>
      <c r="F857" s="40"/>
    </row>
    <row r="858" spans="1:6" ht="12.75" x14ac:dyDescent="0.2">
      <c r="A858" s="40"/>
      <c r="B858" s="41" t="s">
        <v>403</v>
      </c>
      <c r="C858" s="41" t="s">
        <v>32</v>
      </c>
      <c r="D858" s="41" t="s">
        <v>29</v>
      </c>
      <c r="E858" s="40"/>
      <c r="F858" s="40"/>
    </row>
    <row r="859" spans="1:6" ht="12.75" x14ac:dyDescent="0.2">
      <c r="A859" s="40"/>
      <c r="B859" s="41" t="s">
        <v>403</v>
      </c>
      <c r="C859" s="41" t="s">
        <v>25</v>
      </c>
      <c r="D859" s="41" t="s">
        <v>27</v>
      </c>
      <c r="E859" s="40"/>
      <c r="F859" s="40"/>
    </row>
    <row r="860" spans="1:6" ht="12.75" x14ac:dyDescent="0.2">
      <c r="A860" s="40"/>
      <c r="B860" s="41" t="s">
        <v>403</v>
      </c>
      <c r="C860" s="41" t="s">
        <v>30</v>
      </c>
      <c r="D860" s="41" t="s">
        <v>31</v>
      </c>
      <c r="E860" s="40"/>
      <c r="F860" s="40"/>
    </row>
    <row r="861" spans="1:6" ht="12.75" x14ac:dyDescent="0.2">
      <c r="A861" s="40"/>
      <c r="B861" s="40"/>
      <c r="C861" s="40"/>
      <c r="D861" s="40"/>
      <c r="E861" s="40"/>
      <c r="F861" s="40"/>
    </row>
    <row r="862" spans="1:6" ht="12.75" x14ac:dyDescent="0.2">
      <c r="A862" s="41" t="s">
        <v>256</v>
      </c>
      <c r="B862" s="40"/>
      <c r="C862" s="40"/>
      <c r="D862" s="40"/>
      <c r="E862" s="40"/>
      <c r="F862" s="40"/>
    </row>
    <row r="863" spans="1:6" ht="12.75" x14ac:dyDescent="0.2">
      <c r="A863" s="40"/>
      <c r="B863" s="41" t="s">
        <v>398</v>
      </c>
      <c r="C863" s="40"/>
      <c r="D863" s="40"/>
      <c r="E863" s="40"/>
      <c r="F863" s="40"/>
    </row>
    <row r="864" spans="1:6" ht="12.75" x14ac:dyDescent="0.2">
      <c r="A864" s="40"/>
      <c r="B864" s="41" t="s">
        <v>399</v>
      </c>
      <c r="C864" s="40"/>
      <c r="D864" s="40"/>
      <c r="E864" s="40"/>
      <c r="F864" s="40"/>
    </row>
    <row r="865" spans="1:6" ht="12.75" x14ac:dyDescent="0.2">
      <c r="A865" s="40"/>
      <c r="B865" s="41" t="s">
        <v>400</v>
      </c>
      <c r="C865" s="40"/>
      <c r="D865" s="40"/>
      <c r="E865" s="40"/>
      <c r="F865" s="40"/>
    </row>
    <row r="866" spans="1:6" ht="12.75" x14ac:dyDescent="0.2">
      <c r="A866" s="40"/>
      <c r="B866" s="41" t="s">
        <v>401</v>
      </c>
      <c r="C866" s="41" t="s">
        <v>256</v>
      </c>
      <c r="D866" s="40"/>
      <c r="E866" s="40"/>
      <c r="F866" s="40"/>
    </row>
    <row r="867" spans="1:6" ht="12.75" x14ac:dyDescent="0.2">
      <c r="A867" s="41" t="s">
        <v>695</v>
      </c>
      <c r="B867" s="41" t="s">
        <v>402</v>
      </c>
      <c r="C867" s="41" t="s">
        <v>258</v>
      </c>
      <c r="D867" s="40"/>
      <c r="E867" s="40"/>
      <c r="F867" s="40"/>
    </row>
    <row r="868" spans="1:6" ht="12.75" x14ac:dyDescent="0.2">
      <c r="A868" s="41" t="s">
        <v>696</v>
      </c>
      <c r="B868" s="40"/>
      <c r="C868" s="40"/>
      <c r="D868" s="40"/>
      <c r="E868" s="40"/>
      <c r="F868" s="40"/>
    </row>
    <row r="869" spans="1:6" ht="12.75" x14ac:dyDescent="0.2">
      <c r="A869" s="41" t="s">
        <v>697</v>
      </c>
      <c r="B869" s="40"/>
      <c r="C869" s="40"/>
      <c r="D869" s="40"/>
      <c r="E869" s="40"/>
      <c r="F869" s="40"/>
    </row>
    <row r="870" spans="1:6" ht="12.75" x14ac:dyDescent="0.2">
      <c r="A870" s="41" t="s">
        <v>227</v>
      </c>
      <c r="B870" s="40"/>
      <c r="C870" s="40"/>
      <c r="D870" s="40"/>
      <c r="E870" s="40"/>
      <c r="F870" s="40"/>
    </row>
    <row r="871" spans="1:6" ht="12.75" x14ac:dyDescent="0.2">
      <c r="A871" s="40"/>
      <c r="B871" s="41" t="s">
        <v>422</v>
      </c>
      <c r="C871" s="41" t="s">
        <v>423</v>
      </c>
      <c r="D871" s="41" t="s">
        <v>424</v>
      </c>
      <c r="E871" s="40"/>
      <c r="F871" s="40"/>
    </row>
    <row r="872" spans="1:6" ht="12.75" x14ac:dyDescent="0.2">
      <c r="A872" s="40"/>
      <c r="B872" s="41" t="s">
        <v>403</v>
      </c>
      <c r="C872" s="41" t="s">
        <v>260</v>
      </c>
      <c r="D872" s="41" t="s">
        <v>261</v>
      </c>
      <c r="E872" s="40"/>
      <c r="F872" s="40"/>
    </row>
    <row r="873" spans="1:6" ht="12.75" x14ac:dyDescent="0.2">
      <c r="A873" s="40"/>
      <c r="B873" s="41" t="s">
        <v>403</v>
      </c>
      <c r="C873" s="41" t="s">
        <v>271</v>
      </c>
      <c r="D873" s="41" t="s">
        <v>272</v>
      </c>
      <c r="E873" s="40"/>
      <c r="F873" s="40"/>
    </row>
    <row r="874" spans="1:6" ht="12.75" x14ac:dyDescent="0.2">
      <c r="A874" s="40"/>
      <c r="B874" s="41" t="s">
        <v>403</v>
      </c>
      <c r="C874" s="41" t="s">
        <v>275</v>
      </c>
      <c r="D874" s="41" t="s">
        <v>276</v>
      </c>
      <c r="E874" s="40"/>
      <c r="F874" s="40"/>
    </row>
    <row r="875" spans="1:6" ht="12.75" x14ac:dyDescent="0.2">
      <c r="A875" s="40"/>
      <c r="B875" s="41" t="s">
        <v>403</v>
      </c>
      <c r="C875" s="41" t="s">
        <v>278</v>
      </c>
      <c r="D875" s="41" t="s">
        <v>279</v>
      </c>
      <c r="E875" s="40"/>
      <c r="F875" s="40"/>
    </row>
    <row r="876" spans="1:6" ht="12.75" x14ac:dyDescent="0.2">
      <c r="A876" s="40"/>
      <c r="B876" s="41" t="s">
        <v>403</v>
      </c>
      <c r="C876" s="41" t="s">
        <v>281</v>
      </c>
      <c r="D876" s="41" t="s">
        <v>282</v>
      </c>
      <c r="E876" s="40"/>
      <c r="F876" s="40"/>
    </row>
    <row r="877" spans="1:6" ht="12.75" x14ac:dyDescent="0.2">
      <c r="A877" s="40"/>
      <c r="B877" s="41" t="s">
        <v>403</v>
      </c>
      <c r="C877" s="41" t="s">
        <v>285</v>
      </c>
      <c r="D877" s="41" t="s">
        <v>286</v>
      </c>
      <c r="E877" s="40"/>
      <c r="F877" s="40"/>
    </row>
    <row r="878" spans="1:6" ht="12.75" x14ac:dyDescent="0.2">
      <c r="A878" s="40"/>
      <c r="B878" s="41" t="s">
        <v>403</v>
      </c>
      <c r="C878" s="41" t="s">
        <v>288</v>
      </c>
      <c r="D878" s="41" t="s">
        <v>289</v>
      </c>
      <c r="E878" s="40"/>
      <c r="F878" s="40"/>
    </row>
    <row r="879" spans="1:6" ht="12.75" x14ac:dyDescent="0.2">
      <c r="A879" s="40"/>
      <c r="B879" s="41" t="s">
        <v>403</v>
      </c>
      <c r="C879" s="41" t="s">
        <v>293</v>
      </c>
      <c r="D879" s="41" t="s">
        <v>294</v>
      </c>
      <c r="E879" s="40"/>
      <c r="F879" s="40"/>
    </row>
    <row r="880" spans="1:6" ht="12.75" x14ac:dyDescent="0.2">
      <c r="A880" s="40"/>
      <c r="B880" s="41" t="s">
        <v>403</v>
      </c>
      <c r="C880" s="41" t="s">
        <v>296</v>
      </c>
      <c r="D880" s="41" t="s">
        <v>297</v>
      </c>
      <c r="E880" s="40"/>
      <c r="F880" s="40"/>
    </row>
    <row r="881" spans="1:6" ht="12.75" x14ac:dyDescent="0.2">
      <c r="A881" s="40"/>
      <c r="B881" s="41" t="s">
        <v>403</v>
      </c>
      <c r="C881" s="41" t="s">
        <v>32</v>
      </c>
      <c r="D881" s="41" t="s">
        <v>29</v>
      </c>
      <c r="E881" s="40"/>
      <c r="F881" s="40"/>
    </row>
    <row r="882" spans="1:6" ht="12.75" x14ac:dyDescent="0.2">
      <c r="A882" s="40"/>
      <c r="B882" s="40"/>
      <c r="C882" s="40"/>
      <c r="D882" s="40"/>
      <c r="E882" s="40"/>
      <c r="F882" s="40"/>
    </row>
    <row r="883" spans="1:6" ht="12.75" x14ac:dyDescent="0.2">
      <c r="A883" s="41" t="s">
        <v>305</v>
      </c>
      <c r="B883" s="40"/>
      <c r="C883" s="40"/>
      <c r="D883" s="40"/>
      <c r="E883" s="40"/>
      <c r="F883" s="40"/>
    </row>
    <row r="884" spans="1:6" ht="12.75" x14ac:dyDescent="0.2">
      <c r="A884" s="40"/>
      <c r="B884" s="41" t="s">
        <v>398</v>
      </c>
      <c r="C884" s="40"/>
      <c r="D884" s="40"/>
      <c r="E884" s="40"/>
      <c r="F884" s="40"/>
    </row>
    <row r="885" spans="1:6" ht="12.75" x14ac:dyDescent="0.2">
      <c r="A885" s="40"/>
      <c r="B885" s="41" t="s">
        <v>399</v>
      </c>
      <c r="C885" s="40"/>
      <c r="D885" s="40"/>
      <c r="E885" s="40"/>
      <c r="F885" s="40"/>
    </row>
    <row r="886" spans="1:6" ht="12.75" x14ac:dyDescent="0.2">
      <c r="A886" s="40"/>
      <c r="B886" s="41" t="s">
        <v>400</v>
      </c>
      <c r="C886" s="40"/>
      <c r="D886" s="40"/>
      <c r="E886" s="40"/>
      <c r="F886" s="40"/>
    </row>
    <row r="887" spans="1:6" ht="12.75" x14ac:dyDescent="0.2">
      <c r="A887" s="40"/>
      <c r="B887" s="41" t="s">
        <v>401</v>
      </c>
      <c r="C887" s="41" t="s">
        <v>305</v>
      </c>
      <c r="D887" s="40"/>
      <c r="E887" s="40"/>
      <c r="F887" s="40"/>
    </row>
    <row r="888" spans="1:6" ht="25.5" x14ac:dyDescent="0.2">
      <c r="A888" s="41" t="s">
        <v>698</v>
      </c>
      <c r="B888" s="41" t="s">
        <v>402</v>
      </c>
      <c r="C888" s="41" t="s">
        <v>490</v>
      </c>
      <c r="D888" s="40"/>
      <c r="E888" s="40"/>
      <c r="F888" s="40"/>
    </row>
    <row r="889" spans="1:6" ht="38.25" x14ac:dyDescent="0.2">
      <c r="A889" s="41" t="s">
        <v>699</v>
      </c>
      <c r="B889" s="41" t="s">
        <v>402</v>
      </c>
      <c r="C889" s="41" t="s">
        <v>749</v>
      </c>
      <c r="D889" s="40"/>
      <c r="E889" s="40"/>
      <c r="F889" s="40"/>
    </row>
    <row r="890" spans="1:6" ht="12.75" x14ac:dyDescent="0.2">
      <c r="A890" s="41" t="s">
        <v>700</v>
      </c>
      <c r="B890" s="40"/>
      <c r="C890" s="40"/>
      <c r="D890" s="40"/>
      <c r="E890" s="40"/>
      <c r="F890" s="40"/>
    </row>
    <row r="891" spans="1:6" ht="12.75" x14ac:dyDescent="0.2">
      <c r="A891" s="41" t="s">
        <v>304</v>
      </c>
      <c r="B891" s="40"/>
      <c r="C891" s="40"/>
      <c r="D891" s="40"/>
      <c r="E891" s="40"/>
      <c r="F891" s="40"/>
    </row>
    <row r="892" spans="1:6" ht="12.75" x14ac:dyDescent="0.2">
      <c r="A892" s="40"/>
      <c r="B892" s="41" t="s">
        <v>422</v>
      </c>
      <c r="C892" s="41" t="s">
        <v>488</v>
      </c>
      <c r="D892" s="41" t="s">
        <v>489</v>
      </c>
      <c r="E892" s="40"/>
      <c r="F892" s="40"/>
    </row>
    <row r="893" spans="1:6" ht="12.75" x14ac:dyDescent="0.2">
      <c r="A893" s="40"/>
      <c r="B893" s="41" t="s">
        <v>403</v>
      </c>
      <c r="C893" s="41" t="s">
        <v>24</v>
      </c>
      <c r="D893" s="41" t="s">
        <v>26</v>
      </c>
      <c r="E893" s="40"/>
      <c r="F893" s="40"/>
    </row>
    <row r="894" spans="1:6" ht="12.75" x14ac:dyDescent="0.2">
      <c r="A894" s="40"/>
      <c r="B894" s="41" t="s">
        <v>403</v>
      </c>
      <c r="C894" s="41" t="s">
        <v>32</v>
      </c>
      <c r="D894" s="41" t="s">
        <v>29</v>
      </c>
      <c r="E894" s="40"/>
      <c r="F894" s="40"/>
    </row>
    <row r="895" spans="1:6" ht="12.75" x14ac:dyDescent="0.2">
      <c r="A895" s="40"/>
      <c r="B895" s="41" t="s">
        <v>403</v>
      </c>
      <c r="C895" s="41" t="s">
        <v>25</v>
      </c>
      <c r="D895" s="41" t="s">
        <v>27</v>
      </c>
      <c r="E895" s="40"/>
      <c r="F895" s="40"/>
    </row>
    <row r="896" spans="1:6" ht="12.75" x14ac:dyDescent="0.2">
      <c r="A896" s="40"/>
      <c r="B896" s="41" t="s">
        <v>403</v>
      </c>
      <c r="C896" s="41" t="s">
        <v>30</v>
      </c>
      <c r="D896" s="41" t="s">
        <v>31</v>
      </c>
      <c r="E896" s="40"/>
      <c r="F896" s="40"/>
    </row>
    <row r="897" spans="1:6" ht="12.75" x14ac:dyDescent="0.2">
      <c r="A897" s="40"/>
      <c r="B897" s="40"/>
      <c r="C897" s="40"/>
      <c r="D897" s="40"/>
      <c r="E897" s="40"/>
      <c r="F897" s="40"/>
    </row>
    <row r="898" spans="1:6" ht="12.75" x14ac:dyDescent="0.2">
      <c r="A898" s="41" t="s">
        <v>313</v>
      </c>
      <c r="B898" s="40"/>
      <c r="C898" s="40"/>
      <c r="D898" s="40"/>
      <c r="E898" s="40"/>
      <c r="F898" s="40"/>
    </row>
    <row r="899" spans="1:6" ht="12.75" x14ac:dyDescent="0.2">
      <c r="A899" s="40"/>
      <c r="B899" s="41" t="s">
        <v>398</v>
      </c>
      <c r="C899" s="40"/>
      <c r="D899" s="40"/>
      <c r="E899" s="40"/>
      <c r="F899" s="40"/>
    </row>
    <row r="900" spans="1:6" ht="12.75" x14ac:dyDescent="0.2">
      <c r="A900" s="40"/>
      <c r="B900" s="41" t="s">
        <v>399</v>
      </c>
      <c r="C900" s="40"/>
      <c r="D900" s="40"/>
      <c r="E900" s="40"/>
      <c r="F900" s="40"/>
    </row>
    <row r="901" spans="1:6" ht="12.75" x14ac:dyDescent="0.2">
      <c r="A901" s="40"/>
      <c r="B901" s="41" t="s">
        <v>400</v>
      </c>
      <c r="C901" s="40"/>
      <c r="D901" s="40"/>
      <c r="E901" s="40"/>
      <c r="F901" s="40"/>
    </row>
    <row r="902" spans="1:6" ht="12.75" x14ac:dyDescent="0.2">
      <c r="A902" s="40"/>
      <c r="B902" s="41" t="s">
        <v>401</v>
      </c>
      <c r="C902" s="41" t="s">
        <v>313</v>
      </c>
      <c r="D902" s="40"/>
      <c r="E902" s="40"/>
      <c r="F902" s="40"/>
    </row>
    <row r="903" spans="1:6" ht="25.5" x14ac:dyDescent="0.2">
      <c r="A903" s="41" t="s">
        <v>701</v>
      </c>
      <c r="B903" s="41" t="s">
        <v>402</v>
      </c>
      <c r="C903" s="41" t="s">
        <v>544</v>
      </c>
      <c r="D903" s="40"/>
      <c r="E903" s="40"/>
      <c r="F903" s="40"/>
    </row>
    <row r="904" spans="1:6" ht="12.75" x14ac:dyDescent="0.2">
      <c r="A904" s="41" t="s">
        <v>702</v>
      </c>
      <c r="B904" s="41" t="s">
        <v>402</v>
      </c>
      <c r="C904" s="41" t="s">
        <v>19</v>
      </c>
      <c r="D904" s="40"/>
      <c r="E904" s="40"/>
      <c r="F904" s="40"/>
    </row>
    <row r="905" spans="1:6" ht="12.75" x14ac:dyDescent="0.2">
      <c r="A905" s="41" t="s">
        <v>703</v>
      </c>
      <c r="B905" s="40"/>
      <c r="C905" s="40"/>
      <c r="D905" s="40"/>
      <c r="E905" s="40"/>
      <c r="F905" s="40"/>
    </row>
    <row r="906" spans="1:6" ht="12.75" x14ac:dyDescent="0.2">
      <c r="A906" s="41" t="s">
        <v>312</v>
      </c>
      <c r="B906" s="40"/>
      <c r="C906" s="40"/>
      <c r="D906" s="40"/>
      <c r="E906" s="40"/>
      <c r="F906" s="40"/>
    </row>
    <row r="907" spans="1:6" ht="12.75" x14ac:dyDescent="0.2">
      <c r="A907" s="40"/>
      <c r="B907" s="41" t="s">
        <v>403</v>
      </c>
      <c r="C907" s="41" t="s">
        <v>24</v>
      </c>
      <c r="D907" s="41" t="s">
        <v>26</v>
      </c>
      <c r="E907" s="40"/>
      <c r="F907" s="40"/>
    </row>
    <row r="908" spans="1:6" ht="12.75" x14ac:dyDescent="0.2">
      <c r="A908" s="40"/>
      <c r="B908" s="41" t="s">
        <v>403</v>
      </c>
      <c r="C908" s="41" t="s">
        <v>32</v>
      </c>
      <c r="D908" s="41" t="s">
        <v>29</v>
      </c>
      <c r="E908" s="40"/>
      <c r="F908" s="40"/>
    </row>
    <row r="909" spans="1:6" ht="12.75" x14ac:dyDescent="0.2">
      <c r="A909" s="40"/>
      <c r="B909" s="41" t="s">
        <v>403</v>
      </c>
      <c r="C909" s="41" t="s">
        <v>25</v>
      </c>
      <c r="D909" s="41" t="s">
        <v>27</v>
      </c>
      <c r="E909" s="40"/>
      <c r="F909" s="40"/>
    </row>
    <row r="910" spans="1:6" ht="12.75" x14ac:dyDescent="0.2">
      <c r="A910" s="40"/>
      <c r="B910" s="41" t="s">
        <v>403</v>
      </c>
      <c r="C910" s="41" t="s">
        <v>30</v>
      </c>
      <c r="D910" s="41" t="s">
        <v>31</v>
      </c>
      <c r="E910" s="40"/>
      <c r="F910" s="40"/>
    </row>
    <row r="911" spans="1:6" ht="12.75" x14ac:dyDescent="0.2">
      <c r="A911" s="40"/>
      <c r="B911" s="40"/>
      <c r="C911" s="40"/>
      <c r="D911" s="40"/>
      <c r="E911" s="40"/>
      <c r="F911" s="40"/>
    </row>
    <row r="912" spans="1:6" ht="12.75" x14ac:dyDescent="0.2">
      <c r="A912" s="41" t="s">
        <v>318</v>
      </c>
      <c r="B912" s="40"/>
      <c r="C912" s="40"/>
      <c r="D912" s="40"/>
      <c r="E912" s="40"/>
      <c r="F912" s="40"/>
    </row>
    <row r="913" spans="1:6" ht="12.75" x14ac:dyDescent="0.2">
      <c r="A913" s="40"/>
      <c r="B913" s="41" t="s">
        <v>398</v>
      </c>
      <c r="C913" s="40"/>
      <c r="D913" s="40"/>
      <c r="E913" s="40"/>
      <c r="F913" s="40"/>
    </row>
    <row r="914" spans="1:6" ht="12.75" x14ac:dyDescent="0.2">
      <c r="A914" s="40"/>
      <c r="B914" s="41" t="s">
        <v>399</v>
      </c>
      <c r="C914" s="40"/>
      <c r="D914" s="40"/>
      <c r="E914" s="40"/>
      <c r="F914" s="40"/>
    </row>
    <row r="915" spans="1:6" ht="12.75" x14ac:dyDescent="0.2">
      <c r="A915" s="40"/>
      <c r="B915" s="41" t="s">
        <v>400</v>
      </c>
      <c r="C915" s="40"/>
      <c r="D915" s="40"/>
      <c r="E915" s="40"/>
      <c r="F915" s="40"/>
    </row>
    <row r="916" spans="1:6" ht="12.75" x14ac:dyDescent="0.2">
      <c r="A916" s="40"/>
      <c r="B916" s="41" t="s">
        <v>401</v>
      </c>
      <c r="C916" s="41" t="s">
        <v>318</v>
      </c>
      <c r="D916" s="40"/>
      <c r="E916" s="40"/>
      <c r="F916" s="40"/>
    </row>
    <row r="917" spans="1:6" ht="25.5" x14ac:dyDescent="0.2">
      <c r="A917" s="41" t="s">
        <v>704</v>
      </c>
      <c r="B917" s="41" t="s">
        <v>402</v>
      </c>
      <c r="C917" s="41" t="s">
        <v>586</v>
      </c>
      <c r="D917" s="40"/>
      <c r="E917" s="40"/>
      <c r="F917" s="40"/>
    </row>
    <row r="918" spans="1:6" ht="12.75" x14ac:dyDescent="0.2">
      <c r="A918" s="41" t="s">
        <v>705</v>
      </c>
      <c r="B918" s="41" t="s">
        <v>402</v>
      </c>
      <c r="C918" s="41" t="s">
        <v>19</v>
      </c>
      <c r="D918" s="40"/>
      <c r="E918" s="40"/>
      <c r="F918" s="40"/>
    </row>
    <row r="919" spans="1:6" ht="12.75" x14ac:dyDescent="0.2">
      <c r="A919" s="41" t="s">
        <v>706</v>
      </c>
      <c r="B919" s="40"/>
      <c r="C919" s="40"/>
      <c r="D919" s="40"/>
      <c r="E919" s="40"/>
      <c r="F919" s="40"/>
    </row>
    <row r="920" spans="1:6" ht="12.75" x14ac:dyDescent="0.2">
      <c r="A920" s="41" t="s">
        <v>707</v>
      </c>
      <c r="B920" s="40"/>
      <c r="C920" s="40"/>
      <c r="D920" s="40"/>
      <c r="E920" s="40"/>
      <c r="F920" s="40"/>
    </row>
    <row r="921" spans="1:6" ht="12.75" x14ac:dyDescent="0.2">
      <c r="A921" s="41" t="s">
        <v>708</v>
      </c>
      <c r="B921" s="40"/>
      <c r="C921" s="40"/>
      <c r="D921" s="40"/>
      <c r="E921" s="40"/>
      <c r="F921" s="40"/>
    </row>
    <row r="922" spans="1:6" ht="12.75" x14ac:dyDescent="0.2">
      <c r="A922" s="41" t="s">
        <v>317</v>
      </c>
      <c r="B922" s="40"/>
      <c r="C922" s="40"/>
      <c r="D922" s="40"/>
      <c r="E922" s="40"/>
      <c r="F922" s="40"/>
    </row>
    <row r="923" spans="1:6" ht="12.75" x14ac:dyDescent="0.2">
      <c r="A923" s="40"/>
      <c r="B923" s="41" t="s">
        <v>403</v>
      </c>
      <c r="C923" s="41" t="s">
        <v>24</v>
      </c>
      <c r="D923" s="41" t="s">
        <v>26</v>
      </c>
      <c r="E923" s="40"/>
      <c r="F923" s="40"/>
    </row>
    <row r="924" spans="1:6" ht="12.75" x14ac:dyDescent="0.2">
      <c r="A924" s="40"/>
      <c r="B924" s="41" t="s">
        <v>403</v>
      </c>
      <c r="C924" s="41" t="s">
        <v>32</v>
      </c>
      <c r="D924" s="41" t="s">
        <v>29</v>
      </c>
      <c r="E924" s="40"/>
      <c r="F924" s="40"/>
    </row>
    <row r="925" spans="1:6" ht="12.75" x14ac:dyDescent="0.2">
      <c r="A925" s="40"/>
      <c r="B925" s="41" t="s">
        <v>403</v>
      </c>
      <c r="C925" s="41" t="s">
        <v>25</v>
      </c>
      <c r="D925" s="41" t="s">
        <v>27</v>
      </c>
      <c r="E925" s="40"/>
      <c r="F925" s="40"/>
    </row>
    <row r="926" spans="1:6" ht="12.75" x14ac:dyDescent="0.2">
      <c r="A926" s="40"/>
      <c r="B926" s="41" t="s">
        <v>403</v>
      </c>
      <c r="C926" s="41" t="s">
        <v>30</v>
      </c>
      <c r="D926" s="41" t="s">
        <v>31</v>
      </c>
      <c r="E926" s="40"/>
      <c r="F926" s="40"/>
    </row>
    <row r="927" spans="1:6" ht="12.75" x14ac:dyDescent="0.2">
      <c r="A927" s="40"/>
      <c r="B927" s="40"/>
      <c r="C927" s="40"/>
      <c r="D927" s="40"/>
      <c r="E927" s="40"/>
      <c r="F927" s="40"/>
    </row>
    <row r="928" spans="1:6" ht="12.75" x14ac:dyDescent="0.2">
      <c r="A928" s="41" t="s">
        <v>321</v>
      </c>
      <c r="B928" s="40"/>
      <c r="C928" s="40"/>
      <c r="D928" s="40"/>
      <c r="E928" s="40"/>
      <c r="F928" s="40"/>
    </row>
    <row r="929" spans="1:6" ht="12.75" x14ac:dyDescent="0.2">
      <c r="A929" s="40"/>
      <c r="B929" s="41" t="s">
        <v>398</v>
      </c>
      <c r="C929" s="40"/>
      <c r="D929" s="40"/>
      <c r="E929" s="40"/>
      <c r="F929" s="40"/>
    </row>
    <row r="930" spans="1:6" ht="12.75" x14ac:dyDescent="0.2">
      <c r="A930" s="40"/>
      <c r="B930" s="41" t="s">
        <v>399</v>
      </c>
      <c r="C930" s="40"/>
      <c r="D930" s="40"/>
      <c r="E930" s="40"/>
      <c r="F930" s="40"/>
    </row>
    <row r="931" spans="1:6" ht="12.75" x14ac:dyDescent="0.2">
      <c r="A931" s="40"/>
      <c r="B931" s="41" t="s">
        <v>400</v>
      </c>
      <c r="C931" s="40"/>
      <c r="D931" s="40"/>
      <c r="E931" s="40"/>
      <c r="F931" s="40"/>
    </row>
    <row r="932" spans="1:6" ht="12.75" x14ac:dyDescent="0.2">
      <c r="A932" s="40"/>
      <c r="B932" s="41" t="s">
        <v>401</v>
      </c>
      <c r="C932" s="41" t="s">
        <v>321</v>
      </c>
      <c r="D932" s="40"/>
      <c r="E932" s="40"/>
      <c r="F932" s="40"/>
    </row>
    <row r="933" spans="1:6" ht="38.25" x14ac:dyDescent="0.2">
      <c r="A933" s="41" t="s">
        <v>709</v>
      </c>
      <c r="B933" s="41" t="s">
        <v>402</v>
      </c>
      <c r="C933" s="41" t="s">
        <v>710</v>
      </c>
      <c r="D933" s="40"/>
      <c r="E933" s="40"/>
      <c r="F933" s="40"/>
    </row>
    <row r="934" spans="1:6" ht="12.75" x14ac:dyDescent="0.2">
      <c r="A934" s="41" t="s">
        <v>711</v>
      </c>
      <c r="B934" s="41" t="s">
        <v>402</v>
      </c>
      <c r="C934" s="41" t="s">
        <v>19</v>
      </c>
      <c r="D934" s="40"/>
      <c r="E934" s="40"/>
      <c r="F934" s="40"/>
    </row>
    <row r="935" spans="1:6" ht="12.75" x14ac:dyDescent="0.2">
      <c r="A935" s="41" t="s">
        <v>712</v>
      </c>
      <c r="B935" s="40"/>
      <c r="C935" s="40"/>
      <c r="D935" s="40"/>
      <c r="E935" s="40"/>
      <c r="F935" s="40"/>
    </row>
    <row r="936" spans="1:6" ht="12.75" x14ac:dyDescent="0.2">
      <c r="A936" s="41" t="s">
        <v>320</v>
      </c>
      <c r="B936" s="40"/>
      <c r="C936" s="40"/>
      <c r="D936" s="40"/>
      <c r="E936" s="40"/>
      <c r="F936" s="40"/>
    </row>
    <row r="937" spans="1:6" ht="12.75" x14ac:dyDescent="0.2">
      <c r="A937" s="40"/>
      <c r="B937" s="41" t="s">
        <v>403</v>
      </c>
      <c r="C937" s="41" t="s">
        <v>24</v>
      </c>
      <c r="D937" s="41" t="s">
        <v>26</v>
      </c>
      <c r="E937" s="40"/>
      <c r="F937" s="40"/>
    </row>
    <row r="938" spans="1:6" ht="12.75" x14ac:dyDescent="0.2">
      <c r="A938" s="40"/>
      <c r="B938" s="41" t="s">
        <v>403</v>
      </c>
      <c r="C938" s="41" t="s">
        <v>32</v>
      </c>
      <c r="D938" s="41" t="s">
        <v>29</v>
      </c>
      <c r="E938" s="40"/>
      <c r="F938" s="40"/>
    </row>
    <row r="939" spans="1:6" ht="12.75" x14ac:dyDescent="0.2">
      <c r="A939" s="40"/>
      <c r="B939" s="41" t="s">
        <v>403</v>
      </c>
      <c r="C939" s="41" t="s">
        <v>25</v>
      </c>
      <c r="D939" s="41" t="s">
        <v>27</v>
      </c>
      <c r="E939" s="40"/>
      <c r="F939" s="40"/>
    </row>
    <row r="940" spans="1:6" ht="12.75" x14ac:dyDescent="0.2">
      <c r="A940" s="40"/>
      <c r="B940" s="41" t="s">
        <v>403</v>
      </c>
      <c r="C940" s="41" t="s">
        <v>30</v>
      </c>
      <c r="D940" s="41" t="s">
        <v>31</v>
      </c>
      <c r="E940" s="40"/>
      <c r="F940" s="40"/>
    </row>
    <row r="941" spans="1:6" ht="12.75" x14ac:dyDescent="0.2">
      <c r="A941" s="40"/>
      <c r="B941" s="40"/>
      <c r="C941" s="40"/>
      <c r="D941" s="40"/>
      <c r="E941" s="40"/>
      <c r="F941" s="40"/>
    </row>
    <row r="942" spans="1:6" ht="12.75" x14ac:dyDescent="0.2">
      <c r="A942" s="41" t="s">
        <v>300</v>
      </c>
      <c r="B942" s="40"/>
      <c r="C942" s="40"/>
      <c r="D942" s="40"/>
      <c r="E942" s="40"/>
      <c r="F942" s="40"/>
    </row>
    <row r="943" spans="1:6" ht="12.75" x14ac:dyDescent="0.2">
      <c r="A943" s="40"/>
      <c r="B943" s="41" t="s">
        <v>398</v>
      </c>
      <c r="C943" s="40"/>
      <c r="D943" s="40"/>
      <c r="E943" s="40"/>
      <c r="F943" s="40"/>
    </row>
    <row r="944" spans="1:6" ht="12.75" x14ac:dyDescent="0.2">
      <c r="A944" s="40"/>
      <c r="B944" s="41" t="s">
        <v>399</v>
      </c>
      <c r="C944" s="40"/>
      <c r="D944" s="40"/>
      <c r="E944" s="40"/>
      <c r="F944" s="40"/>
    </row>
    <row r="945" spans="1:6" ht="12.75" x14ac:dyDescent="0.2">
      <c r="A945" s="40"/>
      <c r="B945" s="41" t="s">
        <v>400</v>
      </c>
      <c r="C945" s="40"/>
      <c r="D945" s="40"/>
      <c r="E945" s="40"/>
      <c r="F945" s="40"/>
    </row>
    <row r="946" spans="1:6" ht="12.75" x14ac:dyDescent="0.2">
      <c r="A946" s="40"/>
      <c r="B946" s="41" t="s">
        <v>401</v>
      </c>
      <c r="C946" s="41" t="s">
        <v>300</v>
      </c>
      <c r="D946" s="40"/>
      <c r="E946" s="40"/>
      <c r="F946" s="40"/>
    </row>
    <row r="947" spans="1:6" ht="12.75" x14ac:dyDescent="0.2">
      <c r="A947" s="41" t="s">
        <v>713</v>
      </c>
      <c r="B947" s="41" t="s">
        <v>402</v>
      </c>
      <c r="C947" s="41" t="s">
        <v>302</v>
      </c>
      <c r="D947" s="40"/>
      <c r="E947" s="40"/>
      <c r="F947" s="40"/>
    </row>
    <row r="948" spans="1:6" ht="12.75" x14ac:dyDescent="0.2">
      <c r="A948" s="41" t="s">
        <v>714</v>
      </c>
      <c r="B948" s="40"/>
      <c r="C948" s="40"/>
      <c r="D948" s="40"/>
      <c r="E948" s="40"/>
      <c r="F948" s="40"/>
    </row>
    <row r="949" spans="1:6" ht="12.75" x14ac:dyDescent="0.2">
      <c r="A949" s="41" t="s">
        <v>715</v>
      </c>
      <c r="B949" s="40"/>
      <c r="C949" s="40"/>
      <c r="D949" s="40"/>
      <c r="E949" s="40"/>
      <c r="F949" s="40"/>
    </row>
    <row r="950" spans="1:6" ht="12.75" x14ac:dyDescent="0.2">
      <c r="A950" s="41" t="s">
        <v>716</v>
      </c>
      <c r="B950" s="40"/>
      <c r="C950" s="40"/>
      <c r="D950" s="40"/>
      <c r="E950" s="40"/>
      <c r="F950" s="40"/>
    </row>
    <row r="951" spans="1:6" ht="12.75" x14ac:dyDescent="0.2">
      <c r="A951" s="41" t="s">
        <v>229</v>
      </c>
      <c r="B951" s="40"/>
      <c r="C951" s="40"/>
      <c r="D951" s="40"/>
      <c r="E951" s="40"/>
      <c r="F951" s="40"/>
    </row>
    <row r="952" spans="1:6" ht="12.75" x14ac:dyDescent="0.2">
      <c r="A952" s="40"/>
      <c r="B952" s="41" t="s">
        <v>403</v>
      </c>
      <c r="C952" s="41" t="s">
        <v>304</v>
      </c>
      <c r="D952" s="41" t="s">
        <v>305</v>
      </c>
      <c r="E952" s="40"/>
      <c r="F952" s="40"/>
    </row>
    <row r="953" spans="1:6" ht="12.75" x14ac:dyDescent="0.2">
      <c r="A953" s="40"/>
      <c r="B953" s="41" t="s">
        <v>403</v>
      </c>
      <c r="C953" s="41" t="s">
        <v>312</v>
      </c>
      <c r="D953" s="41" t="s">
        <v>313</v>
      </c>
      <c r="E953" s="40"/>
      <c r="F953" s="40"/>
    </row>
    <row r="954" spans="1:6" ht="12.75" x14ac:dyDescent="0.2">
      <c r="A954" s="40"/>
      <c r="B954" s="41" t="s">
        <v>403</v>
      </c>
      <c r="C954" s="41" t="s">
        <v>317</v>
      </c>
      <c r="D954" s="41" t="s">
        <v>318</v>
      </c>
      <c r="E954" s="40"/>
      <c r="F954" s="40"/>
    </row>
    <row r="955" spans="1:6" ht="12.75" x14ac:dyDescent="0.2">
      <c r="A955" s="40"/>
      <c r="B955" s="41" t="s">
        <v>403</v>
      </c>
      <c r="C955" s="41" t="s">
        <v>320</v>
      </c>
      <c r="D955" s="41" t="s">
        <v>321</v>
      </c>
      <c r="E955" s="40"/>
      <c r="F955" s="40"/>
    </row>
    <row r="956" spans="1:6" ht="12.75" x14ac:dyDescent="0.2">
      <c r="A956" s="40"/>
      <c r="B956" s="41" t="s">
        <v>403</v>
      </c>
      <c r="C956" s="41" t="s">
        <v>32</v>
      </c>
      <c r="D956" s="41" t="s">
        <v>29</v>
      </c>
      <c r="E956" s="40"/>
      <c r="F956" s="40"/>
    </row>
    <row r="957" spans="1:6" ht="12.75" x14ac:dyDescent="0.2">
      <c r="A957" s="40"/>
      <c r="B957" s="40"/>
      <c r="C957" s="40"/>
      <c r="D957" s="40"/>
      <c r="E957" s="40"/>
      <c r="F957" s="40"/>
    </row>
    <row r="958" spans="1:6" ht="12.75" x14ac:dyDescent="0.2">
      <c r="A958" s="41" t="s">
        <v>330</v>
      </c>
      <c r="B958" s="40"/>
      <c r="C958" s="40"/>
      <c r="D958" s="40"/>
      <c r="E958" s="40"/>
      <c r="F958" s="40"/>
    </row>
    <row r="959" spans="1:6" ht="12.75" x14ac:dyDescent="0.2">
      <c r="A959" s="40"/>
      <c r="B959" s="41" t="s">
        <v>398</v>
      </c>
      <c r="C959" s="40"/>
      <c r="D959" s="40"/>
      <c r="E959" s="40"/>
      <c r="F959" s="40"/>
    </row>
    <row r="960" spans="1:6" ht="12.75" x14ac:dyDescent="0.2">
      <c r="A960" s="40"/>
      <c r="B960" s="41" t="s">
        <v>399</v>
      </c>
      <c r="C960" s="40"/>
      <c r="D960" s="40"/>
      <c r="E960" s="40"/>
      <c r="F960" s="40"/>
    </row>
    <row r="961" spans="1:6" ht="12.75" x14ac:dyDescent="0.2">
      <c r="A961" s="40"/>
      <c r="B961" s="41" t="s">
        <v>400</v>
      </c>
      <c r="C961" s="40"/>
      <c r="D961" s="40"/>
      <c r="E961" s="40"/>
      <c r="F961" s="40"/>
    </row>
    <row r="962" spans="1:6" ht="12.75" x14ac:dyDescent="0.2">
      <c r="A962" s="40"/>
      <c r="B962" s="41" t="s">
        <v>401</v>
      </c>
      <c r="C962" s="41" t="s">
        <v>330</v>
      </c>
      <c r="D962" s="40"/>
      <c r="E962" s="40"/>
      <c r="F962" s="40"/>
    </row>
    <row r="963" spans="1:6" ht="25.5" x14ac:dyDescent="0.2">
      <c r="A963" s="41" t="s">
        <v>718</v>
      </c>
      <c r="B963" s="41" t="s">
        <v>402</v>
      </c>
      <c r="C963" s="41" t="s">
        <v>694</v>
      </c>
      <c r="D963" s="40"/>
      <c r="E963" s="40"/>
      <c r="F963" s="40"/>
    </row>
    <row r="964" spans="1:6" ht="12.75" x14ac:dyDescent="0.2">
      <c r="A964" s="41" t="s">
        <v>719</v>
      </c>
      <c r="B964" s="41" t="s">
        <v>402</v>
      </c>
      <c r="C964" s="41" t="s">
        <v>19</v>
      </c>
      <c r="D964" s="40"/>
      <c r="E964" s="40"/>
      <c r="F964" s="40"/>
    </row>
    <row r="965" spans="1:6" ht="12.75" x14ac:dyDescent="0.2">
      <c r="A965" s="41" t="s">
        <v>720</v>
      </c>
      <c r="B965" s="40"/>
      <c r="C965" s="40"/>
      <c r="D965" s="40"/>
      <c r="E965" s="40"/>
      <c r="F965" s="40"/>
    </row>
    <row r="966" spans="1:6" ht="12.75" x14ac:dyDescent="0.2">
      <c r="A966" s="41" t="s">
        <v>721</v>
      </c>
      <c r="B966" s="40"/>
      <c r="C966" s="40"/>
      <c r="D966" s="40"/>
      <c r="E966" s="40"/>
      <c r="F966" s="40"/>
    </row>
    <row r="967" spans="1:6" ht="12.75" x14ac:dyDescent="0.2">
      <c r="A967" s="41" t="s">
        <v>722</v>
      </c>
      <c r="B967" s="40"/>
      <c r="C967" s="40"/>
      <c r="D967" s="40"/>
      <c r="E967" s="40"/>
      <c r="F967" s="40"/>
    </row>
    <row r="968" spans="1:6" ht="12.75" x14ac:dyDescent="0.2">
      <c r="A968" s="41" t="s">
        <v>329</v>
      </c>
      <c r="B968" s="40"/>
      <c r="C968" s="40"/>
      <c r="D968" s="40"/>
      <c r="E968" s="40"/>
      <c r="F968" s="40"/>
    </row>
    <row r="969" spans="1:6" ht="12.75" x14ac:dyDescent="0.2">
      <c r="A969" s="40"/>
      <c r="B969" s="41" t="s">
        <v>403</v>
      </c>
      <c r="C969" s="41" t="s">
        <v>24</v>
      </c>
      <c r="D969" s="41" t="s">
        <v>26</v>
      </c>
      <c r="E969" s="40"/>
      <c r="F969" s="40"/>
    </row>
    <row r="970" spans="1:6" ht="12.75" x14ac:dyDescent="0.2">
      <c r="A970" s="40"/>
      <c r="B970" s="41" t="s">
        <v>403</v>
      </c>
      <c r="C970" s="41" t="s">
        <v>32</v>
      </c>
      <c r="D970" s="41" t="s">
        <v>29</v>
      </c>
      <c r="E970" s="40"/>
      <c r="F970" s="40"/>
    </row>
    <row r="971" spans="1:6" ht="12.75" x14ac:dyDescent="0.2">
      <c r="A971" s="40"/>
      <c r="B971" s="41" t="s">
        <v>403</v>
      </c>
      <c r="C971" s="41" t="s">
        <v>25</v>
      </c>
      <c r="D971" s="41" t="s">
        <v>27</v>
      </c>
      <c r="E971" s="40"/>
      <c r="F971" s="40"/>
    </row>
    <row r="972" spans="1:6" ht="12.75" x14ac:dyDescent="0.2">
      <c r="A972" s="40"/>
      <c r="B972" s="41" t="s">
        <v>403</v>
      </c>
      <c r="C972" s="41" t="s">
        <v>30</v>
      </c>
      <c r="D972" s="41" t="s">
        <v>31</v>
      </c>
      <c r="E972" s="40"/>
      <c r="F972" s="40"/>
    </row>
    <row r="973" spans="1:6" ht="12.75" x14ac:dyDescent="0.2">
      <c r="A973" s="40"/>
      <c r="B973" s="40"/>
      <c r="C973" s="40"/>
      <c r="D973" s="40"/>
      <c r="E973" s="40"/>
      <c r="F973" s="40"/>
    </row>
    <row r="974" spans="1:6" ht="12.75" x14ac:dyDescent="0.2">
      <c r="A974" s="41" t="s">
        <v>342</v>
      </c>
      <c r="B974" s="40"/>
      <c r="C974" s="40"/>
      <c r="D974" s="40"/>
      <c r="E974" s="40"/>
      <c r="F974" s="40"/>
    </row>
    <row r="975" spans="1:6" ht="12.75" x14ac:dyDescent="0.2">
      <c r="A975" s="40"/>
      <c r="B975" s="41" t="s">
        <v>398</v>
      </c>
      <c r="C975" s="40"/>
      <c r="D975" s="40"/>
      <c r="E975" s="40"/>
      <c r="F975" s="40"/>
    </row>
    <row r="976" spans="1:6" ht="12.75" x14ac:dyDescent="0.2">
      <c r="A976" s="40"/>
      <c r="B976" s="41" t="s">
        <v>399</v>
      </c>
      <c r="C976" s="40"/>
      <c r="D976" s="40"/>
      <c r="E976" s="40"/>
      <c r="F976" s="40"/>
    </row>
    <row r="977" spans="1:6" ht="12.75" x14ac:dyDescent="0.2">
      <c r="A977" s="40"/>
      <c r="B977" s="41" t="s">
        <v>400</v>
      </c>
      <c r="C977" s="40"/>
      <c r="D977" s="40"/>
      <c r="E977" s="40"/>
      <c r="F977" s="40"/>
    </row>
    <row r="978" spans="1:6" ht="12.75" x14ac:dyDescent="0.2">
      <c r="A978" s="40"/>
      <c r="B978" s="41" t="s">
        <v>401</v>
      </c>
      <c r="C978" s="41" t="s">
        <v>342</v>
      </c>
      <c r="D978" s="40"/>
      <c r="E978" s="40"/>
      <c r="F978" s="40"/>
    </row>
    <row r="979" spans="1:6" ht="12.75" x14ac:dyDescent="0.2">
      <c r="A979" s="41" t="s">
        <v>723</v>
      </c>
      <c r="B979" s="41" t="s">
        <v>402</v>
      </c>
      <c r="C979" s="41" t="s">
        <v>724</v>
      </c>
      <c r="D979" s="40"/>
      <c r="E979" s="40"/>
      <c r="F979" s="40"/>
    </row>
    <row r="980" spans="1:6" ht="12.75" x14ac:dyDescent="0.2">
      <c r="A980" s="41" t="s">
        <v>725</v>
      </c>
      <c r="B980" s="41" t="s">
        <v>402</v>
      </c>
      <c r="C980" s="41" t="s">
        <v>19</v>
      </c>
      <c r="D980" s="40"/>
      <c r="E980" s="40"/>
      <c r="F980" s="40"/>
    </row>
    <row r="981" spans="1:6" ht="12.75" x14ac:dyDescent="0.2">
      <c r="A981" s="41" t="s">
        <v>726</v>
      </c>
      <c r="B981" s="40"/>
      <c r="C981" s="40"/>
      <c r="D981" s="40"/>
      <c r="E981" s="40"/>
      <c r="F981" s="40"/>
    </row>
    <row r="982" spans="1:6" ht="12.75" x14ac:dyDescent="0.2">
      <c r="A982" s="41" t="s">
        <v>727</v>
      </c>
      <c r="B982" s="40"/>
      <c r="C982" s="40"/>
      <c r="D982" s="40"/>
      <c r="E982" s="40"/>
      <c r="F982" s="40"/>
    </row>
    <row r="983" spans="1:6" ht="12.75" x14ac:dyDescent="0.2">
      <c r="A983" s="41" t="s">
        <v>728</v>
      </c>
      <c r="B983" s="40"/>
      <c r="C983" s="40"/>
      <c r="D983" s="40"/>
      <c r="E983" s="40"/>
      <c r="F983" s="40"/>
    </row>
    <row r="984" spans="1:6" ht="12.75" x14ac:dyDescent="0.2">
      <c r="A984" s="41" t="s">
        <v>729</v>
      </c>
      <c r="B984" s="40"/>
      <c r="C984" s="40"/>
      <c r="D984" s="40"/>
      <c r="E984" s="40"/>
      <c r="F984" s="40"/>
    </row>
    <row r="985" spans="1:6" ht="12.75" x14ac:dyDescent="0.2">
      <c r="A985" s="41" t="s">
        <v>730</v>
      </c>
      <c r="B985" s="40"/>
      <c r="C985" s="40"/>
      <c r="D985" s="40"/>
      <c r="E985" s="40"/>
      <c r="F985" s="40"/>
    </row>
    <row r="986" spans="1:6" ht="12.75" x14ac:dyDescent="0.2">
      <c r="A986" s="41" t="s">
        <v>341</v>
      </c>
      <c r="B986" s="40"/>
      <c r="C986" s="40"/>
      <c r="D986" s="40"/>
      <c r="E986" s="40"/>
      <c r="F986" s="40"/>
    </row>
    <row r="987" spans="1:6" ht="12.75" x14ac:dyDescent="0.2">
      <c r="A987" s="40"/>
      <c r="B987" s="41" t="s">
        <v>403</v>
      </c>
      <c r="C987" s="41" t="s">
        <v>24</v>
      </c>
      <c r="D987" s="41" t="s">
        <v>26</v>
      </c>
      <c r="E987" s="40"/>
      <c r="F987" s="40"/>
    </row>
    <row r="988" spans="1:6" ht="12.75" x14ac:dyDescent="0.2">
      <c r="A988" s="40"/>
      <c r="B988" s="41" t="s">
        <v>403</v>
      </c>
      <c r="C988" s="41" t="s">
        <v>32</v>
      </c>
      <c r="D988" s="41" t="s">
        <v>29</v>
      </c>
      <c r="E988" s="40"/>
      <c r="F988" s="40"/>
    </row>
    <row r="989" spans="1:6" ht="12.75" x14ac:dyDescent="0.2">
      <c r="A989" s="40"/>
      <c r="B989" s="41" t="s">
        <v>403</v>
      </c>
      <c r="C989" s="41" t="s">
        <v>25</v>
      </c>
      <c r="D989" s="41" t="s">
        <v>27</v>
      </c>
      <c r="E989" s="40"/>
      <c r="F989" s="40"/>
    </row>
    <row r="990" spans="1:6" ht="12.75" x14ac:dyDescent="0.2">
      <c r="A990" s="40"/>
      <c r="B990" s="41" t="s">
        <v>403</v>
      </c>
      <c r="C990" s="41" t="s">
        <v>30</v>
      </c>
      <c r="D990" s="41" t="s">
        <v>31</v>
      </c>
      <c r="E990" s="40"/>
      <c r="F990" s="40"/>
    </row>
    <row r="991" spans="1:6" ht="12.75" x14ac:dyDescent="0.2">
      <c r="A991" s="40"/>
      <c r="B991" s="40"/>
      <c r="C991" s="40"/>
      <c r="D991" s="40"/>
      <c r="E991" s="40"/>
      <c r="F991" s="40"/>
    </row>
    <row r="992" spans="1:6" ht="12.75" x14ac:dyDescent="0.2">
      <c r="A992" s="41" t="s">
        <v>345</v>
      </c>
      <c r="B992" s="40"/>
      <c r="C992" s="40"/>
      <c r="D992" s="40"/>
      <c r="E992" s="40"/>
      <c r="F992" s="40"/>
    </row>
    <row r="993" spans="1:6" ht="12.75" x14ac:dyDescent="0.2">
      <c r="A993" s="40"/>
      <c r="B993" s="41" t="s">
        <v>398</v>
      </c>
      <c r="C993" s="40"/>
      <c r="D993" s="40"/>
      <c r="E993" s="40"/>
      <c r="F993" s="40"/>
    </row>
    <row r="994" spans="1:6" ht="12.75" x14ac:dyDescent="0.2">
      <c r="A994" s="40"/>
      <c r="B994" s="41" t="s">
        <v>399</v>
      </c>
      <c r="C994" s="40"/>
      <c r="D994" s="40"/>
      <c r="E994" s="40"/>
      <c r="F994" s="40"/>
    </row>
    <row r="995" spans="1:6" ht="12.75" x14ac:dyDescent="0.2">
      <c r="A995" s="40"/>
      <c r="B995" s="41" t="s">
        <v>400</v>
      </c>
      <c r="C995" s="40"/>
      <c r="D995" s="40"/>
      <c r="E995" s="40"/>
      <c r="F995" s="40"/>
    </row>
    <row r="996" spans="1:6" ht="12.75" x14ac:dyDescent="0.2">
      <c r="A996" s="40"/>
      <c r="B996" s="41" t="s">
        <v>401</v>
      </c>
      <c r="C996" s="41" t="s">
        <v>345</v>
      </c>
      <c r="D996" s="40"/>
      <c r="E996" s="40"/>
      <c r="F996" s="40"/>
    </row>
    <row r="997" spans="1:6" ht="25.5" x14ac:dyDescent="0.2">
      <c r="A997" s="41" t="s">
        <v>731</v>
      </c>
      <c r="B997" s="41" t="s">
        <v>402</v>
      </c>
      <c r="C997" s="41" t="s">
        <v>732</v>
      </c>
      <c r="D997" s="40"/>
      <c r="E997" s="40"/>
      <c r="F997" s="40"/>
    </row>
    <row r="998" spans="1:6" ht="12.75" x14ac:dyDescent="0.2">
      <c r="A998" s="41" t="s">
        <v>733</v>
      </c>
      <c r="B998" s="41" t="s">
        <v>402</v>
      </c>
      <c r="C998" s="41" t="s">
        <v>19</v>
      </c>
      <c r="D998" s="40"/>
      <c r="E998" s="40"/>
      <c r="F998" s="40"/>
    </row>
    <row r="999" spans="1:6" ht="12.75" x14ac:dyDescent="0.2">
      <c r="A999" s="41" t="s">
        <v>734</v>
      </c>
      <c r="B999" s="40"/>
      <c r="C999" s="40"/>
      <c r="D999" s="40"/>
      <c r="E999" s="40"/>
      <c r="F999" s="40"/>
    </row>
    <row r="1000" spans="1:6" ht="12.75" x14ac:dyDescent="0.2">
      <c r="A1000" s="41" t="s">
        <v>735</v>
      </c>
      <c r="B1000" s="40"/>
      <c r="C1000" s="40"/>
      <c r="D1000" s="40"/>
      <c r="E1000" s="40"/>
      <c r="F1000" s="40"/>
    </row>
    <row r="1001" spans="1:6" ht="12.75" x14ac:dyDescent="0.2">
      <c r="A1001" s="41" t="s">
        <v>736</v>
      </c>
      <c r="B1001" s="40"/>
      <c r="C1001" s="40"/>
      <c r="D1001" s="40"/>
      <c r="E1001" s="40"/>
      <c r="F1001" s="40"/>
    </row>
    <row r="1002" spans="1:6" ht="12.75" x14ac:dyDescent="0.2">
      <c r="A1002" s="41" t="s">
        <v>737</v>
      </c>
      <c r="B1002" s="40"/>
      <c r="C1002" s="40"/>
      <c r="D1002" s="40"/>
      <c r="E1002" s="40"/>
      <c r="F1002" s="40"/>
    </row>
    <row r="1003" spans="1:6" ht="12.75" x14ac:dyDescent="0.2">
      <c r="A1003" s="41" t="s">
        <v>738</v>
      </c>
      <c r="B1003" s="40"/>
      <c r="C1003" s="40"/>
      <c r="D1003" s="40"/>
      <c r="E1003" s="40"/>
      <c r="F1003" s="40"/>
    </row>
    <row r="1004" spans="1:6" ht="12.75" x14ac:dyDescent="0.2">
      <c r="A1004" s="41" t="s">
        <v>739</v>
      </c>
      <c r="B1004" s="40"/>
      <c r="C1004" s="40"/>
      <c r="D1004" s="40"/>
      <c r="E1004" s="40"/>
      <c r="F1004" s="40"/>
    </row>
    <row r="1005" spans="1:6" ht="12.75" x14ac:dyDescent="0.2">
      <c r="A1005" s="41" t="s">
        <v>740</v>
      </c>
      <c r="B1005" s="40"/>
      <c r="C1005" s="40"/>
      <c r="D1005" s="40"/>
      <c r="E1005" s="40"/>
      <c r="F1005" s="40"/>
    </row>
    <row r="1006" spans="1:6" ht="12.75" x14ac:dyDescent="0.2">
      <c r="A1006" s="41" t="s">
        <v>344</v>
      </c>
      <c r="B1006" s="40"/>
      <c r="C1006" s="40"/>
      <c r="D1006" s="40"/>
      <c r="E1006" s="40"/>
      <c r="F1006" s="40"/>
    </row>
    <row r="1007" spans="1:6" ht="12.75" x14ac:dyDescent="0.2">
      <c r="A1007" s="40"/>
      <c r="B1007" s="41" t="s">
        <v>403</v>
      </c>
      <c r="C1007" s="41" t="s">
        <v>24</v>
      </c>
      <c r="D1007" s="41" t="s">
        <v>26</v>
      </c>
      <c r="E1007" s="40"/>
      <c r="F1007" s="40"/>
    </row>
    <row r="1008" spans="1:6" ht="12.75" x14ac:dyDescent="0.2">
      <c r="A1008" s="40"/>
      <c r="B1008" s="41" t="s">
        <v>403</v>
      </c>
      <c r="C1008" s="41" t="s">
        <v>32</v>
      </c>
      <c r="D1008" s="41" t="s">
        <v>29</v>
      </c>
      <c r="E1008" s="40"/>
      <c r="F1008" s="40"/>
    </row>
    <row r="1009" spans="1:6" ht="12.75" x14ac:dyDescent="0.2">
      <c r="A1009" s="40"/>
      <c r="B1009" s="41" t="s">
        <v>403</v>
      </c>
      <c r="C1009" s="41" t="s">
        <v>25</v>
      </c>
      <c r="D1009" s="41" t="s">
        <v>27</v>
      </c>
      <c r="E1009" s="40"/>
      <c r="F1009" s="40"/>
    </row>
    <row r="1010" spans="1:6" ht="12.75" x14ac:dyDescent="0.2">
      <c r="A1010" s="40"/>
      <c r="B1010" s="41" t="s">
        <v>403</v>
      </c>
      <c r="C1010" s="41" t="s">
        <v>30</v>
      </c>
      <c r="D1010" s="41" t="s">
        <v>31</v>
      </c>
      <c r="E1010" s="40"/>
      <c r="F1010" s="40"/>
    </row>
    <row r="1011" spans="1:6" ht="12.75" x14ac:dyDescent="0.2">
      <c r="A1011" s="40"/>
      <c r="B1011" s="40"/>
      <c r="C1011" s="40"/>
      <c r="D1011" s="40"/>
      <c r="E1011" s="40"/>
      <c r="F1011" s="40"/>
    </row>
    <row r="1012" spans="1:6" ht="12.75" x14ac:dyDescent="0.2">
      <c r="A1012" s="41" t="s">
        <v>349</v>
      </c>
      <c r="B1012" s="40"/>
      <c r="C1012" s="40"/>
      <c r="D1012" s="40"/>
      <c r="E1012" s="40"/>
      <c r="F1012" s="40"/>
    </row>
    <row r="1013" spans="1:6" ht="12.75" x14ac:dyDescent="0.2">
      <c r="A1013" s="40"/>
      <c r="B1013" s="41" t="s">
        <v>398</v>
      </c>
      <c r="C1013" s="40"/>
      <c r="D1013" s="40"/>
      <c r="E1013" s="40"/>
      <c r="F1013" s="40"/>
    </row>
    <row r="1014" spans="1:6" ht="12.75" x14ac:dyDescent="0.2">
      <c r="A1014" s="40"/>
      <c r="B1014" s="41" t="s">
        <v>399</v>
      </c>
      <c r="C1014" s="40"/>
      <c r="D1014" s="40"/>
      <c r="E1014" s="40"/>
      <c r="F1014" s="40"/>
    </row>
    <row r="1015" spans="1:6" ht="12.75" x14ac:dyDescent="0.2">
      <c r="A1015" s="40"/>
      <c r="B1015" s="41" t="s">
        <v>400</v>
      </c>
      <c r="C1015" s="40"/>
      <c r="D1015" s="40"/>
      <c r="E1015" s="40"/>
      <c r="F1015" s="40"/>
    </row>
    <row r="1016" spans="1:6" ht="12.75" x14ac:dyDescent="0.2">
      <c r="A1016" s="40"/>
      <c r="B1016" s="41" t="s">
        <v>401</v>
      </c>
      <c r="C1016" s="41" t="s">
        <v>349</v>
      </c>
      <c r="D1016" s="40"/>
      <c r="E1016" s="40"/>
      <c r="F1016" s="40"/>
    </row>
    <row r="1017" spans="1:6" ht="25.5" x14ac:dyDescent="0.2">
      <c r="A1017" s="41" t="s">
        <v>741</v>
      </c>
      <c r="B1017" s="41" t="s">
        <v>402</v>
      </c>
      <c r="C1017" s="41" t="s">
        <v>742</v>
      </c>
      <c r="D1017" s="40"/>
      <c r="E1017" s="40"/>
      <c r="F1017" s="40"/>
    </row>
    <row r="1018" spans="1:6" ht="12.75" x14ac:dyDescent="0.2">
      <c r="A1018" s="41" t="s">
        <v>743</v>
      </c>
      <c r="B1018" s="41" t="s">
        <v>402</v>
      </c>
      <c r="C1018" s="41" t="s">
        <v>19</v>
      </c>
      <c r="D1018" s="40"/>
      <c r="E1018" s="40"/>
      <c r="F1018" s="40"/>
    </row>
    <row r="1019" spans="1:6" ht="12.75" x14ac:dyDescent="0.2">
      <c r="A1019" s="41" t="s">
        <v>744</v>
      </c>
      <c r="B1019" s="40"/>
      <c r="C1019" s="40"/>
      <c r="D1019" s="40"/>
      <c r="E1019" s="40"/>
      <c r="F1019" s="40"/>
    </row>
    <row r="1020" spans="1:6" ht="12.75" x14ac:dyDescent="0.2">
      <c r="A1020" s="41" t="s">
        <v>745</v>
      </c>
      <c r="B1020" s="40"/>
      <c r="C1020" s="40"/>
      <c r="D1020" s="40"/>
      <c r="E1020" s="40"/>
      <c r="F1020" s="40"/>
    </row>
    <row r="1021" spans="1:6" ht="12.75" x14ac:dyDescent="0.2">
      <c r="A1021" s="41" t="s">
        <v>746</v>
      </c>
      <c r="B1021" s="40"/>
      <c r="C1021" s="40"/>
      <c r="D1021" s="40"/>
      <c r="E1021" s="40"/>
      <c r="F1021" s="40"/>
    </row>
    <row r="1022" spans="1:6" ht="12.75" x14ac:dyDescent="0.2">
      <c r="A1022" s="41" t="s">
        <v>747</v>
      </c>
      <c r="B1022" s="40"/>
      <c r="C1022" s="40"/>
      <c r="D1022" s="40"/>
      <c r="E1022" s="40"/>
      <c r="F1022" s="40"/>
    </row>
    <row r="1023" spans="1:6" ht="12.75" x14ac:dyDescent="0.2">
      <c r="A1023" s="41" t="s">
        <v>748</v>
      </c>
      <c r="B1023" s="40"/>
      <c r="C1023" s="40"/>
      <c r="D1023" s="40"/>
      <c r="E1023" s="40"/>
      <c r="F1023" s="40"/>
    </row>
    <row r="1024" spans="1:6" ht="12.75" x14ac:dyDescent="0.2">
      <c r="A1024" s="41" t="s">
        <v>348</v>
      </c>
      <c r="B1024" s="40"/>
      <c r="C1024" s="40"/>
      <c r="D1024" s="40"/>
      <c r="E1024" s="40"/>
      <c r="F1024" s="40"/>
    </row>
    <row r="1025" spans="1:6" ht="12.75" x14ac:dyDescent="0.2">
      <c r="A1025" s="40"/>
      <c r="B1025" s="41" t="s">
        <v>403</v>
      </c>
      <c r="C1025" s="41" t="s">
        <v>24</v>
      </c>
      <c r="D1025" s="41" t="s">
        <v>26</v>
      </c>
      <c r="E1025" s="40"/>
      <c r="F1025" s="40"/>
    </row>
    <row r="1026" spans="1:6" ht="12.75" x14ac:dyDescent="0.2">
      <c r="A1026" s="40"/>
      <c r="B1026" s="41" t="s">
        <v>403</v>
      </c>
      <c r="C1026" s="41" t="s">
        <v>32</v>
      </c>
      <c r="D1026" s="41" t="s">
        <v>29</v>
      </c>
      <c r="E1026" s="40"/>
      <c r="F1026" s="40"/>
    </row>
    <row r="1027" spans="1:6" ht="12.75" x14ac:dyDescent="0.2">
      <c r="A1027" s="40"/>
      <c r="B1027" s="41" t="s">
        <v>403</v>
      </c>
      <c r="C1027" s="41" t="s">
        <v>25</v>
      </c>
      <c r="D1027" s="41" t="s">
        <v>27</v>
      </c>
      <c r="E1027" s="40"/>
      <c r="F1027" s="40"/>
    </row>
    <row r="1028" spans="1:6" ht="12.75" x14ac:dyDescent="0.2">
      <c r="A1028" s="40"/>
      <c r="B1028" s="41" t="s">
        <v>403</v>
      </c>
      <c r="C1028" s="41" t="s">
        <v>30</v>
      </c>
      <c r="D1028" s="41" t="s">
        <v>31</v>
      </c>
      <c r="E1028" s="40"/>
      <c r="F1028" s="40"/>
    </row>
    <row r="1029" spans="1:6" ht="12.75" x14ac:dyDescent="0.2">
      <c r="A1029" s="40"/>
      <c r="B1029" s="40"/>
      <c r="C1029" s="40"/>
      <c r="D1029" s="40"/>
      <c r="E1029" s="40"/>
      <c r="F1029" s="40"/>
    </row>
    <row r="1030" spans="1:6" ht="12.75" x14ac:dyDescent="0.2">
      <c r="A1030" s="41" t="s">
        <v>352</v>
      </c>
      <c r="B1030" s="40"/>
      <c r="C1030" s="40"/>
      <c r="D1030" s="40"/>
      <c r="E1030" s="40"/>
      <c r="F1030" s="40"/>
    </row>
    <row r="1031" spans="1:6" ht="12.75" x14ac:dyDescent="0.2">
      <c r="A1031" s="40"/>
      <c r="B1031" s="41" t="s">
        <v>398</v>
      </c>
      <c r="C1031" s="40"/>
      <c r="D1031" s="40"/>
      <c r="E1031" s="40"/>
      <c r="F1031" s="40"/>
    </row>
    <row r="1032" spans="1:6" ht="12.75" x14ac:dyDescent="0.2">
      <c r="A1032" s="40"/>
      <c r="B1032" s="41" t="s">
        <v>399</v>
      </c>
      <c r="C1032" s="40"/>
      <c r="D1032" s="40"/>
      <c r="E1032" s="40"/>
      <c r="F1032" s="40"/>
    </row>
    <row r="1033" spans="1:6" ht="12.75" x14ac:dyDescent="0.2">
      <c r="A1033" s="40"/>
      <c r="B1033" s="41" t="s">
        <v>400</v>
      </c>
      <c r="C1033" s="40"/>
      <c r="D1033" s="40"/>
      <c r="E1033" s="40"/>
      <c r="F1033" s="40"/>
    </row>
    <row r="1034" spans="1:6" ht="12.75" x14ac:dyDescent="0.2">
      <c r="A1034" s="40"/>
      <c r="B1034" s="41" t="s">
        <v>401</v>
      </c>
      <c r="C1034" s="41" t="s">
        <v>352</v>
      </c>
      <c r="D1034" s="40"/>
      <c r="E1034" s="40"/>
      <c r="F1034" s="40"/>
    </row>
    <row r="1035" spans="1:6" ht="38.25" x14ac:dyDescent="0.2">
      <c r="A1035" s="41" t="s">
        <v>750</v>
      </c>
      <c r="B1035" s="41" t="s">
        <v>402</v>
      </c>
      <c r="C1035" s="41" t="s">
        <v>751</v>
      </c>
      <c r="D1035" s="40"/>
      <c r="E1035" s="40"/>
      <c r="F1035" s="40"/>
    </row>
    <row r="1036" spans="1:6" ht="12.75" x14ac:dyDescent="0.2">
      <c r="A1036" s="41" t="s">
        <v>752</v>
      </c>
      <c r="B1036" s="41" t="s">
        <v>402</v>
      </c>
      <c r="C1036" s="41" t="s">
        <v>19</v>
      </c>
      <c r="D1036" s="40"/>
      <c r="E1036" s="40"/>
      <c r="F1036" s="40"/>
    </row>
    <row r="1037" spans="1:6" ht="12.75" x14ac:dyDescent="0.2">
      <c r="A1037" s="41" t="s">
        <v>753</v>
      </c>
      <c r="B1037" s="40"/>
      <c r="C1037" s="40"/>
      <c r="D1037" s="40"/>
      <c r="E1037" s="40"/>
      <c r="F1037" s="40"/>
    </row>
    <row r="1038" spans="1:6" ht="12.75" x14ac:dyDescent="0.2">
      <c r="A1038" s="41" t="s">
        <v>754</v>
      </c>
      <c r="B1038" s="40"/>
      <c r="C1038" s="40"/>
      <c r="D1038" s="40"/>
      <c r="E1038" s="40"/>
      <c r="F1038" s="40"/>
    </row>
    <row r="1039" spans="1:6" ht="12.75" x14ac:dyDescent="0.2">
      <c r="A1039" s="41" t="s">
        <v>755</v>
      </c>
      <c r="B1039" s="40"/>
      <c r="C1039" s="40"/>
      <c r="D1039" s="40"/>
      <c r="E1039" s="40"/>
      <c r="F1039" s="40"/>
    </row>
    <row r="1040" spans="1:6" ht="12.75" x14ac:dyDescent="0.2">
      <c r="A1040" s="41" t="s">
        <v>756</v>
      </c>
      <c r="B1040" s="40"/>
      <c r="C1040" s="40"/>
      <c r="D1040" s="40"/>
      <c r="E1040" s="40"/>
      <c r="F1040" s="40"/>
    </row>
    <row r="1041" spans="1:6" ht="12.75" x14ac:dyDescent="0.2">
      <c r="A1041" s="41" t="s">
        <v>757</v>
      </c>
      <c r="B1041" s="40"/>
      <c r="C1041" s="40"/>
      <c r="D1041" s="40"/>
      <c r="E1041" s="40"/>
      <c r="F1041" s="40"/>
    </row>
    <row r="1042" spans="1:6" ht="12.75" x14ac:dyDescent="0.2">
      <c r="A1042" s="41" t="s">
        <v>758</v>
      </c>
      <c r="B1042" s="40"/>
      <c r="C1042" s="40"/>
      <c r="D1042" s="40"/>
      <c r="E1042" s="40"/>
      <c r="F1042" s="40"/>
    </row>
    <row r="1043" spans="1:6" ht="12.75" x14ac:dyDescent="0.2">
      <c r="A1043" s="41" t="s">
        <v>759</v>
      </c>
      <c r="B1043" s="40"/>
      <c r="C1043" s="40"/>
      <c r="D1043" s="40"/>
      <c r="E1043" s="40"/>
      <c r="F1043" s="40"/>
    </row>
    <row r="1044" spans="1:6" ht="12.75" x14ac:dyDescent="0.2">
      <c r="A1044" s="41" t="s">
        <v>760</v>
      </c>
      <c r="B1044" s="40"/>
      <c r="C1044" s="40"/>
      <c r="D1044" s="40"/>
      <c r="E1044" s="40"/>
      <c r="F1044" s="40"/>
    </row>
    <row r="1045" spans="1:6" ht="12.75" x14ac:dyDescent="0.2">
      <c r="A1045" s="41" t="s">
        <v>761</v>
      </c>
      <c r="B1045" s="40"/>
      <c r="C1045" s="40"/>
      <c r="D1045" s="40"/>
      <c r="E1045" s="40"/>
      <c r="F1045" s="40"/>
    </row>
    <row r="1046" spans="1:6" ht="12.75" x14ac:dyDescent="0.2">
      <c r="A1046" s="41" t="s">
        <v>762</v>
      </c>
      <c r="B1046" s="40"/>
      <c r="C1046" s="40"/>
      <c r="D1046" s="40"/>
      <c r="E1046" s="40"/>
      <c r="F1046" s="40"/>
    </row>
    <row r="1047" spans="1:6" ht="12.75" x14ac:dyDescent="0.2">
      <c r="A1047" s="41" t="s">
        <v>763</v>
      </c>
      <c r="B1047" s="40"/>
      <c r="C1047" s="40"/>
      <c r="D1047" s="40"/>
      <c r="E1047" s="40"/>
      <c r="F1047" s="40"/>
    </row>
    <row r="1048" spans="1:6" ht="12.75" x14ac:dyDescent="0.2">
      <c r="A1048" s="41" t="s">
        <v>764</v>
      </c>
      <c r="B1048" s="40"/>
      <c r="C1048" s="40"/>
      <c r="D1048" s="40"/>
      <c r="E1048" s="40"/>
      <c r="F1048" s="40"/>
    </row>
    <row r="1049" spans="1:6" ht="12.75" x14ac:dyDescent="0.2">
      <c r="A1049" s="41" t="s">
        <v>765</v>
      </c>
      <c r="B1049" s="40"/>
      <c r="C1049" s="40"/>
      <c r="D1049" s="40"/>
      <c r="E1049" s="40"/>
      <c r="F1049" s="40"/>
    </row>
    <row r="1050" spans="1:6" ht="12.75" x14ac:dyDescent="0.2">
      <c r="A1050" s="41" t="s">
        <v>766</v>
      </c>
      <c r="B1050" s="40"/>
      <c r="C1050" s="40"/>
      <c r="D1050" s="40"/>
      <c r="E1050" s="40"/>
      <c r="F1050" s="40"/>
    </row>
    <row r="1051" spans="1:6" ht="12.75" x14ac:dyDescent="0.2">
      <c r="A1051" s="41" t="s">
        <v>767</v>
      </c>
      <c r="B1051" s="40"/>
      <c r="C1051" s="40"/>
      <c r="D1051" s="40"/>
      <c r="E1051" s="40"/>
      <c r="F1051" s="40"/>
    </row>
    <row r="1052" spans="1:6" ht="12.75" x14ac:dyDescent="0.2">
      <c r="A1052" s="41" t="s">
        <v>351</v>
      </c>
      <c r="B1052" s="40"/>
      <c r="C1052" s="40"/>
      <c r="D1052" s="40"/>
      <c r="E1052" s="40"/>
      <c r="F1052" s="40"/>
    </row>
    <row r="1053" spans="1:6" ht="12.75" x14ac:dyDescent="0.2">
      <c r="A1053" s="40"/>
      <c r="B1053" s="41" t="s">
        <v>422</v>
      </c>
      <c r="C1053" s="41" t="s">
        <v>425</v>
      </c>
      <c r="D1053" s="41" t="s">
        <v>426</v>
      </c>
      <c r="E1053" s="40"/>
      <c r="F1053" s="40"/>
    </row>
    <row r="1054" spans="1:6" ht="12.75" x14ac:dyDescent="0.2">
      <c r="A1054" s="40"/>
      <c r="B1054" s="41" t="s">
        <v>403</v>
      </c>
      <c r="C1054" s="41" t="s">
        <v>24</v>
      </c>
      <c r="D1054" s="41" t="s">
        <v>26</v>
      </c>
      <c r="E1054" s="40"/>
      <c r="F1054" s="40"/>
    </row>
    <row r="1055" spans="1:6" ht="12.75" x14ac:dyDescent="0.2">
      <c r="A1055" s="40"/>
      <c r="B1055" s="41" t="s">
        <v>403</v>
      </c>
      <c r="C1055" s="41" t="s">
        <v>32</v>
      </c>
      <c r="D1055" s="41" t="s">
        <v>29</v>
      </c>
      <c r="E1055" s="40"/>
      <c r="F1055" s="40"/>
    </row>
    <row r="1056" spans="1:6" ht="12.75" x14ac:dyDescent="0.2">
      <c r="A1056" s="40"/>
      <c r="B1056" s="41" t="s">
        <v>403</v>
      </c>
      <c r="C1056" s="41" t="s">
        <v>25</v>
      </c>
      <c r="D1056" s="41" t="s">
        <v>27</v>
      </c>
      <c r="E1056" s="40"/>
      <c r="F1056" s="40"/>
    </row>
    <row r="1057" spans="1:6" ht="12.75" x14ac:dyDescent="0.2">
      <c r="A1057" s="40"/>
      <c r="B1057" s="41" t="s">
        <v>403</v>
      </c>
      <c r="C1057" s="41" t="s">
        <v>30</v>
      </c>
      <c r="D1057" s="41" t="s">
        <v>31</v>
      </c>
      <c r="E1057" s="40"/>
      <c r="F1057" s="40"/>
    </row>
    <row r="1058" spans="1:6" ht="12.75" x14ac:dyDescent="0.2">
      <c r="A1058" s="40"/>
      <c r="B1058" s="40"/>
      <c r="C1058" s="40"/>
      <c r="D1058" s="40"/>
      <c r="E1058" s="40"/>
      <c r="F1058" s="40"/>
    </row>
    <row r="1059" spans="1:6" ht="12.75" x14ac:dyDescent="0.2">
      <c r="A1059" s="41" t="s">
        <v>357</v>
      </c>
      <c r="B1059" s="40"/>
      <c r="C1059" s="40"/>
      <c r="D1059" s="40"/>
      <c r="E1059" s="40"/>
      <c r="F1059" s="40"/>
    </row>
    <row r="1060" spans="1:6" ht="12.75" x14ac:dyDescent="0.2">
      <c r="A1060" s="40"/>
      <c r="B1060" s="41" t="s">
        <v>398</v>
      </c>
      <c r="C1060" s="40"/>
      <c r="D1060" s="40"/>
      <c r="E1060" s="40"/>
      <c r="F1060" s="40"/>
    </row>
    <row r="1061" spans="1:6" ht="12.75" x14ac:dyDescent="0.2">
      <c r="A1061" s="40"/>
      <c r="B1061" s="41" t="s">
        <v>399</v>
      </c>
      <c r="C1061" s="40"/>
      <c r="D1061" s="40"/>
      <c r="E1061" s="40"/>
      <c r="F1061" s="40"/>
    </row>
    <row r="1062" spans="1:6" ht="12.75" x14ac:dyDescent="0.2">
      <c r="A1062" s="40"/>
      <c r="B1062" s="41" t="s">
        <v>400</v>
      </c>
      <c r="C1062" s="40"/>
      <c r="D1062" s="40"/>
      <c r="E1062" s="40"/>
      <c r="F1062" s="40"/>
    </row>
    <row r="1063" spans="1:6" ht="12.75" x14ac:dyDescent="0.2">
      <c r="A1063" s="40"/>
      <c r="B1063" s="41" t="s">
        <v>401</v>
      </c>
      <c r="C1063" s="41" t="s">
        <v>357</v>
      </c>
      <c r="D1063" s="40"/>
      <c r="E1063" s="40"/>
      <c r="F1063" s="40"/>
    </row>
    <row r="1064" spans="1:6" ht="25.5" x14ac:dyDescent="0.2">
      <c r="A1064" s="41" t="s">
        <v>768</v>
      </c>
      <c r="B1064" s="41" t="s">
        <v>402</v>
      </c>
      <c r="C1064" s="41" t="s">
        <v>769</v>
      </c>
      <c r="D1064" s="40"/>
      <c r="E1064" s="40"/>
      <c r="F1064" s="40"/>
    </row>
    <row r="1065" spans="1:6" ht="12.75" x14ac:dyDescent="0.2">
      <c r="A1065" s="41" t="s">
        <v>770</v>
      </c>
      <c r="B1065" s="41" t="s">
        <v>402</v>
      </c>
      <c r="C1065" s="41" t="s">
        <v>19</v>
      </c>
      <c r="D1065" s="40"/>
      <c r="E1065" s="40"/>
      <c r="F1065" s="40"/>
    </row>
    <row r="1066" spans="1:6" ht="12.75" x14ac:dyDescent="0.2">
      <c r="A1066" s="41" t="s">
        <v>771</v>
      </c>
      <c r="B1066" s="40"/>
      <c r="C1066" s="40"/>
      <c r="D1066" s="40"/>
      <c r="E1066" s="40"/>
      <c r="F1066" s="40"/>
    </row>
    <row r="1067" spans="1:6" ht="12.75" x14ac:dyDescent="0.2">
      <c r="A1067" s="41" t="s">
        <v>772</v>
      </c>
      <c r="B1067" s="40"/>
      <c r="C1067" s="40"/>
      <c r="D1067" s="40"/>
      <c r="E1067" s="40"/>
      <c r="F1067" s="40"/>
    </row>
    <row r="1068" spans="1:6" ht="12.75" x14ac:dyDescent="0.2">
      <c r="A1068" s="41" t="s">
        <v>773</v>
      </c>
      <c r="B1068" s="40"/>
      <c r="C1068" s="40"/>
      <c r="D1068" s="40"/>
      <c r="E1068" s="40"/>
      <c r="F1068" s="40"/>
    </row>
    <row r="1069" spans="1:6" ht="12.75" x14ac:dyDescent="0.2">
      <c r="A1069" s="41" t="s">
        <v>774</v>
      </c>
      <c r="B1069" s="40"/>
      <c r="C1069" s="40"/>
      <c r="D1069" s="40"/>
      <c r="E1069" s="40"/>
      <c r="F1069" s="40"/>
    </row>
    <row r="1070" spans="1:6" ht="12.75" x14ac:dyDescent="0.2">
      <c r="A1070" s="41" t="s">
        <v>775</v>
      </c>
      <c r="B1070" s="40"/>
      <c r="C1070" s="40"/>
      <c r="D1070" s="40"/>
      <c r="E1070" s="40"/>
      <c r="F1070" s="40"/>
    </row>
    <row r="1071" spans="1:6" ht="12.75" x14ac:dyDescent="0.2">
      <c r="A1071" s="41" t="s">
        <v>776</v>
      </c>
      <c r="B1071" s="40"/>
      <c r="C1071" s="40"/>
      <c r="D1071" s="40"/>
      <c r="E1071" s="40"/>
      <c r="F1071" s="40"/>
    </row>
    <row r="1072" spans="1:6" ht="12.75" x14ac:dyDescent="0.2">
      <c r="A1072" s="41" t="s">
        <v>777</v>
      </c>
      <c r="B1072" s="40"/>
      <c r="C1072" s="40"/>
      <c r="D1072" s="40"/>
      <c r="E1072" s="40"/>
      <c r="F1072" s="40"/>
    </row>
    <row r="1073" spans="1:6" ht="12.75" x14ac:dyDescent="0.2">
      <c r="A1073" s="41" t="s">
        <v>778</v>
      </c>
      <c r="B1073" s="40"/>
      <c r="C1073" s="40"/>
      <c r="D1073" s="40"/>
      <c r="E1073" s="40"/>
      <c r="F1073" s="40"/>
    </row>
    <row r="1074" spans="1:6" ht="12.75" x14ac:dyDescent="0.2">
      <c r="A1074" s="41" t="s">
        <v>779</v>
      </c>
      <c r="B1074" s="40"/>
      <c r="C1074" s="40"/>
      <c r="D1074" s="40"/>
      <c r="E1074" s="40"/>
      <c r="F1074" s="40"/>
    </row>
    <row r="1075" spans="1:6" ht="12.75" x14ac:dyDescent="0.2">
      <c r="A1075" s="41" t="s">
        <v>780</v>
      </c>
      <c r="B1075" s="40"/>
      <c r="C1075" s="40"/>
      <c r="D1075" s="40"/>
      <c r="E1075" s="40"/>
      <c r="F1075" s="40"/>
    </row>
    <row r="1076" spans="1:6" ht="12.75" x14ac:dyDescent="0.2">
      <c r="A1076" s="41" t="s">
        <v>781</v>
      </c>
      <c r="B1076" s="40"/>
      <c r="C1076" s="40"/>
      <c r="D1076" s="40"/>
      <c r="E1076" s="40"/>
      <c r="F1076" s="40"/>
    </row>
    <row r="1077" spans="1:6" ht="12.75" x14ac:dyDescent="0.2">
      <c r="A1077" s="41" t="s">
        <v>356</v>
      </c>
      <c r="B1077" s="40"/>
      <c r="C1077" s="40"/>
      <c r="D1077" s="40"/>
      <c r="E1077" s="40"/>
      <c r="F1077" s="40"/>
    </row>
    <row r="1078" spans="1:6" ht="12.75" x14ac:dyDescent="0.2">
      <c r="A1078" s="40"/>
      <c r="B1078" s="41" t="s">
        <v>422</v>
      </c>
      <c r="C1078" s="41" t="s">
        <v>425</v>
      </c>
      <c r="D1078" s="41" t="s">
        <v>426</v>
      </c>
      <c r="E1078" s="40"/>
      <c r="F1078" s="40"/>
    </row>
    <row r="1079" spans="1:6" ht="12.75" x14ac:dyDescent="0.2">
      <c r="A1079" s="40"/>
      <c r="B1079" s="41" t="s">
        <v>403</v>
      </c>
      <c r="C1079" s="41" t="s">
        <v>24</v>
      </c>
      <c r="D1079" s="41" t="s">
        <v>26</v>
      </c>
      <c r="E1079" s="40"/>
      <c r="F1079" s="40"/>
    </row>
    <row r="1080" spans="1:6" ht="12.75" x14ac:dyDescent="0.2">
      <c r="A1080" s="40"/>
      <c r="B1080" s="41" t="s">
        <v>403</v>
      </c>
      <c r="C1080" s="41" t="s">
        <v>32</v>
      </c>
      <c r="D1080" s="41" t="s">
        <v>29</v>
      </c>
      <c r="E1080" s="40"/>
      <c r="F1080" s="40"/>
    </row>
    <row r="1081" spans="1:6" ht="12.75" x14ac:dyDescent="0.2">
      <c r="A1081" s="40"/>
      <c r="B1081" s="41" t="s">
        <v>403</v>
      </c>
      <c r="C1081" s="41" t="s">
        <v>25</v>
      </c>
      <c r="D1081" s="41" t="s">
        <v>27</v>
      </c>
      <c r="E1081" s="40"/>
      <c r="F1081" s="40"/>
    </row>
    <row r="1082" spans="1:6" ht="12.75" x14ac:dyDescent="0.2">
      <c r="A1082" s="40"/>
      <c r="B1082" s="41" t="s">
        <v>403</v>
      </c>
      <c r="C1082" s="41" t="s">
        <v>30</v>
      </c>
      <c r="D1082" s="41" t="s">
        <v>31</v>
      </c>
      <c r="E1082" s="40"/>
      <c r="F1082" s="40"/>
    </row>
    <row r="1083" spans="1:6" ht="12.75" x14ac:dyDescent="0.2">
      <c r="A1083" s="40"/>
      <c r="B1083" s="40"/>
      <c r="C1083" s="40"/>
      <c r="D1083" s="40"/>
      <c r="E1083" s="40"/>
      <c r="F1083" s="40"/>
    </row>
    <row r="1084" spans="1:6" ht="12.75" x14ac:dyDescent="0.2">
      <c r="A1084" s="41" t="s">
        <v>359</v>
      </c>
      <c r="B1084" s="40"/>
      <c r="C1084" s="40"/>
      <c r="D1084" s="40"/>
      <c r="E1084" s="40"/>
      <c r="F1084" s="40"/>
    </row>
    <row r="1085" spans="1:6" ht="12.75" x14ac:dyDescent="0.2">
      <c r="A1085" s="40"/>
      <c r="B1085" s="41" t="s">
        <v>398</v>
      </c>
      <c r="C1085" s="40"/>
      <c r="D1085" s="40"/>
      <c r="E1085" s="40"/>
      <c r="F1085" s="40"/>
    </row>
    <row r="1086" spans="1:6" ht="12.75" x14ac:dyDescent="0.2">
      <c r="A1086" s="40"/>
      <c r="B1086" s="41" t="s">
        <v>399</v>
      </c>
      <c r="C1086" s="40"/>
      <c r="D1086" s="40"/>
      <c r="E1086" s="40"/>
      <c r="F1086" s="40"/>
    </row>
    <row r="1087" spans="1:6" ht="12.75" x14ac:dyDescent="0.2">
      <c r="A1087" s="40"/>
      <c r="B1087" s="41" t="s">
        <v>400</v>
      </c>
      <c r="C1087" s="40"/>
      <c r="D1087" s="40"/>
      <c r="E1087" s="40"/>
      <c r="F1087" s="40"/>
    </row>
    <row r="1088" spans="1:6" ht="12.75" x14ac:dyDescent="0.2">
      <c r="A1088" s="40"/>
      <c r="B1088" s="41" t="s">
        <v>401</v>
      </c>
      <c r="C1088" s="41" t="s">
        <v>359</v>
      </c>
      <c r="D1088" s="40"/>
      <c r="E1088" s="40"/>
      <c r="F1088" s="40"/>
    </row>
    <row r="1089" spans="1:6" ht="25.5" x14ac:dyDescent="0.2">
      <c r="A1089" s="41" t="s">
        <v>782</v>
      </c>
      <c r="B1089" s="41" t="s">
        <v>402</v>
      </c>
      <c r="C1089" s="41" t="s">
        <v>783</v>
      </c>
      <c r="D1089" s="40"/>
      <c r="E1089" s="40"/>
      <c r="F1089" s="40"/>
    </row>
    <row r="1090" spans="1:6" ht="12.75" x14ac:dyDescent="0.2">
      <c r="A1090" s="41" t="s">
        <v>784</v>
      </c>
      <c r="B1090" s="41" t="s">
        <v>402</v>
      </c>
      <c r="C1090" s="41" t="s">
        <v>19</v>
      </c>
      <c r="D1090" s="40"/>
      <c r="E1090" s="40"/>
      <c r="F1090" s="40"/>
    </row>
    <row r="1091" spans="1:6" ht="12.75" x14ac:dyDescent="0.2">
      <c r="A1091" s="41" t="s">
        <v>785</v>
      </c>
      <c r="B1091" s="40"/>
      <c r="C1091" s="40"/>
      <c r="D1091" s="40"/>
      <c r="E1091" s="40"/>
      <c r="F1091" s="40"/>
    </row>
    <row r="1092" spans="1:6" ht="12.75" x14ac:dyDescent="0.2">
      <c r="A1092" s="41" t="s">
        <v>786</v>
      </c>
      <c r="B1092" s="40"/>
      <c r="C1092" s="40"/>
      <c r="D1092" s="40"/>
      <c r="E1092" s="40"/>
      <c r="F1092" s="40"/>
    </row>
    <row r="1093" spans="1:6" ht="12.75" x14ac:dyDescent="0.2">
      <c r="A1093" s="41" t="s">
        <v>787</v>
      </c>
      <c r="B1093" s="40"/>
      <c r="C1093" s="40"/>
      <c r="D1093" s="40"/>
      <c r="E1093" s="40"/>
      <c r="F1093" s="40"/>
    </row>
    <row r="1094" spans="1:6" ht="12.75" x14ac:dyDescent="0.2">
      <c r="A1094" s="41" t="s">
        <v>788</v>
      </c>
      <c r="B1094" s="40"/>
      <c r="C1094" s="40"/>
      <c r="D1094" s="40"/>
      <c r="E1094" s="40"/>
      <c r="F1094" s="40"/>
    </row>
    <row r="1095" spans="1:6" ht="12.75" x14ac:dyDescent="0.2">
      <c r="A1095" s="41" t="s">
        <v>789</v>
      </c>
      <c r="B1095" s="40"/>
      <c r="C1095" s="40"/>
      <c r="D1095" s="40"/>
      <c r="E1095" s="40"/>
      <c r="F1095" s="40"/>
    </row>
    <row r="1096" spans="1:6" ht="12.75" x14ac:dyDescent="0.2">
      <c r="A1096" s="41" t="s">
        <v>790</v>
      </c>
      <c r="B1096" s="40"/>
      <c r="C1096" s="40"/>
      <c r="D1096" s="40"/>
      <c r="E1096" s="40"/>
      <c r="F1096" s="40"/>
    </row>
    <row r="1097" spans="1:6" ht="12.75" x14ac:dyDescent="0.2">
      <c r="A1097" s="41" t="s">
        <v>791</v>
      </c>
      <c r="B1097" s="40"/>
      <c r="C1097" s="40"/>
      <c r="D1097" s="40"/>
      <c r="E1097" s="40"/>
      <c r="F1097" s="40"/>
    </row>
    <row r="1098" spans="1:6" ht="12.75" x14ac:dyDescent="0.2">
      <c r="A1098" s="41" t="s">
        <v>792</v>
      </c>
      <c r="B1098" s="40"/>
      <c r="C1098" s="40"/>
      <c r="D1098" s="40"/>
      <c r="E1098" s="40"/>
      <c r="F1098" s="40"/>
    </row>
    <row r="1099" spans="1:6" ht="12.75" x14ac:dyDescent="0.2">
      <c r="A1099" s="41" t="s">
        <v>358</v>
      </c>
      <c r="B1099" s="40"/>
      <c r="C1099" s="40"/>
      <c r="D1099" s="40"/>
      <c r="E1099" s="40"/>
      <c r="F1099" s="40"/>
    </row>
    <row r="1100" spans="1:6" ht="12.75" x14ac:dyDescent="0.2">
      <c r="A1100" s="40"/>
      <c r="B1100" s="41" t="s">
        <v>422</v>
      </c>
      <c r="C1100" s="41" t="s">
        <v>425</v>
      </c>
      <c r="D1100" s="41" t="s">
        <v>426</v>
      </c>
      <c r="E1100" s="40"/>
      <c r="F1100" s="40"/>
    </row>
    <row r="1101" spans="1:6" ht="12.75" x14ac:dyDescent="0.2">
      <c r="A1101" s="40"/>
      <c r="B1101" s="41" t="s">
        <v>403</v>
      </c>
      <c r="C1101" s="41" t="s">
        <v>38</v>
      </c>
      <c r="D1101" s="41" t="s">
        <v>26</v>
      </c>
      <c r="E1101" s="40"/>
      <c r="F1101" s="40"/>
    </row>
    <row r="1102" spans="1:6" ht="12.75" x14ac:dyDescent="0.2">
      <c r="A1102" s="40"/>
      <c r="B1102" s="41" t="s">
        <v>403</v>
      </c>
      <c r="C1102" s="41" t="s">
        <v>56</v>
      </c>
      <c r="D1102" s="41" t="s">
        <v>29</v>
      </c>
      <c r="E1102" s="40"/>
      <c r="F1102" s="40"/>
    </row>
    <row r="1103" spans="1:6" ht="12.75" x14ac:dyDescent="0.2">
      <c r="A1103" s="40"/>
      <c r="B1103" s="41" t="s">
        <v>403</v>
      </c>
      <c r="C1103" s="41" t="s">
        <v>25</v>
      </c>
      <c r="D1103" s="41" t="s">
        <v>793</v>
      </c>
      <c r="E1103" s="40"/>
      <c r="F1103" s="40"/>
    </row>
    <row r="1104" spans="1:6" ht="12.75" x14ac:dyDescent="0.2">
      <c r="A1104" s="40"/>
      <c r="B1104" s="41" t="s">
        <v>403</v>
      </c>
      <c r="C1104" s="41" t="s">
        <v>794</v>
      </c>
      <c r="D1104" s="41" t="s">
        <v>793</v>
      </c>
      <c r="E1104" s="40"/>
      <c r="F1104" s="40"/>
    </row>
    <row r="1105" spans="1:6" ht="12.75" x14ac:dyDescent="0.2">
      <c r="A1105" s="40"/>
      <c r="B1105" s="40"/>
      <c r="C1105" s="40"/>
      <c r="D1105" s="40"/>
      <c r="E1105" s="40"/>
      <c r="F1105" s="40"/>
    </row>
    <row r="1106" spans="1:6" ht="12.75" x14ac:dyDescent="0.2">
      <c r="A1106" s="41" t="s">
        <v>325</v>
      </c>
      <c r="B1106" s="40"/>
      <c r="C1106" s="40"/>
      <c r="D1106" s="40"/>
      <c r="E1106" s="40"/>
      <c r="F1106" s="40"/>
    </row>
    <row r="1107" spans="1:6" ht="12.75" x14ac:dyDescent="0.2">
      <c r="A1107" s="40"/>
      <c r="B1107" s="41" t="s">
        <v>398</v>
      </c>
      <c r="C1107" s="40"/>
      <c r="D1107" s="40"/>
      <c r="E1107" s="40"/>
      <c r="F1107" s="40"/>
    </row>
    <row r="1108" spans="1:6" ht="12.75" x14ac:dyDescent="0.2">
      <c r="A1108" s="40"/>
      <c r="B1108" s="41" t="s">
        <v>399</v>
      </c>
      <c r="C1108" s="40"/>
      <c r="D1108" s="40"/>
      <c r="E1108" s="40"/>
      <c r="F1108" s="40"/>
    </row>
    <row r="1109" spans="1:6" ht="12.75" x14ac:dyDescent="0.2">
      <c r="A1109" s="40"/>
      <c r="B1109" s="41" t="s">
        <v>400</v>
      </c>
      <c r="C1109" s="40"/>
      <c r="D1109" s="40"/>
      <c r="E1109" s="40"/>
      <c r="F1109" s="40"/>
    </row>
    <row r="1110" spans="1:6" ht="12.75" x14ac:dyDescent="0.2">
      <c r="A1110" s="40"/>
      <c r="B1110" s="41" t="s">
        <v>401</v>
      </c>
      <c r="C1110" s="41" t="s">
        <v>325</v>
      </c>
      <c r="D1110" s="40"/>
      <c r="E1110" s="40"/>
      <c r="F1110" s="40"/>
    </row>
    <row r="1111" spans="1:6" ht="12.75" x14ac:dyDescent="0.2">
      <c r="A1111" s="41" t="s">
        <v>232</v>
      </c>
      <c r="B1111" s="41" t="s">
        <v>402</v>
      </c>
      <c r="C1111" s="41" t="s">
        <v>326</v>
      </c>
      <c r="D1111" s="40"/>
      <c r="E1111" s="40"/>
      <c r="F1111" s="40"/>
    </row>
    <row r="1112" spans="1:6" ht="12.75" x14ac:dyDescent="0.2">
      <c r="A1112" s="40"/>
      <c r="B1112" s="41" t="s">
        <v>403</v>
      </c>
      <c r="C1112" s="41" t="s">
        <v>329</v>
      </c>
      <c r="D1112" s="41" t="s">
        <v>330</v>
      </c>
      <c r="E1112" s="40"/>
      <c r="F1112" s="40"/>
    </row>
    <row r="1113" spans="1:6" ht="12.75" x14ac:dyDescent="0.2">
      <c r="A1113" s="40"/>
      <c r="B1113" s="41" t="s">
        <v>403</v>
      </c>
      <c r="C1113" s="41" t="s">
        <v>341</v>
      </c>
      <c r="D1113" s="41" t="s">
        <v>342</v>
      </c>
      <c r="E1113" s="40"/>
      <c r="F1113" s="40"/>
    </row>
    <row r="1114" spans="1:6" ht="12.75" x14ac:dyDescent="0.2">
      <c r="A1114" s="40"/>
      <c r="B1114" s="41" t="s">
        <v>403</v>
      </c>
      <c r="C1114" s="41" t="s">
        <v>344</v>
      </c>
      <c r="D1114" s="41" t="s">
        <v>345</v>
      </c>
      <c r="E1114" s="40"/>
      <c r="F1114" s="40"/>
    </row>
    <row r="1115" spans="1:6" ht="12.75" x14ac:dyDescent="0.2">
      <c r="A1115" s="40"/>
      <c r="B1115" s="41" t="s">
        <v>403</v>
      </c>
      <c r="C1115" s="41" t="s">
        <v>348</v>
      </c>
      <c r="D1115" s="41" t="s">
        <v>349</v>
      </c>
      <c r="E1115" s="40"/>
      <c r="F1115" s="40"/>
    </row>
    <row r="1116" spans="1:6" ht="12.75" x14ac:dyDescent="0.2">
      <c r="A1116" s="40"/>
      <c r="B1116" s="41" t="s">
        <v>403</v>
      </c>
      <c r="C1116" s="41" t="s">
        <v>351</v>
      </c>
      <c r="D1116" s="41" t="s">
        <v>352</v>
      </c>
      <c r="E1116" s="40"/>
      <c r="F1116" s="40"/>
    </row>
    <row r="1117" spans="1:6" ht="12.75" x14ac:dyDescent="0.2">
      <c r="A1117" s="40"/>
      <c r="B1117" s="41" t="s">
        <v>403</v>
      </c>
      <c r="C1117" s="41" t="s">
        <v>356</v>
      </c>
      <c r="D1117" s="41" t="s">
        <v>357</v>
      </c>
      <c r="E1117" s="40"/>
      <c r="F1117" s="40"/>
    </row>
    <row r="1118" spans="1:6" ht="12.75" x14ac:dyDescent="0.2">
      <c r="A1118" s="40"/>
      <c r="B1118" s="41" t="s">
        <v>403</v>
      </c>
      <c r="C1118" s="41" t="s">
        <v>358</v>
      </c>
      <c r="D1118" s="41" t="s">
        <v>359</v>
      </c>
      <c r="E1118" s="40"/>
      <c r="F1118" s="40"/>
    </row>
    <row r="1119" spans="1:6" ht="12.75" x14ac:dyDescent="0.2">
      <c r="A1119" s="40"/>
      <c r="B1119" s="41" t="s">
        <v>403</v>
      </c>
      <c r="C1119" s="41" t="s">
        <v>32</v>
      </c>
      <c r="D1119" s="41" t="s">
        <v>29</v>
      </c>
      <c r="E1119" s="40"/>
      <c r="F1119" s="40"/>
    </row>
    <row r="1120" spans="1:6" ht="12.75" x14ac:dyDescent="0.2">
      <c r="A1120" s="40"/>
      <c r="B1120" s="40"/>
      <c r="C1120" s="40"/>
      <c r="D1120" s="40"/>
      <c r="E1120" s="40"/>
      <c r="F1120" s="40"/>
    </row>
    <row r="1121" spans="1:6" ht="12.75" x14ac:dyDescent="0.2">
      <c r="A1121" s="41" t="s">
        <v>42</v>
      </c>
      <c r="B1121" s="40"/>
      <c r="C1121" s="40"/>
      <c r="D1121" s="40"/>
      <c r="E1121" s="40"/>
      <c r="F1121" s="40"/>
    </row>
    <row r="1122" spans="1:6" ht="12.75" x14ac:dyDescent="0.2">
      <c r="A1122" s="40"/>
      <c r="B1122" s="41" t="s">
        <v>398</v>
      </c>
      <c r="C1122" s="40"/>
      <c r="D1122" s="40"/>
      <c r="E1122" s="40"/>
      <c r="F1122" s="40"/>
    </row>
    <row r="1123" spans="1:6" ht="12.75" x14ac:dyDescent="0.2">
      <c r="A1123" s="40"/>
      <c r="B1123" s="41" t="s">
        <v>399</v>
      </c>
      <c r="C1123" s="40"/>
      <c r="D1123" s="40"/>
      <c r="E1123" s="40"/>
      <c r="F1123" s="40"/>
    </row>
    <row r="1124" spans="1:6" ht="12.75" x14ac:dyDescent="0.2">
      <c r="A1124" s="40"/>
      <c r="B1124" s="41" t="s">
        <v>400</v>
      </c>
      <c r="C1124" s="40"/>
      <c r="D1124" s="40"/>
      <c r="E1124" s="40"/>
      <c r="F1124" s="40"/>
    </row>
    <row r="1125" spans="1:6" ht="12.75" x14ac:dyDescent="0.2">
      <c r="A1125" s="40"/>
      <c r="B1125" s="41" t="s">
        <v>401</v>
      </c>
      <c r="C1125" s="40"/>
      <c r="D1125" s="40"/>
      <c r="E1125" s="40"/>
      <c r="F1125" s="40"/>
    </row>
    <row r="1126" spans="1:6" ht="25.5" x14ac:dyDescent="0.2">
      <c r="A1126" s="40"/>
      <c r="B1126" s="41" t="s">
        <v>402</v>
      </c>
      <c r="C1126" s="41" t="s">
        <v>43</v>
      </c>
      <c r="D1126" s="40"/>
      <c r="E1126" s="40"/>
      <c r="F1126" s="40"/>
    </row>
    <row r="1127" spans="1:6" ht="12.75" x14ac:dyDescent="0.2">
      <c r="A1127" s="40"/>
      <c r="B1127" s="40"/>
      <c r="C1127" s="40"/>
      <c r="D1127" s="40"/>
      <c r="E1127" s="40"/>
      <c r="F1127" s="40"/>
    </row>
    <row r="1128" spans="1:6" ht="12.75" x14ac:dyDescent="0.2">
      <c r="A1128" s="41" t="s">
        <v>31</v>
      </c>
      <c r="B1128" s="40"/>
      <c r="C1128" s="40"/>
      <c r="D1128" s="40"/>
      <c r="E1128" s="40"/>
      <c r="F1128" s="40"/>
    </row>
    <row r="1129" spans="1:6" ht="12.75" x14ac:dyDescent="0.2">
      <c r="A1129" s="40"/>
      <c r="B1129" s="41" t="s">
        <v>398</v>
      </c>
      <c r="C1129" s="40"/>
      <c r="D1129" s="40"/>
      <c r="E1129" s="40"/>
      <c r="F1129" s="40"/>
    </row>
    <row r="1130" spans="1:6" ht="12.75" x14ac:dyDescent="0.2">
      <c r="A1130" s="40"/>
      <c r="B1130" s="41" t="s">
        <v>399</v>
      </c>
      <c r="C1130" s="40"/>
      <c r="D1130" s="40"/>
      <c r="E1130" s="40"/>
      <c r="F1130" s="40"/>
    </row>
    <row r="1131" spans="1:6" ht="12.75" x14ac:dyDescent="0.2">
      <c r="A1131" s="40"/>
      <c r="B1131" s="41" t="s">
        <v>400</v>
      </c>
      <c r="C1131" s="40"/>
      <c r="D1131" s="40"/>
      <c r="E1131" s="40"/>
      <c r="F1131" s="40"/>
    </row>
    <row r="1132" spans="1:6" ht="12.75" x14ac:dyDescent="0.2">
      <c r="A1132" s="40"/>
      <c r="B1132" s="41" t="s">
        <v>401</v>
      </c>
      <c r="C1132" s="41" t="s">
        <v>31</v>
      </c>
      <c r="D1132" s="40"/>
      <c r="E1132" s="40"/>
      <c r="F1132" s="40"/>
    </row>
    <row r="1133" spans="1:6" ht="38.25" x14ac:dyDescent="0.2">
      <c r="A1133" s="41" t="s">
        <v>795</v>
      </c>
      <c r="B1133" s="41" t="s">
        <v>402</v>
      </c>
      <c r="C1133" s="41" t="s">
        <v>796</v>
      </c>
      <c r="D1133" s="40"/>
      <c r="E1133" s="40"/>
      <c r="F1133" s="40"/>
    </row>
    <row r="1134" spans="1:6" ht="25.5" x14ac:dyDescent="0.2">
      <c r="A1134" s="41" t="s">
        <v>797</v>
      </c>
      <c r="B1134" s="41" t="s">
        <v>402</v>
      </c>
      <c r="C1134" s="41" t="s">
        <v>386</v>
      </c>
      <c r="D1134" s="40"/>
      <c r="E1134" s="40"/>
      <c r="F1134" s="40"/>
    </row>
    <row r="1135" spans="1:6" ht="12.75" x14ac:dyDescent="0.2">
      <c r="A1135" s="41" t="s">
        <v>798</v>
      </c>
      <c r="B1135" s="40"/>
      <c r="C1135" s="40"/>
      <c r="D1135" s="40"/>
      <c r="E1135" s="40"/>
      <c r="F1135" s="40"/>
    </row>
    <row r="1136" spans="1:6" ht="12.75" x14ac:dyDescent="0.2">
      <c r="A1136" s="41" t="s">
        <v>30</v>
      </c>
      <c r="B1136" s="40"/>
      <c r="C1136" s="40"/>
      <c r="D1136" s="40"/>
      <c r="E1136" s="40"/>
      <c r="F1136" s="40"/>
    </row>
    <row r="1137" spans="1:6" ht="12.75" x14ac:dyDescent="0.2">
      <c r="A1137" s="40"/>
      <c r="B1137" s="41" t="s">
        <v>422</v>
      </c>
      <c r="C1137" s="41" t="s">
        <v>423</v>
      </c>
      <c r="D1137" s="41" t="s">
        <v>424</v>
      </c>
      <c r="E1137" s="40"/>
      <c r="F1137" s="40"/>
    </row>
    <row r="1138" spans="1:6" ht="12.75" x14ac:dyDescent="0.2">
      <c r="A1138" s="40"/>
      <c r="B1138" s="41" t="s">
        <v>403</v>
      </c>
      <c r="C1138" s="41" t="s">
        <v>227</v>
      </c>
      <c r="D1138" s="41" t="s">
        <v>256</v>
      </c>
      <c r="E1138" s="40"/>
      <c r="F1138" s="40"/>
    </row>
    <row r="1139" spans="1:6" ht="12.75" x14ac:dyDescent="0.2">
      <c r="A1139" s="40"/>
      <c r="B1139" s="41" t="s">
        <v>403</v>
      </c>
      <c r="C1139" s="41" t="s">
        <v>32</v>
      </c>
      <c r="D1139" s="41" t="s">
        <v>29</v>
      </c>
      <c r="E1139" s="40"/>
      <c r="F1139" s="40"/>
    </row>
    <row r="1140" spans="1:6" ht="12.75" x14ac:dyDescent="0.2">
      <c r="A1140" s="40"/>
      <c r="B1140" s="41" t="s">
        <v>403</v>
      </c>
      <c r="C1140" s="41" t="s">
        <v>24</v>
      </c>
      <c r="D1140" s="41" t="s">
        <v>26</v>
      </c>
      <c r="E1140" s="40"/>
      <c r="F1140" s="40"/>
    </row>
    <row r="1141" spans="1:6" ht="12.75" x14ac:dyDescent="0.2">
      <c r="A1141" s="40"/>
      <c r="B1141" s="41" t="s">
        <v>403</v>
      </c>
      <c r="C1141" s="41" t="s">
        <v>25</v>
      </c>
      <c r="D1141" s="41" t="s">
        <v>27</v>
      </c>
      <c r="E1141" s="40"/>
      <c r="F1141" s="40"/>
    </row>
    <row r="1142" spans="1:6" ht="12.75" x14ac:dyDescent="0.2">
      <c r="A1142" s="40"/>
      <c r="B1142" s="40"/>
      <c r="C1142" s="40"/>
      <c r="D1142" s="40"/>
      <c r="E1142" s="40"/>
      <c r="F1142" s="40"/>
    </row>
    <row r="1143" spans="1:6" ht="12.75" x14ac:dyDescent="0.2">
      <c r="A1143" s="41" t="s">
        <v>27</v>
      </c>
      <c r="B1143" s="40"/>
      <c r="C1143" s="40"/>
      <c r="D1143" s="40"/>
      <c r="E1143" s="40"/>
      <c r="F1143" s="40"/>
    </row>
    <row r="1144" spans="1:6" ht="12.75" x14ac:dyDescent="0.2">
      <c r="A1144" s="40"/>
      <c r="B1144" s="41" t="s">
        <v>398</v>
      </c>
      <c r="C1144" s="40"/>
      <c r="D1144" s="40"/>
      <c r="E1144" s="40"/>
      <c r="F1144" s="40"/>
    </row>
    <row r="1145" spans="1:6" ht="12.75" x14ac:dyDescent="0.2">
      <c r="A1145" s="40"/>
      <c r="B1145" s="41" t="s">
        <v>399</v>
      </c>
      <c r="C1145" s="40"/>
      <c r="D1145" s="40"/>
      <c r="E1145" s="40"/>
      <c r="F1145" s="40"/>
    </row>
    <row r="1146" spans="1:6" ht="12.75" x14ac:dyDescent="0.2">
      <c r="A1146" s="40"/>
      <c r="B1146" s="41" t="s">
        <v>400</v>
      </c>
      <c r="C1146" s="40"/>
      <c r="D1146" s="40"/>
      <c r="E1146" s="40"/>
      <c r="F1146" s="40"/>
    </row>
    <row r="1147" spans="1:6" ht="12.75" x14ac:dyDescent="0.2">
      <c r="A1147" s="40"/>
      <c r="B1147" s="41" t="s">
        <v>401</v>
      </c>
      <c r="C1147" s="41" t="s">
        <v>27</v>
      </c>
      <c r="D1147" s="40"/>
      <c r="E1147" s="40"/>
      <c r="F1147" s="40"/>
    </row>
    <row r="1148" spans="1:6" ht="38.25" x14ac:dyDescent="0.2">
      <c r="A1148" s="41" t="s">
        <v>799</v>
      </c>
      <c r="B1148" s="41" t="s">
        <v>402</v>
      </c>
      <c r="C1148" s="41" t="s">
        <v>396</v>
      </c>
      <c r="D1148" s="40"/>
      <c r="E1148" s="40"/>
      <c r="F1148" s="40"/>
    </row>
    <row r="1149" spans="1:6" ht="12.75" x14ac:dyDescent="0.2">
      <c r="A1149" s="41" t="s">
        <v>800</v>
      </c>
      <c r="B1149" s="40"/>
      <c r="C1149" s="40"/>
      <c r="D1149" s="40"/>
      <c r="E1149" s="40"/>
      <c r="F1149" s="40"/>
    </row>
    <row r="1150" spans="1:6" ht="12.75" x14ac:dyDescent="0.2">
      <c r="A1150" s="41" t="s">
        <v>801</v>
      </c>
      <c r="B1150" s="40"/>
      <c r="C1150" s="40"/>
      <c r="D1150" s="40"/>
      <c r="E1150" s="40"/>
      <c r="F1150" s="40"/>
    </row>
    <row r="1151" spans="1:6" ht="12.75" x14ac:dyDescent="0.2">
      <c r="A1151" s="41" t="s">
        <v>802</v>
      </c>
      <c r="B1151" s="40"/>
      <c r="C1151" s="40"/>
      <c r="D1151" s="40"/>
      <c r="E1151" s="40"/>
      <c r="F1151" s="40"/>
    </row>
    <row r="1152" spans="1:6" ht="12.75" x14ac:dyDescent="0.2">
      <c r="A1152" s="41" t="s">
        <v>803</v>
      </c>
      <c r="B1152" s="40"/>
      <c r="C1152" s="40"/>
      <c r="D1152" s="40"/>
      <c r="E1152" s="40"/>
      <c r="F1152" s="40"/>
    </row>
    <row r="1153" spans="1:6" ht="12.75" x14ac:dyDescent="0.2">
      <c r="A1153" s="41" t="s">
        <v>804</v>
      </c>
      <c r="B1153" s="40"/>
      <c r="C1153" s="40"/>
      <c r="D1153" s="40"/>
      <c r="E1153" s="40"/>
      <c r="F1153" s="40"/>
    </row>
    <row r="1154" spans="1:6" ht="12.75" x14ac:dyDescent="0.2">
      <c r="A1154" s="41" t="s">
        <v>25</v>
      </c>
      <c r="B1154" s="40"/>
      <c r="C1154" s="40"/>
      <c r="D1154" s="40"/>
      <c r="E1154" s="40"/>
      <c r="F1154" s="40"/>
    </row>
    <row r="1155" spans="1:6" ht="25.5" x14ac:dyDescent="0.2">
      <c r="A1155" s="40"/>
      <c r="B1155" s="41" t="s">
        <v>422</v>
      </c>
      <c r="C1155" s="41" t="s">
        <v>391</v>
      </c>
      <c r="D1155" s="41" t="s">
        <v>805</v>
      </c>
      <c r="E1155" s="41" t="s">
        <v>390</v>
      </c>
      <c r="F1155" s="40"/>
    </row>
    <row r="1156" spans="1:6" ht="12.75" x14ac:dyDescent="0.2">
      <c r="A1156" s="40"/>
      <c r="B1156" s="41" t="s">
        <v>422</v>
      </c>
      <c r="C1156" s="41" t="s">
        <v>392</v>
      </c>
      <c r="D1156" s="41" t="s">
        <v>806</v>
      </c>
      <c r="E1156" s="41" t="s">
        <v>394</v>
      </c>
      <c r="F1156" s="40"/>
    </row>
    <row r="1157" spans="1:6" ht="12.75" x14ac:dyDescent="0.2">
      <c r="A1157" s="40"/>
      <c r="B1157" s="41" t="s">
        <v>422</v>
      </c>
      <c r="C1157" s="41" t="s">
        <v>423</v>
      </c>
      <c r="D1157" s="41" t="s">
        <v>424</v>
      </c>
      <c r="E1157" s="40"/>
      <c r="F1157" s="40"/>
    </row>
    <row r="1158" spans="1:6" ht="12.75" x14ac:dyDescent="0.2">
      <c r="A1158" s="40"/>
      <c r="B1158" s="41" t="s">
        <v>422</v>
      </c>
      <c r="C1158" s="41" t="s">
        <v>807</v>
      </c>
      <c r="D1158" s="41" t="s">
        <v>808</v>
      </c>
      <c r="E1158" s="40"/>
      <c r="F1158" s="40"/>
    </row>
    <row r="1159" spans="1:6" ht="12.75" x14ac:dyDescent="0.2">
      <c r="A1159" s="40"/>
      <c r="B1159" s="41" t="s">
        <v>403</v>
      </c>
      <c r="C1159" s="41" t="s">
        <v>397</v>
      </c>
      <c r="D1159" s="41" t="s">
        <v>27</v>
      </c>
      <c r="E1159" s="40"/>
      <c r="F1159" s="40"/>
    </row>
    <row r="1160" spans="1:6" ht="12.75" x14ac:dyDescent="0.2">
      <c r="A1160" s="40"/>
      <c r="B1160" s="41" t="s">
        <v>403</v>
      </c>
      <c r="C1160" s="41" t="s">
        <v>30</v>
      </c>
      <c r="D1160" s="41" t="s">
        <v>31</v>
      </c>
      <c r="E1160" s="40"/>
      <c r="F1160" s="40"/>
    </row>
    <row r="1161" spans="1:6" ht="12.75" x14ac:dyDescent="0.2">
      <c r="A1161" s="40"/>
      <c r="B1161" s="41" t="s">
        <v>403</v>
      </c>
      <c r="C1161" s="41" t="s">
        <v>16</v>
      </c>
      <c r="D1161" s="41" t="s">
        <v>10</v>
      </c>
      <c r="E1161" s="40"/>
      <c r="F1161" s="40"/>
    </row>
    <row r="1162" spans="1:6" ht="12.75" x14ac:dyDescent="0.2">
      <c r="A1162" s="40"/>
      <c r="B1162" s="40"/>
      <c r="C1162" s="40"/>
      <c r="D1162" s="40"/>
      <c r="E1162" s="40"/>
      <c r="F1162" s="40"/>
    </row>
    <row r="1163" spans="1:6" ht="12.75" x14ac:dyDescent="0.2">
      <c r="A1163" s="41" t="s">
        <v>45</v>
      </c>
      <c r="B1163" s="40"/>
      <c r="C1163" s="40"/>
      <c r="D1163" s="40"/>
      <c r="E1163" s="40"/>
      <c r="F1163" s="40"/>
    </row>
    <row r="1164" spans="1:6" ht="12.75" x14ac:dyDescent="0.2">
      <c r="A1164" s="40"/>
      <c r="B1164" s="41" t="s">
        <v>398</v>
      </c>
      <c r="C1164" s="40"/>
      <c r="D1164" s="40"/>
      <c r="E1164" s="40"/>
      <c r="F1164" s="40"/>
    </row>
    <row r="1165" spans="1:6" ht="12.75" x14ac:dyDescent="0.2">
      <c r="A1165" s="40"/>
      <c r="B1165" s="41" t="s">
        <v>399</v>
      </c>
      <c r="C1165" s="41" t="s">
        <v>926</v>
      </c>
      <c r="D1165" s="40"/>
      <c r="E1165" s="40"/>
      <c r="F1165" s="40"/>
    </row>
    <row r="1166" spans="1:6" ht="12.75" x14ac:dyDescent="0.2">
      <c r="A1166" s="40"/>
      <c r="B1166" s="41" t="s">
        <v>400</v>
      </c>
      <c r="C1166" s="40"/>
      <c r="D1166" s="40"/>
      <c r="E1166" s="40"/>
      <c r="F1166" s="40"/>
    </row>
    <row r="1167" spans="1:6" ht="12.75" x14ac:dyDescent="0.2">
      <c r="A1167" s="40"/>
      <c r="B1167" s="41" t="s">
        <v>401</v>
      </c>
      <c r="C1167" s="40"/>
      <c r="D1167" s="40"/>
      <c r="E1167" s="40"/>
      <c r="F1167" s="40"/>
    </row>
    <row r="1168" spans="1:6" ht="25.5" x14ac:dyDescent="0.2">
      <c r="A1168" s="41" t="s">
        <v>66</v>
      </c>
      <c r="B1168" s="41" t="s">
        <v>402</v>
      </c>
      <c r="C1168" s="41" t="s">
        <v>809</v>
      </c>
      <c r="D1168" s="40"/>
      <c r="E1168" s="40"/>
      <c r="F1168" s="40"/>
    </row>
    <row r="1169" spans="1:6" ht="12.75" x14ac:dyDescent="0.2">
      <c r="A1169" s="41" t="s">
        <v>65</v>
      </c>
      <c r="B1169" s="40"/>
      <c r="C1169" s="40"/>
      <c r="D1169" s="40"/>
      <c r="E1169" s="40"/>
      <c r="F1169" s="40"/>
    </row>
    <row r="1170" spans="1:6" ht="12.75" x14ac:dyDescent="0.2">
      <c r="A1170" s="41" t="s">
        <v>64</v>
      </c>
      <c r="B1170" s="40"/>
      <c r="C1170" s="40"/>
      <c r="D1170" s="40"/>
      <c r="E1170" s="40"/>
      <c r="F1170" s="40"/>
    </row>
    <row r="1171" spans="1:6" ht="12.75" x14ac:dyDescent="0.2">
      <c r="A1171" s="41" t="s">
        <v>63</v>
      </c>
      <c r="B1171" s="40"/>
      <c r="C1171" s="40"/>
      <c r="D1171" s="40"/>
      <c r="E1171" s="40"/>
      <c r="F1171" s="40"/>
    </row>
    <row r="1172" spans="1:6" ht="12.75" x14ac:dyDescent="0.2">
      <c r="A1172" s="41" t="s">
        <v>61</v>
      </c>
      <c r="B1172" s="40"/>
      <c r="C1172" s="40"/>
      <c r="D1172" s="40"/>
      <c r="E1172" s="40"/>
      <c r="F1172" s="40"/>
    </row>
    <row r="1173" spans="1:6" ht="12.75" x14ac:dyDescent="0.2">
      <c r="A1173" s="41" t="s">
        <v>57</v>
      </c>
      <c r="B1173" s="40"/>
      <c r="C1173" s="40"/>
      <c r="D1173" s="40"/>
      <c r="E1173" s="40"/>
      <c r="F1173" s="40"/>
    </row>
    <row r="1174" spans="1:6" ht="12.75" x14ac:dyDescent="0.2">
      <c r="A1174" s="41" t="s">
        <v>54</v>
      </c>
      <c r="B1174" s="40"/>
      <c r="C1174" s="40"/>
      <c r="D1174" s="40"/>
      <c r="E1174" s="40"/>
      <c r="F1174" s="40"/>
    </row>
    <row r="1175" spans="1:6" ht="12.75" x14ac:dyDescent="0.2">
      <c r="A1175" s="41" t="s">
        <v>52</v>
      </c>
      <c r="B1175" s="40"/>
      <c r="C1175" s="40"/>
      <c r="D1175" s="40"/>
      <c r="E1175" s="40"/>
      <c r="F1175" s="40"/>
    </row>
    <row r="1176" spans="1:6" ht="12.75" x14ac:dyDescent="0.2">
      <c r="A1176" s="41" t="s">
        <v>50</v>
      </c>
      <c r="B1176" s="40"/>
      <c r="C1176" s="40"/>
      <c r="D1176" s="40"/>
      <c r="E1176" s="40"/>
      <c r="F1176" s="40"/>
    </row>
    <row r="1177" spans="1:6" ht="12.75" x14ac:dyDescent="0.2">
      <c r="A1177" s="41" t="s">
        <v>49</v>
      </c>
      <c r="B1177" s="40"/>
      <c r="C1177" s="40"/>
      <c r="D1177" s="40"/>
      <c r="E1177" s="40"/>
      <c r="F1177" s="40"/>
    </row>
    <row r="1178" spans="1:6" ht="12.75" x14ac:dyDescent="0.2">
      <c r="A1178" s="41" t="s">
        <v>46</v>
      </c>
      <c r="B1178" s="40"/>
      <c r="C1178" s="40"/>
      <c r="D1178" s="40"/>
      <c r="E1178" s="40"/>
      <c r="F1178" s="40"/>
    </row>
    <row r="1179" spans="1:6" ht="12.75" x14ac:dyDescent="0.2">
      <c r="A1179" s="40"/>
      <c r="B1179" s="40"/>
      <c r="C1179" s="40"/>
      <c r="D1179" s="40"/>
      <c r="E1179" s="40"/>
      <c r="F1179" s="40"/>
    </row>
    <row r="1180" spans="1:6" ht="12.75" x14ac:dyDescent="0.2">
      <c r="A1180" s="41" t="s">
        <v>945</v>
      </c>
      <c r="B1180" s="40"/>
      <c r="C1180" s="40"/>
      <c r="D1180" s="40"/>
      <c r="E1180" s="40"/>
      <c r="F1180" s="40"/>
    </row>
    <row r="1181" spans="1:6" ht="12.75" x14ac:dyDescent="0.2">
      <c r="A1181" s="40"/>
      <c r="B1181" s="41" t="s">
        <v>398</v>
      </c>
      <c r="C1181" s="41" t="s">
        <v>949</v>
      </c>
      <c r="D1181" s="40"/>
      <c r="E1181" s="40"/>
      <c r="F1181" s="40"/>
    </row>
    <row r="1182" spans="1:6" ht="12.75" x14ac:dyDescent="0.2">
      <c r="A1182" s="40"/>
      <c r="B1182" s="41" t="s">
        <v>399</v>
      </c>
      <c r="C1182" s="40"/>
      <c r="D1182" s="40"/>
      <c r="E1182" s="40"/>
      <c r="F1182" s="40"/>
    </row>
    <row r="1183" spans="1:6" ht="12.75" x14ac:dyDescent="0.2">
      <c r="A1183" s="40"/>
      <c r="B1183" s="41" t="s">
        <v>400</v>
      </c>
      <c r="C1183" s="41" t="s">
        <v>952</v>
      </c>
      <c r="D1183" s="40"/>
      <c r="E1183" s="40"/>
      <c r="F1183" s="40"/>
    </row>
    <row r="1184" spans="1:6" ht="12.75" x14ac:dyDescent="0.2">
      <c r="A1184" s="40"/>
      <c r="B1184" s="41" t="s">
        <v>401</v>
      </c>
      <c r="C1184" s="40"/>
      <c r="D1184" s="40"/>
      <c r="E1184" s="40"/>
      <c r="F1184" s="40"/>
    </row>
    <row r="1185" spans="1:6" ht="12.75" x14ac:dyDescent="0.2">
      <c r="A1185" s="41" t="s">
        <v>956</v>
      </c>
      <c r="B1185" s="41" t="s">
        <v>402</v>
      </c>
      <c r="C1185" s="41" t="s">
        <v>958</v>
      </c>
      <c r="D1185" s="40"/>
      <c r="E1185" s="40"/>
      <c r="F1185" s="40"/>
    </row>
    <row r="1186" spans="1:6" ht="12.75" x14ac:dyDescent="0.2">
      <c r="A1186" s="41" t="s">
        <v>960</v>
      </c>
      <c r="B1186" s="40"/>
      <c r="C1186" s="40"/>
      <c r="D1186" s="40"/>
      <c r="E1186" s="40"/>
      <c r="F1186" s="40"/>
    </row>
    <row r="1187" spans="1:6" ht="12.75" x14ac:dyDescent="0.2">
      <c r="A1187" s="41" t="s">
        <v>963</v>
      </c>
      <c r="B1187" s="40"/>
      <c r="C1187" s="40"/>
      <c r="D1187" s="40"/>
      <c r="E1187" s="40"/>
      <c r="F1187" s="40"/>
    </row>
    <row r="1188" spans="1:6" ht="12.75" x14ac:dyDescent="0.2">
      <c r="A1188" s="41" t="s">
        <v>966</v>
      </c>
      <c r="B1188" s="40"/>
      <c r="C1188" s="40"/>
      <c r="D1188" s="40"/>
      <c r="E1188" s="40"/>
      <c r="F1188" s="40"/>
    </row>
    <row r="1189" spans="1:6" ht="12.75" x14ac:dyDescent="0.2">
      <c r="A1189" s="41" t="s">
        <v>968</v>
      </c>
      <c r="B1189" s="40"/>
      <c r="C1189" s="40"/>
      <c r="D1189" s="40"/>
      <c r="E1189" s="40"/>
      <c r="F1189" s="40"/>
    </row>
    <row r="1190" spans="1:6" ht="12.75" x14ac:dyDescent="0.2">
      <c r="A1190" s="41" t="s">
        <v>970</v>
      </c>
      <c r="B1190" s="40"/>
      <c r="C1190" s="40"/>
      <c r="D1190" s="40"/>
      <c r="E1190" s="40"/>
      <c r="F1190" s="40"/>
    </row>
    <row r="1191" spans="1:6" ht="12.75" x14ac:dyDescent="0.2">
      <c r="A1191" s="41" t="s">
        <v>972</v>
      </c>
      <c r="B1191" s="40"/>
      <c r="C1191" s="40"/>
      <c r="D1191" s="40"/>
      <c r="E1191" s="40"/>
      <c r="F1191" s="40"/>
    </row>
    <row r="1192" spans="1:6" ht="12.75" x14ac:dyDescent="0.2">
      <c r="A1192" s="41" t="s">
        <v>975</v>
      </c>
      <c r="B1192" s="40"/>
      <c r="C1192" s="40"/>
      <c r="D1192" s="40"/>
      <c r="E1192" s="40"/>
      <c r="F1192" s="40"/>
    </row>
    <row r="1193" spans="1:6" ht="12.75" x14ac:dyDescent="0.2">
      <c r="A1193" s="41" t="s">
        <v>978</v>
      </c>
      <c r="B1193" s="40"/>
      <c r="C1193" s="40"/>
      <c r="D1193" s="40"/>
      <c r="E1193" s="40"/>
      <c r="F1193" s="40"/>
    </row>
    <row r="1194" spans="1:6" ht="12.75" x14ac:dyDescent="0.2">
      <c r="A1194" s="41" t="s">
        <v>980</v>
      </c>
      <c r="B1194" s="40"/>
      <c r="C1194" s="40"/>
      <c r="D1194" s="40"/>
      <c r="E1194" s="40"/>
      <c r="F1194" s="40"/>
    </row>
    <row r="1195" spans="1:6" ht="12.75" x14ac:dyDescent="0.2">
      <c r="A1195" s="41" t="s">
        <v>981</v>
      </c>
      <c r="B1195" s="40"/>
      <c r="C1195" s="40"/>
      <c r="D1195" s="40"/>
      <c r="E1195" s="40"/>
      <c r="F1195" s="40"/>
    </row>
    <row r="1196" spans="1:6" ht="12.75" x14ac:dyDescent="0.2">
      <c r="A1196" s="41" t="s">
        <v>983</v>
      </c>
      <c r="B1196" s="40"/>
      <c r="C1196" s="40"/>
      <c r="D1196" s="40"/>
      <c r="E1196" s="40"/>
      <c r="F1196" s="40"/>
    </row>
    <row r="1197" spans="1:6" ht="12.75" x14ac:dyDescent="0.2">
      <c r="A1197" s="41" t="s">
        <v>985</v>
      </c>
      <c r="B1197" s="40"/>
      <c r="C1197" s="40"/>
      <c r="D1197" s="40"/>
      <c r="E1197" s="40"/>
      <c r="F1197" s="40"/>
    </row>
    <row r="1198" spans="1:6" ht="12.75" x14ac:dyDescent="0.2">
      <c r="A1198" s="41" t="s">
        <v>987</v>
      </c>
      <c r="B1198" s="40"/>
      <c r="C1198" s="40"/>
      <c r="D1198" s="40"/>
      <c r="E1198" s="40"/>
      <c r="F1198" s="40"/>
    </row>
    <row r="1199" spans="1:6" ht="12.75" x14ac:dyDescent="0.2">
      <c r="A1199" s="40"/>
      <c r="B1199" s="40"/>
      <c r="C1199" s="40"/>
      <c r="D1199" s="40"/>
      <c r="E1199" s="40"/>
      <c r="F1199" s="40"/>
    </row>
    <row r="1200" spans="1:6" ht="12.75" x14ac:dyDescent="0.2">
      <c r="A1200" s="41" t="s">
        <v>991</v>
      </c>
      <c r="B1200" s="40"/>
      <c r="C1200" s="40"/>
      <c r="D1200" s="40"/>
      <c r="E1200" s="40"/>
      <c r="F1200" s="40"/>
    </row>
    <row r="1201" spans="1:6" ht="12.75" x14ac:dyDescent="0.2">
      <c r="A1201" s="40"/>
      <c r="B1201" s="41" t="s">
        <v>398</v>
      </c>
      <c r="C1201" s="41" t="s">
        <v>949</v>
      </c>
      <c r="D1201" s="40"/>
      <c r="E1201" s="40"/>
      <c r="F1201" s="40"/>
    </row>
    <row r="1202" spans="1:6" ht="12.75" x14ac:dyDescent="0.2">
      <c r="A1202" s="40"/>
      <c r="B1202" s="41" t="s">
        <v>399</v>
      </c>
      <c r="C1202" s="41" t="s">
        <v>1000</v>
      </c>
      <c r="D1202" s="40"/>
      <c r="E1202" s="40"/>
      <c r="F1202" s="40"/>
    </row>
    <row r="1203" spans="1:6" ht="12.75" x14ac:dyDescent="0.2">
      <c r="A1203" s="40"/>
      <c r="B1203" s="41" t="s">
        <v>400</v>
      </c>
      <c r="C1203" s="41" t="s">
        <v>1003</v>
      </c>
      <c r="D1203" s="40"/>
      <c r="E1203" s="40"/>
      <c r="F1203" s="40"/>
    </row>
    <row r="1204" spans="1:6" ht="12.75" x14ac:dyDescent="0.2">
      <c r="A1204" s="40"/>
      <c r="B1204" s="41" t="s">
        <v>401</v>
      </c>
      <c r="C1204" s="40"/>
      <c r="D1204" s="40"/>
      <c r="E1204" s="40"/>
      <c r="F1204" s="40"/>
    </row>
    <row r="1205" spans="1:6" ht="12.75" x14ac:dyDescent="0.2">
      <c r="A1205" s="41" t="s">
        <v>1005</v>
      </c>
      <c r="B1205" s="41" t="s">
        <v>402</v>
      </c>
      <c r="C1205" s="41" t="s">
        <v>1007</v>
      </c>
      <c r="D1205" s="40"/>
      <c r="E1205" s="40"/>
      <c r="F1205" s="40"/>
    </row>
    <row r="1206" spans="1:6" ht="12.75" x14ac:dyDescent="0.2">
      <c r="A1206" s="41" t="s">
        <v>1009</v>
      </c>
      <c r="B1206" s="40"/>
      <c r="C1206" s="40"/>
      <c r="D1206" s="40"/>
      <c r="E1206" s="40"/>
      <c r="F1206" s="40"/>
    </row>
    <row r="1207" spans="1:6" ht="12.75" x14ac:dyDescent="0.2">
      <c r="A1207" s="41" t="s">
        <v>1010</v>
      </c>
      <c r="B1207" s="40"/>
      <c r="C1207" s="40"/>
      <c r="D1207" s="40"/>
      <c r="E1207" s="40"/>
      <c r="F1207" s="40"/>
    </row>
    <row r="1208" spans="1:6" ht="12.75" x14ac:dyDescent="0.2">
      <c r="A1208" s="41" t="s">
        <v>1012</v>
      </c>
      <c r="B1208" s="40"/>
      <c r="C1208" s="40"/>
      <c r="D1208" s="40"/>
      <c r="E1208" s="40"/>
      <c r="F1208" s="40"/>
    </row>
    <row r="1209" spans="1:6" ht="12.75" x14ac:dyDescent="0.2">
      <c r="A1209" s="41" t="s">
        <v>1014</v>
      </c>
      <c r="B1209" s="40"/>
      <c r="C1209" s="40"/>
      <c r="D1209" s="40"/>
      <c r="E1209" s="40"/>
      <c r="F1209" s="40"/>
    </row>
    <row r="1210" spans="1:6" ht="12.75" x14ac:dyDescent="0.2">
      <c r="A1210" s="41" t="s">
        <v>1016</v>
      </c>
      <c r="B1210" s="40"/>
      <c r="C1210" s="40"/>
      <c r="D1210" s="40"/>
      <c r="E1210" s="40"/>
      <c r="F1210" s="40"/>
    </row>
    <row r="1211" spans="1:6" ht="12.75" x14ac:dyDescent="0.2">
      <c r="A1211" s="41" t="s">
        <v>1017</v>
      </c>
      <c r="B1211" s="40"/>
      <c r="C1211" s="40"/>
      <c r="D1211" s="40"/>
      <c r="E1211" s="40"/>
      <c r="F1211" s="40"/>
    </row>
    <row r="1212" spans="1:6" ht="12.75" x14ac:dyDescent="0.2">
      <c r="A1212" s="41" t="s">
        <v>1019</v>
      </c>
      <c r="B1212" s="40"/>
      <c r="C1212" s="40"/>
      <c r="D1212" s="40"/>
      <c r="E1212" s="40"/>
      <c r="F1212" s="40"/>
    </row>
    <row r="1213" spans="1:6" ht="12.75" x14ac:dyDescent="0.2">
      <c r="A1213" s="41" t="s">
        <v>1021</v>
      </c>
      <c r="B1213" s="40"/>
      <c r="C1213" s="40"/>
      <c r="D1213" s="40"/>
      <c r="E1213" s="40"/>
      <c r="F1213" s="40"/>
    </row>
    <row r="1214" spans="1:6" ht="12.75" x14ac:dyDescent="0.2">
      <c r="A1214" s="41" t="s">
        <v>1023</v>
      </c>
      <c r="B1214" s="40"/>
      <c r="C1214" s="40"/>
      <c r="D1214" s="40"/>
      <c r="E1214" s="40"/>
      <c r="F1214" s="40"/>
    </row>
    <row r="1215" spans="1:6" ht="12.75" x14ac:dyDescent="0.2">
      <c r="A1215" s="41" t="s">
        <v>1025</v>
      </c>
      <c r="B1215" s="40"/>
      <c r="C1215" s="40"/>
      <c r="D1215" s="40"/>
      <c r="E1215" s="40"/>
      <c r="F1215" s="40"/>
    </row>
    <row r="1216" spans="1:6" ht="12.75" x14ac:dyDescent="0.2">
      <c r="A1216" s="41" t="s">
        <v>1026</v>
      </c>
      <c r="B1216" s="40"/>
      <c r="C1216" s="40"/>
      <c r="D1216" s="40"/>
      <c r="E1216" s="40"/>
      <c r="F1216" s="40"/>
    </row>
    <row r="1217" spans="1:6" ht="12.75" x14ac:dyDescent="0.2">
      <c r="A1217" s="41" t="s">
        <v>1030</v>
      </c>
      <c r="B1217" s="40"/>
      <c r="C1217" s="40"/>
      <c r="D1217" s="40"/>
      <c r="E1217" s="40"/>
      <c r="F1217" s="40"/>
    </row>
    <row r="1218" spans="1:6" ht="12.75" x14ac:dyDescent="0.2">
      <c r="A1218" s="40"/>
      <c r="B1218" s="40"/>
      <c r="C1218" s="40"/>
      <c r="D1218" s="40"/>
      <c r="E1218" s="40"/>
      <c r="F1218" s="40"/>
    </row>
    <row r="1219" spans="1:6" ht="12.75" x14ac:dyDescent="0.2">
      <c r="A1219" s="41" t="s">
        <v>67</v>
      </c>
      <c r="B1219" s="40"/>
      <c r="C1219" s="40"/>
      <c r="D1219" s="40"/>
      <c r="E1219" s="40"/>
      <c r="F1219" s="40"/>
    </row>
    <row r="1220" spans="1:6" ht="12.75" x14ac:dyDescent="0.2">
      <c r="A1220" s="40"/>
      <c r="B1220" s="41" t="s">
        <v>398</v>
      </c>
      <c r="C1220" s="40"/>
      <c r="D1220" s="40"/>
      <c r="E1220" s="40"/>
      <c r="F1220" s="40"/>
    </row>
    <row r="1221" spans="1:6" ht="12.75" x14ac:dyDescent="0.2">
      <c r="A1221" s="40"/>
      <c r="B1221" s="41" t="s">
        <v>399</v>
      </c>
      <c r="C1221" s="41" t="s">
        <v>949</v>
      </c>
      <c r="D1221" s="40"/>
      <c r="E1221" s="40"/>
      <c r="F1221" s="40"/>
    </row>
    <row r="1222" spans="1:6" ht="12.75" x14ac:dyDescent="0.2">
      <c r="A1222" s="40"/>
      <c r="B1222" s="41" t="s">
        <v>400</v>
      </c>
      <c r="C1222" s="40"/>
      <c r="D1222" s="40"/>
      <c r="E1222" s="40"/>
      <c r="F1222" s="40"/>
    </row>
    <row r="1223" spans="1:6" ht="12.75" x14ac:dyDescent="0.2">
      <c r="A1223" s="40"/>
      <c r="B1223" s="41" t="s">
        <v>401</v>
      </c>
      <c r="C1223" s="40"/>
      <c r="D1223" s="40"/>
      <c r="E1223" s="40"/>
      <c r="F1223" s="40"/>
    </row>
    <row r="1224" spans="1:6" ht="25.5" x14ac:dyDescent="0.2">
      <c r="A1224" s="41" t="s">
        <v>89</v>
      </c>
      <c r="B1224" s="41" t="s">
        <v>402</v>
      </c>
      <c r="C1224" s="41" t="s">
        <v>1037</v>
      </c>
      <c r="D1224" s="40"/>
      <c r="E1224" s="40"/>
      <c r="F1224" s="40"/>
    </row>
    <row r="1225" spans="1:6" ht="12.75" x14ac:dyDescent="0.2">
      <c r="A1225" s="41" t="s">
        <v>810</v>
      </c>
      <c r="B1225" s="40"/>
      <c r="C1225" s="40"/>
      <c r="D1225" s="40"/>
      <c r="E1225" s="40"/>
      <c r="F1225" s="40"/>
    </row>
    <row r="1226" spans="1:6" ht="12.75" x14ac:dyDescent="0.2">
      <c r="A1226" s="41" t="s">
        <v>85</v>
      </c>
      <c r="B1226" s="40"/>
      <c r="C1226" s="40"/>
      <c r="D1226" s="40"/>
      <c r="E1226" s="40"/>
      <c r="F1226" s="40"/>
    </row>
    <row r="1227" spans="1:6" ht="12.75" x14ac:dyDescent="0.2">
      <c r="A1227" s="41" t="s">
        <v>82</v>
      </c>
      <c r="B1227" s="40"/>
      <c r="C1227" s="40"/>
      <c r="D1227" s="40"/>
      <c r="E1227" s="40"/>
      <c r="F1227" s="40"/>
    </row>
    <row r="1228" spans="1:6" ht="12.75" x14ac:dyDescent="0.2">
      <c r="A1228" s="41" t="s">
        <v>811</v>
      </c>
      <c r="B1228" s="40"/>
      <c r="C1228" s="40"/>
      <c r="D1228" s="40"/>
      <c r="E1228" s="40"/>
      <c r="F1228" s="40"/>
    </row>
    <row r="1229" spans="1:6" ht="12.75" x14ac:dyDescent="0.2">
      <c r="A1229" s="41" t="s">
        <v>80</v>
      </c>
      <c r="B1229" s="40"/>
      <c r="C1229" s="40"/>
      <c r="D1229" s="40"/>
      <c r="E1229" s="40"/>
      <c r="F1229" s="40"/>
    </row>
    <row r="1230" spans="1:6" ht="12.75" x14ac:dyDescent="0.2">
      <c r="A1230" s="41" t="s">
        <v>812</v>
      </c>
      <c r="B1230" s="40"/>
      <c r="C1230" s="40"/>
      <c r="D1230" s="40"/>
      <c r="E1230" s="40"/>
      <c r="F1230" s="40"/>
    </row>
    <row r="1231" spans="1:6" ht="12.75" x14ac:dyDescent="0.2">
      <c r="A1231" s="41" t="s">
        <v>813</v>
      </c>
      <c r="B1231" s="40"/>
      <c r="C1231" s="40"/>
      <c r="D1231" s="40"/>
      <c r="E1231" s="40"/>
      <c r="F1231" s="40"/>
    </row>
    <row r="1232" spans="1:6" ht="12.75" x14ac:dyDescent="0.2">
      <c r="A1232" s="41" t="s">
        <v>77</v>
      </c>
      <c r="B1232" s="40"/>
      <c r="C1232" s="40"/>
      <c r="D1232" s="40"/>
      <c r="E1232" s="40"/>
      <c r="F1232" s="40"/>
    </row>
    <row r="1233" spans="1:6" ht="12.75" x14ac:dyDescent="0.2">
      <c r="A1233" s="41" t="s">
        <v>74</v>
      </c>
      <c r="B1233" s="40"/>
      <c r="C1233" s="40"/>
      <c r="D1233" s="40"/>
      <c r="E1233" s="40"/>
      <c r="F1233" s="40"/>
    </row>
    <row r="1234" spans="1:6" ht="12.75" x14ac:dyDescent="0.2">
      <c r="A1234" s="41" t="s">
        <v>70</v>
      </c>
      <c r="B1234" s="40"/>
      <c r="C1234" s="40"/>
      <c r="D1234" s="40"/>
      <c r="E1234" s="40"/>
      <c r="F1234" s="40"/>
    </row>
    <row r="1235" spans="1:6" ht="12.75" x14ac:dyDescent="0.2">
      <c r="A1235" s="41" t="s">
        <v>68</v>
      </c>
      <c r="B1235" s="40"/>
      <c r="C1235" s="40"/>
      <c r="D1235" s="40"/>
      <c r="E1235" s="40"/>
      <c r="F1235" s="40"/>
    </row>
    <row r="1236" spans="1:6" ht="12.75" x14ac:dyDescent="0.2">
      <c r="A1236" s="40"/>
      <c r="B1236" s="40"/>
      <c r="C1236" s="40"/>
      <c r="D1236" s="40"/>
      <c r="E1236" s="40"/>
      <c r="F1236" s="40"/>
    </row>
    <row r="1237" spans="1:6" ht="12.75" x14ac:dyDescent="0.2">
      <c r="A1237" s="41" t="s">
        <v>92</v>
      </c>
      <c r="B1237" s="40"/>
      <c r="C1237" s="40"/>
      <c r="D1237" s="40"/>
      <c r="E1237" s="40"/>
      <c r="F1237" s="40"/>
    </row>
    <row r="1238" spans="1:6" ht="12.75" x14ac:dyDescent="0.2">
      <c r="A1238" s="40"/>
      <c r="B1238" s="41" t="s">
        <v>398</v>
      </c>
      <c r="C1238" s="40"/>
      <c r="D1238" s="40"/>
      <c r="E1238" s="40"/>
      <c r="F1238" s="40"/>
    </row>
    <row r="1239" spans="1:6" ht="12.75" x14ac:dyDescent="0.2">
      <c r="A1239" s="40"/>
      <c r="B1239" s="41" t="s">
        <v>399</v>
      </c>
      <c r="C1239" s="40"/>
      <c r="D1239" s="40"/>
      <c r="E1239" s="40"/>
      <c r="F1239" s="40"/>
    </row>
    <row r="1240" spans="1:6" ht="12.75" x14ac:dyDescent="0.2">
      <c r="A1240" s="40"/>
      <c r="B1240" s="41" t="s">
        <v>400</v>
      </c>
      <c r="C1240" s="40"/>
      <c r="D1240" s="40"/>
      <c r="E1240" s="40"/>
      <c r="F1240" s="40"/>
    </row>
    <row r="1241" spans="1:6" ht="12.75" x14ac:dyDescent="0.2">
      <c r="A1241" s="40"/>
      <c r="B1241" s="41" t="s">
        <v>401</v>
      </c>
      <c r="C1241" s="40"/>
      <c r="D1241" s="40"/>
      <c r="E1241" s="40"/>
      <c r="F1241" s="40"/>
    </row>
    <row r="1242" spans="1:6" ht="12.75" x14ac:dyDescent="0.2">
      <c r="A1242" s="41" t="s">
        <v>128</v>
      </c>
      <c r="B1242" s="41" t="s">
        <v>402</v>
      </c>
      <c r="C1242" s="41" t="s">
        <v>94</v>
      </c>
      <c r="D1242" s="40"/>
      <c r="E1242" s="40"/>
      <c r="F1242" s="40"/>
    </row>
    <row r="1243" spans="1:6" ht="12.75" x14ac:dyDescent="0.2">
      <c r="A1243" s="41" t="s">
        <v>814</v>
      </c>
      <c r="B1243" s="40"/>
      <c r="C1243" s="40"/>
      <c r="D1243" s="40"/>
      <c r="E1243" s="40"/>
      <c r="F1243" s="40"/>
    </row>
    <row r="1244" spans="1:6" ht="12.75" x14ac:dyDescent="0.2">
      <c r="A1244" s="41" t="s">
        <v>815</v>
      </c>
      <c r="B1244" s="40"/>
      <c r="C1244" s="40"/>
      <c r="D1244" s="40"/>
      <c r="E1244" s="40"/>
      <c r="F1244" s="40"/>
    </row>
    <row r="1245" spans="1:6" ht="12.75" x14ac:dyDescent="0.2">
      <c r="A1245" s="41" t="s">
        <v>122</v>
      </c>
      <c r="B1245" s="40"/>
      <c r="C1245" s="40"/>
      <c r="D1245" s="40"/>
      <c r="E1245" s="40"/>
      <c r="F1245" s="40"/>
    </row>
    <row r="1246" spans="1:6" ht="12.75" x14ac:dyDescent="0.2">
      <c r="A1246" s="41" t="s">
        <v>816</v>
      </c>
      <c r="B1246" s="40"/>
      <c r="C1246" s="40"/>
      <c r="D1246" s="40"/>
      <c r="E1246" s="40"/>
      <c r="F1246" s="40"/>
    </row>
    <row r="1247" spans="1:6" ht="12.75" x14ac:dyDescent="0.2">
      <c r="A1247" s="41" t="s">
        <v>817</v>
      </c>
      <c r="B1247" s="40"/>
      <c r="C1247" s="40"/>
      <c r="D1247" s="40"/>
      <c r="E1247" s="40"/>
      <c r="F1247" s="40"/>
    </row>
    <row r="1248" spans="1:6" ht="12.75" x14ac:dyDescent="0.2">
      <c r="A1248" s="41" t="s">
        <v>116</v>
      </c>
      <c r="B1248" s="40"/>
      <c r="C1248" s="40"/>
      <c r="D1248" s="40"/>
      <c r="E1248" s="40"/>
      <c r="F1248" s="40"/>
    </row>
    <row r="1249" spans="1:6" ht="12.75" x14ac:dyDescent="0.2">
      <c r="A1249" s="41" t="s">
        <v>818</v>
      </c>
      <c r="B1249" s="40"/>
      <c r="C1249" s="40"/>
      <c r="D1249" s="40"/>
      <c r="E1249" s="40"/>
      <c r="F1249" s="40"/>
    </row>
    <row r="1250" spans="1:6" ht="12.75" x14ac:dyDescent="0.2">
      <c r="A1250" s="41" t="s">
        <v>819</v>
      </c>
      <c r="B1250" s="40"/>
      <c r="C1250" s="40"/>
      <c r="D1250" s="40"/>
      <c r="E1250" s="40"/>
      <c r="F1250" s="40"/>
    </row>
    <row r="1251" spans="1:6" ht="12.75" x14ac:dyDescent="0.2">
      <c r="A1251" s="41" t="s">
        <v>104</v>
      </c>
      <c r="B1251" s="40"/>
      <c r="C1251" s="40"/>
      <c r="D1251" s="40"/>
      <c r="E1251" s="40"/>
      <c r="F1251" s="40"/>
    </row>
    <row r="1252" spans="1:6" ht="12.75" x14ac:dyDescent="0.2">
      <c r="A1252" s="41" t="s">
        <v>820</v>
      </c>
      <c r="B1252" s="40"/>
      <c r="C1252" s="40"/>
      <c r="D1252" s="40"/>
      <c r="E1252" s="40"/>
      <c r="F1252" s="40"/>
    </row>
    <row r="1253" spans="1:6" ht="12.75" x14ac:dyDescent="0.2">
      <c r="A1253" s="41" t="s">
        <v>821</v>
      </c>
      <c r="B1253" s="40"/>
      <c r="C1253" s="40"/>
      <c r="D1253" s="40"/>
      <c r="E1253" s="40"/>
      <c r="F1253" s="40"/>
    </row>
    <row r="1254" spans="1:6" ht="12.75" x14ac:dyDescent="0.2">
      <c r="A1254" s="41" t="s">
        <v>93</v>
      </c>
      <c r="B1254" s="40"/>
      <c r="C1254" s="40"/>
      <c r="D1254" s="40"/>
      <c r="E1254" s="40"/>
      <c r="F1254" s="40"/>
    </row>
    <row r="1255" spans="1:6" ht="12.75" x14ac:dyDescent="0.2">
      <c r="A1255" s="40"/>
      <c r="B1255" s="40"/>
      <c r="C1255" s="40"/>
      <c r="D1255" s="40"/>
      <c r="E1255" s="40"/>
      <c r="F1255" s="40"/>
    </row>
    <row r="1256" spans="1:6" ht="12.75" x14ac:dyDescent="0.2">
      <c r="A1256" s="41" t="s">
        <v>129</v>
      </c>
      <c r="B1256" s="40"/>
      <c r="C1256" s="40"/>
      <c r="D1256" s="40"/>
      <c r="E1256" s="40"/>
      <c r="F1256" s="40"/>
    </row>
    <row r="1257" spans="1:6" ht="12.75" x14ac:dyDescent="0.2">
      <c r="A1257" s="40"/>
      <c r="B1257" s="41" t="s">
        <v>398</v>
      </c>
      <c r="C1257" s="40"/>
      <c r="D1257" s="40"/>
      <c r="E1257" s="40"/>
      <c r="F1257" s="40"/>
    </row>
    <row r="1258" spans="1:6" ht="12.75" x14ac:dyDescent="0.2">
      <c r="A1258" s="40"/>
      <c r="B1258" s="41" t="s">
        <v>399</v>
      </c>
      <c r="C1258" s="40"/>
      <c r="D1258" s="40"/>
      <c r="E1258" s="40"/>
      <c r="F1258" s="40"/>
    </row>
    <row r="1259" spans="1:6" ht="12.75" x14ac:dyDescent="0.2">
      <c r="A1259" s="40"/>
      <c r="B1259" s="41" t="s">
        <v>400</v>
      </c>
      <c r="C1259" s="40"/>
      <c r="D1259" s="40"/>
      <c r="E1259" s="40"/>
      <c r="F1259" s="40"/>
    </row>
    <row r="1260" spans="1:6" ht="12.75" x14ac:dyDescent="0.2">
      <c r="A1260" s="40"/>
      <c r="B1260" s="41" t="s">
        <v>401</v>
      </c>
      <c r="C1260" s="40"/>
      <c r="D1260" s="40"/>
      <c r="E1260" s="40"/>
      <c r="F1260" s="40"/>
    </row>
    <row r="1261" spans="1:6" ht="12.75" x14ac:dyDescent="0.2">
      <c r="A1261" s="41" t="s">
        <v>157</v>
      </c>
      <c r="B1261" s="41" t="s">
        <v>402</v>
      </c>
      <c r="C1261" s="41" t="s">
        <v>135</v>
      </c>
      <c r="D1261" s="40"/>
      <c r="E1261" s="40"/>
      <c r="F1261" s="40"/>
    </row>
    <row r="1262" spans="1:6" ht="12.75" x14ac:dyDescent="0.2">
      <c r="A1262" s="41" t="s">
        <v>822</v>
      </c>
      <c r="B1262" s="40"/>
      <c r="C1262" s="40"/>
      <c r="D1262" s="40"/>
      <c r="E1262" s="40"/>
      <c r="F1262" s="40"/>
    </row>
    <row r="1263" spans="1:6" ht="12.75" x14ac:dyDescent="0.2">
      <c r="A1263" s="41" t="s">
        <v>823</v>
      </c>
      <c r="B1263" s="40"/>
      <c r="C1263" s="40"/>
      <c r="D1263" s="40"/>
      <c r="E1263" s="40"/>
      <c r="F1263" s="40"/>
    </row>
    <row r="1264" spans="1:6" ht="12.75" x14ac:dyDescent="0.2">
      <c r="A1264" s="41" t="s">
        <v>824</v>
      </c>
      <c r="B1264" s="40"/>
      <c r="C1264" s="40"/>
      <c r="D1264" s="40"/>
      <c r="E1264" s="40"/>
      <c r="F1264" s="40"/>
    </row>
    <row r="1265" spans="1:6" ht="12.75" x14ac:dyDescent="0.2">
      <c r="A1265" s="41" t="s">
        <v>148</v>
      </c>
      <c r="B1265" s="40"/>
      <c r="C1265" s="40"/>
      <c r="D1265" s="40"/>
      <c r="E1265" s="40"/>
      <c r="F1265" s="40"/>
    </row>
    <row r="1266" spans="1:6" ht="12.75" x14ac:dyDescent="0.2">
      <c r="A1266" s="41" t="s">
        <v>825</v>
      </c>
      <c r="B1266" s="40"/>
      <c r="C1266" s="40"/>
      <c r="D1266" s="40"/>
      <c r="E1266" s="40"/>
      <c r="F1266" s="40"/>
    </row>
    <row r="1267" spans="1:6" ht="12.75" x14ac:dyDescent="0.2">
      <c r="A1267" s="41" t="s">
        <v>826</v>
      </c>
      <c r="B1267" s="40"/>
      <c r="C1267" s="40"/>
      <c r="D1267" s="40"/>
      <c r="E1267" s="40"/>
      <c r="F1267" s="40"/>
    </row>
    <row r="1268" spans="1:6" ht="12.75" x14ac:dyDescent="0.2">
      <c r="A1268" s="41" t="s">
        <v>827</v>
      </c>
      <c r="B1268" s="40"/>
      <c r="C1268" s="40"/>
      <c r="D1268" s="40"/>
      <c r="E1268" s="40"/>
      <c r="F1268" s="40"/>
    </row>
    <row r="1269" spans="1:6" ht="12.75" x14ac:dyDescent="0.2">
      <c r="A1269" s="41" t="s">
        <v>133</v>
      </c>
      <c r="B1269" s="40"/>
      <c r="C1269" s="40"/>
      <c r="D1269" s="40"/>
      <c r="E1269" s="40"/>
      <c r="F1269" s="40"/>
    </row>
    <row r="1270" spans="1:6" ht="12.75" x14ac:dyDescent="0.2">
      <c r="A1270" s="40"/>
      <c r="B1270" s="40"/>
      <c r="C1270" s="40"/>
      <c r="D1270" s="40"/>
      <c r="E1270" s="40"/>
      <c r="F1270" s="40"/>
    </row>
    <row r="1271" spans="1:6" ht="12.75" x14ac:dyDescent="0.2">
      <c r="A1271" s="41" t="s">
        <v>160</v>
      </c>
      <c r="B1271" s="40"/>
      <c r="C1271" s="40"/>
      <c r="D1271" s="40"/>
      <c r="E1271" s="40"/>
      <c r="F1271" s="40"/>
    </row>
    <row r="1272" spans="1:6" ht="12.75" x14ac:dyDescent="0.2">
      <c r="A1272" s="40"/>
      <c r="B1272" s="41" t="s">
        <v>398</v>
      </c>
      <c r="C1272" s="40"/>
      <c r="D1272" s="40"/>
      <c r="E1272" s="40"/>
      <c r="F1272" s="40"/>
    </row>
    <row r="1273" spans="1:6" ht="12.75" x14ac:dyDescent="0.2">
      <c r="A1273" s="40"/>
      <c r="B1273" s="41" t="s">
        <v>399</v>
      </c>
      <c r="C1273" s="40"/>
      <c r="D1273" s="40"/>
      <c r="E1273" s="40"/>
      <c r="F1273" s="40"/>
    </row>
    <row r="1274" spans="1:6" ht="12.75" x14ac:dyDescent="0.2">
      <c r="A1274" s="40"/>
      <c r="B1274" s="41" t="s">
        <v>400</v>
      </c>
      <c r="C1274" s="40"/>
      <c r="D1274" s="40"/>
      <c r="E1274" s="40"/>
      <c r="F1274" s="40"/>
    </row>
    <row r="1275" spans="1:6" ht="12.75" x14ac:dyDescent="0.2">
      <c r="A1275" s="40"/>
      <c r="B1275" s="41" t="s">
        <v>401</v>
      </c>
      <c r="C1275" s="40"/>
      <c r="D1275" s="40"/>
      <c r="E1275" s="40"/>
      <c r="F1275" s="40"/>
    </row>
    <row r="1276" spans="1:6" ht="12.75" x14ac:dyDescent="0.2">
      <c r="A1276" s="41" t="s">
        <v>182</v>
      </c>
      <c r="B1276" s="41" t="s">
        <v>402</v>
      </c>
      <c r="C1276" s="41" t="s">
        <v>162</v>
      </c>
      <c r="D1276" s="40"/>
      <c r="E1276" s="40"/>
      <c r="F1276" s="40"/>
    </row>
    <row r="1277" spans="1:6" ht="12.75" x14ac:dyDescent="0.2">
      <c r="A1277" s="41" t="s">
        <v>181</v>
      </c>
      <c r="B1277" s="40"/>
      <c r="C1277" s="40"/>
      <c r="D1277" s="40"/>
      <c r="E1277" s="40"/>
      <c r="F1277" s="40"/>
    </row>
    <row r="1278" spans="1:6" ht="12.75" x14ac:dyDescent="0.2">
      <c r="A1278" s="41" t="s">
        <v>180</v>
      </c>
      <c r="B1278" s="40"/>
      <c r="C1278" s="40"/>
      <c r="D1278" s="40"/>
      <c r="E1278" s="40"/>
      <c r="F1278" s="40"/>
    </row>
    <row r="1279" spans="1:6" ht="12.75" x14ac:dyDescent="0.2">
      <c r="A1279" s="41" t="s">
        <v>179</v>
      </c>
      <c r="B1279" s="40"/>
      <c r="C1279" s="40"/>
      <c r="D1279" s="40"/>
      <c r="E1279" s="40"/>
      <c r="F1279" s="40"/>
    </row>
    <row r="1280" spans="1:6" ht="12.75" x14ac:dyDescent="0.2">
      <c r="A1280" s="41" t="s">
        <v>176</v>
      </c>
      <c r="B1280" s="40"/>
      <c r="C1280" s="40"/>
      <c r="D1280" s="40"/>
      <c r="E1280" s="40"/>
      <c r="F1280" s="40"/>
    </row>
    <row r="1281" spans="1:6" ht="12.75" x14ac:dyDescent="0.2">
      <c r="A1281" s="41" t="s">
        <v>175</v>
      </c>
      <c r="B1281" s="40"/>
      <c r="C1281" s="40"/>
      <c r="D1281" s="40"/>
      <c r="E1281" s="40"/>
      <c r="F1281" s="40"/>
    </row>
    <row r="1282" spans="1:6" ht="12.75" x14ac:dyDescent="0.2">
      <c r="A1282" s="41" t="s">
        <v>172</v>
      </c>
      <c r="B1282" s="40"/>
      <c r="C1282" s="40"/>
      <c r="D1282" s="40"/>
      <c r="E1282" s="40"/>
      <c r="F1282" s="40"/>
    </row>
    <row r="1283" spans="1:6" ht="12.75" x14ac:dyDescent="0.2">
      <c r="A1283" s="41" t="s">
        <v>171</v>
      </c>
      <c r="B1283" s="40"/>
      <c r="C1283" s="40"/>
      <c r="D1283" s="40"/>
      <c r="E1283" s="40"/>
      <c r="F1283" s="40"/>
    </row>
    <row r="1284" spans="1:6" ht="12.75" x14ac:dyDescent="0.2">
      <c r="A1284" s="41" t="s">
        <v>169</v>
      </c>
      <c r="B1284" s="40"/>
      <c r="C1284" s="40"/>
      <c r="D1284" s="40"/>
      <c r="E1284" s="40"/>
      <c r="F1284" s="40"/>
    </row>
    <row r="1285" spans="1:6" ht="12.75" x14ac:dyDescent="0.2">
      <c r="A1285" s="41" t="s">
        <v>168</v>
      </c>
      <c r="B1285" s="40"/>
      <c r="C1285" s="40"/>
      <c r="D1285" s="40"/>
      <c r="E1285" s="40"/>
      <c r="F1285" s="40"/>
    </row>
    <row r="1286" spans="1:6" ht="12.75" x14ac:dyDescent="0.2">
      <c r="A1286" s="41" t="s">
        <v>828</v>
      </c>
      <c r="B1286" s="40"/>
      <c r="C1286" s="40"/>
      <c r="D1286" s="40"/>
      <c r="E1286" s="40"/>
      <c r="F1286" s="40"/>
    </row>
    <row r="1287" spans="1:6" ht="12.75" x14ac:dyDescent="0.2">
      <c r="A1287" s="41" t="s">
        <v>161</v>
      </c>
      <c r="B1287" s="40"/>
      <c r="C1287" s="40"/>
      <c r="D1287" s="40"/>
      <c r="E1287" s="40"/>
      <c r="F1287" s="40"/>
    </row>
    <row r="1288" spans="1:6" ht="12.75" x14ac:dyDescent="0.2">
      <c r="A1288" s="40"/>
      <c r="B1288" s="40"/>
      <c r="C1288" s="40"/>
      <c r="D1288" s="40"/>
      <c r="E1288" s="40"/>
      <c r="F1288" s="40"/>
    </row>
    <row r="1289" spans="1:6" ht="12.75" x14ac:dyDescent="0.2">
      <c r="A1289" s="41" t="s">
        <v>183</v>
      </c>
      <c r="B1289" s="40"/>
      <c r="C1289" s="40"/>
      <c r="D1289" s="40"/>
      <c r="E1289" s="40"/>
      <c r="F1289" s="40"/>
    </row>
    <row r="1290" spans="1:6" ht="12.75" x14ac:dyDescent="0.2">
      <c r="A1290" s="40"/>
      <c r="B1290" s="41" t="s">
        <v>398</v>
      </c>
      <c r="C1290" s="40"/>
      <c r="D1290" s="40"/>
      <c r="E1290" s="40"/>
      <c r="F1290" s="40"/>
    </row>
    <row r="1291" spans="1:6" ht="12.75" x14ac:dyDescent="0.2">
      <c r="A1291" s="40"/>
      <c r="B1291" s="41" t="s">
        <v>399</v>
      </c>
      <c r="C1291" s="40"/>
      <c r="D1291" s="40"/>
      <c r="E1291" s="40"/>
      <c r="F1291" s="40"/>
    </row>
    <row r="1292" spans="1:6" ht="12.75" x14ac:dyDescent="0.2">
      <c r="A1292" s="40"/>
      <c r="B1292" s="41" t="s">
        <v>400</v>
      </c>
      <c r="C1292" s="40"/>
      <c r="D1292" s="40"/>
      <c r="E1292" s="40"/>
      <c r="F1292" s="40"/>
    </row>
    <row r="1293" spans="1:6" ht="12.75" x14ac:dyDescent="0.2">
      <c r="A1293" s="40"/>
      <c r="B1293" s="41" t="s">
        <v>401</v>
      </c>
      <c r="C1293" s="40"/>
      <c r="D1293" s="40"/>
      <c r="E1293" s="40"/>
      <c r="F1293" s="40"/>
    </row>
    <row r="1294" spans="1:6" ht="12.75" x14ac:dyDescent="0.2">
      <c r="A1294" s="41" t="s">
        <v>198</v>
      </c>
      <c r="B1294" s="41" t="s">
        <v>402</v>
      </c>
      <c r="C1294" s="41" t="s">
        <v>185</v>
      </c>
      <c r="D1294" s="40"/>
      <c r="E1294" s="40"/>
      <c r="F1294" s="40"/>
    </row>
    <row r="1295" spans="1:6" ht="12.75" x14ac:dyDescent="0.2">
      <c r="A1295" s="41" t="s">
        <v>197</v>
      </c>
      <c r="B1295" s="40"/>
      <c r="C1295" s="40"/>
      <c r="D1295" s="40"/>
      <c r="E1295" s="40"/>
      <c r="F1295" s="40"/>
    </row>
    <row r="1296" spans="1:6" ht="12.75" x14ac:dyDescent="0.2">
      <c r="A1296" s="41" t="s">
        <v>196</v>
      </c>
      <c r="B1296" s="40"/>
      <c r="C1296" s="40"/>
      <c r="D1296" s="40"/>
      <c r="E1296" s="40"/>
      <c r="F1296" s="40"/>
    </row>
    <row r="1297" spans="1:6" ht="12.75" x14ac:dyDescent="0.2">
      <c r="A1297" s="41" t="s">
        <v>195</v>
      </c>
      <c r="B1297" s="40"/>
      <c r="C1297" s="40"/>
      <c r="D1297" s="40"/>
      <c r="E1297" s="40"/>
      <c r="F1297" s="40"/>
    </row>
    <row r="1298" spans="1:6" ht="12.75" x14ac:dyDescent="0.2">
      <c r="A1298" s="41" t="s">
        <v>194</v>
      </c>
      <c r="B1298" s="40"/>
      <c r="C1298" s="40"/>
      <c r="D1298" s="40"/>
      <c r="E1298" s="40"/>
      <c r="F1298" s="40"/>
    </row>
    <row r="1299" spans="1:6" ht="12.75" x14ac:dyDescent="0.2">
      <c r="A1299" s="41" t="s">
        <v>193</v>
      </c>
      <c r="B1299" s="40"/>
      <c r="C1299" s="40"/>
      <c r="D1299" s="40"/>
      <c r="E1299" s="40"/>
      <c r="F1299" s="40"/>
    </row>
    <row r="1300" spans="1:6" ht="12.75" x14ac:dyDescent="0.2">
      <c r="A1300" s="41" t="s">
        <v>192</v>
      </c>
      <c r="B1300" s="40"/>
      <c r="C1300" s="40"/>
      <c r="D1300" s="40"/>
      <c r="E1300" s="40"/>
      <c r="F1300" s="40"/>
    </row>
    <row r="1301" spans="1:6" ht="12.75" x14ac:dyDescent="0.2">
      <c r="A1301" s="41" t="s">
        <v>191</v>
      </c>
      <c r="B1301" s="40"/>
      <c r="C1301" s="40"/>
      <c r="D1301" s="40"/>
      <c r="E1301" s="40"/>
      <c r="F1301" s="40"/>
    </row>
    <row r="1302" spans="1:6" ht="12.75" x14ac:dyDescent="0.2">
      <c r="A1302" s="41" t="s">
        <v>190</v>
      </c>
      <c r="B1302" s="40"/>
      <c r="C1302" s="40"/>
      <c r="D1302" s="40"/>
      <c r="E1302" s="40"/>
      <c r="F1302" s="40"/>
    </row>
    <row r="1303" spans="1:6" ht="12.75" x14ac:dyDescent="0.2">
      <c r="A1303" s="41" t="s">
        <v>188</v>
      </c>
      <c r="B1303" s="40"/>
      <c r="C1303" s="40"/>
      <c r="D1303" s="40"/>
      <c r="E1303" s="40"/>
      <c r="F1303" s="40"/>
    </row>
    <row r="1304" spans="1:6" ht="12.75" x14ac:dyDescent="0.2">
      <c r="A1304" s="41" t="s">
        <v>187</v>
      </c>
      <c r="B1304" s="40"/>
      <c r="C1304" s="40"/>
      <c r="D1304" s="40"/>
      <c r="E1304" s="40"/>
      <c r="F1304" s="40"/>
    </row>
    <row r="1305" spans="1:6" ht="12.75" x14ac:dyDescent="0.2">
      <c r="A1305" s="41" t="s">
        <v>186</v>
      </c>
      <c r="B1305" s="40"/>
      <c r="C1305" s="40"/>
      <c r="D1305" s="40"/>
      <c r="E1305" s="40"/>
      <c r="F1305" s="40"/>
    </row>
    <row r="1306" spans="1:6" ht="12.75" x14ac:dyDescent="0.2">
      <c r="A1306" s="41" t="s">
        <v>184</v>
      </c>
      <c r="B1306" s="40"/>
      <c r="C1306" s="40"/>
      <c r="D1306" s="40"/>
      <c r="E1306" s="40"/>
      <c r="F1306" s="40"/>
    </row>
    <row r="1307" spans="1:6" ht="12.75" x14ac:dyDescent="0.2">
      <c r="A1307" s="40"/>
      <c r="B1307" s="40"/>
      <c r="C1307" s="40"/>
      <c r="D1307" s="40"/>
      <c r="E1307" s="40"/>
      <c r="F1307" s="40"/>
    </row>
    <row r="1308" spans="1:6" ht="12.75" x14ac:dyDescent="0.2">
      <c r="A1308" s="41" t="s">
        <v>199</v>
      </c>
      <c r="B1308" s="40"/>
      <c r="C1308" s="40"/>
      <c r="D1308" s="40"/>
      <c r="E1308" s="40"/>
      <c r="F1308" s="40"/>
    </row>
    <row r="1309" spans="1:6" ht="12.75" x14ac:dyDescent="0.2">
      <c r="A1309" s="40"/>
      <c r="B1309" s="41" t="s">
        <v>398</v>
      </c>
      <c r="C1309" s="40"/>
      <c r="D1309" s="40"/>
      <c r="E1309" s="40"/>
      <c r="F1309" s="40"/>
    </row>
    <row r="1310" spans="1:6" ht="12.75" x14ac:dyDescent="0.2">
      <c r="A1310" s="40"/>
      <c r="B1310" s="41" t="s">
        <v>399</v>
      </c>
      <c r="C1310" s="40"/>
      <c r="D1310" s="40"/>
      <c r="E1310" s="40"/>
      <c r="F1310" s="40"/>
    </row>
    <row r="1311" spans="1:6" ht="12.75" x14ac:dyDescent="0.2">
      <c r="A1311" s="40"/>
      <c r="B1311" s="41" t="s">
        <v>400</v>
      </c>
      <c r="C1311" s="40"/>
      <c r="D1311" s="40"/>
      <c r="E1311" s="40"/>
      <c r="F1311" s="40"/>
    </row>
    <row r="1312" spans="1:6" ht="12.75" x14ac:dyDescent="0.2">
      <c r="A1312" s="40"/>
      <c r="B1312" s="41" t="s">
        <v>401</v>
      </c>
      <c r="C1312" s="40"/>
      <c r="D1312" s="40"/>
      <c r="E1312" s="40"/>
      <c r="F1312" s="40"/>
    </row>
    <row r="1313" spans="1:6" ht="12.75" x14ac:dyDescent="0.2">
      <c r="A1313" s="41" t="s">
        <v>211</v>
      </c>
      <c r="B1313" s="41" t="s">
        <v>402</v>
      </c>
      <c r="C1313" s="41" t="s">
        <v>201</v>
      </c>
      <c r="D1313" s="40"/>
      <c r="E1313" s="40"/>
      <c r="F1313" s="40"/>
    </row>
    <row r="1314" spans="1:6" ht="12.75" x14ac:dyDescent="0.2">
      <c r="A1314" s="41" t="s">
        <v>209</v>
      </c>
      <c r="B1314" s="40"/>
      <c r="C1314" s="40"/>
      <c r="D1314" s="40"/>
      <c r="E1314" s="40"/>
      <c r="F1314" s="40"/>
    </row>
    <row r="1315" spans="1:6" ht="12.75" x14ac:dyDescent="0.2">
      <c r="A1315" s="41" t="s">
        <v>208</v>
      </c>
      <c r="B1315" s="40"/>
      <c r="C1315" s="40"/>
      <c r="D1315" s="40"/>
      <c r="E1315" s="40"/>
      <c r="F1315" s="40"/>
    </row>
    <row r="1316" spans="1:6" ht="12.75" x14ac:dyDescent="0.2">
      <c r="A1316" s="41" t="s">
        <v>207</v>
      </c>
      <c r="B1316" s="40"/>
      <c r="C1316" s="40"/>
      <c r="D1316" s="40"/>
      <c r="E1316" s="40"/>
      <c r="F1316" s="40"/>
    </row>
    <row r="1317" spans="1:6" ht="12.75" x14ac:dyDescent="0.2">
      <c r="A1317" s="41" t="s">
        <v>206</v>
      </c>
      <c r="B1317" s="40"/>
      <c r="C1317" s="40"/>
      <c r="D1317" s="40"/>
      <c r="E1317" s="40"/>
      <c r="F1317" s="40"/>
    </row>
    <row r="1318" spans="1:6" ht="12.75" x14ac:dyDescent="0.2">
      <c r="A1318" s="41" t="s">
        <v>205</v>
      </c>
      <c r="B1318" s="40"/>
      <c r="C1318" s="40"/>
      <c r="D1318" s="40"/>
      <c r="E1318" s="40"/>
      <c r="F1318" s="40"/>
    </row>
    <row r="1319" spans="1:6" ht="12.75" x14ac:dyDescent="0.2">
      <c r="A1319" s="41" t="s">
        <v>204</v>
      </c>
      <c r="B1319" s="40"/>
      <c r="C1319" s="40"/>
      <c r="D1319" s="40"/>
      <c r="E1319" s="40"/>
      <c r="F1319" s="40"/>
    </row>
    <row r="1320" spans="1:6" ht="12.75" x14ac:dyDescent="0.2">
      <c r="A1320" s="41" t="s">
        <v>203</v>
      </c>
      <c r="B1320" s="40"/>
      <c r="C1320" s="40"/>
      <c r="D1320" s="40"/>
      <c r="E1320" s="40"/>
      <c r="F1320" s="40"/>
    </row>
    <row r="1321" spans="1:6" ht="12.75" x14ac:dyDescent="0.2">
      <c r="A1321" s="41" t="s">
        <v>200</v>
      </c>
      <c r="B1321" s="40"/>
      <c r="C1321" s="40"/>
      <c r="D1321" s="40"/>
      <c r="E1321" s="40"/>
      <c r="F1321" s="40"/>
    </row>
    <row r="1322" spans="1:6" ht="12.75" x14ac:dyDescent="0.2">
      <c r="A1322" s="40"/>
      <c r="B1322" s="40"/>
      <c r="C1322" s="40"/>
      <c r="D1322" s="40"/>
      <c r="E1322" s="40"/>
      <c r="F1322" s="40"/>
    </row>
    <row r="1323" spans="1:6" ht="12.75" x14ac:dyDescent="0.2">
      <c r="A1323" s="41" t="s">
        <v>212</v>
      </c>
      <c r="B1323" s="40"/>
      <c r="C1323" s="40"/>
      <c r="D1323" s="40"/>
      <c r="E1323" s="40"/>
      <c r="F1323" s="40"/>
    </row>
    <row r="1324" spans="1:6" ht="12.75" x14ac:dyDescent="0.2">
      <c r="A1324" s="40"/>
      <c r="B1324" s="41" t="s">
        <v>398</v>
      </c>
      <c r="C1324" s="40"/>
      <c r="D1324" s="40"/>
      <c r="E1324" s="40"/>
      <c r="F1324" s="40"/>
    </row>
    <row r="1325" spans="1:6" ht="12.75" x14ac:dyDescent="0.2">
      <c r="A1325" s="40"/>
      <c r="B1325" s="41" t="s">
        <v>399</v>
      </c>
      <c r="C1325" s="40"/>
      <c r="D1325" s="40"/>
      <c r="E1325" s="40"/>
      <c r="F1325" s="40"/>
    </row>
    <row r="1326" spans="1:6" ht="12.75" x14ac:dyDescent="0.2">
      <c r="A1326" s="40"/>
      <c r="B1326" s="41" t="s">
        <v>400</v>
      </c>
      <c r="C1326" s="40"/>
      <c r="D1326" s="40"/>
      <c r="E1326" s="40"/>
      <c r="F1326" s="40"/>
    </row>
    <row r="1327" spans="1:6" ht="12.75" x14ac:dyDescent="0.2">
      <c r="A1327" s="40"/>
      <c r="B1327" s="41" t="s">
        <v>401</v>
      </c>
      <c r="C1327" s="40"/>
      <c r="D1327" s="40"/>
      <c r="E1327" s="40"/>
      <c r="F1327" s="40"/>
    </row>
    <row r="1328" spans="1:6" ht="12.75" x14ac:dyDescent="0.2">
      <c r="A1328" s="41" t="s">
        <v>235</v>
      </c>
      <c r="B1328" s="41" t="s">
        <v>402</v>
      </c>
      <c r="C1328" s="41" t="s">
        <v>214</v>
      </c>
      <c r="D1328" s="40"/>
      <c r="E1328" s="40"/>
      <c r="F1328" s="40"/>
    </row>
    <row r="1329" spans="1:6" ht="12.75" x14ac:dyDescent="0.2">
      <c r="A1329" s="41" t="s">
        <v>234</v>
      </c>
      <c r="B1329" s="40"/>
      <c r="C1329" s="40"/>
      <c r="D1329" s="40"/>
      <c r="E1329" s="40"/>
      <c r="F1329" s="40"/>
    </row>
    <row r="1330" spans="1:6" ht="12.75" x14ac:dyDescent="0.2">
      <c r="A1330" s="41" t="s">
        <v>231</v>
      </c>
      <c r="B1330" s="40"/>
      <c r="C1330" s="40"/>
      <c r="D1330" s="40"/>
      <c r="E1330" s="40"/>
      <c r="F1330" s="40"/>
    </row>
    <row r="1331" spans="1:6" ht="12.75" x14ac:dyDescent="0.2">
      <c r="A1331" s="41" t="s">
        <v>230</v>
      </c>
      <c r="B1331" s="40"/>
      <c r="C1331" s="40"/>
      <c r="D1331" s="40"/>
      <c r="E1331" s="40"/>
      <c r="F1331" s="40"/>
    </row>
    <row r="1332" spans="1:6" ht="12.75" x14ac:dyDescent="0.2">
      <c r="A1332" s="41" t="s">
        <v>226</v>
      </c>
      <c r="B1332" s="40"/>
      <c r="C1332" s="40"/>
      <c r="D1332" s="40"/>
      <c r="E1332" s="40"/>
      <c r="F1332" s="40"/>
    </row>
    <row r="1333" spans="1:6" ht="12.75" x14ac:dyDescent="0.2">
      <c r="A1333" s="41" t="s">
        <v>228</v>
      </c>
      <c r="B1333" s="40"/>
      <c r="C1333" s="40"/>
      <c r="D1333" s="40"/>
      <c r="E1333" s="40"/>
      <c r="F1333" s="40"/>
    </row>
    <row r="1334" spans="1:6" ht="12.75" x14ac:dyDescent="0.2">
      <c r="A1334" s="41" t="s">
        <v>225</v>
      </c>
      <c r="B1334" s="40"/>
      <c r="C1334" s="40"/>
      <c r="D1334" s="40"/>
      <c r="E1334" s="40"/>
      <c r="F1334" s="40"/>
    </row>
    <row r="1335" spans="1:6" ht="12.75" x14ac:dyDescent="0.2">
      <c r="A1335" s="41" t="s">
        <v>224</v>
      </c>
      <c r="B1335" s="40"/>
      <c r="C1335" s="40"/>
      <c r="D1335" s="40"/>
      <c r="E1335" s="40"/>
      <c r="F1335" s="40"/>
    </row>
    <row r="1336" spans="1:6" ht="12.75" x14ac:dyDescent="0.2">
      <c r="A1336" s="41" t="s">
        <v>223</v>
      </c>
      <c r="B1336" s="40"/>
      <c r="C1336" s="40"/>
      <c r="D1336" s="40"/>
      <c r="E1336" s="40"/>
      <c r="F1336" s="40"/>
    </row>
    <row r="1337" spans="1:6" ht="12.75" x14ac:dyDescent="0.2">
      <c r="A1337" s="41" t="s">
        <v>222</v>
      </c>
      <c r="B1337" s="40"/>
      <c r="C1337" s="40"/>
      <c r="D1337" s="40"/>
      <c r="E1337" s="40"/>
      <c r="F1337" s="40"/>
    </row>
    <row r="1338" spans="1:6" ht="12.75" x14ac:dyDescent="0.2">
      <c r="A1338" s="41" t="s">
        <v>221</v>
      </c>
      <c r="B1338" s="40"/>
      <c r="C1338" s="40"/>
      <c r="D1338" s="40"/>
      <c r="E1338" s="40"/>
      <c r="F1338" s="40"/>
    </row>
    <row r="1339" spans="1:6" ht="12.75" x14ac:dyDescent="0.2">
      <c r="A1339" s="41" t="s">
        <v>220</v>
      </c>
      <c r="B1339" s="40"/>
      <c r="C1339" s="40"/>
      <c r="D1339" s="40"/>
      <c r="E1339" s="40"/>
      <c r="F1339" s="40"/>
    </row>
    <row r="1340" spans="1:6" ht="12.75" x14ac:dyDescent="0.2">
      <c r="A1340" s="41" t="s">
        <v>219</v>
      </c>
      <c r="B1340" s="40"/>
      <c r="C1340" s="40"/>
      <c r="D1340" s="40"/>
      <c r="E1340" s="40"/>
      <c r="F1340" s="40"/>
    </row>
    <row r="1341" spans="1:6" ht="12.75" x14ac:dyDescent="0.2">
      <c r="A1341" s="41" t="s">
        <v>217</v>
      </c>
      <c r="B1341" s="40"/>
      <c r="C1341" s="40"/>
      <c r="D1341" s="40"/>
      <c r="E1341" s="40"/>
      <c r="F1341" s="40"/>
    </row>
    <row r="1342" spans="1:6" ht="12.75" x14ac:dyDescent="0.2">
      <c r="A1342" s="41" t="s">
        <v>216</v>
      </c>
      <c r="B1342" s="40"/>
      <c r="C1342" s="40"/>
      <c r="D1342" s="40"/>
      <c r="E1342" s="40"/>
      <c r="F1342" s="40"/>
    </row>
    <row r="1343" spans="1:6" ht="12.75" x14ac:dyDescent="0.2">
      <c r="A1343" s="41" t="s">
        <v>213</v>
      </c>
      <c r="B1343" s="40"/>
      <c r="C1343" s="40"/>
      <c r="D1343" s="40"/>
      <c r="E1343" s="40"/>
      <c r="F1343" s="40"/>
    </row>
    <row r="1344" spans="1:6" ht="12.75" x14ac:dyDescent="0.2">
      <c r="A1344" s="40"/>
      <c r="B1344" s="40"/>
      <c r="C1344" s="40"/>
      <c r="D1344" s="40"/>
      <c r="E1344" s="40"/>
      <c r="F1344" s="40"/>
    </row>
    <row r="1345" spans="1:6" ht="12.75" x14ac:dyDescent="0.2">
      <c r="A1345" s="41" t="s">
        <v>236</v>
      </c>
      <c r="B1345" s="40"/>
      <c r="C1345" s="40"/>
      <c r="D1345" s="40"/>
      <c r="E1345" s="40"/>
      <c r="F1345" s="40"/>
    </row>
    <row r="1346" spans="1:6" ht="12.75" x14ac:dyDescent="0.2">
      <c r="A1346" s="40"/>
      <c r="B1346" s="41" t="s">
        <v>398</v>
      </c>
      <c r="C1346" s="40"/>
      <c r="D1346" s="40"/>
      <c r="E1346" s="40"/>
      <c r="F1346" s="40"/>
    </row>
    <row r="1347" spans="1:6" ht="12.75" x14ac:dyDescent="0.2">
      <c r="A1347" s="40"/>
      <c r="B1347" s="41" t="s">
        <v>399</v>
      </c>
      <c r="C1347" s="40"/>
      <c r="D1347" s="40"/>
      <c r="E1347" s="40"/>
      <c r="F1347" s="40"/>
    </row>
    <row r="1348" spans="1:6" ht="12.75" x14ac:dyDescent="0.2">
      <c r="A1348" s="40"/>
      <c r="B1348" s="41" t="s">
        <v>400</v>
      </c>
      <c r="C1348" s="40"/>
      <c r="D1348" s="40"/>
      <c r="E1348" s="40"/>
      <c r="F1348" s="40"/>
    </row>
    <row r="1349" spans="1:6" ht="12.75" x14ac:dyDescent="0.2">
      <c r="A1349" s="40"/>
      <c r="B1349" s="41" t="s">
        <v>401</v>
      </c>
      <c r="C1349" s="40"/>
      <c r="D1349" s="40"/>
      <c r="E1349" s="40"/>
      <c r="F1349" s="40"/>
    </row>
    <row r="1350" spans="1:6" ht="25.5" x14ac:dyDescent="0.2">
      <c r="A1350" s="41" t="s">
        <v>829</v>
      </c>
      <c r="B1350" s="41" t="s">
        <v>402</v>
      </c>
      <c r="C1350" s="41" t="s">
        <v>830</v>
      </c>
      <c r="D1350" s="40"/>
      <c r="E1350" s="40"/>
      <c r="F1350" s="40"/>
    </row>
    <row r="1351" spans="1:6" ht="12.75" x14ac:dyDescent="0.2">
      <c r="A1351" s="41" t="s">
        <v>264</v>
      </c>
      <c r="B1351" s="40"/>
      <c r="C1351" s="40"/>
      <c r="D1351" s="40"/>
      <c r="E1351" s="40"/>
      <c r="F1351" s="40"/>
    </row>
    <row r="1352" spans="1:6" ht="12.75" x14ac:dyDescent="0.2">
      <c r="A1352" s="41" t="s">
        <v>263</v>
      </c>
      <c r="B1352" s="40"/>
      <c r="C1352" s="40"/>
      <c r="D1352" s="40"/>
      <c r="E1352" s="40"/>
      <c r="F1352" s="40"/>
    </row>
    <row r="1353" spans="1:6" ht="12.75" x14ac:dyDescent="0.2">
      <c r="A1353" s="41" t="s">
        <v>262</v>
      </c>
      <c r="B1353" s="40"/>
      <c r="C1353" s="40"/>
      <c r="D1353" s="40"/>
      <c r="E1353" s="40"/>
      <c r="F1353" s="40"/>
    </row>
    <row r="1354" spans="1:6" ht="12.75" x14ac:dyDescent="0.2">
      <c r="A1354" s="41" t="s">
        <v>259</v>
      </c>
      <c r="B1354" s="40"/>
      <c r="C1354" s="40"/>
      <c r="D1354" s="40"/>
      <c r="E1354" s="40"/>
      <c r="F1354" s="40"/>
    </row>
    <row r="1355" spans="1:6" ht="12.75" x14ac:dyDescent="0.2">
      <c r="A1355" s="41" t="s">
        <v>257</v>
      </c>
      <c r="B1355" s="40"/>
      <c r="C1355" s="40"/>
      <c r="D1355" s="40"/>
      <c r="E1355" s="40"/>
      <c r="F1355" s="40"/>
    </row>
    <row r="1356" spans="1:6" ht="12.75" x14ac:dyDescent="0.2">
      <c r="A1356" s="41" t="s">
        <v>255</v>
      </c>
      <c r="B1356" s="40"/>
      <c r="C1356" s="40"/>
      <c r="D1356" s="40"/>
      <c r="E1356" s="40"/>
      <c r="F1356" s="40"/>
    </row>
    <row r="1357" spans="1:6" ht="12.75" x14ac:dyDescent="0.2">
      <c r="A1357" s="41" t="s">
        <v>254</v>
      </c>
      <c r="B1357" s="40"/>
      <c r="C1357" s="40"/>
      <c r="D1357" s="40"/>
      <c r="E1357" s="40"/>
      <c r="F1357" s="40"/>
    </row>
    <row r="1358" spans="1:6" ht="12.75" x14ac:dyDescent="0.2">
      <c r="A1358" s="41" t="s">
        <v>253</v>
      </c>
      <c r="B1358" s="40"/>
      <c r="C1358" s="40"/>
      <c r="D1358" s="40"/>
      <c r="E1358" s="40"/>
      <c r="F1358" s="40"/>
    </row>
    <row r="1359" spans="1:6" ht="12.75" x14ac:dyDescent="0.2">
      <c r="A1359" s="41" t="s">
        <v>252</v>
      </c>
      <c r="B1359" s="40"/>
      <c r="C1359" s="40"/>
      <c r="D1359" s="40"/>
      <c r="E1359" s="40"/>
      <c r="F1359" s="40"/>
    </row>
    <row r="1360" spans="1:6" ht="12.75" x14ac:dyDescent="0.2">
      <c r="A1360" s="41" t="s">
        <v>251</v>
      </c>
      <c r="B1360" s="40"/>
      <c r="C1360" s="40"/>
      <c r="D1360" s="40"/>
      <c r="E1360" s="40"/>
      <c r="F1360" s="40"/>
    </row>
    <row r="1361" spans="1:6" ht="12.75" x14ac:dyDescent="0.2">
      <c r="A1361" s="41" t="s">
        <v>250</v>
      </c>
      <c r="B1361" s="40"/>
      <c r="C1361" s="40"/>
      <c r="D1361" s="40"/>
      <c r="E1361" s="40"/>
      <c r="F1361" s="40"/>
    </row>
    <row r="1362" spans="1:6" ht="12.75" x14ac:dyDescent="0.2">
      <c r="A1362" s="41" t="s">
        <v>248</v>
      </c>
      <c r="B1362" s="40"/>
      <c r="C1362" s="40"/>
      <c r="D1362" s="40"/>
      <c r="E1362" s="40"/>
      <c r="F1362" s="40"/>
    </row>
    <row r="1363" spans="1:6" ht="12.75" x14ac:dyDescent="0.2">
      <c r="A1363" s="41" t="s">
        <v>247</v>
      </c>
      <c r="B1363" s="40"/>
      <c r="C1363" s="40"/>
      <c r="D1363" s="40"/>
      <c r="E1363" s="40"/>
      <c r="F1363" s="40"/>
    </row>
    <row r="1364" spans="1:6" ht="12.75" x14ac:dyDescent="0.2">
      <c r="A1364" s="41" t="s">
        <v>246</v>
      </c>
      <c r="B1364" s="40"/>
      <c r="C1364" s="40"/>
      <c r="D1364" s="40"/>
      <c r="E1364" s="40"/>
      <c r="F1364" s="40"/>
    </row>
    <row r="1365" spans="1:6" ht="12.75" x14ac:dyDescent="0.2">
      <c r="A1365" s="41" t="s">
        <v>245</v>
      </c>
      <c r="B1365" s="40"/>
      <c r="C1365" s="40"/>
      <c r="D1365" s="40"/>
      <c r="E1365" s="40"/>
      <c r="F1365" s="40"/>
    </row>
    <row r="1366" spans="1:6" ht="12.75" x14ac:dyDescent="0.2">
      <c r="A1366" s="41" t="s">
        <v>242</v>
      </c>
      <c r="B1366" s="40"/>
      <c r="C1366" s="40"/>
      <c r="D1366" s="40"/>
      <c r="E1366" s="40"/>
      <c r="F1366" s="40"/>
    </row>
    <row r="1367" spans="1:6" ht="12.75" x14ac:dyDescent="0.2">
      <c r="A1367" s="41" t="s">
        <v>240</v>
      </c>
      <c r="B1367" s="40"/>
      <c r="C1367" s="40"/>
      <c r="D1367" s="40"/>
      <c r="E1367" s="40"/>
      <c r="F1367" s="40"/>
    </row>
    <row r="1368" spans="1:6" ht="12.75" x14ac:dyDescent="0.2">
      <c r="A1368" s="41" t="s">
        <v>237</v>
      </c>
      <c r="B1368" s="40"/>
      <c r="C1368" s="40"/>
      <c r="D1368" s="40"/>
      <c r="E1368" s="40"/>
      <c r="F1368" s="40"/>
    </row>
    <row r="1369" spans="1:6" ht="12.75" x14ac:dyDescent="0.2">
      <c r="A1369" s="40"/>
      <c r="B1369" s="40"/>
      <c r="C1369" s="40"/>
      <c r="D1369" s="40"/>
      <c r="E1369" s="40"/>
      <c r="F1369" s="40"/>
    </row>
    <row r="1370" spans="1:6" ht="12.75" x14ac:dyDescent="0.2">
      <c r="A1370" s="41" t="s">
        <v>334</v>
      </c>
      <c r="B1370" s="40"/>
      <c r="C1370" s="40"/>
      <c r="D1370" s="40"/>
      <c r="E1370" s="40"/>
      <c r="F1370" s="40"/>
    </row>
    <row r="1371" spans="1:6" ht="12.75" x14ac:dyDescent="0.2">
      <c r="A1371" s="40"/>
      <c r="B1371" s="41" t="s">
        <v>398</v>
      </c>
      <c r="C1371" s="40"/>
      <c r="D1371" s="40"/>
      <c r="E1371" s="40"/>
      <c r="F1371" s="40"/>
    </row>
    <row r="1372" spans="1:6" ht="12.75" x14ac:dyDescent="0.2">
      <c r="A1372" s="40"/>
      <c r="B1372" s="41" t="s">
        <v>399</v>
      </c>
      <c r="C1372" s="40"/>
      <c r="D1372" s="40"/>
      <c r="E1372" s="40"/>
      <c r="F1372" s="40"/>
    </row>
    <row r="1373" spans="1:6" ht="12.75" x14ac:dyDescent="0.2">
      <c r="A1373" s="40"/>
      <c r="B1373" s="41" t="s">
        <v>400</v>
      </c>
      <c r="C1373" s="40"/>
      <c r="D1373" s="40"/>
      <c r="E1373" s="40"/>
      <c r="F1373" s="40"/>
    </row>
    <row r="1374" spans="1:6" ht="12.75" x14ac:dyDescent="0.2">
      <c r="A1374" s="40"/>
      <c r="B1374" s="41" t="s">
        <v>401</v>
      </c>
      <c r="C1374" s="40"/>
      <c r="D1374" s="40"/>
      <c r="E1374" s="40"/>
      <c r="F1374" s="40"/>
    </row>
    <row r="1375" spans="1:6" ht="51" x14ac:dyDescent="0.2">
      <c r="A1375" s="41" t="s">
        <v>362</v>
      </c>
      <c r="B1375" s="41" t="s">
        <v>402</v>
      </c>
      <c r="C1375" s="41" t="s">
        <v>831</v>
      </c>
      <c r="D1375" s="40"/>
      <c r="E1375" s="40"/>
      <c r="F1375" s="40"/>
    </row>
    <row r="1376" spans="1:6" ht="12.75" x14ac:dyDescent="0.2">
      <c r="A1376" s="41" t="s">
        <v>361</v>
      </c>
      <c r="B1376" s="40"/>
      <c r="C1376" s="40"/>
      <c r="D1376" s="40"/>
      <c r="E1376" s="40"/>
      <c r="F1376" s="40"/>
    </row>
    <row r="1377" spans="1:6" ht="12.75" x14ac:dyDescent="0.2">
      <c r="A1377" s="41" t="s">
        <v>354</v>
      </c>
      <c r="B1377" s="40"/>
      <c r="C1377" s="40"/>
      <c r="D1377" s="40"/>
      <c r="E1377" s="40"/>
      <c r="F1377" s="40"/>
    </row>
    <row r="1378" spans="1:6" ht="12.75" x14ac:dyDescent="0.2">
      <c r="A1378" s="41" t="s">
        <v>339</v>
      </c>
      <c r="B1378" s="40"/>
      <c r="C1378" s="40"/>
      <c r="D1378" s="40"/>
      <c r="E1378" s="40"/>
      <c r="F1378" s="40"/>
    </row>
    <row r="1379" spans="1:6" ht="12.75" x14ac:dyDescent="0.2">
      <c r="A1379" s="41" t="s">
        <v>346</v>
      </c>
      <c r="B1379" s="40"/>
      <c r="C1379" s="40"/>
      <c r="D1379" s="40"/>
      <c r="E1379" s="40"/>
      <c r="F1379" s="40"/>
    </row>
    <row r="1380" spans="1:6" ht="12.75" x14ac:dyDescent="0.2">
      <c r="A1380" s="41" t="s">
        <v>360</v>
      </c>
      <c r="B1380" s="40"/>
      <c r="C1380" s="40"/>
      <c r="D1380" s="40"/>
      <c r="E1380" s="40"/>
      <c r="F1380" s="40"/>
    </row>
    <row r="1381" spans="1:6" ht="12.75" x14ac:dyDescent="0.2">
      <c r="A1381" s="41" t="s">
        <v>337</v>
      </c>
      <c r="B1381" s="40"/>
      <c r="C1381" s="40"/>
      <c r="D1381" s="40"/>
      <c r="E1381" s="40"/>
      <c r="F1381" s="40"/>
    </row>
    <row r="1382" spans="1:6" ht="12.75" x14ac:dyDescent="0.2">
      <c r="A1382" s="41" t="s">
        <v>335</v>
      </c>
      <c r="B1382" s="40"/>
      <c r="C1382" s="40"/>
      <c r="D1382" s="40"/>
      <c r="E1382" s="40"/>
      <c r="F1382" s="40"/>
    </row>
    <row r="1383" spans="1:6" ht="12.75" x14ac:dyDescent="0.2">
      <c r="A1383" s="41" t="s">
        <v>355</v>
      </c>
      <c r="B1383" s="40"/>
      <c r="C1383" s="40"/>
      <c r="D1383" s="40"/>
      <c r="E1383" s="40"/>
      <c r="F1383" s="40"/>
    </row>
    <row r="1384" spans="1:6" ht="12.75" x14ac:dyDescent="0.2">
      <c r="A1384" s="41" t="s">
        <v>350</v>
      </c>
      <c r="B1384" s="40"/>
      <c r="C1384" s="40"/>
      <c r="D1384" s="40"/>
      <c r="E1384" s="40"/>
      <c r="F1384" s="40"/>
    </row>
    <row r="1385" spans="1:6" ht="12.75" x14ac:dyDescent="0.2">
      <c r="A1385" s="41" t="s">
        <v>347</v>
      </c>
      <c r="B1385" s="40"/>
      <c r="C1385" s="40"/>
      <c r="D1385" s="40"/>
      <c r="E1385" s="40"/>
      <c r="F1385" s="40"/>
    </row>
    <row r="1386" spans="1:6" ht="12.75" x14ac:dyDescent="0.2">
      <c r="A1386" s="41" t="s">
        <v>343</v>
      </c>
      <c r="B1386" s="40"/>
      <c r="C1386" s="40"/>
      <c r="D1386" s="40"/>
      <c r="E1386" s="40"/>
      <c r="F1386" s="40"/>
    </row>
    <row r="1387" spans="1:6" ht="12.75" x14ac:dyDescent="0.2">
      <c r="A1387" s="40"/>
      <c r="B1387" s="40"/>
      <c r="C1387" s="40"/>
      <c r="D1387" s="40"/>
      <c r="E1387" s="40"/>
      <c r="F1387" s="40"/>
    </row>
    <row r="1388" spans="1:6" ht="12.75" x14ac:dyDescent="0.2">
      <c r="A1388" s="41" t="s">
        <v>265</v>
      </c>
      <c r="B1388" s="40"/>
      <c r="C1388" s="40"/>
      <c r="D1388" s="40"/>
      <c r="E1388" s="40"/>
      <c r="F1388" s="40"/>
    </row>
    <row r="1389" spans="1:6" ht="12.75" x14ac:dyDescent="0.2">
      <c r="A1389" s="40"/>
      <c r="B1389" s="41" t="s">
        <v>398</v>
      </c>
      <c r="C1389" s="40"/>
      <c r="D1389" s="40"/>
      <c r="E1389" s="40"/>
      <c r="F1389" s="40"/>
    </row>
    <row r="1390" spans="1:6" ht="12.75" x14ac:dyDescent="0.2">
      <c r="A1390" s="40"/>
      <c r="B1390" s="41" t="s">
        <v>399</v>
      </c>
      <c r="C1390" s="40"/>
      <c r="D1390" s="40"/>
      <c r="E1390" s="40"/>
      <c r="F1390" s="40"/>
    </row>
    <row r="1391" spans="1:6" ht="12.75" x14ac:dyDescent="0.2">
      <c r="A1391" s="40"/>
      <c r="B1391" s="41" t="s">
        <v>400</v>
      </c>
      <c r="C1391" s="40"/>
      <c r="D1391" s="40"/>
      <c r="E1391" s="40"/>
      <c r="F1391" s="40"/>
    </row>
    <row r="1392" spans="1:6" ht="12.75" x14ac:dyDescent="0.2">
      <c r="A1392" s="40"/>
      <c r="B1392" s="41" t="s">
        <v>401</v>
      </c>
      <c r="C1392" s="40"/>
      <c r="D1392" s="40"/>
      <c r="E1392" s="40"/>
      <c r="F1392" s="40"/>
    </row>
    <row r="1393" spans="1:6" ht="12.75" x14ac:dyDescent="0.2">
      <c r="A1393" s="41" t="s">
        <v>284</v>
      </c>
      <c r="B1393" s="41" t="s">
        <v>402</v>
      </c>
      <c r="C1393" s="41" t="s">
        <v>268</v>
      </c>
      <c r="D1393" s="40"/>
      <c r="E1393" s="40"/>
      <c r="F1393" s="40"/>
    </row>
    <row r="1394" spans="1:6" ht="12.75" x14ac:dyDescent="0.2">
      <c r="A1394" s="41" t="s">
        <v>283</v>
      </c>
      <c r="B1394" s="40"/>
      <c r="C1394" s="40"/>
      <c r="D1394" s="40"/>
      <c r="E1394" s="40"/>
      <c r="F1394" s="40"/>
    </row>
    <row r="1395" spans="1:6" ht="12.75" x14ac:dyDescent="0.2">
      <c r="A1395" s="41" t="s">
        <v>280</v>
      </c>
      <c r="B1395" s="40"/>
      <c r="C1395" s="40"/>
      <c r="D1395" s="40"/>
      <c r="E1395" s="40"/>
      <c r="F1395" s="40"/>
    </row>
    <row r="1396" spans="1:6" ht="12.75" x14ac:dyDescent="0.2">
      <c r="A1396" s="41" t="s">
        <v>277</v>
      </c>
      <c r="B1396" s="40"/>
      <c r="C1396" s="40"/>
      <c r="D1396" s="40"/>
      <c r="E1396" s="40"/>
      <c r="F1396" s="40"/>
    </row>
    <row r="1397" spans="1:6" ht="12.75" x14ac:dyDescent="0.2">
      <c r="A1397" s="41" t="s">
        <v>274</v>
      </c>
      <c r="B1397" s="40"/>
      <c r="C1397" s="40"/>
      <c r="D1397" s="40"/>
      <c r="E1397" s="40"/>
      <c r="F1397" s="40"/>
    </row>
    <row r="1398" spans="1:6" ht="12.75" x14ac:dyDescent="0.2">
      <c r="A1398" s="41" t="s">
        <v>273</v>
      </c>
      <c r="B1398" s="40"/>
      <c r="C1398" s="40"/>
      <c r="D1398" s="40"/>
      <c r="E1398" s="40"/>
      <c r="F1398" s="40"/>
    </row>
    <row r="1399" spans="1:6" ht="12.75" x14ac:dyDescent="0.2">
      <c r="A1399" s="41" t="s">
        <v>270</v>
      </c>
      <c r="B1399" s="40"/>
      <c r="C1399" s="40"/>
      <c r="D1399" s="40"/>
      <c r="E1399" s="40"/>
      <c r="F1399" s="40"/>
    </row>
    <row r="1400" spans="1:6" ht="12.75" x14ac:dyDescent="0.2">
      <c r="A1400" s="41" t="s">
        <v>269</v>
      </c>
      <c r="B1400" s="40"/>
      <c r="C1400" s="40"/>
      <c r="D1400" s="40"/>
      <c r="E1400" s="40"/>
      <c r="F1400" s="40"/>
    </row>
    <row r="1401" spans="1:6" ht="12.75" x14ac:dyDescent="0.2">
      <c r="A1401" s="41" t="s">
        <v>267</v>
      </c>
      <c r="B1401" s="40"/>
      <c r="C1401" s="40"/>
      <c r="D1401" s="40"/>
      <c r="E1401" s="40"/>
      <c r="F1401" s="40"/>
    </row>
    <row r="1402" spans="1:6" ht="12.75" x14ac:dyDescent="0.2">
      <c r="A1402" s="40"/>
      <c r="B1402" s="40"/>
      <c r="C1402" s="40"/>
      <c r="D1402" s="40"/>
      <c r="E1402" s="40"/>
      <c r="F1402" s="40"/>
    </row>
    <row r="1403" spans="1:6" ht="12.75" x14ac:dyDescent="0.2">
      <c r="A1403" s="41" t="s">
        <v>287</v>
      </c>
      <c r="B1403" s="40"/>
      <c r="C1403" s="40"/>
      <c r="D1403" s="40"/>
      <c r="E1403" s="40"/>
      <c r="F1403" s="40"/>
    </row>
    <row r="1404" spans="1:6" ht="12.75" x14ac:dyDescent="0.2">
      <c r="A1404" s="40"/>
      <c r="B1404" s="41" t="s">
        <v>398</v>
      </c>
      <c r="C1404" s="40"/>
      <c r="D1404" s="40"/>
      <c r="E1404" s="40"/>
      <c r="F1404" s="40"/>
    </row>
    <row r="1405" spans="1:6" ht="12.75" x14ac:dyDescent="0.2">
      <c r="A1405" s="40"/>
      <c r="B1405" s="41" t="s">
        <v>399</v>
      </c>
      <c r="C1405" s="40"/>
      <c r="D1405" s="40"/>
      <c r="E1405" s="40"/>
      <c r="F1405" s="40"/>
    </row>
    <row r="1406" spans="1:6" ht="12.75" x14ac:dyDescent="0.2">
      <c r="A1406" s="40"/>
      <c r="B1406" s="41" t="s">
        <v>400</v>
      </c>
      <c r="C1406" s="40"/>
      <c r="D1406" s="40"/>
      <c r="E1406" s="40"/>
      <c r="F1406" s="40"/>
    </row>
    <row r="1407" spans="1:6" ht="12.75" x14ac:dyDescent="0.2">
      <c r="A1407" s="40"/>
      <c r="B1407" s="41" t="s">
        <v>401</v>
      </c>
      <c r="C1407" s="40"/>
      <c r="D1407" s="40"/>
      <c r="E1407" s="40"/>
      <c r="F1407" s="40"/>
    </row>
    <row r="1408" spans="1:6" ht="12.75" x14ac:dyDescent="0.2">
      <c r="A1408" s="41" t="s">
        <v>308</v>
      </c>
      <c r="B1408" s="41" t="s">
        <v>402</v>
      </c>
      <c r="C1408" s="41" t="s">
        <v>291</v>
      </c>
      <c r="D1408" s="40"/>
      <c r="E1408" s="40"/>
      <c r="F1408" s="40"/>
    </row>
    <row r="1409" spans="1:6" ht="12.75" x14ac:dyDescent="0.2">
      <c r="A1409" s="41" t="s">
        <v>306</v>
      </c>
      <c r="B1409" s="40"/>
      <c r="C1409" s="40"/>
      <c r="D1409" s="40"/>
      <c r="E1409" s="40"/>
      <c r="F1409" s="40"/>
    </row>
    <row r="1410" spans="1:6" ht="12.75" x14ac:dyDescent="0.2">
      <c r="A1410" s="41" t="s">
        <v>303</v>
      </c>
      <c r="B1410" s="40"/>
      <c r="C1410" s="40"/>
      <c r="D1410" s="40"/>
      <c r="E1410" s="40"/>
      <c r="F1410" s="40"/>
    </row>
    <row r="1411" spans="1:6" ht="12.75" x14ac:dyDescent="0.2">
      <c r="A1411" s="41" t="s">
        <v>307</v>
      </c>
      <c r="B1411" s="40"/>
      <c r="C1411" s="40"/>
      <c r="D1411" s="40"/>
      <c r="E1411" s="40"/>
      <c r="F1411" s="40"/>
    </row>
    <row r="1412" spans="1:6" ht="12.75" x14ac:dyDescent="0.2">
      <c r="A1412" s="41" t="s">
        <v>301</v>
      </c>
      <c r="B1412" s="40"/>
      <c r="C1412" s="40"/>
      <c r="D1412" s="40"/>
      <c r="E1412" s="40"/>
      <c r="F1412" s="40"/>
    </row>
    <row r="1413" spans="1:6" ht="12.75" x14ac:dyDescent="0.2">
      <c r="A1413" s="41" t="s">
        <v>299</v>
      </c>
      <c r="B1413" s="40"/>
      <c r="C1413" s="40"/>
      <c r="D1413" s="40"/>
      <c r="E1413" s="40"/>
      <c r="F1413" s="40"/>
    </row>
    <row r="1414" spans="1:6" ht="12.75" x14ac:dyDescent="0.2">
      <c r="A1414" s="41" t="s">
        <v>290</v>
      </c>
      <c r="B1414" s="40"/>
      <c r="C1414" s="40"/>
      <c r="D1414" s="40"/>
      <c r="E1414" s="40"/>
      <c r="F1414" s="40"/>
    </row>
    <row r="1415" spans="1:6" ht="12.75" x14ac:dyDescent="0.2">
      <c r="A1415" s="41" t="s">
        <v>298</v>
      </c>
      <c r="B1415" s="40"/>
      <c r="C1415" s="40"/>
      <c r="D1415" s="40"/>
      <c r="E1415" s="40"/>
      <c r="F1415" s="40"/>
    </row>
    <row r="1416" spans="1:6" ht="12.75" x14ac:dyDescent="0.2">
      <c r="A1416" s="41" t="s">
        <v>295</v>
      </c>
      <c r="B1416" s="40"/>
      <c r="C1416" s="40"/>
      <c r="D1416" s="40"/>
      <c r="E1416" s="40"/>
      <c r="F1416" s="40"/>
    </row>
    <row r="1417" spans="1:6" ht="12.75" x14ac:dyDescent="0.2">
      <c r="A1417" s="40"/>
      <c r="B1417" s="40"/>
      <c r="C1417" s="40"/>
      <c r="D1417" s="40"/>
      <c r="E1417" s="40"/>
      <c r="F1417" s="40"/>
    </row>
    <row r="1418" spans="1:6" ht="12.75" x14ac:dyDescent="0.2">
      <c r="A1418" s="41" t="s">
        <v>832</v>
      </c>
      <c r="B1418" s="40"/>
      <c r="C1418" s="40"/>
      <c r="D1418" s="40"/>
      <c r="E1418" s="40"/>
      <c r="F1418" s="40"/>
    </row>
    <row r="1419" spans="1:6" ht="12.75" x14ac:dyDescent="0.2">
      <c r="A1419" s="40"/>
      <c r="B1419" s="41" t="s">
        <v>398</v>
      </c>
      <c r="C1419" s="40"/>
      <c r="D1419" s="40"/>
      <c r="E1419" s="40"/>
      <c r="F1419" s="40"/>
    </row>
    <row r="1420" spans="1:6" ht="12.75" x14ac:dyDescent="0.2">
      <c r="A1420" s="40"/>
      <c r="B1420" s="41" t="s">
        <v>399</v>
      </c>
      <c r="C1420" s="40"/>
      <c r="D1420" s="40"/>
      <c r="E1420" s="40"/>
      <c r="F1420" s="40"/>
    </row>
    <row r="1421" spans="1:6" ht="12.75" x14ac:dyDescent="0.2">
      <c r="A1421" s="40"/>
      <c r="B1421" s="41" t="s">
        <v>400</v>
      </c>
      <c r="C1421" s="40"/>
      <c r="D1421" s="40"/>
      <c r="E1421" s="40"/>
      <c r="F1421" s="40"/>
    </row>
    <row r="1422" spans="1:6" ht="12.75" x14ac:dyDescent="0.2">
      <c r="A1422" s="40"/>
      <c r="B1422" s="41" t="s">
        <v>401</v>
      </c>
      <c r="C1422" s="40"/>
      <c r="D1422" s="40"/>
      <c r="E1422" s="40"/>
      <c r="F1422" s="40"/>
    </row>
    <row r="1423" spans="1:6" ht="12.75" x14ac:dyDescent="0.2">
      <c r="A1423" s="41" t="s">
        <v>833</v>
      </c>
      <c r="B1423" s="41" t="s">
        <v>402</v>
      </c>
      <c r="C1423" s="41" t="s">
        <v>834</v>
      </c>
      <c r="D1423" s="40"/>
      <c r="E1423" s="40"/>
      <c r="F1423" s="40"/>
    </row>
    <row r="1424" spans="1:6" ht="12.75" x14ac:dyDescent="0.2">
      <c r="A1424" s="41" t="s">
        <v>835</v>
      </c>
      <c r="B1424" s="40"/>
      <c r="C1424" s="40"/>
      <c r="D1424" s="40"/>
      <c r="E1424" s="40"/>
      <c r="F1424" s="40"/>
    </row>
    <row r="1425" spans="1:6" ht="12.75" x14ac:dyDescent="0.2">
      <c r="A1425" s="40"/>
      <c r="B1425" s="41" t="s">
        <v>422</v>
      </c>
      <c r="C1425" s="41" t="s">
        <v>836</v>
      </c>
      <c r="D1425" s="41" t="s">
        <v>837</v>
      </c>
      <c r="E1425" s="40"/>
      <c r="F1425" s="40"/>
    </row>
    <row r="1426" spans="1:6" ht="12.75" x14ac:dyDescent="0.2">
      <c r="A1426" s="40"/>
      <c r="B1426" s="40"/>
      <c r="C1426" s="40"/>
      <c r="D1426" s="40"/>
      <c r="E1426" s="40"/>
      <c r="F1426" s="40"/>
    </row>
    <row r="1427" spans="1:6" ht="12.75" x14ac:dyDescent="0.2">
      <c r="A1427" s="41" t="s">
        <v>314</v>
      </c>
      <c r="B1427" s="40"/>
      <c r="C1427" s="40"/>
      <c r="D1427" s="40"/>
      <c r="E1427" s="40"/>
      <c r="F1427" s="40"/>
    </row>
    <row r="1428" spans="1:6" ht="12.75" x14ac:dyDescent="0.2">
      <c r="A1428" s="40"/>
      <c r="B1428" s="41" t="s">
        <v>398</v>
      </c>
      <c r="C1428" s="40"/>
      <c r="D1428" s="40"/>
      <c r="E1428" s="40"/>
      <c r="F1428" s="40"/>
    </row>
    <row r="1429" spans="1:6" ht="12.75" x14ac:dyDescent="0.2">
      <c r="A1429" s="40"/>
      <c r="B1429" s="41" t="s">
        <v>399</v>
      </c>
      <c r="C1429" s="40"/>
      <c r="D1429" s="40"/>
      <c r="E1429" s="40"/>
      <c r="F1429" s="40"/>
    </row>
    <row r="1430" spans="1:6" ht="12.75" x14ac:dyDescent="0.2">
      <c r="A1430" s="40"/>
      <c r="B1430" s="41" t="s">
        <v>400</v>
      </c>
      <c r="C1430" s="40"/>
      <c r="D1430" s="40"/>
      <c r="E1430" s="40"/>
      <c r="F1430" s="40"/>
    </row>
    <row r="1431" spans="1:6" ht="12.75" x14ac:dyDescent="0.2">
      <c r="A1431" s="40"/>
      <c r="B1431" s="41" t="s">
        <v>401</v>
      </c>
      <c r="C1431" s="40"/>
      <c r="D1431" s="40"/>
      <c r="E1431" s="40"/>
      <c r="F1431" s="40"/>
    </row>
    <row r="1432" spans="1:6" ht="12.75" x14ac:dyDescent="0.2">
      <c r="A1432" s="41" t="s">
        <v>333</v>
      </c>
      <c r="B1432" s="41" t="s">
        <v>402</v>
      </c>
      <c r="C1432" s="41" t="s">
        <v>316</v>
      </c>
      <c r="D1432" s="40"/>
      <c r="E1432" s="40"/>
      <c r="F1432" s="40"/>
    </row>
    <row r="1433" spans="1:6" ht="12.75" x14ac:dyDescent="0.2">
      <c r="A1433" s="41" t="s">
        <v>331</v>
      </c>
      <c r="B1433" s="40"/>
      <c r="C1433" s="40"/>
      <c r="D1433" s="40"/>
      <c r="E1433" s="40"/>
      <c r="F1433" s="40"/>
    </row>
    <row r="1434" spans="1:6" ht="12.75" x14ac:dyDescent="0.2">
      <c r="A1434" s="41" t="s">
        <v>315</v>
      </c>
      <c r="B1434" s="40"/>
      <c r="C1434" s="40"/>
      <c r="D1434" s="40"/>
      <c r="E1434" s="40"/>
      <c r="F1434" s="40"/>
    </row>
    <row r="1435" spans="1:6" ht="12.75" x14ac:dyDescent="0.2">
      <c r="A1435" s="41" t="s">
        <v>327</v>
      </c>
      <c r="B1435" s="40"/>
      <c r="C1435" s="40"/>
      <c r="D1435" s="40"/>
      <c r="E1435" s="40"/>
      <c r="F1435" s="40"/>
    </row>
    <row r="1436" spans="1:6" ht="12.75" x14ac:dyDescent="0.2">
      <c r="A1436" s="41" t="s">
        <v>322</v>
      </c>
      <c r="B1436" s="40"/>
      <c r="C1436" s="40"/>
      <c r="D1436" s="40"/>
      <c r="E1436" s="40"/>
      <c r="F1436" s="40"/>
    </row>
    <row r="1437" spans="1:6" ht="12.75" x14ac:dyDescent="0.2">
      <c r="A1437" s="41" t="s">
        <v>328</v>
      </c>
      <c r="B1437" s="40"/>
      <c r="C1437" s="40"/>
      <c r="D1437" s="40"/>
      <c r="E1437" s="40"/>
      <c r="F1437" s="40"/>
    </row>
    <row r="1438" spans="1:6" ht="12.75" x14ac:dyDescent="0.2">
      <c r="A1438" s="41" t="s">
        <v>324</v>
      </c>
      <c r="B1438" s="40"/>
      <c r="C1438" s="40"/>
      <c r="D1438" s="40"/>
      <c r="E1438" s="40"/>
      <c r="F1438" s="40"/>
    </row>
    <row r="1439" spans="1:6" ht="12.75" x14ac:dyDescent="0.2">
      <c r="A1439" s="41" t="s">
        <v>323</v>
      </c>
      <c r="B1439" s="40"/>
      <c r="C1439" s="40"/>
      <c r="D1439" s="40"/>
      <c r="E1439" s="40"/>
      <c r="F1439" s="40"/>
    </row>
    <row r="1440" spans="1:6" ht="12.75" x14ac:dyDescent="0.2">
      <c r="A1440" s="41" t="s">
        <v>319</v>
      </c>
      <c r="B1440" s="40"/>
      <c r="C1440" s="40"/>
      <c r="D1440" s="40"/>
      <c r="E1440" s="40"/>
      <c r="F1440" s="40"/>
    </row>
    <row r="1441" spans="1:6" ht="12.75" x14ac:dyDescent="0.2">
      <c r="A1441" s="40"/>
      <c r="B1441" s="40"/>
      <c r="C1441" s="40"/>
      <c r="D1441" s="40"/>
      <c r="E1441" s="40"/>
      <c r="F1441" s="40"/>
    </row>
    <row r="1442" spans="1:6" ht="12.75" x14ac:dyDescent="0.2">
      <c r="A1442" s="41" t="s">
        <v>1266</v>
      </c>
      <c r="B1442" s="40"/>
      <c r="C1442" s="40"/>
      <c r="D1442" s="40"/>
      <c r="E1442" s="40"/>
      <c r="F1442" s="40"/>
    </row>
    <row r="1443" spans="1:6" ht="12.75" x14ac:dyDescent="0.2">
      <c r="A1443" s="40"/>
      <c r="B1443" s="41" t="s">
        <v>398</v>
      </c>
      <c r="C1443" s="40"/>
      <c r="D1443" s="40"/>
      <c r="E1443" s="40"/>
      <c r="F1443" s="40"/>
    </row>
    <row r="1444" spans="1:6" ht="12.75" x14ac:dyDescent="0.2">
      <c r="A1444" s="40"/>
      <c r="B1444" s="41" t="s">
        <v>399</v>
      </c>
      <c r="C1444" s="40"/>
      <c r="D1444" s="40"/>
      <c r="E1444" s="40"/>
      <c r="F1444" s="40"/>
    </row>
    <row r="1445" spans="1:6" ht="12.75" x14ac:dyDescent="0.2">
      <c r="A1445" s="40"/>
      <c r="B1445" s="41" t="s">
        <v>400</v>
      </c>
      <c r="C1445" s="40"/>
      <c r="D1445" s="40"/>
      <c r="E1445" s="40"/>
      <c r="F1445" s="40"/>
    </row>
    <row r="1446" spans="1:6" ht="12.75" x14ac:dyDescent="0.2">
      <c r="A1446" s="40"/>
      <c r="B1446" s="41" t="s">
        <v>401</v>
      </c>
      <c r="C1446" s="40"/>
      <c r="D1446" s="40"/>
      <c r="E1446" s="40"/>
      <c r="F1446" s="40"/>
    </row>
    <row r="1447" spans="1:6" ht="12.75" x14ac:dyDescent="0.2">
      <c r="A1447" s="41" t="s">
        <v>1270</v>
      </c>
      <c r="B1447" s="41" t="s">
        <v>402</v>
      </c>
      <c r="C1447" s="41" t="s">
        <v>1272</v>
      </c>
      <c r="D1447" s="40"/>
      <c r="E1447" s="40"/>
      <c r="F1447" s="40"/>
    </row>
    <row r="1448" spans="1:6" ht="12.75" x14ac:dyDescent="0.2">
      <c r="A1448" s="41" t="s">
        <v>1273</v>
      </c>
      <c r="B1448" s="40"/>
      <c r="C1448" s="40"/>
      <c r="D1448" s="40"/>
      <c r="E1448" s="40"/>
      <c r="F1448" s="40"/>
    </row>
    <row r="1449" spans="1:6" ht="12.75" x14ac:dyDescent="0.2">
      <c r="A1449" s="41" t="s">
        <v>1274</v>
      </c>
      <c r="B1449" s="40"/>
      <c r="C1449" s="40"/>
      <c r="D1449" s="40"/>
      <c r="E1449" s="40"/>
      <c r="F1449" s="40"/>
    </row>
    <row r="1450" spans="1:6" ht="12.75" x14ac:dyDescent="0.2">
      <c r="A1450" s="41" t="s">
        <v>1276</v>
      </c>
      <c r="B1450" s="40"/>
      <c r="C1450" s="40"/>
      <c r="D1450" s="40"/>
      <c r="E1450" s="40"/>
      <c r="F1450" s="40"/>
    </row>
    <row r="1451" spans="1:6" ht="12.75" x14ac:dyDescent="0.2">
      <c r="A1451" s="40"/>
      <c r="B1451" s="40"/>
      <c r="C1451" s="40"/>
      <c r="D1451" s="40"/>
      <c r="E1451" s="40"/>
      <c r="F1451" s="40"/>
    </row>
    <row r="1452" spans="1:6" ht="12.75" x14ac:dyDescent="0.2">
      <c r="A1452" s="41" t="s">
        <v>1280</v>
      </c>
      <c r="B1452" s="40"/>
      <c r="C1452" s="40"/>
      <c r="D1452" s="40"/>
      <c r="E1452" s="40"/>
      <c r="F1452" s="40"/>
    </row>
    <row r="1453" spans="1:6" ht="12.75" x14ac:dyDescent="0.2">
      <c r="A1453" s="40"/>
      <c r="B1453" s="41" t="s">
        <v>398</v>
      </c>
      <c r="C1453" s="40"/>
      <c r="D1453" s="40"/>
      <c r="E1453" s="40"/>
      <c r="F1453" s="40"/>
    </row>
    <row r="1454" spans="1:6" ht="12.75" x14ac:dyDescent="0.2">
      <c r="A1454" s="40"/>
      <c r="B1454" s="41" t="s">
        <v>399</v>
      </c>
      <c r="C1454" s="40"/>
      <c r="D1454" s="40"/>
      <c r="E1454" s="40"/>
      <c r="F1454" s="40"/>
    </row>
    <row r="1455" spans="1:6" ht="12.75" x14ac:dyDescent="0.2">
      <c r="A1455" s="40"/>
      <c r="B1455" s="41" t="s">
        <v>400</v>
      </c>
      <c r="C1455" s="40"/>
      <c r="D1455" s="40"/>
      <c r="E1455" s="40"/>
      <c r="F1455" s="40"/>
    </row>
    <row r="1456" spans="1:6" ht="12.75" x14ac:dyDescent="0.2">
      <c r="A1456" s="40"/>
      <c r="B1456" s="41" t="s">
        <v>401</v>
      </c>
      <c r="C1456" s="40"/>
      <c r="D1456" s="40"/>
      <c r="E1456" s="40"/>
      <c r="F1456" s="40"/>
    </row>
    <row r="1457" spans="1:6" ht="25.5" x14ac:dyDescent="0.2">
      <c r="A1457" s="41">
        <v>31</v>
      </c>
      <c r="B1457" s="41" t="s">
        <v>402</v>
      </c>
      <c r="C1457" s="41" t="s">
        <v>2272</v>
      </c>
      <c r="D1457" s="40"/>
      <c r="E1457" s="40"/>
      <c r="F1457" s="40"/>
    </row>
    <row r="1458" spans="1:6" ht="12.75" x14ac:dyDescent="0.2">
      <c r="A1458" s="41" t="s">
        <v>1287</v>
      </c>
      <c r="B1458" s="40"/>
      <c r="C1458" s="40"/>
      <c r="D1458" s="40"/>
      <c r="E1458" s="40"/>
      <c r="F1458" s="40"/>
    </row>
    <row r="1459" spans="1:6" ht="12.75" x14ac:dyDescent="0.2">
      <c r="A1459" s="41" t="s">
        <v>1289</v>
      </c>
      <c r="B1459" s="40"/>
      <c r="C1459" s="40"/>
      <c r="D1459" s="40"/>
      <c r="E1459" s="40"/>
      <c r="F1459" s="40"/>
    </row>
    <row r="1460" spans="1:6" ht="12.75" x14ac:dyDescent="0.2">
      <c r="A1460" s="41" t="s">
        <v>1291</v>
      </c>
      <c r="B1460" s="40"/>
      <c r="C1460" s="40"/>
      <c r="D1460" s="40"/>
      <c r="E1460" s="40"/>
      <c r="F1460" s="40"/>
    </row>
    <row r="1461" spans="1:6" ht="12.75" x14ac:dyDescent="0.2">
      <c r="A1461" s="41" t="s">
        <v>1293</v>
      </c>
      <c r="B1461" s="40"/>
      <c r="C1461" s="40"/>
      <c r="D1461" s="40"/>
      <c r="E1461" s="40"/>
      <c r="F1461" s="40"/>
    </row>
    <row r="1462" spans="1:6" ht="12.75" x14ac:dyDescent="0.2">
      <c r="A1462" s="41" t="s">
        <v>1294</v>
      </c>
      <c r="B1462" s="40"/>
      <c r="C1462" s="40"/>
      <c r="D1462" s="40"/>
      <c r="E1462" s="40"/>
      <c r="F1462" s="40"/>
    </row>
    <row r="1463" spans="1:6" ht="12.75" x14ac:dyDescent="0.2">
      <c r="A1463" s="41" t="s">
        <v>1296</v>
      </c>
      <c r="B1463" s="40"/>
      <c r="C1463" s="40"/>
      <c r="D1463" s="40"/>
      <c r="E1463" s="40"/>
      <c r="F1463" s="40"/>
    </row>
    <row r="1464" spans="1:6" ht="12.75" x14ac:dyDescent="0.2">
      <c r="A1464" s="40"/>
      <c r="B1464" s="41" t="s">
        <v>422</v>
      </c>
      <c r="C1464" s="41" t="s">
        <v>488</v>
      </c>
      <c r="D1464" s="41" t="s">
        <v>489</v>
      </c>
      <c r="E1464" s="40"/>
      <c r="F1464" s="40"/>
    </row>
    <row r="1465" spans="1:6" ht="12.75" x14ac:dyDescent="0.2">
      <c r="A1465" s="40"/>
      <c r="B1465" s="40"/>
      <c r="C1465" s="40"/>
      <c r="D1465" s="40"/>
      <c r="E1465" s="40"/>
      <c r="F1465" s="40"/>
    </row>
    <row r="1466" spans="1:6" ht="12.75" x14ac:dyDescent="0.2">
      <c r="A1466" s="41" t="s">
        <v>838</v>
      </c>
      <c r="B1466" s="40"/>
      <c r="C1466" s="40"/>
      <c r="D1466" s="40"/>
      <c r="E1466" s="40"/>
      <c r="F1466" s="40"/>
    </row>
    <row r="1467" spans="1:6" ht="12.75" x14ac:dyDescent="0.2">
      <c r="A1467" s="40"/>
      <c r="B1467" s="41" t="s">
        <v>398</v>
      </c>
      <c r="C1467" s="40"/>
      <c r="D1467" s="40"/>
      <c r="E1467" s="40"/>
      <c r="F1467" s="40"/>
    </row>
    <row r="1468" spans="1:6" ht="12.75" x14ac:dyDescent="0.2">
      <c r="A1468" s="40"/>
      <c r="B1468" s="41" t="s">
        <v>399</v>
      </c>
      <c r="C1468" s="40"/>
      <c r="D1468" s="40"/>
      <c r="E1468" s="40"/>
      <c r="F1468" s="40"/>
    </row>
    <row r="1469" spans="1:6" ht="12.75" x14ac:dyDescent="0.2">
      <c r="A1469" s="40"/>
      <c r="B1469" s="41" t="s">
        <v>400</v>
      </c>
      <c r="C1469" s="40"/>
      <c r="D1469" s="40"/>
      <c r="E1469" s="40"/>
      <c r="F1469" s="40"/>
    </row>
    <row r="1470" spans="1:6" ht="12.75" x14ac:dyDescent="0.2">
      <c r="A1470" s="40"/>
      <c r="B1470" s="41" t="s">
        <v>401</v>
      </c>
      <c r="C1470" s="40"/>
      <c r="D1470" s="40"/>
      <c r="E1470" s="40"/>
      <c r="F1470" s="40"/>
    </row>
    <row r="1471" spans="1:6" ht="12.75" x14ac:dyDescent="0.2">
      <c r="A1471" s="41" t="s">
        <v>2273</v>
      </c>
      <c r="B1471" s="41" t="s">
        <v>402</v>
      </c>
      <c r="C1471" s="41" t="s">
        <v>840</v>
      </c>
      <c r="D1471" s="40"/>
      <c r="E1471" s="40"/>
      <c r="F1471" s="40"/>
    </row>
    <row r="1472" spans="1:6" ht="12.75" x14ac:dyDescent="0.2">
      <c r="A1472" s="41" t="s">
        <v>839</v>
      </c>
      <c r="B1472" s="40"/>
      <c r="C1472" s="40"/>
      <c r="D1472" s="40"/>
      <c r="E1472" s="40"/>
      <c r="F1472" s="40"/>
    </row>
    <row r="1473" spans="1:6" ht="12.75" x14ac:dyDescent="0.2">
      <c r="A1473" s="41" t="s">
        <v>841</v>
      </c>
      <c r="B1473" s="40"/>
      <c r="C1473" s="40"/>
      <c r="D1473" s="40"/>
      <c r="E1473" s="40"/>
      <c r="F1473" s="40"/>
    </row>
    <row r="1474" spans="1:6" ht="12.75" x14ac:dyDescent="0.2">
      <c r="A1474" s="41" t="s">
        <v>842</v>
      </c>
      <c r="B1474" s="40"/>
      <c r="C1474" s="40"/>
      <c r="D1474" s="40"/>
      <c r="E1474" s="40"/>
      <c r="F1474" s="40"/>
    </row>
    <row r="1475" spans="1:6" ht="12.75" x14ac:dyDescent="0.2">
      <c r="A1475" s="41" t="s">
        <v>843</v>
      </c>
      <c r="B1475" s="40"/>
      <c r="C1475" s="40"/>
      <c r="D1475" s="40"/>
      <c r="E1475" s="40"/>
      <c r="F1475" s="40"/>
    </row>
    <row r="1476" spans="1:6" ht="12.75" x14ac:dyDescent="0.2">
      <c r="A1476" s="41" t="s">
        <v>844</v>
      </c>
      <c r="B1476" s="40"/>
      <c r="C1476" s="40"/>
      <c r="D1476" s="40"/>
      <c r="E1476" s="40"/>
      <c r="F1476" s="40"/>
    </row>
    <row r="1477" spans="1:6" ht="12.75" x14ac:dyDescent="0.2">
      <c r="A1477" s="41" t="s">
        <v>845</v>
      </c>
      <c r="B1477" s="40"/>
      <c r="C1477" s="40"/>
      <c r="D1477" s="40"/>
      <c r="E1477" s="40"/>
      <c r="F1477" s="40"/>
    </row>
    <row r="1478" spans="1:6" ht="12.75" x14ac:dyDescent="0.2">
      <c r="A1478" s="41" t="s">
        <v>846</v>
      </c>
      <c r="B1478" s="40"/>
      <c r="C1478" s="40"/>
      <c r="D1478" s="40"/>
      <c r="E1478" s="40"/>
      <c r="F1478" s="40"/>
    </row>
    <row r="1479" spans="1:6" ht="12.75" x14ac:dyDescent="0.2">
      <c r="A1479" s="40"/>
      <c r="B1479" s="41" t="s">
        <v>422</v>
      </c>
      <c r="C1479" s="41" t="s">
        <v>847</v>
      </c>
      <c r="D1479" s="41" t="s">
        <v>848</v>
      </c>
      <c r="E1479" s="41" t="s">
        <v>2274</v>
      </c>
      <c r="F1479" s="40"/>
    </row>
    <row r="1480" spans="1:6" ht="12.75" x14ac:dyDescent="0.2">
      <c r="A1480" s="40"/>
      <c r="B1480" s="40"/>
      <c r="C1480" s="40"/>
      <c r="D1480" s="40"/>
      <c r="E1480" s="40"/>
      <c r="F1480" s="40"/>
    </row>
    <row r="1481" spans="1:6" ht="12.75" x14ac:dyDescent="0.2">
      <c r="A1481" s="41" t="s">
        <v>849</v>
      </c>
      <c r="B1481" s="40"/>
      <c r="C1481" s="40"/>
      <c r="D1481" s="40"/>
      <c r="E1481" s="40"/>
      <c r="F1481" s="40"/>
    </row>
    <row r="1482" spans="1:6" ht="12.75" x14ac:dyDescent="0.2">
      <c r="A1482" s="40"/>
      <c r="B1482" s="41" t="s">
        <v>398</v>
      </c>
      <c r="C1482" s="40"/>
      <c r="D1482" s="40"/>
      <c r="E1482" s="40"/>
      <c r="F1482" s="40"/>
    </row>
    <row r="1483" spans="1:6" ht="12.75" x14ac:dyDescent="0.2">
      <c r="A1483" s="40"/>
      <c r="B1483" s="41" t="s">
        <v>399</v>
      </c>
      <c r="C1483" s="40"/>
      <c r="D1483" s="40"/>
      <c r="E1483" s="40"/>
      <c r="F1483" s="40"/>
    </row>
    <row r="1484" spans="1:6" ht="12.75" x14ac:dyDescent="0.2">
      <c r="A1484" s="40"/>
      <c r="B1484" s="41" t="s">
        <v>400</v>
      </c>
      <c r="C1484" s="41" t="s">
        <v>849</v>
      </c>
      <c r="D1484" s="40"/>
      <c r="E1484" s="40"/>
      <c r="F1484" s="40"/>
    </row>
    <row r="1485" spans="1:6" ht="12.75" x14ac:dyDescent="0.2">
      <c r="A1485" s="40"/>
      <c r="B1485" s="41" t="s">
        <v>401</v>
      </c>
      <c r="C1485" s="40"/>
      <c r="D1485" s="40"/>
      <c r="E1485" s="40"/>
      <c r="F1485" s="40"/>
    </row>
    <row r="1486" spans="1:6" ht="51" x14ac:dyDescent="0.2">
      <c r="A1486" s="41" t="s">
        <v>255</v>
      </c>
      <c r="B1486" s="41" t="s">
        <v>402</v>
      </c>
      <c r="C1486" s="41" t="s">
        <v>850</v>
      </c>
      <c r="D1486" s="40"/>
      <c r="E1486" s="40"/>
      <c r="F1486" s="40"/>
    </row>
    <row r="1487" spans="1:6" ht="12.75" x14ac:dyDescent="0.2">
      <c r="A1487" s="41" t="s">
        <v>851</v>
      </c>
      <c r="B1487" s="40"/>
      <c r="C1487" s="40"/>
      <c r="D1487" s="40"/>
      <c r="E1487" s="40"/>
      <c r="F1487" s="40"/>
    </row>
    <row r="1488" spans="1:6" ht="12.75" x14ac:dyDescent="0.2">
      <c r="A1488" s="41" t="s">
        <v>852</v>
      </c>
      <c r="B1488" s="40"/>
      <c r="C1488" s="40"/>
      <c r="D1488" s="40"/>
      <c r="E1488" s="40"/>
      <c r="F1488" s="40"/>
    </row>
    <row r="1489" spans="1:6" ht="12.75" x14ac:dyDescent="0.2">
      <c r="A1489" s="41" t="s">
        <v>853</v>
      </c>
      <c r="B1489" s="40"/>
      <c r="C1489" s="40"/>
      <c r="D1489" s="40"/>
      <c r="E1489" s="40"/>
      <c r="F1489" s="40"/>
    </row>
    <row r="1490" spans="1:6" ht="12.75" x14ac:dyDescent="0.2">
      <c r="A1490" s="41" t="s">
        <v>854</v>
      </c>
      <c r="B1490" s="40"/>
      <c r="C1490" s="40"/>
      <c r="D1490" s="40"/>
      <c r="E1490" s="40"/>
      <c r="F1490" s="40"/>
    </row>
    <row r="1491" spans="1:6" ht="12.75" x14ac:dyDescent="0.2">
      <c r="A1491" s="41" t="s">
        <v>855</v>
      </c>
      <c r="B1491" s="40"/>
      <c r="C1491" s="40"/>
      <c r="D1491" s="40"/>
      <c r="E1491" s="40"/>
      <c r="F1491" s="40"/>
    </row>
    <row r="1492" spans="1:6" ht="12.75" x14ac:dyDescent="0.2">
      <c r="A1492" s="41" t="s">
        <v>856</v>
      </c>
      <c r="B1492" s="40"/>
      <c r="C1492" s="40"/>
      <c r="D1492" s="40"/>
      <c r="E1492" s="40"/>
      <c r="F1492" s="40"/>
    </row>
    <row r="1493" spans="1:6" ht="12.75" x14ac:dyDescent="0.2">
      <c r="A1493" s="41" t="s">
        <v>857</v>
      </c>
      <c r="B1493" s="40"/>
      <c r="C1493" s="40"/>
      <c r="D1493" s="40"/>
      <c r="E1493" s="40"/>
      <c r="F1493" s="40"/>
    </row>
    <row r="1494" spans="1:6" ht="12.75" x14ac:dyDescent="0.2">
      <c r="A1494" s="41" t="s">
        <v>858</v>
      </c>
      <c r="B1494" s="40"/>
      <c r="C1494" s="40"/>
      <c r="D1494" s="40"/>
      <c r="E1494" s="40"/>
      <c r="F1494" s="40"/>
    </row>
    <row r="1495" spans="1:6" ht="12.75" x14ac:dyDescent="0.2">
      <c r="A1495" s="41" t="s">
        <v>859</v>
      </c>
      <c r="B1495" s="40"/>
      <c r="C1495" s="40"/>
      <c r="D1495" s="40"/>
      <c r="E1495" s="40"/>
      <c r="F1495" s="40"/>
    </row>
    <row r="1496" spans="1:6" ht="12.75" x14ac:dyDescent="0.2">
      <c r="A1496" s="40"/>
      <c r="B1496" s="40"/>
      <c r="C1496" s="40"/>
      <c r="D1496" s="40"/>
      <c r="E1496" s="40"/>
      <c r="F1496" s="40"/>
    </row>
    <row r="1497" spans="1:6" ht="12.75" x14ac:dyDescent="0.2">
      <c r="A1497" s="41" t="s">
        <v>860</v>
      </c>
      <c r="B1497" s="40"/>
      <c r="C1497" s="40"/>
      <c r="D1497" s="40"/>
      <c r="E1497" s="40"/>
      <c r="F1497" s="40"/>
    </row>
    <row r="1498" spans="1:6" ht="12.75" x14ac:dyDescent="0.2">
      <c r="A1498" s="40"/>
      <c r="B1498" s="41" t="s">
        <v>398</v>
      </c>
      <c r="C1498" s="40"/>
      <c r="D1498" s="40"/>
      <c r="E1498" s="40"/>
      <c r="F1498" s="40"/>
    </row>
    <row r="1499" spans="1:6" ht="12.75" x14ac:dyDescent="0.2">
      <c r="A1499" s="40"/>
      <c r="B1499" s="41" t="s">
        <v>399</v>
      </c>
      <c r="C1499" s="40"/>
      <c r="D1499" s="40"/>
      <c r="E1499" s="40"/>
      <c r="F1499" s="40"/>
    </row>
    <row r="1500" spans="1:6" ht="12.75" x14ac:dyDescent="0.2">
      <c r="A1500" s="40"/>
      <c r="B1500" s="41" t="s">
        <v>400</v>
      </c>
      <c r="C1500" s="41" t="s">
        <v>860</v>
      </c>
      <c r="D1500" s="40"/>
      <c r="E1500" s="40"/>
      <c r="F1500" s="40"/>
    </row>
    <row r="1501" spans="1:6" ht="12.75" x14ac:dyDescent="0.2">
      <c r="A1501" s="40"/>
      <c r="B1501" s="41" t="s">
        <v>401</v>
      </c>
      <c r="C1501" s="40"/>
      <c r="D1501" s="40"/>
      <c r="E1501" s="40"/>
      <c r="F1501" s="40"/>
    </row>
    <row r="1502" spans="1:6" ht="25.5" x14ac:dyDescent="0.2">
      <c r="A1502" s="41" t="s">
        <v>63</v>
      </c>
      <c r="B1502" s="41" t="s">
        <v>402</v>
      </c>
      <c r="C1502" s="41" t="s">
        <v>809</v>
      </c>
      <c r="D1502" s="40"/>
      <c r="E1502" s="40"/>
      <c r="F1502" s="40"/>
    </row>
    <row r="1503" spans="1:6" ht="12.75" x14ac:dyDescent="0.2">
      <c r="A1503" s="41" t="s">
        <v>861</v>
      </c>
      <c r="B1503" s="40"/>
      <c r="C1503" s="40"/>
      <c r="D1503" s="40"/>
      <c r="E1503" s="40"/>
      <c r="F1503" s="40"/>
    </row>
    <row r="1504" spans="1:6" ht="12.75" x14ac:dyDescent="0.2">
      <c r="A1504" s="41" t="s">
        <v>54</v>
      </c>
      <c r="B1504" s="40"/>
      <c r="C1504" s="40"/>
      <c r="D1504" s="40"/>
      <c r="E1504" s="40"/>
      <c r="F1504" s="40"/>
    </row>
    <row r="1505" spans="1:6" ht="12.75" x14ac:dyDescent="0.2">
      <c r="A1505" s="41" t="s">
        <v>862</v>
      </c>
      <c r="B1505" s="40"/>
      <c r="C1505" s="40"/>
      <c r="D1505" s="40"/>
      <c r="E1505" s="40"/>
      <c r="F1505" s="40"/>
    </row>
    <row r="1506" spans="1:6" ht="12.75" x14ac:dyDescent="0.2">
      <c r="A1506" s="41" t="s">
        <v>863</v>
      </c>
      <c r="B1506" s="40"/>
      <c r="C1506" s="40"/>
      <c r="D1506" s="40"/>
      <c r="E1506" s="40"/>
      <c r="F1506" s="40"/>
    </row>
    <row r="1507" spans="1:6" ht="12.75" x14ac:dyDescent="0.2">
      <c r="A1507" s="41" t="s">
        <v>864</v>
      </c>
      <c r="B1507" s="40"/>
      <c r="C1507" s="40"/>
      <c r="D1507" s="40"/>
      <c r="E1507" s="40"/>
      <c r="F1507" s="40"/>
    </row>
    <row r="1508" spans="1:6" ht="12.75" x14ac:dyDescent="0.2">
      <c r="A1508" s="41" t="s">
        <v>49</v>
      </c>
      <c r="B1508" s="40"/>
      <c r="C1508" s="40"/>
      <c r="D1508" s="40"/>
      <c r="E1508" s="40"/>
      <c r="F1508" s="40"/>
    </row>
    <row r="1509" spans="1:6" ht="12.75" x14ac:dyDescent="0.2">
      <c r="A1509" s="41" t="s">
        <v>865</v>
      </c>
      <c r="B1509" s="40"/>
      <c r="C1509" s="40"/>
      <c r="D1509" s="40"/>
      <c r="E1509" s="40"/>
      <c r="F1509" s="40"/>
    </row>
    <row r="1510" spans="1:6" ht="12.75" x14ac:dyDescent="0.2">
      <c r="A1510" s="41" t="s">
        <v>866</v>
      </c>
      <c r="B1510" s="40"/>
      <c r="C1510" s="40"/>
      <c r="D1510" s="40"/>
      <c r="E1510" s="40"/>
      <c r="F1510" s="40"/>
    </row>
    <row r="1511" spans="1:6" ht="12.75" x14ac:dyDescent="0.2">
      <c r="A1511" s="40"/>
      <c r="B1511" s="40"/>
      <c r="C1511" s="40"/>
      <c r="D1511" s="40"/>
      <c r="E1511" s="40"/>
      <c r="F1511" s="40"/>
    </row>
    <row r="1512" spans="1:6" ht="12.75" x14ac:dyDescent="0.2">
      <c r="A1512" s="41" t="s">
        <v>867</v>
      </c>
      <c r="B1512" s="40"/>
      <c r="C1512" s="40"/>
      <c r="D1512" s="40"/>
      <c r="E1512" s="40"/>
      <c r="F1512" s="40"/>
    </row>
    <row r="1513" spans="1:6" ht="12.75" x14ac:dyDescent="0.2">
      <c r="A1513" s="40"/>
      <c r="B1513" s="41" t="s">
        <v>398</v>
      </c>
      <c r="C1513" s="40"/>
      <c r="D1513" s="40"/>
      <c r="E1513" s="40"/>
      <c r="F1513" s="40"/>
    </row>
    <row r="1514" spans="1:6" ht="12.75" x14ac:dyDescent="0.2">
      <c r="A1514" s="40"/>
      <c r="B1514" s="41" t="s">
        <v>399</v>
      </c>
      <c r="C1514" s="40"/>
      <c r="D1514" s="40"/>
      <c r="E1514" s="40"/>
      <c r="F1514" s="40"/>
    </row>
    <row r="1515" spans="1:6" ht="12.75" x14ac:dyDescent="0.2">
      <c r="A1515" s="40"/>
      <c r="B1515" s="41" t="s">
        <v>400</v>
      </c>
      <c r="C1515" s="41" t="s">
        <v>867</v>
      </c>
      <c r="D1515" s="40"/>
      <c r="E1515" s="40"/>
      <c r="F1515" s="40"/>
    </row>
    <row r="1516" spans="1:6" ht="12.75" x14ac:dyDescent="0.2">
      <c r="A1516" s="40"/>
      <c r="B1516" s="41" t="s">
        <v>401</v>
      </c>
      <c r="C1516" s="40"/>
      <c r="D1516" s="40"/>
      <c r="E1516" s="40"/>
      <c r="F1516" s="40"/>
    </row>
    <row r="1517" spans="1:6" ht="25.5" x14ac:dyDescent="0.2">
      <c r="A1517" s="41" t="s">
        <v>868</v>
      </c>
      <c r="B1517" s="41" t="s">
        <v>402</v>
      </c>
      <c r="C1517" s="41" t="s">
        <v>869</v>
      </c>
      <c r="D1517" s="40"/>
      <c r="E1517" s="40"/>
      <c r="F1517" s="40"/>
    </row>
    <row r="1518" spans="1:6" ht="12.75" x14ac:dyDescent="0.2">
      <c r="A1518" s="41" t="s">
        <v>870</v>
      </c>
      <c r="B1518" s="40"/>
      <c r="C1518" s="40"/>
      <c r="D1518" s="40"/>
      <c r="E1518" s="40"/>
      <c r="F1518" s="40"/>
    </row>
    <row r="1519" spans="1:6" ht="12.75" x14ac:dyDescent="0.2">
      <c r="A1519" s="41" t="s">
        <v>871</v>
      </c>
      <c r="B1519" s="40"/>
      <c r="C1519" s="40"/>
      <c r="D1519" s="40"/>
      <c r="E1519" s="40"/>
      <c r="F1519" s="40"/>
    </row>
    <row r="1520" spans="1:6" ht="12.75" x14ac:dyDescent="0.2">
      <c r="A1520" s="41" t="s">
        <v>872</v>
      </c>
      <c r="B1520" s="40"/>
      <c r="C1520" s="40"/>
      <c r="D1520" s="40"/>
      <c r="E1520" s="40"/>
      <c r="F1520" s="40"/>
    </row>
    <row r="1521" spans="1:6" ht="12.75" x14ac:dyDescent="0.2">
      <c r="A1521" s="41" t="s">
        <v>873</v>
      </c>
      <c r="B1521" s="40"/>
      <c r="C1521" s="40"/>
      <c r="D1521" s="40"/>
      <c r="E1521" s="40"/>
      <c r="F1521" s="40"/>
    </row>
    <row r="1522" spans="1:6" ht="12.75" x14ac:dyDescent="0.2">
      <c r="A1522" s="41" t="s">
        <v>874</v>
      </c>
      <c r="B1522" s="40"/>
      <c r="C1522" s="40"/>
      <c r="D1522" s="40"/>
      <c r="E1522" s="40"/>
      <c r="F1522" s="40"/>
    </row>
    <row r="1523" spans="1:6" ht="12.75" x14ac:dyDescent="0.2">
      <c r="A1523" s="41" t="s">
        <v>875</v>
      </c>
      <c r="B1523" s="40"/>
      <c r="C1523" s="40"/>
      <c r="D1523" s="40"/>
      <c r="E1523" s="40"/>
      <c r="F1523" s="40"/>
    </row>
    <row r="1524" spans="1:6" ht="12.75" x14ac:dyDescent="0.2">
      <c r="A1524" s="41" t="s">
        <v>876</v>
      </c>
      <c r="B1524" s="40"/>
      <c r="C1524" s="40"/>
      <c r="D1524" s="40"/>
      <c r="E1524" s="40"/>
      <c r="F1524" s="40"/>
    </row>
    <row r="1525" spans="1:6" ht="12.75" x14ac:dyDescent="0.2">
      <c r="A1525" s="41" t="s">
        <v>877</v>
      </c>
      <c r="B1525" s="40"/>
      <c r="C1525" s="40"/>
      <c r="D1525" s="40"/>
      <c r="E1525" s="40"/>
      <c r="F1525" s="40"/>
    </row>
    <row r="1526" spans="1:6" ht="12.75" x14ac:dyDescent="0.2">
      <c r="A1526" s="41" t="s">
        <v>878</v>
      </c>
      <c r="B1526" s="40"/>
      <c r="C1526" s="40"/>
      <c r="D1526" s="40"/>
      <c r="E1526" s="40"/>
      <c r="F1526" s="40"/>
    </row>
    <row r="1527" spans="1:6" ht="12.75" x14ac:dyDescent="0.2">
      <c r="A1527" s="40"/>
      <c r="B1527" s="40"/>
      <c r="C1527" s="40"/>
      <c r="D1527" s="40"/>
      <c r="E1527" s="40"/>
      <c r="F1527" s="40"/>
    </row>
    <row r="1528" spans="1:6" ht="12.75" x14ac:dyDescent="0.2">
      <c r="A1528" s="41" t="s">
        <v>880</v>
      </c>
      <c r="B1528" s="40"/>
      <c r="C1528" s="40"/>
      <c r="D1528" s="40"/>
      <c r="E1528" s="40"/>
      <c r="F1528" s="40"/>
    </row>
    <row r="1529" spans="1:6" ht="12.75" x14ac:dyDescent="0.2">
      <c r="A1529" s="40"/>
      <c r="B1529" s="41" t="s">
        <v>398</v>
      </c>
      <c r="C1529" s="40"/>
      <c r="D1529" s="40"/>
      <c r="E1529" s="40"/>
      <c r="F1529" s="40"/>
    </row>
    <row r="1530" spans="1:6" ht="12.75" x14ac:dyDescent="0.2">
      <c r="A1530" s="40"/>
      <c r="B1530" s="41" t="s">
        <v>399</v>
      </c>
      <c r="C1530" s="40"/>
      <c r="D1530" s="40"/>
      <c r="E1530" s="40"/>
      <c r="F1530" s="40"/>
    </row>
    <row r="1531" spans="1:6" ht="12.75" x14ac:dyDescent="0.2">
      <c r="A1531" s="40"/>
      <c r="B1531" s="41" t="s">
        <v>400</v>
      </c>
      <c r="C1531" s="41" t="s">
        <v>880</v>
      </c>
      <c r="D1531" s="40"/>
      <c r="E1531" s="40"/>
      <c r="F1531" s="40"/>
    </row>
    <row r="1532" spans="1:6" ht="12.75" x14ac:dyDescent="0.2">
      <c r="A1532" s="40"/>
      <c r="B1532" s="41" t="s">
        <v>401</v>
      </c>
      <c r="C1532" s="40"/>
      <c r="D1532" s="40"/>
      <c r="E1532" s="40"/>
      <c r="F1532" s="40"/>
    </row>
    <row r="1533" spans="1:6" ht="12.75" x14ac:dyDescent="0.2">
      <c r="A1533" s="41" t="s">
        <v>881</v>
      </c>
      <c r="B1533" s="41" t="s">
        <v>402</v>
      </c>
      <c r="C1533" s="41" t="s">
        <v>882</v>
      </c>
      <c r="D1533" s="40"/>
      <c r="E1533" s="40"/>
      <c r="F1533" s="40"/>
    </row>
    <row r="1534" spans="1:6" ht="12.75" x14ac:dyDescent="0.2">
      <c r="A1534" s="41" t="s">
        <v>883</v>
      </c>
      <c r="B1534" s="40"/>
      <c r="C1534" s="40"/>
      <c r="D1534" s="40"/>
      <c r="E1534" s="40"/>
      <c r="F1534" s="40"/>
    </row>
    <row r="1535" spans="1:6" ht="12.75" x14ac:dyDescent="0.2">
      <c r="A1535" s="41" t="s">
        <v>884</v>
      </c>
      <c r="B1535" s="40"/>
      <c r="C1535" s="40"/>
      <c r="D1535" s="40"/>
      <c r="E1535" s="40"/>
      <c r="F1535" s="40"/>
    </row>
    <row r="1536" spans="1:6" ht="12.75" x14ac:dyDescent="0.2">
      <c r="A1536" s="41" t="s">
        <v>885</v>
      </c>
      <c r="B1536" s="40"/>
      <c r="C1536" s="40"/>
      <c r="D1536" s="40"/>
      <c r="E1536" s="40"/>
      <c r="F1536" s="40"/>
    </row>
    <row r="1537" spans="1:6" ht="12.75" x14ac:dyDescent="0.2">
      <c r="A1537" s="41" t="s">
        <v>886</v>
      </c>
      <c r="B1537" s="40"/>
      <c r="C1537" s="40"/>
      <c r="D1537" s="40"/>
      <c r="E1537" s="40"/>
      <c r="F1537" s="40"/>
    </row>
    <row r="1538" spans="1:6" ht="12.75" x14ac:dyDescent="0.2">
      <c r="A1538" s="41" t="s">
        <v>887</v>
      </c>
      <c r="B1538" s="40"/>
      <c r="C1538" s="40"/>
      <c r="D1538" s="40"/>
      <c r="E1538" s="40"/>
      <c r="F1538" s="40"/>
    </row>
    <row r="1539" spans="1:6" ht="12.75" x14ac:dyDescent="0.2">
      <c r="A1539" s="41" t="s">
        <v>888</v>
      </c>
      <c r="B1539" s="40"/>
      <c r="C1539" s="40"/>
      <c r="D1539" s="40"/>
      <c r="E1539" s="40"/>
      <c r="F1539" s="40"/>
    </row>
    <row r="1540" spans="1:6" ht="12.75" x14ac:dyDescent="0.2">
      <c r="A1540" s="41" t="s">
        <v>889</v>
      </c>
      <c r="B1540" s="40"/>
      <c r="C1540" s="40"/>
      <c r="D1540" s="40"/>
      <c r="E1540" s="40"/>
      <c r="F1540" s="40"/>
    </row>
    <row r="1541" spans="1:6" ht="12.75" x14ac:dyDescent="0.2">
      <c r="A1541" s="41" t="s">
        <v>890</v>
      </c>
      <c r="B1541" s="40"/>
      <c r="C1541" s="40"/>
      <c r="D1541" s="40"/>
      <c r="E1541" s="40"/>
      <c r="F1541" s="40"/>
    </row>
    <row r="1542" spans="1:6" ht="12.75" x14ac:dyDescent="0.2">
      <c r="A1542" s="41" t="s">
        <v>891</v>
      </c>
      <c r="B1542" s="40"/>
      <c r="C1542" s="40"/>
      <c r="D1542" s="40"/>
      <c r="E1542" s="40"/>
      <c r="F1542" s="40"/>
    </row>
    <row r="1543" spans="1:6" ht="12.75" x14ac:dyDescent="0.2">
      <c r="A1543" s="40"/>
      <c r="B1543" s="40"/>
      <c r="C1543" s="40"/>
      <c r="D1543" s="40"/>
      <c r="E1543" s="40"/>
      <c r="F1543" s="40"/>
    </row>
    <row r="1544" spans="1:6" ht="12.75" x14ac:dyDescent="0.2">
      <c r="A1544" s="41" t="s">
        <v>892</v>
      </c>
      <c r="B1544" s="40"/>
      <c r="C1544" s="40"/>
      <c r="D1544" s="40"/>
      <c r="E1544" s="40"/>
      <c r="F1544" s="40"/>
    </row>
    <row r="1545" spans="1:6" ht="12.75" x14ac:dyDescent="0.2">
      <c r="A1545" s="40"/>
      <c r="B1545" s="41" t="s">
        <v>398</v>
      </c>
      <c r="C1545" s="40"/>
      <c r="D1545" s="40"/>
      <c r="E1545" s="40"/>
      <c r="F1545" s="40"/>
    </row>
    <row r="1546" spans="1:6" ht="12.75" x14ac:dyDescent="0.2">
      <c r="A1546" s="40"/>
      <c r="B1546" s="41" t="s">
        <v>399</v>
      </c>
      <c r="C1546" s="40"/>
      <c r="D1546" s="40"/>
      <c r="E1546" s="40"/>
      <c r="F1546" s="40"/>
    </row>
    <row r="1547" spans="1:6" ht="12.75" x14ac:dyDescent="0.2">
      <c r="A1547" s="40"/>
      <c r="B1547" s="41" t="s">
        <v>400</v>
      </c>
      <c r="C1547" s="41" t="s">
        <v>892</v>
      </c>
      <c r="D1547" s="40"/>
      <c r="E1547" s="40"/>
      <c r="F1547" s="40"/>
    </row>
    <row r="1548" spans="1:6" ht="12.75" x14ac:dyDescent="0.2">
      <c r="A1548" s="40"/>
      <c r="B1548" s="41" t="s">
        <v>401</v>
      </c>
      <c r="C1548" s="40"/>
      <c r="D1548" s="40"/>
      <c r="E1548" s="40"/>
      <c r="F1548" s="40"/>
    </row>
    <row r="1549" spans="1:6" ht="12.75" x14ac:dyDescent="0.2">
      <c r="A1549" s="41" t="s">
        <v>893</v>
      </c>
      <c r="B1549" s="41" t="s">
        <v>402</v>
      </c>
      <c r="C1549" s="41" t="s">
        <v>894</v>
      </c>
      <c r="D1549" s="40"/>
      <c r="E1549" s="40"/>
      <c r="F1549" s="40"/>
    </row>
    <row r="1550" spans="1:6" ht="12.75" x14ac:dyDescent="0.2">
      <c r="A1550" s="41" t="s">
        <v>895</v>
      </c>
      <c r="B1550" s="40"/>
      <c r="C1550" s="40"/>
      <c r="D1550" s="40"/>
      <c r="E1550" s="40"/>
      <c r="F1550" s="40"/>
    </row>
    <row r="1551" spans="1:6" ht="12.75" x14ac:dyDescent="0.2">
      <c r="A1551" s="41" t="s">
        <v>896</v>
      </c>
      <c r="B1551" s="40"/>
      <c r="C1551" s="40"/>
      <c r="D1551" s="40"/>
      <c r="E1551" s="40"/>
      <c r="F1551" s="40"/>
    </row>
    <row r="1552" spans="1:6" ht="12.75" x14ac:dyDescent="0.2">
      <c r="A1552" s="41" t="s">
        <v>897</v>
      </c>
      <c r="B1552" s="40"/>
      <c r="C1552" s="40"/>
      <c r="D1552" s="40"/>
      <c r="E1552" s="40"/>
      <c r="F1552" s="40"/>
    </row>
    <row r="1553" spans="1:6" ht="12.75" x14ac:dyDescent="0.2">
      <c r="A1553" s="41" t="s">
        <v>898</v>
      </c>
      <c r="B1553" s="40"/>
      <c r="C1553" s="40"/>
      <c r="D1553" s="40"/>
      <c r="E1553" s="40"/>
      <c r="F1553" s="40"/>
    </row>
    <row r="1554" spans="1:6" ht="12.75" x14ac:dyDescent="0.2">
      <c r="A1554" s="41" t="s">
        <v>899</v>
      </c>
      <c r="B1554" s="40"/>
      <c r="C1554" s="40"/>
      <c r="D1554" s="40"/>
      <c r="E1554" s="40"/>
      <c r="F1554" s="40"/>
    </row>
    <row r="1555" spans="1:6" ht="12.75" x14ac:dyDescent="0.2">
      <c r="A1555" s="41" t="s">
        <v>900</v>
      </c>
      <c r="B1555" s="40"/>
      <c r="C1555" s="40"/>
      <c r="D1555" s="40"/>
      <c r="E1555" s="40"/>
      <c r="F1555" s="40"/>
    </row>
    <row r="1556" spans="1:6" ht="12.75" x14ac:dyDescent="0.2">
      <c r="A1556" s="41" t="s">
        <v>901</v>
      </c>
      <c r="B1556" s="40"/>
      <c r="C1556" s="40"/>
      <c r="D1556" s="40"/>
      <c r="E1556" s="40"/>
      <c r="F1556" s="40"/>
    </row>
    <row r="1557" spans="1:6" ht="12.75" x14ac:dyDescent="0.2">
      <c r="A1557" s="41" t="s">
        <v>902</v>
      </c>
      <c r="B1557" s="40"/>
      <c r="C1557" s="40"/>
      <c r="D1557" s="40"/>
      <c r="E1557" s="40"/>
      <c r="F1557" s="40"/>
    </row>
    <row r="1558" spans="1:6" ht="12.75" x14ac:dyDescent="0.2">
      <c r="A1558" s="41" t="s">
        <v>903</v>
      </c>
      <c r="B1558" s="40"/>
      <c r="C1558" s="40"/>
      <c r="D1558" s="40"/>
      <c r="E1558" s="40"/>
      <c r="F1558" s="40"/>
    </row>
    <row r="1559" spans="1:6" ht="12.75" x14ac:dyDescent="0.2">
      <c r="A1559" s="40"/>
      <c r="B1559" s="41" t="s">
        <v>403</v>
      </c>
      <c r="C1559" s="41" t="s">
        <v>25</v>
      </c>
      <c r="D1559" s="41" t="s">
        <v>27</v>
      </c>
      <c r="E1559" s="40"/>
      <c r="F1559" s="40"/>
    </row>
    <row r="1560" spans="1:6" ht="12.75" x14ac:dyDescent="0.2">
      <c r="A1560" s="40"/>
      <c r="B1560" s="41" t="s">
        <v>403</v>
      </c>
      <c r="C1560" s="41" t="s">
        <v>30</v>
      </c>
      <c r="D1560" s="41" t="s">
        <v>31</v>
      </c>
      <c r="E1560" s="40"/>
      <c r="F1560" s="40"/>
    </row>
    <row r="1561" spans="1:6" ht="12.75" x14ac:dyDescent="0.2">
      <c r="A1561" s="40"/>
      <c r="B1561" s="41" t="s">
        <v>403</v>
      </c>
      <c r="C1561" s="41" t="s">
        <v>41</v>
      </c>
      <c r="D1561" s="41" t="s">
        <v>10</v>
      </c>
      <c r="E1561" s="40"/>
      <c r="F1561" s="40"/>
    </row>
    <row r="1562" spans="1:6" ht="12.75" x14ac:dyDescent="0.2">
      <c r="A1562" s="40"/>
      <c r="B1562" s="40"/>
      <c r="C1562" s="40"/>
      <c r="D1562" s="40"/>
      <c r="E1562" s="40"/>
      <c r="F1562" s="40"/>
    </row>
    <row r="1563" spans="1:6" ht="12.75" x14ac:dyDescent="0.2">
      <c r="A1563" s="41" t="s">
        <v>904</v>
      </c>
      <c r="B1563" s="40"/>
      <c r="C1563" s="40"/>
      <c r="D1563" s="40"/>
      <c r="E1563" s="40"/>
      <c r="F1563" s="40"/>
    </row>
    <row r="1564" spans="1:6" ht="12.75" x14ac:dyDescent="0.2">
      <c r="A1564" s="40"/>
      <c r="B1564" s="41" t="s">
        <v>398</v>
      </c>
      <c r="C1564" s="40"/>
      <c r="D1564" s="40"/>
      <c r="E1564" s="40"/>
      <c r="F1564" s="40"/>
    </row>
    <row r="1565" spans="1:6" ht="12.75" x14ac:dyDescent="0.2">
      <c r="A1565" s="40"/>
      <c r="B1565" s="41" t="s">
        <v>399</v>
      </c>
      <c r="C1565" s="40"/>
      <c r="D1565" s="40"/>
      <c r="E1565" s="40"/>
      <c r="F1565" s="40"/>
    </row>
    <row r="1566" spans="1:6" ht="12.75" x14ac:dyDescent="0.2">
      <c r="A1566" s="40"/>
      <c r="B1566" s="41" t="s">
        <v>400</v>
      </c>
      <c r="C1566" s="41" t="s">
        <v>904</v>
      </c>
      <c r="D1566" s="40"/>
      <c r="E1566" s="40"/>
      <c r="F1566" s="40"/>
    </row>
    <row r="1567" spans="1:6" ht="12.75" x14ac:dyDescent="0.2">
      <c r="A1567" s="40"/>
      <c r="B1567" s="41" t="s">
        <v>401</v>
      </c>
      <c r="C1567" s="40"/>
      <c r="D1567" s="40"/>
      <c r="E1567" s="40"/>
      <c r="F1567" s="40"/>
    </row>
    <row r="1568" spans="1:6" ht="12.75" x14ac:dyDescent="0.2">
      <c r="A1568" s="41" t="s">
        <v>905</v>
      </c>
      <c r="B1568" s="41" t="s">
        <v>402</v>
      </c>
      <c r="C1568" s="41" t="s">
        <v>906</v>
      </c>
      <c r="D1568" s="40"/>
      <c r="E1568" s="40"/>
      <c r="F1568" s="40"/>
    </row>
    <row r="1569" spans="1:6" ht="12.75" x14ac:dyDescent="0.2">
      <c r="A1569" s="41" t="s">
        <v>907</v>
      </c>
      <c r="B1569" s="40"/>
      <c r="C1569" s="40"/>
      <c r="D1569" s="40"/>
      <c r="E1569" s="40"/>
      <c r="F1569" s="40"/>
    </row>
    <row r="1570" spans="1:6" ht="12.75" x14ac:dyDescent="0.2">
      <c r="A1570" s="41" t="s">
        <v>908</v>
      </c>
      <c r="B1570" s="40"/>
      <c r="C1570" s="40"/>
      <c r="D1570" s="40"/>
      <c r="E1570" s="40"/>
      <c r="F1570" s="40"/>
    </row>
    <row r="1571" spans="1:6" ht="12.75" x14ac:dyDescent="0.2">
      <c r="A1571" s="41" t="s">
        <v>909</v>
      </c>
      <c r="B1571" s="40"/>
      <c r="C1571" s="40"/>
      <c r="D1571" s="40"/>
      <c r="E1571" s="40"/>
      <c r="F1571" s="40"/>
    </row>
    <row r="1572" spans="1:6" ht="12.75" x14ac:dyDescent="0.2">
      <c r="A1572" s="41" t="s">
        <v>910</v>
      </c>
      <c r="B1572" s="40"/>
      <c r="C1572" s="40"/>
      <c r="D1572" s="40"/>
      <c r="E1572" s="40"/>
      <c r="F1572" s="40"/>
    </row>
    <row r="1573" spans="1:6" ht="12.75" x14ac:dyDescent="0.2">
      <c r="A1573" s="41" t="s">
        <v>911</v>
      </c>
      <c r="B1573" s="40"/>
      <c r="C1573" s="40"/>
      <c r="D1573" s="40"/>
      <c r="E1573" s="40"/>
      <c r="F1573" s="40"/>
    </row>
    <row r="1574" spans="1:6" ht="12.75" x14ac:dyDescent="0.2">
      <c r="A1574" s="41" t="s">
        <v>912</v>
      </c>
      <c r="B1574" s="40"/>
      <c r="C1574" s="40"/>
      <c r="D1574" s="40"/>
      <c r="E1574" s="40"/>
      <c r="F1574" s="40"/>
    </row>
    <row r="1575" spans="1:6" ht="12.75" x14ac:dyDescent="0.2">
      <c r="A1575" s="41" t="s">
        <v>913</v>
      </c>
      <c r="B1575" s="40"/>
      <c r="C1575" s="40"/>
      <c r="D1575" s="40"/>
      <c r="E1575" s="40"/>
      <c r="F1575" s="40"/>
    </row>
    <row r="1576" spans="1:6" ht="12.75" x14ac:dyDescent="0.2">
      <c r="A1576" s="41" t="s">
        <v>914</v>
      </c>
      <c r="B1576" s="40"/>
      <c r="C1576" s="40"/>
      <c r="D1576" s="40"/>
      <c r="E1576" s="40"/>
      <c r="F1576" s="40"/>
    </row>
    <row r="1577" spans="1:6" ht="12.75" x14ac:dyDescent="0.2">
      <c r="A1577" s="41" t="s">
        <v>915</v>
      </c>
      <c r="B1577" s="40"/>
      <c r="C1577" s="40"/>
      <c r="D1577" s="40"/>
      <c r="E1577" s="40"/>
      <c r="F1577" s="40"/>
    </row>
    <row r="1578" spans="1:6" ht="12.75" x14ac:dyDescent="0.2">
      <c r="A1578" s="40"/>
      <c r="B1578" s="40"/>
      <c r="C1578" s="40"/>
      <c r="D1578" s="40"/>
      <c r="E1578" s="40"/>
      <c r="F1578" s="40"/>
    </row>
    <row r="1579" spans="1:6" ht="12.75" x14ac:dyDescent="0.2">
      <c r="A1579" s="41" t="s">
        <v>916</v>
      </c>
      <c r="B1579" s="40"/>
      <c r="C1579" s="40"/>
      <c r="D1579" s="40"/>
      <c r="E1579" s="40"/>
      <c r="F1579" s="40"/>
    </row>
    <row r="1580" spans="1:6" ht="12.75" x14ac:dyDescent="0.2">
      <c r="A1580" s="40"/>
      <c r="B1580" s="41" t="s">
        <v>398</v>
      </c>
      <c r="C1580" s="40"/>
      <c r="D1580" s="40"/>
      <c r="E1580" s="40"/>
      <c r="F1580" s="40"/>
    </row>
    <row r="1581" spans="1:6" ht="12.75" x14ac:dyDescent="0.2">
      <c r="A1581" s="40"/>
      <c r="B1581" s="41" t="s">
        <v>399</v>
      </c>
      <c r="C1581" s="40"/>
      <c r="D1581" s="40"/>
      <c r="E1581" s="40"/>
      <c r="F1581" s="40"/>
    </row>
    <row r="1582" spans="1:6" ht="12.75" x14ac:dyDescent="0.2">
      <c r="A1582" s="40"/>
      <c r="B1582" s="41" t="s">
        <v>400</v>
      </c>
      <c r="C1582" s="41" t="s">
        <v>916</v>
      </c>
      <c r="D1582" s="40"/>
      <c r="E1582" s="40"/>
      <c r="F1582" s="40"/>
    </row>
    <row r="1583" spans="1:6" ht="12.75" x14ac:dyDescent="0.2">
      <c r="A1583" s="40"/>
      <c r="B1583" s="41" t="s">
        <v>401</v>
      </c>
      <c r="C1583" s="40"/>
      <c r="D1583" s="40"/>
      <c r="E1583" s="40"/>
      <c r="F1583" s="40"/>
    </row>
    <row r="1584" spans="1:6" ht="12.75" x14ac:dyDescent="0.2">
      <c r="A1584" s="41" t="s">
        <v>917</v>
      </c>
      <c r="B1584" s="41" t="s">
        <v>402</v>
      </c>
      <c r="C1584" s="41" t="s">
        <v>918</v>
      </c>
      <c r="D1584" s="40"/>
      <c r="E1584" s="40"/>
      <c r="F1584" s="40"/>
    </row>
    <row r="1585" spans="1:6" ht="12.75" x14ac:dyDescent="0.2">
      <c r="A1585" s="41" t="s">
        <v>919</v>
      </c>
      <c r="B1585" s="40"/>
      <c r="C1585" s="40"/>
      <c r="D1585" s="40"/>
      <c r="E1585" s="40"/>
      <c r="F1585" s="40"/>
    </row>
    <row r="1586" spans="1:6" ht="12.75" x14ac:dyDescent="0.2">
      <c r="A1586" s="41" t="s">
        <v>920</v>
      </c>
      <c r="B1586" s="40"/>
      <c r="C1586" s="40"/>
      <c r="D1586" s="40"/>
      <c r="E1586" s="40"/>
      <c r="F1586" s="40"/>
    </row>
    <row r="1587" spans="1:6" ht="12.75" x14ac:dyDescent="0.2">
      <c r="A1587" s="41" t="s">
        <v>921</v>
      </c>
      <c r="B1587" s="40"/>
      <c r="C1587" s="40"/>
      <c r="D1587" s="40"/>
      <c r="E1587" s="40"/>
      <c r="F1587" s="40"/>
    </row>
    <row r="1588" spans="1:6" ht="12.75" x14ac:dyDescent="0.2">
      <c r="A1588" s="41" t="s">
        <v>922</v>
      </c>
      <c r="B1588" s="40"/>
      <c r="C1588" s="40"/>
      <c r="D1588" s="40"/>
      <c r="E1588" s="40"/>
      <c r="F1588" s="40"/>
    </row>
    <row r="1589" spans="1:6" ht="12.75" x14ac:dyDescent="0.2">
      <c r="A1589" s="41" t="s">
        <v>923</v>
      </c>
      <c r="B1589" s="40"/>
      <c r="C1589" s="40"/>
      <c r="D1589" s="40"/>
      <c r="E1589" s="40"/>
      <c r="F1589" s="40"/>
    </row>
    <row r="1590" spans="1:6" ht="12.75" x14ac:dyDescent="0.2">
      <c r="A1590" s="41" t="s">
        <v>924</v>
      </c>
      <c r="B1590" s="40"/>
      <c r="C1590" s="40"/>
      <c r="D1590" s="40"/>
      <c r="E1590" s="40"/>
      <c r="F1590" s="40"/>
    </row>
    <row r="1591" spans="1:6" ht="12.75" x14ac:dyDescent="0.2">
      <c r="A1591" s="41" t="s">
        <v>925</v>
      </c>
      <c r="B1591" s="40"/>
      <c r="C1591" s="40"/>
      <c r="D1591" s="40"/>
      <c r="E1591" s="40"/>
      <c r="F1591" s="40"/>
    </row>
    <row r="1592" spans="1:6" ht="12.75" x14ac:dyDescent="0.2">
      <c r="A1592" s="40"/>
      <c r="B1592" s="40"/>
      <c r="C1592" s="40"/>
      <c r="D1592" s="40"/>
      <c r="E1592" s="40"/>
      <c r="F1592" s="40"/>
    </row>
    <row r="1593" spans="1:6" ht="12.75" x14ac:dyDescent="0.2">
      <c r="A1593" s="41" t="s">
        <v>927</v>
      </c>
      <c r="B1593" s="40"/>
      <c r="C1593" s="40"/>
      <c r="D1593" s="40"/>
      <c r="E1593" s="40"/>
      <c r="F1593" s="40"/>
    </row>
    <row r="1594" spans="1:6" ht="12.75" x14ac:dyDescent="0.2">
      <c r="A1594" s="40"/>
      <c r="B1594" s="41" t="s">
        <v>398</v>
      </c>
      <c r="C1594" s="40"/>
      <c r="D1594" s="40"/>
      <c r="E1594" s="40"/>
      <c r="F1594" s="40"/>
    </row>
    <row r="1595" spans="1:6" ht="12.75" x14ac:dyDescent="0.2">
      <c r="A1595" s="40"/>
      <c r="B1595" s="41" t="s">
        <v>399</v>
      </c>
      <c r="C1595" s="40"/>
      <c r="D1595" s="40"/>
      <c r="E1595" s="40"/>
      <c r="F1595" s="40"/>
    </row>
    <row r="1596" spans="1:6" ht="12.75" x14ac:dyDescent="0.2">
      <c r="A1596" s="40"/>
      <c r="B1596" s="41" t="s">
        <v>400</v>
      </c>
      <c r="C1596" s="41" t="s">
        <v>927</v>
      </c>
      <c r="D1596" s="40"/>
      <c r="E1596" s="40"/>
      <c r="F1596" s="40"/>
    </row>
    <row r="1597" spans="1:6" ht="12.75" x14ac:dyDescent="0.2">
      <c r="A1597" s="40"/>
      <c r="B1597" s="41" t="s">
        <v>401</v>
      </c>
      <c r="C1597" s="40"/>
      <c r="D1597" s="40"/>
      <c r="E1597" s="40"/>
      <c r="F1597" s="40"/>
    </row>
    <row r="1598" spans="1:6" ht="12.75" x14ac:dyDescent="0.2">
      <c r="A1598" s="41" t="s">
        <v>928</v>
      </c>
      <c r="B1598" s="41" t="s">
        <v>402</v>
      </c>
      <c r="C1598" s="41" t="s">
        <v>929</v>
      </c>
      <c r="D1598" s="40"/>
      <c r="E1598" s="40"/>
      <c r="F1598" s="40"/>
    </row>
    <row r="1599" spans="1:6" ht="12.75" x14ac:dyDescent="0.2">
      <c r="A1599" s="41" t="s">
        <v>930</v>
      </c>
      <c r="B1599" s="40"/>
      <c r="C1599" s="40"/>
      <c r="D1599" s="40"/>
      <c r="E1599" s="40"/>
      <c r="F1599" s="40"/>
    </row>
    <row r="1600" spans="1:6" ht="12.75" x14ac:dyDescent="0.2">
      <c r="A1600" s="41" t="s">
        <v>931</v>
      </c>
      <c r="B1600" s="40"/>
      <c r="C1600" s="40"/>
      <c r="D1600" s="40"/>
      <c r="E1600" s="40"/>
      <c r="F1600" s="40"/>
    </row>
    <row r="1601" spans="1:6" ht="12.75" x14ac:dyDescent="0.2">
      <c r="A1601" s="41" t="s">
        <v>932</v>
      </c>
      <c r="B1601" s="40"/>
      <c r="C1601" s="40"/>
      <c r="D1601" s="40"/>
      <c r="E1601" s="40"/>
      <c r="F1601" s="40"/>
    </row>
    <row r="1602" spans="1:6" ht="12.75" x14ac:dyDescent="0.2">
      <c r="A1602" s="41" t="s">
        <v>933</v>
      </c>
      <c r="B1602" s="40"/>
      <c r="C1602" s="40"/>
      <c r="D1602" s="40"/>
      <c r="E1602" s="40"/>
      <c r="F1602" s="40"/>
    </row>
    <row r="1603" spans="1:6" ht="12.75" x14ac:dyDescent="0.2">
      <c r="A1603" s="41" t="s">
        <v>934</v>
      </c>
      <c r="B1603" s="40"/>
      <c r="C1603" s="40"/>
      <c r="D1603" s="40"/>
      <c r="E1603" s="40"/>
      <c r="F1603" s="40"/>
    </row>
    <row r="1604" spans="1:6" ht="12.75" x14ac:dyDescent="0.2">
      <c r="A1604" s="41" t="s">
        <v>935</v>
      </c>
      <c r="B1604" s="40"/>
      <c r="C1604" s="40"/>
      <c r="D1604" s="40"/>
      <c r="E1604" s="40"/>
      <c r="F1604" s="40"/>
    </row>
    <row r="1605" spans="1:6" ht="12.75" x14ac:dyDescent="0.2">
      <c r="A1605" s="41" t="s">
        <v>936</v>
      </c>
      <c r="B1605" s="40"/>
      <c r="C1605" s="40"/>
      <c r="D1605" s="40"/>
      <c r="E1605" s="40"/>
      <c r="F1605" s="40"/>
    </row>
    <row r="1606" spans="1:6" ht="12.75" x14ac:dyDescent="0.2">
      <c r="A1606" s="41" t="s">
        <v>937</v>
      </c>
      <c r="B1606" s="40"/>
      <c r="C1606" s="40"/>
      <c r="D1606" s="40"/>
      <c r="E1606" s="40"/>
      <c r="F1606" s="40"/>
    </row>
    <row r="1607" spans="1:6" ht="12.75" x14ac:dyDescent="0.2">
      <c r="A1607" s="41" t="s">
        <v>938</v>
      </c>
      <c r="B1607" s="40"/>
      <c r="C1607" s="40"/>
      <c r="D1607" s="40"/>
      <c r="E1607" s="40"/>
      <c r="F1607" s="40"/>
    </row>
    <row r="1608" spans="1:6" ht="12.75" x14ac:dyDescent="0.2">
      <c r="A1608" s="40"/>
      <c r="B1608" s="40"/>
      <c r="C1608" s="40"/>
      <c r="D1608" s="40"/>
      <c r="E1608" s="40"/>
      <c r="F1608" s="40"/>
    </row>
    <row r="1609" spans="1:6" ht="12.75" x14ac:dyDescent="0.2">
      <c r="A1609" s="41" t="s">
        <v>939</v>
      </c>
      <c r="B1609" s="40"/>
      <c r="C1609" s="40"/>
      <c r="D1609" s="40"/>
      <c r="E1609" s="40"/>
      <c r="F1609" s="40"/>
    </row>
    <row r="1610" spans="1:6" ht="12.75" x14ac:dyDescent="0.2">
      <c r="A1610" s="40"/>
      <c r="B1610" s="41" t="s">
        <v>398</v>
      </c>
      <c r="C1610" s="40"/>
      <c r="D1610" s="40"/>
      <c r="E1610" s="40"/>
      <c r="F1610" s="40"/>
    </row>
    <row r="1611" spans="1:6" ht="12.75" x14ac:dyDescent="0.2">
      <c r="A1611" s="40"/>
      <c r="B1611" s="41" t="s">
        <v>399</v>
      </c>
      <c r="C1611" s="40"/>
      <c r="D1611" s="40"/>
      <c r="E1611" s="40"/>
      <c r="F1611" s="40"/>
    </row>
    <row r="1612" spans="1:6" ht="12.75" x14ac:dyDescent="0.2">
      <c r="A1612" s="40"/>
      <c r="B1612" s="41" t="s">
        <v>400</v>
      </c>
      <c r="C1612" s="41" t="s">
        <v>939</v>
      </c>
      <c r="D1612" s="40"/>
      <c r="E1612" s="40"/>
      <c r="F1612" s="40"/>
    </row>
    <row r="1613" spans="1:6" ht="12.75" x14ac:dyDescent="0.2">
      <c r="A1613" s="40"/>
      <c r="B1613" s="41" t="s">
        <v>401</v>
      </c>
      <c r="C1613" s="40"/>
      <c r="D1613" s="40"/>
      <c r="E1613" s="40"/>
      <c r="F1613" s="40"/>
    </row>
    <row r="1614" spans="1:6" ht="12.75" x14ac:dyDescent="0.2">
      <c r="A1614" s="41" t="s">
        <v>337</v>
      </c>
      <c r="B1614" s="41" t="s">
        <v>402</v>
      </c>
      <c r="C1614" s="41" t="s">
        <v>940</v>
      </c>
      <c r="D1614" s="40"/>
      <c r="E1614" s="40"/>
      <c r="F1614" s="40"/>
    </row>
    <row r="1615" spans="1:6" ht="12.75" x14ac:dyDescent="0.2">
      <c r="A1615" s="41" t="s">
        <v>941</v>
      </c>
      <c r="B1615" s="40"/>
      <c r="C1615" s="40"/>
      <c r="D1615" s="40"/>
      <c r="E1615" s="40"/>
      <c r="F1615" s="40"/>
    </row>
    <row r="1616" spans="1:6" ht="12.75" x14ac:dyDescent="0.2">
      <c r="A1616" s="41" t="s">
        <v>942</v>
      </c>
      <c r="B1616" s="40"/>
      <c r="C1616" s="40"/>
      <c r="D1616" s="40"/>
      <c r="E1616" s="40"/>
      <c r="F1616" s="40"/>
    </row>
    <row r="1617" spans="1:6" ht="12.75" x14ac:dyDescent="0.2">
      <c r="A1617" s="41" t="s">
        <v>943</v>
      </c>
      <c r="B1617" s="40"/>
      <c r="C1617" s="40"/>
      <c r="D1617" s="40"/>
      <c r="E1617" s="40"/>
      <c r="F1617" s="40"/>
    </row>
    <row r="1618" spans="1:6" ht="12.75" x14ac:dyDescent="0.2">
      <c r="A1618" s="41" t="s">
        <v>944</v>
      </c>
      <c r="B1618" s="40"/>
      <c r="C1618" s="40"/>
      <c r="D1618" s="40"/>
      <c r="E1618" s="40"/>
      <c r="F1618" s="40"/>
    </row>
    <row r="1619" spans="1:6" ht="12.75" x14ac:dyDescent="0.2">
      <c r="A1619" s="41" t="s">
        <v>946</v>
      </c>
      <c r="B1619" s="40"/>
      <c r="C1619" s="40"/>
      <c r="D1619" s="40"/>
      <c r="E1619" s="40"/>
      <c r="F1619" s="40"/>
    </row>
    <row r="1620" spans="1:6" ht="12.75" x14ac:dyDescent="0.2">
      <c r="A1620" s="41" t="s">
        <v>947</v>
      </c>
      <c r="B1620" s="40"/>
      <c r="C1620" s="40"/>
      <c r="D1620" s="40"/>
      <c r="E1620" s="40"/>
      <c r="F1620" s="40"/>
    </row>
    <row r="1621" spans="1:6" ht="12.75" x14ac:dyDescent="0.2">
      <c r="A1621" s="41" t="s">
        <v>948</v>
      </c>
      <c r="B1621" s="40"/>
      <c r="C1621" s="40"/>
      <c r="D1621" s="40"/>
      <c r="E1621" s="40"/>
      <c r="F1621" s="40"/>
    </row>
    <row r="1622" spans="1:6" ht="12.75" x14ac:dyDescent="0.2">
      <c r="A1622" s="41" t="s">
        <v>950</v>
      </c>
      <c r="B1622" s="40"/>
      <c r="C1622" s="40"/>
      <c r="D1622" s="40"/>
      <c r="E1622" s="40"/>
      <c r="F1622" s="40"/>
    </row>
    <row r="1623" spans="1:6" ht="12.75" x14ac:dyDescent="0.2">
      <c r="A1623" s="41" t="s">
        <v>951</v>
      </c>
      <c r="B1623" s="40"/>
      <c r="C1623" s="40"/>
      <c r="D1623" s="40"/>
      <c r="E1623" s="40"/>
      <c r="F1623" s="40"/>
    </row>
    <row r="1624" spans="1:6" ht="12.75" x14ac:dyDescent="0.2">
      <c r="A1624" s="40"/>
      <c r="B1624" s="40"/>
      <c r="C1624" s="40"/>
      <c r="D1624" s="40"/>
      <c r="E1624" s="40"/>
      <c r="F1624" s="40"/>
    </row>
    <row r="1625" spans="1:6" ht="12.75" x14ac:dyDescent="0.2">
      <c r="A1625" s="41" t="s">
        <v>953</v>
      </c>
      <c r="B1625" s="40"/>
      <c r="C1625" s="40"/>
      <c r="D1625" s="40"/>
      <c r="E1625" s="40"/>
      <c r="F1625" s="40"/>
    </row>
    <row r="1626" spans="1:6" ht="12.75" x14ac:dyDescent="0.2">
      <c r="A1626" s="40"/>
      <c r="B1626" s="41" t="s">
        <v>398</v>
      </c>
      <c r="C1626" s="40"/>
      <c r="D1626" s="40"/>
      <c r="E1626" s="40"/>
      <c r="F1626" s="40"/>
    </row>
    <row r="1627" spans="1:6" ht="12.75" x14ac:dyDescent="0.2">
      <c r="A1627" s="40"/>
      <c r="B1627" s="41" t="s">
        <v>399</v>
      </c>
      <c r="C1627" s="40"/>
      <c r="D1627" s="40"/>
      <c r="E1627" s="40"/>
      <c r="F1627" s="40"/>
    </row>
    <row r="1628" spans="1:6" ht="12.75" x14ac:dyDescent="0.2">
      <c r="A1628" s="40"/>
      <c r="B1628" s="41" t="s">
        <v>400</v>
      </c>
      <c r="C1628" s="41" t="s">
        <v>953</v>
      </c>
      <c r="D1628" s="40"/>
      <c r="E1628" s="40"/>
      <c r="F1628" s="40"/>
    </row>
    <row r="1629" spans="1:6" ht="12.75" x14ac:dyDescent="0.2">
      <c r="A1629" s="40"/>
      <c r="B1629" s="41" t="s">
        <v>401</v>
      </c>
      <c r="C1629" s="40"/>
      <c r="D1629" s="40"/>
      <c r="E1629" s="40"/>
      <c r="F1629" s="40"/>
    </row>
    <row r="1630" spans="1:6" ht="12.75" x14ac:dyDescent="0.2">
      <c r="A1630" s="41" t="s">
        <v>954</v>
      </c>
      <c r="B1630" s="41" t="s">
        <v>402</v>
      </c>
      <c r="C1630" s="41" t="s">
        <v>955</v>
      </c>
      <c r="D1630" s="40"/>
      <c r="E1630" s="40"/>
      <c r="F1630" s="40"/>
    </row>
    <row r="1631" spans="1:6" ht="12.75" x14ac:dyDescent="0.2">
      <c r="A1631" s="41" t="s">
        <v>957</v>
      </c>
      <c r="B1631" s="40"/>
      <c r="C1631" s="40"/>
      <c r="D1631" s="40"/>
      <c r="E1631" s="40"/>
      <c r="F1631" s="40"/>
    </row>
    <row r="1632" spans="1:6" ht="12.75" x14ac:dyDescent="0.2">
      <c r="A1632" s="41" t="s">
        <v>959</v>
      </c>
      <c r="B1632" s="40"/>
      <c r="C1632" s="40"/>
      <c r="D1632" s="40"/>
      <c r="E1632" s="40"/>
      <c r="F1632" s="40"/>
    </row>
    <row r="1633" spans="1:6" ht="12.75" x14ac:dyDescent="0.2">
      <c r="A1633" s="41" t="s">
        <v>961</v>
      </c>
      <c r="B1633" s="40"/>
      <c r="C1633" s="40"/>
      <c r="D1633" s="40"/>
      <c r="E1633" s="40"/>
      <c r="F1633" s="40"/>
    </row>
    <row r="1634" spans="1:6" ht="12.75" x14ac:dyDescent="0.2">
      <c r="A1634" s="41" t="s">
        <v>962</v>
      </c>
      <c r="B1634" s="40"/>
      <c r="C1634" s="40"/>
      <c r="D1634" s="40"/>
      <c r="E1634" s="40"/>
      <c r="F1634" s="40"/>
    </row>
    <row r="1635" spans="1:6" ht="12.75" x14ac:dyDescent="0.2">
      <c r="A1635" s="41" t="s">
        <v>964</v>
      </c>
      <c r="B1635" s="40"/>
      <c r="C1635" s="40"/>
      <c r="D1635" s="40"/>
      <c r="E1635" s="40"/>
      <c r="F1635" s="40"/>
    </row>
    <row r="1636" spans="1:6" ht="12.75" x14ac:dyDescent="0.2">
      <c r="A1636" s="41" t="s">
        <v>965</v>
      </c>
      <c r="B1636" s="40"/>
      <c r="C1636" s="40"/>
      <c r="D1636" s="40"/>
      <c r="E1636" s="40"/>
      <c r="F1636" s="40"/>
    </row>
    <row r="1637" spans="1:6" ht="12.75" x14ac:dyDescent="0.2">
      <c r="A1637" s="41" t="s">
        <v>967</v>
      </c>
      <c r="B1637" s="40"/>
      <c r="C1637" s="40"/>
      <c r="D1637" s="40"/>
      <c r="E1637" s="40"/>
      <c r="F1637" s="40"/>
    </row>
    <row r="1638" spans="1:6" ht="12.75" x14ac:dyDescent="0.2">
      <c r="A1638" s="41" t="s">
        <v>969</v>
      </c>
      <c r="B1638" s="40"/>
      <c r="C1638" s="40"/>
      <c r="D1638" s="40"/>
      <c r="E1638" s="40"/>
      <c r="F1638" s="40"/>
    </row>
    <row r="1639" spans="1:6" ht="12.75" x14ac:dyDescent="0.2">
      <c r="A1639" s="40"/>
      <c r="B1639" s="40"/>
      <c r="C1639" s="40"/>
      <c r="D1639" s="40"/>
      <c r="E1639" s="40"/>
      <c r="F1639" s="40"/>
    </row>
    <row r="1640" spans="1:6" ht="12.75" x14ac:dyDescent="0.2">
      <c r="A1640" s="41" t="s">
        <v>971</v>
      </c>
      <c r="B1640" s="40"/>
      <c r="C1640" s="40"/>
      <c r="D1640" s="40"/>
      <c r="E1640" s="40"/>
      <c r="F1640" s="40"/>
    </row>
    <row r="1641" spans="1:6" ht="12.75" x14ac:dyDescent="0.2">
      <c r="A1641" s="40"/>
      <c r="B1641" s="41" t="s">
        <v>398</v>
      </c>
      <c r="C1641" s="40"/>
      <c r="D1641" s="40"/>
      <c r="E1641" s="40"/>
      <c r="F1641" s="40"/>
    </row>
    <row r="1642" spans="1:6" ht="12.75" x14ac:dyDescent="0.2">
      <c r="A1642" s="40"/>
      <c r="B1642" s="41" t="s">
        <v>399</v>
      </c>
      <c r="C1642" s="40"/>
      <c r="D1642" s="40"/>
      <c r="E1642" s="40"/>
      <c r="F1642" s="40"/>
    </row>
    <row r="1643" spans="1:6" ht="12.75" x14ac:dyDescent="0.2">
      <c r="A1643" s="40"/>
      <c r="B1643" s="41" t="s">
        <v>400</v>
      </c>
      <c r="C1643" s="41" t="s">
        <v>971</v>
      </c>
      <c r="D1643" s="40"/>
      <c r="E1643" s="40"/>
      <c r="F1643" s="40"/>
    </row>
    <row r="1644" spans="1:6" ht="12.75" x14ac:dyDescent="0.2">
      <c r="A1644" s="40"/>
      <c r="B1644" s="41" t="s">
        <v>401</v>
      </c>
      <c r="C1644" s="40"/>
      <c r="D1644" s="40"/>
      <c r="E1644" s="40"/>
      <c r="F1644" s="40"/>
    </row>
    <row r="1645" spans="1:6" ht="12.75" x14ac:dyDescent="0.2">
      <c r="A1645" s="41" t="s">
        <v>973</v>
      </c>
      <c r="B1645" s="41" t="s">
        <v>402</v>
      </c>
      <c r="C1645" s="41" t="s">
        <v>974</v>
      </c>
      <c r="D1645" s="40"/>
      <c r="E1645" s="40"/>
      <c r="F1645" s="40"/>
    </row>
    <row r="1646" spans="1:6" ht="12.75" x14ac:dyDescent="0.2">
      <c r="A1646" s="41" t="s">
        <v>976</v>
      </c>
      <c r="B1646" s="40"/>
      <c r="C1646" s="40"/>
      <c r="D1646" s="40"/>
      <c r="E1646" s="40"/>
      <c r="F1646" s="40"/>
    </row>
    <row r="1647" spans="1:6" ht="12.75" x14ac:dyDescent="0.2">
      <c r="A1647" s="41" t="s">
        <v>977</v>
      </c>
      <c r="B1647" s="40"/>
      <c r="C1647" s="40"/>
      <c r="D1647" s="40"/>
      <c r="E1647" s="40"/>
      <c r="F1647" s="40"/>
    </row>
    <row r="1648" spans="1:6" ht="12.75" x14ac:dyDescent="0.2">
      <c r="A1648" s="41" t="s">
        <v>979</v>
      </c>
      <c r="B1648" s="40"/>
      <c r="C1648" s="40"/>
      <c r="D1648" s="40"/>
      <c r="E1648" s="40"/>
      <c r="F1648" s="40"/>
    </row>
    <row r="1649" spans="1:6" ht="12.75" x14ac:dyDescent="0.2">
      <c r="A1649" s="41" t="s">
        <v>982</v>
      </c>
      <c r="B1649" s="40"/>
      <c r="C1649" s="40"/>
      <c r="D1649" s="40"/>
      <c r="E1649" s="40"/>
      <c r="F1649" s="40"/>
    </row>
    <row r="1650" spans="1:6" ht="12.75" x14ac:dyDescent="0.2">
      <c r="A1650" s="41" t="s">
        <v>984</v>
      </c>
      <c r="B1650" s="40"/>
      <c r="C1650" s="40"/>
      <c r="D1650" s="40"/>
      <c r="E1650" s="40"/>
      <c r="F1650" s="40"/>
    </row>
    <row r="1651" spans="1:6" ht="12.75" x14ac:dyDescent="0.2">
      <c r="A1651" s="41" t="s">
        <v>986</v>
      </c>
      <c r="B1651" s="40"/>
      <c r="C1651" s="40"/>
      <c r="D1651" s="40"/>
      <c r="E1651" s="40"/>
      <c r="F1651" s="40"/>
    </row>
    <row r="1652" spans="1:6" ht="12.75" x14ac:dyDescent="0.2">
      <c r="A1652" s="40"/>
      <c r="B1652" s="40"/>
      <c r="C1652" s="40"/>
      <c r="D1652" s="40"/>
      <c r="E1652" s="40"/>
      <c r="F1652" s="40"/>
    </row>
    <row r="1653" spans="1:6" ht="12.75" x14ac:dyDescent="0.2">
      <c r="A1653" s="41" t="s">
        <v>988</v>
      </c>
      <c r="B1653" s="40"/>
      <c r="C1653" s="40"/>
      <c r="D1653" s="40"/>
      <c r="E1653" s="40"/>
      <c r="F1653" s="40"/>
    </row>
    <row r="1654" spans="1:6" ht="12.75" x14ac:dyDescent="0.2">
      <c r="A1654" s="40"/>
      <c r="B1654" s="41" t="s">
        <v>398</v>
      </c>
      <c r="C1654" s="40"/>
      <c r="D1654" s="40"/>
      <c r="E1654" s="40"/>
      <c r="F1654" s="40"/>
    </row>
    <row r="1655" spans="1:6" ht="12.75" x14ac:dyDescent="0.2">
      <c r="A1655" s="40"/>
      <c r="B1655" s="41" t="s">
        <v>399</v>
      </c>
      <c r="C1655" s="40"/>
      <c r="D1655" s="40"/>
      <c r="E1655" s="40"/>
      <c r="F1655" s="40"/>
    </row>
    <row r="1656" spans="1:6" ht="12.75" x14ac:dyDescent="0.2">
      <c r="A1656" s="40"/>
      <c r="B1656" s="41" t="s">
        <v>400</v>
      </c>
      <c r="C1656" s="41" t="s">
        <v>988</v>
      </c>
      <c r="D1656" s="40"/>
      <c r="E1656" s="40"/>
      <c r="F1656" s="40"/>
    </row>
    <row r="1657" spans="1:6" ht="12.75" x14ac:dyDescent="0.2">
      <c r="A1657" s="40"/>
      <c r="B1657" s="41" t="s">
        <v>401</v>
      </c>
      <c r="C1657" s="40"/>
      <c r="D1657" s="40"/>
      <c r="E1657" s="40"/>
      <c r="F1657" s="40"/>
    </row>
    <row r="1658" spans="1:6" ht="12.75" x14ac:dyDescent="0.2">
      <c r="A1658" s="41" t="s">
        <v>989</v>
      </c>
      <c r="B1658" s="41" t="s">
        <v>402</v>
      </c>
      <c r="C1658" s="41" t="s">
        <v>990</v>
      </c>
      <c r="D1658" s="40"/>
      <c r="E1658" s="40"/>
      <c r="F1658" s="40"/>
    </row>
    <row r="1659" spans="1:6" ht="12.75" x14ac:dyDescent="0.2">
      <c r="A1659" s="41" t="s">
        <v>992</v>
      </c>
      <c r="B1659" s="40"/>
      <c r="C1659" s="40"/>
      <c r="D1659" s="40"/>
      <c r="E1659" s="40"/>
      <c r="F1659" s="40"/>
    </row>
    <row r="1660" spans="1:6" ht="12.75" x14ac:dyDescent="0.2">
      <c r="A1660" s="41" t="s">
        <v>993</v>
      </c>
      <c r="B1660" s="40"/>
      <c r="C1660" s="40"/>
      <c r="D1660" s="40"/>
      <c r="E1660" s="40"/>
      <c r="F1660" s="40"/>
    </row>
    <row r="1661" spans="1:6" ht="12.75" x14ac:dyDescent="0.2">
      <c r="A1661" s="41" t="s">
        <v>994</v>
      </c>
      <c r="B1661" s="40"/>
      <c r="C1661" s="40"/>
      <c r="D1661" s="40"/>
      <c r="E1661" s="40"/>
      <c r="F1661" s="40"/>
    </row>
    <row r="1662" spans="1:6" ht="12.75" x14ac:dyDescent="0.2">
      <c r="A1662" s="41" t="s">
        <v>995</v>
      </c>
      <c r="B1662" s="40"/>
      <c r="C1662" s="40"/>
      <c r="D1662" s="40"/>
      <c r="E1662" s="40"/>
      <c r="F1662" s="40"/>
    </row>
    <row r="1663" spans="1:6" ht="12.75" x14ac:dyDescent="0.2">
      <c r="A1663" s="41" t="s">
        <v>996</v>
      </c>
      <c r="B1663" s="40"/>
      <c r="C1663" s="40"/>
      <c r="D1663" s="40"/>
      <c r="E1663" s="40"/>
      <c r="F1663" s="40"/>
    </row>
    <row r="1664" spans="1:6" ht="12.75" x14ac:dyDescent="0.2">
      <c r="A1664" s="41" t="s">
        <v>997</v>
      </c>
      <c r="B1664" s="40"/>
      <c r="C1664" s="40"/>
      <c r="D1664" s="40"/>
      <c r="E1664" s="40"/>
      <c r="F1664" s="40"/>
    </row>
    <row r="1665" spans="1:6" ht="12.75" x14ac:dyDescent="0.2">
      <c r="A1665" s="40"/>
      <c r="B1665" s="40"/>
      <c r="C1665" s="40"/>
      <c r="D1665" s="40"/>
      <c r="E1665" s="40"/>
      <c r="F1665" s="40"/>
    </row>
    <row r="1666" spans="1:6" ht="12.75" x14ac:dyDescent="0.2">
      <c r="A1666" s="41" t="s">
        <v>998</v>
      </c>
      <c r="B1666" s="40"/>
      <c r="C1666" s="40"/>
      <c r="D1666" s="40"/>
      <c r="E1666" s="40"/>
      <c r="F1666" s="40"/>
    </row>
    <row r="1667" spans="1:6" ht="12.75" x14ac:dyDescent="0.2">
      <c r="A1667" s="40"/>
      <c r="B1667" s="41" t="s">
        <v>398</v>
      </c>
      <c r="C1667" s="40"/>
      <c r="D1667" s="40"/>
      <c r="E1667" s="40"/>
      <c r="F1667" s="40"/>
    </row>
    <row r="1668" spans="1:6" ht="12.75" x14ac:dyDescent="0.2">
      <c r="A1668" s="40"/>
      <c r="B1668" s="41" t="s">
        <v>399</v>
      </c>
      <c r="C1668" s="40"/>
      <c r="D1668" s="40"/>
      <c r="E1668" s="40"/>
      <c r="F1668" s="40"/>
    </row>
    <row r="1669" spans="1:6" ht="12.75" x14ac:dyDescent="0.2">
      <c r="A1669" s="40"/>
      <c r="B1669" s="41" t="s">
        <v>400</v>
      </c>
      <c r="C1669" s="41" t="s">
        <v>998</v>
      </c>
      <c r="D1669" s="40"/>
      <c r="E1669" s="40"/>
      <c r="F1669" s="40"/>
    </row>
    <row r="1670" spans="1:6" ht="12.75" x14ac:dyDescent="0.2">
      <c r="A1670" s="40"/>
      <c r="B1670" s="41" t="s">
        <v>401</v>
      </c>
      <c r="C1670" s="40"/>
      <c r="D1670" s="40"/>
      <c r="E1670" s="40"/>
      <c r="F1670" s="40"/>
    </row>
    <row r="1671" spans="1:6" ht="12.75" x14ac:dyDescent="0.2">
      <c r="A1671" s="41" t="s">
        <v>999</v>
      </c>
      <c r="B1671" s="41" t="s">
        <v>402</v>
      </c>
      <c r="C1671" s="41" t="s">
        <v>1001</v>
      </c>
      <c r="D1671" s="40"/>
      <c r="E1671" s="40"/>
      <c r="F1671" s="40"/>
    </row>
    <row r="1672" spans="1:6" ht="12.75" x14ac:dyDescent="0.2">
      <c r="A1672" s="41" t="s">
        <v>1002</v>
      </c>
      <c r="B1672" s="40"/>
      <c r="C1672" s="40"/>
      <c r="D1672" s="40"/>
      <c r="E1672" s="40"/>
      <c r="F1672" s="40"/>
    </row>
    <row r="1673" spans="1:6" ht="12.75" x14ac:dyDescent="0.2">
      <c r="A1673" s="41" t="s">
        <v>1004</v>
      </c>
      <c r="B1673" s="40"/>
      <c r="C1673" s="40"/>
      <c r="D1673" s="40"/>
      <c r="E1673" s="40"/>
      <c r="F1673" s="40"/>
    </row>
    <row r="1674" spans="1:6" ht="12.75" x14ac:dyDescent="0.2">
      <c r="A1674" s="41" t="s">
        <v>1006</v>
      </c>
      <c r="B1674" s="40"/>
      <c r="C1674" s="40"/>
      <c r="D1674" s="40"/>
      <c r="E1674" s="40"/>
      <c r="F1674" s="40"/>
    </row>
    <row r="1675" spans="1:6" ht="12.75" x14ac:dyDescent="0.2">
      <c r="A1675" s="41" t="s">
        <v>1008</v>
      </c>
      <c r="B1675" s="40"/>
      <c r="C1675" s="40"/>
      <c r="D1675" s="40"/>
      <c r="E1675" s="40"/>
      <c r="F1675" s="40"/>
    </row>
    <row r="1676" spans="1:6" ht="12.75" x14ac:dyDescent="0.2">
      <c r="A1676" s="41" t="s">
        <v>1011</v>
      </c>
      <c r="B1676" s="40"/>
      <c r="C1676" s="40"/>
      <c r="D1676" s="40"/>
      <c r="E1676" s="40"/>
      <c r="F1676" s="40"/>
    </row>
    <row r="1677" spans="1:6" ht="12.75" x14ac:dyDescent="0.2">
      <c r="A1677" s="41" t="s">
        <v>1013</v>
      </c>
      <c r="B1677" s="40"/>
      <c r="C1677" s="40"/>
      <c r="D1677" s="40"/>
      <c r="E1677" s="40"/>
      <c r="F1677" s="40"/>
    </row>
    <row r="1678" spans="1:6" ht="12.75" x14ac:dyDescent="0.2">
      <c r="A1678" s="41" t="s">
        <v>1015</v>
      </c>
      <c r="B1678" s="40"/>
      <c r="C1678" s="40"/>
      <c r="D1678" s="40"/>
      <c r="E1678" s="40"/>
      <c r="F1678" s="40"/>
    </row>
    <row r="1679" spans="1:6" ht="12.75" x14ac:dyDescent="0.2">
      <c r="A1679" s="40"/>
      <c r="B1679" s="40"/>
      <c r="C1679" s="40"/>
      <c r="D1679" s="40"/>
      <c r="E1679" s="40"/>
      <c r="F1679" s="40"/>
    </row>
    <row r="1680" spans="1:6" ht="12.75" x14ac:dyDescent="0.2">
      <c r="A1680" s="41" t="s">
        <v>1018</v>
      </c>
      <c r="B1680" s="40"/>
      <c r="C1680" s="40"/>
      <c r="D1680" s="40"/>
      <c r="E1680" s="40"/>
      <c r="F1680" s="40"/>
    </row>
    <row r="1681" spans="1:6" ht="12.75" x14ac:dyDescent="0.2">
      <c r="A1681" s="40"/>
      <c r="B1681" s="41" t="s">
        <v>398</v>
      </c>
      <c r="C1681" s="40"/>
      <c r="D1681" s="40"/>
      <c r="E1681" s="40"/>
      <c r="F1681" s="40"/>
    </row>
    <row r="1682" spans="1:6" ht="12.75" x14ac:dyDescent="0.2">
      <c r="A1682" s="40"/>
      <c r="B1682" s="41" t="s">
        <v>399</v>
      </c>
      <c r="C1682" s="40"/>
      <c r="D1682" s="40"/>
      <c r="E1682" s="40"/>
      <c r="F1682" s="40"/>
    </row>
    <row r="1683" spans="1:6" ht="12.75" x14ac:dyDescent="0.2">
      <c r="A1683" s="40"/>
      <c r="B1683" s="41" t="s">
        <v>400</v>
      </c>
      <c r="C1683" s="41" t="s">
        <v>1018</v>
      </c>
      <c r="D1683" s="40"/>
      <c r="E1683" s="40"/>
      <c r="F1683" s="40"/>
    </row>
    <row r="1684" spans="1:6" ht="12.75" x14ac:dyDescent="0.2">
      <c r="A1684" s="40"/>
      <c r="B1684" s="41" t="s">
        <v>401</v>
      </c>
      <c r="C1684" s="40"/>
      <c r="D1684" s="40"/>
      <c r="E1684" s="40"/>
      <c r="F1684" s="40"/>
    </row>
    <row r="1685" spans="1:6" ht="12.75" x14ac:dyDescent="0.2">
      <c r="A1685" s="41" t="s">
        <v>1020</v>
      </c>
      <c r="B1685" s="41" t="s">
        <v>402</v>
      </c>
      <c r="C1685" s="41" t="s">
        <v>1022</v>
      </c>
      <c r="D1685" s="40"/>
      <c r="E1685" s="40"/>
      <c r="F1685" s="40"/>
    </row>
    <row r="1686" spans="1:6" ht="12.75" x14ac:dyDescent="0.2">
      <c r="A1686" s="41" t="s">
        <v>1024</v>
      </c>
      <c r="B1686" s="40"/>
      <c r="C1686" s="40"/>
      <c r="D1686" s="40"/>
      <c r="E1686" s="40"/>
      <c r="F1686" s="40"/>
    </row>
    <row r="1687" spans="1:6" ht="12.75" x14ac:dyDescent="0.2">
      <c r="A1687" s="41" t="s">
        <v>1027</v>
      </c>
      <c r="B1687" s="40"/>
      <c r="C1687" s="40"/>
      <c r="D1687" s="40"/>
      <c r="E1687" s="40"/>
      <c r="F1687" s="40"/>
    </row>
    <row r="1688" spans="1:6" ht="12.75" x14ac:dyDescent="0.2">
      <c r="A1688" s="41" t="s">
        <v>1028</v>
      </c>
      <c r="B1688" s="40"/>
      <c r="C1688" s="40"/>
      <c r="D1688" s="40"/>
      <c r="E1688" s="40"/>
      <c r="F1688" s="40"/>
    </row>
    <row r="1689" spans="1:6" ht="12.75" x14ac:dyDescent="0.2">
      <c r="A1689" s="41" t="s">
        <v>1029</v>
      </c>
      <c r="B1689" s="40"/>
      <c r="C1689" s="40"/>
      <c r="D1689" s="40"/>
      <c r="E1689" s="40"/>
      <c r="F1689" s="40"/>
    </row>
    <row r="1690" spans="1:6" ht="12.75" x14ac:dyDescent="0.2">
      <c r="A1690" s="41" t="s">
        <v>1031</v>
      </c>
      <c r="B1690" s="40"/>
      <c r="C1690" s="40"/>
      <c r="D1690" s="40"/>
      <c r="E1690" s="40"/>
      <c r="F1690" s="40"/>
    </row>
    <row r="1691" spans="1:6" ht="12.75" x14ac:dyDescent="0.2">
      <c r="A1691" s="41" t="s">
        <v>1032</v>
      </c>
      <c r="B1691" s="40"/>
      <c r="C1691" s="40"/>
      <c r="D1691" s="40"/>
      <c r="E1691" s="40"/>
      <c r="F1691" s="40"/>
    </row>
    <row r="1692" spans="1:6" ht="12.75" x14ac:dyDescent="0.2">
      <c r="A1692" s="41" t="s">
        <v>1033</v>
      </c>
      <c r="B1692" s="40"/>
      <c r="C1692" s="40"/>
      <c r="D1692" s="40"/>
      <c r="E1692" s="40"/>
      <c r="F1692" s="40"/>
    </row>
    <row r="1693" spans="1:6" ht="12.75" x14ac:dyDescent="0.2">
      <c r="A1693" s="41" t="s">
        <v>1034</v>
      </c>
      <c r="B1693" s="40"/>
      <c r="C1693" s="40"/>
      <c r="D1693" s="40"/>
      <c r="E1693" s="40"/>
      <c r="F1693" s="40"/>
    </row>
    <row r="1694" spans="1:6" ht="12.75" x14ac:dyDescent="0.2">
      <c r="A1694" s="41" t="s">
        <v>1035</v>
      </c>
      <c r="B1694" s="40"/>
      <c r="C1694" s="40"/>
      <c r="D1694" s="40"/>
      <c r="E1694" s="40"/>
      <c r="F1694" s="40"/>
    </row>
    <row r="1695" spans="1:6" ht="12.75" x14ac:dyDescent="0.2">
      <c r="A1695" s="40"/>
      <c r="B1695" s="40"/>
      <c r="C1695" s="40"/>
      <c r="D1695" s="40"/>
      <c r="E1695" s="40"/>
      <c r="F1695" s="40"/>
    </row>
    <row r="1696" spans="1:6" ht="12.75" x14ac:dyDescent="0.2">
      <c r="A1696" s="41" t="s">
        <v>1036</v>
      </c>
      <c r="B1696" s="40"/>
      <c r="C1696" s="40"/>
      <c r="D1696" s="40"/>
      <c r="E1696" s="40"/>
      <c r="F1696" s="40"/>
    </row>
    <row r="1697" spans="1:6" ht="12.75" x14ac:dyDescent="0.2">
      <c r="A1697" s="40"/>
      <c r="B1697" s="41" t="s">
        <v>398</v>
      </c>
      <c r="C1697" s="40"/>
      <c r="D1697" s="40"/>
      <c r="E1697" s="40"/>
      <c r="F1697" s="40"/>
    </row>
    <row r="1698" spans="1:6" ht="12.75" x14ac:dyDescent="0.2">
      <c r="A1698" s="40"/>
      <c r="B1698" s="41" t="s">
        <v>399</v>
      </c>
      <c r="C1698" s="40"/>
      <c r="D1698" s="40"/>
      <c r="E1698" s="40"/>
      <c r="F1698" s="40"/>
    </row>
    <row r="1699" spans="1:6" ht="12.75" x14ac:dyDescent="0.2">
      <c r="A1699" s="40"/>
      <c r="B1699" s="41" t="s">
        <v>400</v>
      </c>
      <c r="C1699" s="41" t="s">
        <v>1036</v>
      </c>
      <c r="D1699" s="40"/>
      <c r="E1699" s="40"/>
      <c r="F1699" s="40"/>
    </row>
    <row r="1700" spans="1:6" ht="12.75" x14ac:dyDescent="0.2">
      <c r="A1700" s="40"/>
      <c r="B1700" s="41" t="s">
        <v>401</v>
      </c>
      <c r="C1700" s="40"/>
      <c r="D1700" s="40"/>
      <c r="E1700" s="40"/>
      <c r="F1700" s="40"/>
    </row>
    <row r="1701" spans="1:6" ht="12.75" x14ac:dyDescent="0.2">
      <c r="A1701" s="41" t="s">
        <v>1038</v>
      </c>
      <c r="B1701" s="41" t="s">
        <v>402</v>
      </c>
      <c r="C1701" s="41" t="s">
        <v>1039</v>
      </c>
      <c r="D1701" s="40"/>
      <c r="E1701" s="40"/>
      <c r="F1701" s="40"/>
    </row>
    <row r="1702" spans="1:6" ht="12.75" x14ac:dyDescent="0.2">
      <c r="A1702" s="41" t="s">
        <v>1040</v>
      </c>
      <c r="B1702" s="40"/>
      <c r="C1702" s="40"/>
      <c r="D1702" s="40"/>
      <c r="E1702" s="40"/>
      <c r="F1702" s="40"/>
    </row>
    <row r="1703" spans="1:6" ht="12.75" x14ac:dyDescent="0.2">
      <c r="A1703" s="41" t="s">
        <v>1041</v>
      </c>
      <c r="B1703" s="40"/>
      <c r="C1703" s="40"/>
      <c r="D1703" s="40"/>
      <c r="E1703" s="40"/>
      <c r="F1703" s="40"/>
    </row>
    <row r="1704" spans="1:6" ht="12.75" x14ac:dyDescent="0.2">
      <c r="A1704" s="41" t="s">
        <v>1042</v>
      </c>
      <c r="B1704" s="40"/>
      <c r="C1704" s="40"/>
      <c r="D1704" s="40"/>
      <c r="E1704" s="40"/>
      <c r="F1704" s="40"/>
    </row>
    <row r="1705" spans="1:6" ht="12.75" x14ac:dyDescent="0.2">
      <c r="A1705" s="41" t="s">
        <v>1043</v>
      </c>
      <c r="B1705" s="40"/>
      <c r="C1705" s="40"/>
      <c r="D1705" s="40"/>
      <c r="E1705" s="40"/>
      <c r="F1705" s="40"/>
    </row>
    <row r="1706" spans="1:6" ht="12.75" x14ac:dyDescent="0.2">
      <c r="A1706" s="41" t="s">
        <v>1044</v>
      </c>
      <c r="B1706" s="40"/>
      <c r="C1706" s="40"/>
      <c r="D1706" s="40"/>
      <c r="E1706" s="40"/>
      <c r="F1706" s="40"/>
    </row>
    <row r="1707" spans="1:6" ht="12.75" x14ac:dyDescent="0.2">
      <c r="A1707" s="41" t="s">
        <v>1045</v>
      </c>
      <c r="B1707" s="40"/>
      <c r="C1707" s="40"/>
      <c r="D1707" s="40"/>
      <c r="E1707" s="40"/>
      <c r="F1707" s="40"/>
    </row>
    <row r="1708" spans="1:6" ht="12.75" x14ac:dyDescent="0.2">
      <c r="A1708" s="41" t="s">
        <v>1046</v>
      </c>
      <c r="B1708" s="40"/>
      <c r="C1708" s="40"/>
      <c r="D1708" s="40"/>
      <c r="E1708" s="40"/>
      <c r="F1708" s="40"/>
    </row>
    <row r="1709" spans="1:6" ht="12.75" x14ac:dyDescent="0.2">
      <c r="A1709" s="40"/>
      <c r="B1709" s="40"/>
      <c r="C1709" s="40"/>
      <c r="D1709" s="40"/>
      <c r="E1709" s="40"/>
      <c r="F1709" s="40"/>
    </row>
    <row r="1710" spans="1:6" ht="12.75" x14ac:dyDescent="0.2">
      <c r="A1710" s="41" t="s">
        <v>1047</v>
      </c>
      <c r="B1710" s="40"/>
      <c r="C1710" s="40"/>
      <c r="D1710" s="40"/>
      <c r="E1710" s="40"/>
      <c r="F1710" s="40"/>
    </row>
    <row r="1711" spans="1:6" ht="12.75" x14ac:dyDescent="0.2">
      <c r="A1711" s="40"/>
      <c r="B1711" s="41" t="s">
        <v>398</v>
      </c>
      <c r="C1711" s="40"/>
      <c r="D1711" s="40"/>
      <c r="E1711" s="40"/>
      <c r="F1711" s="40"/>
    </row>
    <row r="1712" spans="1:6" ht="12.75" x14ac:dyDescent="0.2">
      <c r="A1712" s="40"/>
      <c r="B1712" s="41" t="s">
        <v>399</v>
      </c>
      <c r="C1712" s="40"/>
      <c r="D1712" s="40"/>
      <c r="E1712" s="40"/>
      <c r="F1712" s="40"/>
    </row>
    <row r="1713" spans="1:6" ht="12.75" x14ac:dyDescent="0.2">
      <c r="A1713" s="40"/>
      <c r="B1713" s="41" t="s">
        <v>400</v>
      </c>
      <c r="C1713" s="41" t="s">
        <v>1047</v>
      </c>
      <c r="D1713" s="40"/>
      <c r="E1713" s="40"/>
      <c r="F1713" s="40"/>
    </row>
    <row r="1714" spans="1:6" ht="12.75" x14ac:dyDescent="0.2">
      <c r="A1714" s="40"/>
      <c r="B1714" s="41" t="s">
        <v>401</v>
      </c>
      <c r="C1714" s="40"/>
      <c r="D1714" s="40"/>
      <c r="E1714" s="40"/>
      <c r="F1714" s="40"/>
    </row>
    <row r="1715" spans="1:6" ht="12.75" x14ac:dyDescent="0.2">
      <c r="A1715" s="41" t="s">
        <v>1048</v>
      </c>
      <c r="B1715" s="41" t="s">
        <v>402</v>
      </c>
      <c r="C1715" s="41" t="s">
        <v>1049</v>
      </c>
      <c r="D1715" s="40"/>
      <c r="E1715" s="40"/>
      <c r="F1715" s="40"/>
    </row>
    <row r="1716" spans="1:6" ht="12.75" x14ac:dyDescent="0.2">
      <c r="A1716" s="41" t="s">
        <v>1050</v>
      </c>
      <c r="B1716" s="40"/>
      <c r="C1716" s="40"/>
      <c r="D1716" s="40"/>
      <c r="E1716" s="40"/>
      <c r="F1716" s="40"/>
    </row>
    <row r="1717" spans="1:6" ht="12.75" x14ac:dyDescent="0.2">
      <c r="A1717" s="41" t="s">
        <v>1051</v>
      </c>
      <c r="B1717" s="40"/>
      <c r="C1717" s="40"/>
      <c r="D1717" s="40"/>
      <c r="E1717" s="40"/>
      <c r="F1717" s="40"/>
    </row>
    <row r="1718" spans="1:6" ht="12.75" x14ac:dyDescent="0.2">
      <c r="A1718" s="41" t="s">
        <v>1052</v>
      </c>
      <c r="B1718" s="40"/>
      <c r="C1718" s="40"/>
      <c r="D1718" s="40"/>
      <c r="E1718" s="40"/>
      <c r="F1718" s="40"/>
    </row>
    <row r="1719" spans="1:6" ht="12.75" x14ac:dyDescent="0.2">
      <c r="A1719" s="41" t="s">
        <v>1053</v>
      </c>
      <c r="B1719" s="40"/>
      <c r="C1719" s="40"/>
      <c r="D1719" s="40"/>
      <c r="E1719" s="40"/>
      <c r="F1719" s="40"/>
    </row>
    <row r="1720" spans="1:6" ht="12.75" x14ac:dyDescent="0.2">
      <c r="A1720" s="41" t="s">
        <v>1054</v>
      </c>
      <c r="B1720" s="40"/>
      <c r="C1720" s="40"/>
      <c r="D1720" s="40"/>
      <c r="E1720" s="40"/>
      <c r="F1720" s="40"/>
    </row>
    <row r="1721" spans="1:6" ht="12.75" x14ac:dyDescent="0.2">
      <c r="A1721" s="41" t="s">
        <v>1055</v>
      </c>
      <c r="B1721" s="40"/>
      <c r="C1721" s="40"/>
      <c r="D1721" s="40"/>
      <c r="E1721" s="40"/>
      <c r="F1721" s="40"/>
    </row>
    <row r="1722" spans="1:6" ht="12.75" x14ac:dyDescent="0.2">
      <c r="A1722" s="41" t="s">
        <v>1056</v>
      </c>
      <c r="B1722" s="40"/>
      <c r="C1722" s="40"/>
      <c r="D1722" s="40"/>
      <c r="E1722" s="40"/>
      <c r="F1722" s="40"/>
    </row>
    <row r="1723" spans="1:6" ht="12.75" x14ac:dyDescent="0.2">
      <c r="A1723" s="41" t="s">
        <v>1057</v>
      </c>
      <c r="B1723" s="40"/>
      <c r="C1723" s="40"/>
      <c r="D1723" s="40"/>
      <c r="E1723" s="40"/>
      <c r="F1723" s="40"/>
    </row>
    <row r="1724" spans="1:6" ht="12.75" x14ac:dyDescent="0.2">
      <c r="A1724" s="41" t="s">
        <v>1058</v>
      </c>
      <c r="B1724" s="40"/>
      <c r="C1724" s="40"/>
      <c r="D1724" s="40"/>
      <c r="E1724" s="40"/>
      <c r="F1724" s="40"/>
    </row>
    <row r="1725" spans="1:6" ht="12.75" x14ac:dyDescent="0.2">
      <c r="A1725" s="40"/>
      <c r="B1725" s="41" t="s">
        <v>403</v>
      </c>
      <c r="C1725" s="41" t="s">
        <v>25</v>
      </c>
      <c r="D1725" s="41" t="s">
        <v>27</v>
      </c>
      <c r="E1725" s="40"/>
      <c r="F1725" s="40"/>
    </row>
    <row r="1726" spans="1:6" ht="12.75" x14ac:dyDescent="0.2">
      <c r="A1726" s="40"/>
      <c r="B1726" s="41" t="s">
        <v>403</v>
      </c>
      <c r="C1726" s="41" t="s">
        <v>30</v>
      </c>
      <c r="D1726" s="41" t="s">
        <v>31</v>
      </c>
      <c r="E1726" s="40"/>
      <c r="F1726" s="40"/>
    </row>
    <row r="1727" spans="1:6" ht="12.75" x14ac:dyDescent="0.2">
      <c r="A1727" s="40"/>
      <c r="B1727" s="41" t="s">
        <v>403</v>
      </c>
      <c r="C1727" s="41" t="s">
        <v>41</v>
      </c>
      <c r="D1727" s="41" t="s">
        <v>10</v>
      </c>
      <c r="E1727" s="40"/>
      <c r="F1727" s="40"/>
    </row>
    <row r="1728" spans="1:6" ht="12.75" x14ac:dyDescent="0.2">
      <c r="A1728" s="40"/>
      <c r="B1728" s="40"/>
      <c r="C1728" s="40"/>
      <c r="D1728" s="40"/>
      <c r="E1728" s="40"/>
      <c r="F1728" s="40"/>
    </row>
    <row r="1729" spans="1:6" ht="12.75" x14ac:dyDescent="0.2">
      <c r="A1729" s="41" t="s">
        <v>1059</v>
      </c>
      <c r="B1729" s="40"/>
      <c r="C1729" s="40"/>
      <c r="D1729" s="40"/>
      <c r="E1729" s="40"/>
      <c r="F1729" s="40"/>
    </row>
    <row r="1730" spans="1:6" ht="12.75" x14ac:dyDescent="0.2">
      <c r="A1730" s="40"/>
      <c r="B1730" s="41" t="s">
        <v>398</v>
      </c>
      <c r="C1730" s="40"/>
      <c r="D1730" s="40"/>
      <c r="E1730" s="40"/>
      <c r="F1730" s="40"/>
    </row>
    <row r="1731" spans="1:6" ht="12.75" x14ac:dyDescent="0.2">
      <c r="A1731" s="40"/>
      <c r="B1731" s="41" t="s">
        <v>399</v>
      </c>
      <c r="C1731" s="40"/>
      <c r="D1731" s="40"/>
      <c r="E1731" s="40"/>
      <c r="F1731" s="40"/>
    </row>
    <row r="1732" spans="1:6" ht="12.75" x14ac:dyDescent="0.2">
      <c r="A1732" s="40"/>
      <c r="B1732" s="41" t="s">
        <v>400</v>
      </c>
      <c r="C1732" s="41" t="s">
        <v>1059</v>
      </c>
      <c r="D1732" s="40"/>
      <c r="E1732" s="40"/>
      <c r="F1732" s="40"/>
    </row>
    <row r="1733" spans="1:6" ht="12.75" x14ac:dyDescent="0.2">
      <c r="A1733" s="40"/>
      <c r="B1733" s="41" t="s">
        <v>401</v>
      </c>
      <c r="C1733" s="40"/>
      <c r="D1733" s="40"/>
      <c r="E1733" s="40"/>
      <c r="F1733" s="40"/>
    </row>
    <row r="1734" spans="1:6" ht="12.75" x14ac:dyDescent="0.2">
      <c r="A1734" s="41" t="s">
        <v>1060</v>
      </c>
      <c r="B1734" s="41" t="s">
        <v>402</v>
      </c>
      <c r="C1734" s="41" t="s">
        <v>1061</v>
      </c>
      <c r="D1734" s="40"/>
      <c r="E1734" s="40"/>
      <c r="F1734" s="40"/>
    </row>
    <row r="1735" spans="1:6" ht="12.75" x14ac:dyDescent="0.2">
      <c r="A1735" s="41" t="s">
        <v>1062</v>
      </c>
      <c r="B1735" s="40"/>
      <c r="C1735" s="40"/>
      <c r="D1735" s="40"/>
      <c r="E1735" s="40"/>
      <c r="F1735" s="40"/>
    </row>
    <row r="1736" spans="1:6" ht="12.75" x14ac:dyDescent="0.2">
      <c r="A1736" s="41" t="s">
        <v>1063</v>
      </c>
      <c r="B1736" s="40"/>
      <c r="C1736" s="40"/>
      <c r="D1736" s="40"/>
      <c r="E1736" s="40"/>
      <c r="F1736" s="40"/>
    </row>
    <row r="1737" spans="1:6" ht="12.75" x14ac:dyDescent="0.2">
      <c r="A1737" s="41" t="s">
        <v>1064</v>
      </c>
      <c r="B1737" s="40"/>
      <c r="C1737" s="40"/>
      <c r="D1737" s="40"/>
      <c r="E1737" s="40"/>
      <c r="F1737" s="40"/>
    </row>
    <row r="1738" spans="1:6" ht="12.75" x14ac:dyDescent="0.2">
      <c r="A1738" s="41" t="s">
        <v>1065</v>
      </c>
      <c r="B1738" s="40"/>
      <c r="C1738" s="40"/>
      <c r="D1738" s="40"/>
      <c r="E1738" s="40"/>
      <c r="F1738" s="40"/>
    </row>
    <row r="1739" spans="1:6" ht="12.75" x14ac:dyDescent="0.2">
      <c r="A1739" s="41" t="s">
        <v>1066</v>
      </c>
      <c r="B1739" s="40"/>
      <c r="C1739" s="40"/>
      <c r="D1739" s="40"/>
      <c r="E1739" s="40"/>
      <c r="F1739" s="40"/>
    </row>
    <row r="1740" spans="1:6" ht="12.75" x14ac:dyDescent="0.2">
      <c r="A1740" s="41" t="s">
        <v>1067</v>
      </c>
      <c r="B1740" s="40"/>
      <c r="C1740" s="40"/>
      <c r="D1740" s="40"/>
      <c r="E1740" s="40"/>
      <c r="F1740" s="40"/>
    </row>
    <row r="1741" spans="1:6" ht="12.75" x14ac:dyDescent="0.2">
      <c r="A1741" s="41" t="s">
        <v>1068</v>
      </c>
      <c r="B1741" s="40"/>
      <c r="C1741" s="40"/>
      <c r="D1741" s="40"/>
      <c r="E1741" s="40"/>
      <c r="F1741" s="40"/>
    </row>
    <row r="1742" spans="1:6" ht="12.75" x14ac:dyDescent="0.2">
      <c r="A1742" s="40"/>
      <c r="B1742" s="40"/>
      <c r="C1742" s="40"/>
      <c r="D1742" s="40"/>
      <c r="E1742" s="40"/>
      <c r="F1742" s="40"/>
    </row>
    <row r="1743" spans="1:6" ht="12.75" x14ac:dyDescent="0.2">
      <c r="A1743" s="41" t="s">
        <v>1069</v>
      </c>
      <c r="B1743" s="40"/>
      <c r="C1743" s="40"/>
      <c r="D1743" s="40"/>
      <c r="E1743" s="40"/>
      <c r="F1743" s="40"/>
    </row>
    <row r="1744" spans="1:6" ht="12.75" x14ac:dyDescent="0.2">
      <c r="A1744" s="40"/>
      <c r="B1744" s="41" t="s">
        <v>398</v>
      </c>
      <c r="C1744" s="40"/>
      <c r="D1744" s="40"/>
      <c r="E1744" s="40"/>
      <c r="F1744" s="40"/>
    </row>
    <row r="1745" spans="1:6" ht="12.75" x14ac:dyDescent="0.2">
      <c r="A1745" s="40"/>
      <c r="B1745" s="41" t="s">
        <v>399</v>
      </c>
      <c r="C1745" s="40"/>
      <c r="D1745" s="40"/>
      <c r="E1745" s="40"/>
      <c r="F1745" s="40"/>
    </row>
    <row r="1746" spans="1:6" ht="12.75" x14ac:dyDescent="0.2">
      <c r="A1746" s="40"/>
      <c r="B1746" s="41" t="s">
        <v>400</v>
      </c>
      <c r="C1746" s="41" t="s">
        <v>1069</v>
      </c>
      <c r="D1746" s="40"/>
      <c r="E1746" s="40"/>
      <c r="F1746" s="40"/>
    </row>
    <row r="1747" spans="1:6" ht="12.75" x14ac:dyDescent="0.2">
      <c r="A1747" s="40"/>
      <c r="B1747" s="41" t="s">
        <v>401</v>
      </c>
      <c r="C1747" s="40"/>
      <c r="D1747" s="40"/>
      <c r="E1747" s="40"/>
      <c r="F1747" s="40"/>
    </row>
    <row r="1748" spans="1:6" ht="12.75" x14ac:dyDescent="0.2">
      <c r="A1748" s="41" t="s">
        <v>1070</v>
      </c>
      <c r="B1748" s="41" t="s">
        <v>402</v>
      </c>
      <c r="C1748" s="41" t="s">
        <v>1071</v>
      </c>
      <c r="D1748" s="40"/>
      <c r="E1748" s="40"/>
      <c r="F1748" s="40"/>
    </row>
    <row r="1749" spans="1:6" ht="12.75" x14ac:dyDescent="0.2">
      <c r="A1749" s="41" t="s">
        <v>1072</v>
      </c>
      <c r="B1749" s="40"/>
      <c r="C1749" s="40"/>
      <c r="D1749" s="40"/>
      <c r="E1749" s="40"/>
      <c r="F1749" s="40"/>
    </row>
    <row r="1750" spans="1:6" ht="12.75" x14ac:dyDescent="0.2">
      <c r="A1750" s="41" t="s">
        <v>1073</v>
      </c>
      <c r="B1750" s="40"/>
      <c r="C1750" s="40"/>
      <c r="D1750" s="40"/>
      <c r="E1750" s="40"/>
      <c r="F1750" s="40"/>
    </row>
    <row r="1751" spans="1:6" ht="12.75" x14ac:dyDescent="0.2">
      <c r="A1751" s="41" t="s">
        <v>1074</v>
      </c>
      <c r="B1751" s="40"/>
      <c r="C1751" s="40"/>
      <c r="D1751" s="40"/>
      <c r="E1751" s="40"/>
      <c r="F1751" s="40"/>
    </row>
    <row r="1752" spans="1:6" ht="12.75" x14ac:dyDescent="0.2">
      <c r="A1752" s="41" t="s">
        <v>1075</v>
      </c>
      <c r="B1752" s="40"/>
      <c r="C1752" s="40"/>
      <c r="D1752" s="40"/>
      <c r="E1752" s="40"/>
      <c r="F1752" s="40"/>
    </row>
    <row r="1753" spans="1:6" ht="12.75" x14ac:dyDescent="0.2">
      <c r="A1753" s="41" t="s">
        <v>1076</v>
      </c>
      <c r="B1753" s="40"/>
      <c r="C1753" s="40"/>
      <c r="D1753" s="40"/>
      <c r="E1753" s="40"/>
      <c r="F1753" s="40"/>
    </row>
    <row r="1754" spans="1:6" ht="12.75" x14ac:dyDescent="0.2">
      <c r="A1754" s="41" t="s">
        <v>1077</v>
      </c>
      <c r="B1754" s="40"/>
      <c r="C1754" s="40"/>
      <c r="D1754" s="40"/>
      <c r="E1754" s="40"/>
      <c r="F1754" s="40"/>
    </row>
    <row r="1755" spans="1:6" ht="12.75" x14ac:dyDescent="0.2">
      <c r="A1755" s="41" t="s">
        <v>1078</v>
      </c>
      <c r="B1755" s="40"/>
      <c r="C1755" s="40"/>
      <c r="D1755" s="40"/>
      <c r="E1755" s="40"/>
      <c r="F1755" s="40"/>
    </row>
    <row r="1756" spans="1:6" ht="12.75" x14ac:dyDescent="0.2">
      <c r="A1756" s="41" t="s">
        <v>1079</v>
      </c>
      <c r="B1756" s="40"/>
      <c r="C1756" s="40"/>
      <c r="D1756" s="40"/>
      <c r="E1756" s="40"/>
      <c r="F1756" s="40"/>
    </row>
    <row r="1757" spans="1:6" ht="12.75" x14ac:dyDescent="0.2">
      <c r="A1757" s="41" t="s">
        <v>1080</v>
      </c>
      <c r="B1757" s="40"/>
      <c r="C1757" s="40"/>
      <c r="D1757" s="40"/>
      <c r="E1757" s="40"/>
      <c r="F1757" s="40"/>
    </row>
    <row r="1758" spans="1:6" ht="12.75" x14ac:dyDescent="0.2">
      <c r="A1758" s="40"/>
      <c r="B1758" s="40"/>
      <c r="C1758" s="40"/>
      <c r="D1758" s="40"/>
      <c r="E1758" s="40"/>
      <c r="F1758" s="40"/>
    </row>
    <row r="1759" spans="1:6" ht="12.75" x14ac:dyDescent="0.2">
      <c r="A1759" s="41" t="s">
        <v>1081</v>
      </c>
      <c r="B1759" s="40"/>
      <c r="C1759" s="40"/>
      <c r="D1759" s="40"/>
      <c r="E1759" s="40"/>
      <c r="F1759" s="40"/>
    </row>
    <row r="1760" spans="1:6" ht="12.75" x14ac:dyDescent="0.2">
      <c r="A1760" s="40"/>
      <c r="B1760" s="41" t="s">
        <v>398</v>
      </c>
      <c r="C1760" s="40"/>
      <c r="D1760" s="40"/>
      <c r="E1760" s="40"/>
      <c r="F1760" s="40"/>
    </row>
    <row r="1761" spans="1:6" ht="12.75" x14ac:dyDescent="0.2">
      <c r="A1761" s="40"/>
      <c r="B1761" s="41" t="s">
        <v>399</v>
      </c>
      <c r="C1761" s="40"/>
      <c r="D1761" s="40"/>
      <c r="E1761" s="40"/>
      <c r="F1761" s="40"/>
    </row>
    <row r="1762" spans="1:6" ht="12.75" x14ac:dyDescent="0.2">
      <c r="A1762" s="40"/>
      <c r="B1762" s="41" t="s">
        <v>400</v>
      </c>
      <c r="C1762" s="41" t="s">
        <v>1081</v>
      </c>
      <c r="D1762" s="40"/>
      <c r="E1762" s="40"/>
      <c r="F1762" s="40"/>
    </row>
    <row r="1763" spans="1:6" ht="12.75" x14ac:dyDescent="0.2">
      <c r="A1763" s="40"/>
      <c r="B1763" s="41" t="s">
        <v>401</v>
      </c>
      <c r="C1763" s="40"/>
      <c r="D1763" s="40"/>
      <c r="E1763" s="40"/>
      <c r="F1763" s="40"/>
    </row>
    <row r="1764" spans="1:6" ht="25.5" x14ac:dyDescent="0.2">
      <c r="A1764" s="41" t="s">
        <v>1082</v>
      </c>
      <c r="B1764" s="41" t="s">
        <v>402</v>
      </c>
      <c r="C1764" s="41" t="s">
        <v>1083</v>
      </c>
      <c r="D1764" s="40"/>
      <c r="E1764" s="40"/>
      <c r="F1764" s="40"/>
    </row>
    <row r="1765" spans="1:6" ht="12.75" x14ac:dyDescent="0.2">
      <c r="A1765" s="41" t="s">
        <v>1084</v>
      </c>
      <c r="B1765" s="40"/>
      <c r="C1765" s="40"/>
      <c r="D1765" s="40"/>
      <c r="E1765" s="40"/>
      <c r="F1765" s="40"/>
    </row>
    <row r="1766" spans="1:6" ht="12.75" x14ac:dyDescent="0.2">
      <c r="A1766" s="41" t="s">
        <v>1085</v>
      </c>
      <c r="B1766" s="40"/>
      <c r="C1766" s="40"/>
      <c r="D1766" s="40"/>
      <c r="E1766" s="40"/>
      <c r="F1766" s="40"/>
    </row>
    <row r="1767" spans="1:6" ht="12.75" x14ac:dyDescent="0.2">
      <c r="A1767" s="41" t="s">
        <v>1086</v>
      </c>
      <c r="B1767" s="40"/>
      <c r="C1767" s="40"/>
      <c r="D1767" s="40"/>
      <c r="E1767" s="40"/>
      <c r="F1767" s="40"/>
    </row>
    <row r="1768" spans="1:6" ht="12.75" x14ac:dyDescent="0.2">
      <c r="A1768" s="41" t="s">
        <v>1087</v>
      </c>
      <c r="B1768" s="40"/>
      <c r="C1768" s="40"/>
      <c r="D1768" s="40"/>
      <c r="E1768" s="40"/>
      <c r="F1768" s="40"/>
    </row>
    <row r="1769" spans="1:6" ht="12.75" x14ac:dyDescent="0.2">
      <c r="A1769" s="41" t="s">
        <v>1088</v>
      </c>
      <c r="B1769" s="40"/>
      <c r="C1769" s="40"/>
      <c r="D1769" s="40"/>
      <c r="E1769" s="40"/>
      <c r="F1769" s="40"/>
    </row>
    <row r="1770" spans="1:6" ht="12.75" x14ac:dyDescent="0.2">
      <c r="A1770" s="41" t="s">
        <v>1089</v>
      </c>
      <c r="B1770" s="40"/>
      <c r="C1770" s="40"/>
      <c r="D1770" s="40"/>
      <c r="E1770" s="40"/>
      <c r="F1770" s="40"/>
    </row>
    <row r="1771" spans="1:6" ht="12.75" x14ac:dyDescent="0.2">
      <c r="A1771" s="41" t="s">
        <v>1090</v>
      </c>
      <c r="B1771" s="40"/>
      <c r="C1771" s="40"/>
      <c r="D1771" s="40"/>
      <c r="E1771" s="40"/>
      <c r="F1771" s="40"/>
    </row>
    <row r="1772" spans="1:6" ht="12.75" x14ac:dyDescent="0.2">
      <c r="A1772" s="41" t="s">
        <v>1091</v>
      </c>
      <c r="B1772" s="40"/>
      <c r="C1772" s="40"/>
      <c r="D1772" s="40"/>
      <c r="E1772" s="40"/>
      <c r="F1772" s="40"/>
    </row>
    <row r="1773" spans="1:6" ht="12.75" x14ac:dyDescent="0.2">
      <c r="A1773" s="41" t="s">
        <v>1092</v>
      </c>
      <c r="B1773" s="40"/>
      <c r="C1773" s="40"/>
      <c r="D1773" s="40"/>
      <c r="E1773" s="40"/>
      <c r="F1773" s="40"/>
    </row>
    <row r="1774" spans="1:6" ht="12.75" x14ac:dyDescent="0.2">
      <c r="A1774" s="40"/>
      <c r="B1774" s="40"/>
      <c r="C1774" s="40"/>
      <c r="D1774" s="40"/>
      <c r="E1774" s="40"/>
      <c r="F1774" s="40"/>
    </row>
    <row r="1775" spans="1:6" ht="12.75" x14ac:dyDescent="0.2">
      <c r="A1775" s="41" t="s">
        <v>1093</v>
      </c>
      <c r="B1775" s="40"/>
      <c r="C1775" s="40"/>
      <c r="D1775" s="40"/>
      <c r="E1775" s="40"/>
      <c r="F1775" s="40"/>
    </row>
    <row r="1776" spans="1:6" ht="12.75" x14ac:dyDescent="0.2">
      <c r="A1776" s="40"/>
      <c r="B1776" s="41" t="s">
        <v>398</v>
      </c>
      <c r="C1776" s="40"/>
      <c r="D1776" s="40"/>
      <c r="E1776" s="40"/>
      <c r="F1776" s="40"/>
    </row>
    <row r="1777" spans="1:6" ht="12.75" x14ac:dyDescent="0.2">
      <c r="A1777" s="40"/>
      <c r="B1777" s="41" t="s">
        <v>399</v>
      </c>
      <c r="C1777" s="40"/>
      <c r="D1777" s="40"/>
      <c r="E1777" s="40"/>
      <c r="F1777" s="40"/>
    </row>
    <row r="1778" spans="1:6" ht="12.75" x14ac:dyDescent="0.2">
      <c r="A1778" s="40"/>
      <c r="B1778" s="41" t="s">
        <v>400</v>
      </c>
      <c r="C1778" s="41" t="s">
        <v>1093</v>
      </c>
      <c r="D1778" s="40"/>
      <c r="E1778" s="40"/>
      <c r="F1778" s="40"/>
    </row>
    <row r="1779" spans="1:6" ht="12.75" x14ac:dyDescent="0.2">
      <c r="A1779" s="40"/>
      <c r="B1779" s="41" t="s">
        <v>401</v>
      </c>
      <c r="C1779" s="40"/>
      <c r="D1779" s="40"/>
      <c r="E1779" s="40"/>
      <c r="F1779" s="40"/>
    </row>
    <row r="1780" spans="1:6" ht="12.75" x14ac:dyDescent="0.2">
      <c r="A1780" s="41" t="s">
        <v>1094</v>
      </c>
      <c r="B1780" s="41" t="s">
        <v>402</v>
      </c>
      <c r="C1780" s="41" t="s">
        <v>1095</v>
      </c>
      <c r="D1780" s="40"/>
      <c r="E1780" s="40"/>
      <c r="F1780" s="40"/>
    </row>
    <row r="1781" spans="1:6" ht="12.75" x14ac:dyDescent="0.2">
      <c r="A1781" s="41" t="s">
        <v>1096</v>
      </c>
      <c r="B1781" s="40"/>
      <c r="C1781" s="40"/>
      <c r="D1781" s="40"/>
      <c r="E1781" s="40"/>
      <c r="F1781" s="40"/>
    </row>
    <row r="1782" spans="1:6" ht="12.75" x14ac:dyDescent="0.2">
      <c r="A1782" s="41" t="s">
        <v>1097</v>
      </c>
      <c r="B1782" s="40"/>
      <c r="C1782" s="40"/>
      <c r="D1782" s="40"/>
      <c r="E1782" s="40"/>
      <c r="F1782" s="40"/>
    </row>
    <row r="1783" spans="1:6" ht="12.75" x14ac:dyDescent="0.2">
      <c r="A1783" s="41" t="s">
        <v>1098</v>
      </c>
      <c r="B1783" s="40"/>
      <c r="C1783" s="40"/>
      <c r="D1783" s="40"/>
      <c r="E1783" s="40"/>
      <c r="F1783" s="40"/>
    </row>
    <row r="1784" spans="1:6" ht="12.75" x14ac:dyDescent="0.2">
      <c r="A1784" s="41" t="s">
        <v>1099</v>
      </c>
      <c r="B1784" s="40"/>
      <c r="C1784" s="40"/>
      <c r="D1784" s="40"/>
      <c r="E1784" s="40"/>
      <c r="F1784" s="40"/>
    </row>
    <row r="1785" spans="1:6" ht="12.75" x14ac:dyDescent="0.2">
      <c r="A1785" s="41" t="s">
        <v>1100</v>
      </c>
      <c r="B1785" s="40"/>
      <c r="C1785" s="40"/>
      <c r="D1785" s="40"/>
      <c r="E1785" s="40"/>
      <c r="F1785" s="40"/>
    </row>
    <row r="1786" spans="1:6" ht="12.75" x14ac:dyDescent="0.2">
      <c r="A1786" s="41" t="s">
        <v>1101</v>
      </c>
      <c r="B1786" s="40"/>
      <c r="C1786" s="40"/>
      <c r="D1786" s="40"/>
      <c r="E1786" s="40"/>
      <c r="F1786" s="40"/>
    </row>
    <row r="1787" spans="1:6" ht="12.75" x14ac:dyDescent="0.2">
      <c r="A1787" s="41" t="s">
        <v>1102</v>
      </c>
      <c r="B1787" s="40"/>
      <c r="C1787" s="40"/>
      <c r="D1787" s="40"/>
      <c r="E1787" s="40"/>
      <c r="F1787" s="40"/>
    </row>
    <row r="1788" spans="1:6" ht="12.75" x14ac:dyDescent="0.2">
      <c r="A1788" s="41" t="s">
        <v>1103</v>
      </c>
      <c r="B1788" s="40"/>
      <c r="C1788" s="40"/>
      <c r="D1788" s="40"/>
      <c r="E1788" s="40"/>
      <c r="F1788" s="40"/>
    </row>
    <row r="1789" spans="1:6" ht="12.75" x14ac:dyDescent="0.2">
      <c r="A1789" s="41" t="s">
        <v>1104</v>
      </c>
      <c r="B1789" s="40"/>
      <c r="C1789" s="40"/>
      <c r="D1789" s="40"/>
      <c r="E1789" s="40"/>
      <c r="F1789" s="40"/>
    </row>
    <row r="1790" spans="1:6" ht="12.75" x14ac:dyDescent="0.2">
      <c r="A1790" s="40"/>
      <c r="B1790" s="40"/>
      <c r="C1790" s="40"/>
      <c r="D1790" s="40"/>
      <c r="E1790" s="40"/>
      <c r="F1790" s="40"/>
    </row>
    <row r="1791" spans="1:6" ht="12.75" x14ac:dyDescent="0.2">
      <c r="A1791" s="41" t="s">
        <v>1105</v>
      </c>
      <c r="B1791" s="40"/>
      <c r="C1791" s="40"/>
      <c r="D1791" s="40"/>
      <c r="E1791" s="40"/>
      <c r="F1791" s="40"/>
    </row>
    <row r="1792" spans="1:6" ht="12.75" x14ac:dyDescent="0.2">
      <c r="A1792" s="40"/>
      <c r="B1792" s="41" t="s">
        <v>398</v>
      </c>
      <c r="C1792" s="40"/>
      <c r="D1792" s="40"/>
      <c r="E1792" s="40"/>
      <c r="F1792" s="40"/>
    </row>
    <row r="1793" spans="1:6" ht="12.75" x14ac:dyDescent="0.2">
      <c r="A1793" s="40"/>
      <c r="B1793" s="41" t="s">
        <v>399</v>
      </c>
      <c r="C1793" s="40"/>
      <c r="D1793" s="40"/>
      <c r="E1793" s="40"/>
      <c r="F1793" s="40"/>
    </row>
    <row r="1794" spans="1:6" ht="12.75" x14ac:dyDescent="0.2">
      <c r="A1794" s="40"/>
      <c r="B1794" s="41" t="s">
        <v>400</v>
      </c>
      <c r="C1794" s="41" t="s">
        <v>1105</v>
      </c>
      <c r="D1794" s="40"/>
      <c r="E1794" s="40"/>
      <c r="F1794" s="40"/>
    </row>
    <row r="1795" spans="1:6" ht="12.75" x14ac:dyDescent="0.2">
      <c r="A1795" s="40"/>
      <c r="B1795" s="41" t="s">
        <v>401</v>
      </c>
      <c r="C1795" s="40"/>
      <c r="D1795" s="40"/>
      <c r="E1795" s="40"/>
      <c r="F1795" s="40"/>
    </row>
    <row r="1796" spans="1:6" ht="25.5" x14ac:dyDescent="0.2">
      <c r="A1796" s="41" t="s">
        <v>1106</v>
      </c>
      <c r="B1796" s="41" t="s">
        <v>402</v>
      </c>
      <c r="C1796" s="41" t="s">
        <v>1107</v>
      </c>
      <c r="D1796" s="40"/>
      <c r="E1796" s="40"/>
      <c r="F1796" s="40"/>
    </row>
    <row r="1797" spans="1:6" ht="12.75" x14ac:dyDescent="0.2">
      <c r="A1797" s="41" t="s">
        <v>1108</v>
      </c>
      <c r="B1797" s="40"/>
      <c r="C1797" s="40"/>
      <c r="D1797" s="40"/>
      <c r="E1797" s="40"/>
      <c r="F1797" s="40"/>
    </row>
    <row r="1798" spans="1:6" ht="12.75" x14ac:dyDescent="0.2">
      <c r="A1798" s="41" t="s">
        <v>1109</v>
      </c>
      <c r="B1798" s="40"/>
      <c r="C1798" s="40"/>
      <c r="D1798" s="40"/>
      <c r="E1798" s="40"/>
      <c r="F1798" s="40"/>
    </row>
    <row r="1799" spans="1:6" ht="12.75" x14ac:dyDescent="0.2">
      <c r="A1799" s="41" t="s">
        <v>1110</v>
      </c>
      <c r="B1799" s="40"/>
      <c r="C1799" s="40"/>
      <c r="D1799" s="40"/>
      <c r="E1799" s="40"/>
      <c r="F1799" s="40"/>
    </row>
    <row r="1800" spans="1:6" ht="12.75" x14ac:dyDescent="0.2">
      <c r="A1800" s="41" t="s">
        <v>1111</v>
      </c>
      <c r="B1800" s="40"/>
      <c r="C1800" s="40"/>
      <c r="D1800" s="40"/>
      <c r="E1800" s="40"/>
      <c r="F1800" s="40"/>
    </row>
    <row r="1801" spans="1:6" ht="12.75" x14ac:dyDescent="0.2">
      <c r="A1801" s="41" t="s">
        <v>1112</v>
      </c>
      <c r="B1801" s="40"/>
      <c r="C1801" s="40"/>
      <c r="D1801" s="40"/>
      <c r="E1801" s="40"/>
      <c r="F1801" s="40"/>
    </row>
    <row r="1802" spans="1:6" ht="12.75" x14ac:dyDescent="0.2">
      <c r="A1802" s="41" t="s">
        <v>1113</v>
      </c>
      <c r="B1802" s="40"/>
      <c r="C1802" s="40"/>
      <c r="D1802" s="40"/>
      <c r="E1802" s="40"/>
      <c r="F1802" s="40"/>
    </row>
    <row r="1803" spans="1:6" ht="12.75" x14ac:dyDescent="0.2">
      <c r="A1803" s="41" t="s">
        <v>1114</v>
      </c>
      <c r="B1803" s="40"/>
      <c r="C1803" s="40"/>
      <c r="D1803" s="40"/>
      <c r="E1803" s="40"/>
      <c r="F1803" s="40"/>
    </row>
    <row r="1804" spans="1:6" ht="12.75" x14ac:dyDescent="0.2">
      <c r="A1804" s="41" t="s">
        <v>1115</v>
      </c>
      <c r="B1804" s="40"/>
      <c r="C1804" s="40"/>
      <c r="D1804" s="40"/>
      <c r="E1804" s="40"/>
      <c r="F1804" s="40"/>
    </row>
    <row r="1805" spans="1:6" ht="12.75" x14ac:dyDescent="0.2">
      <c r="A1805" s="41" t="s">
        <v>1116</v>
      </c>
      <c r="B1805" s="40"/>
      <c r="C1805" s="40"/>
      <c r="D1805" s="40"/>
      <c r="E1805" s="40"/>
      <c r="F1805" s="40"/>
    </row>
    <row r="1806" spans="1:6" ht="12.75" x14ac:dyDescent="0.2">
      <c r="A1806" s="40"/>
      <c r="B1806" s="40"/>
      <c r="C1806" s="40"/>
      <c r="D1806" s="40"/>
      <c r="E1806" s="40"/>
      <c r="F1806" s="40"/>
    </row>
    <row r="1807" spans="1:6" ht="12.75" x14ac:dyDescent="0.2">
      <c r="A1807" s="41" t="s">
        <v>1117</v>
      </c>
      <c r="B1807" s="40"/>
      <c r="C1807" s="40"/>
      <c r="D1807" s="40"/>
      <c r="E1807" s="40"/>
      <c r="F1807" s="40"/>
    </row>
    <row r="1808" spans="1:6" ht="12.75" x14ac:dyDescent="0.2">
      <c r="A1808" s="40"/>
      <c r="B1808" s="41" t="s">
        <v>398</v>
      </c>
      <c r="C1808" s="40"/>
      <c r="D1808" s="40"/>
      <c r="E1808" s="40"/>
      <c r="F1808" s="40"/>
    </row>
    <row r="1809" spans="1:6" ht="12.75" x14ac:dyDescent="0.2">
      <c r="A1809" s="40"/>
      <c r="B1809" s="41" t="s">
        <v>399</v>
      </c>
      <c r="C1809" s="40"/>
      <c r="D1809" s="40"/>
      <c r="E1809" s="40"/>
      <c r="F1809" s="40"/>
    </row>
    <row r="1810" spans="1:6" ht="12.75" x14ac:dyDescent="0.2">
      <c r="A1810" s="40"/>
      <c r="B1810" s="41" t="s">
        <v>400</v>
      </c>
      <c r="C1810" s="41" t="s">
        <v>1117</v>
      </c>
      <c r="D1810" s="40"/>
      <c r="E1810" s="40"/>
      <c r="F1810" s="40"/>
    </row>
    <row r="1811" spans="1:6" ht="12.75" x14ac:dyDescent="0.2">
      <c r="A1811" s="40"/>
      <c r="B1811" s="41" t="s">
        <v>401</v>
      </c>
      <c r="C1811" s="40"/>
      <c r="D1811" s="40"/>
      <c r="E1811" s="40"/>
      <c r="F1811" s="40"/>
    </row>
    <row r="1812" spans="1:6" ht="25.5" x14ac:dyDescent="0.2">
      <c r="A1812" s="41" t="s">
        <v>1118</v>
      </c>
      <c r="B1812" s="41" t="s">
        <v>402</v>
      </c>
      <c r="C1812" s="41" t="s">
        <v>1119</v>
      </c>
      <c r="D1812" s="40"/>
      <c r="E1812" s="40"/>
      <c r="F1812" s="40"/>
    </row>
    <row r="1813" spans="1:6" ht="12.75" x14ac:dyDescent="0.2">
      <c r="A1813" s="41" t="s">
        <v>1120</v>
      </c>
      <c r="B1813" s="40"/>
      <c r="C1813" s="40"/>
      <c r="D1813" s="40"/>
      <c r="E1813" s="40"/>
      <c r="F1813" s="40"/>
    </row>
    <row r="1814" spans="1:6" ht="12.75" x14ac:dyDescent="0.2">
      <c r="A1814" s="41" t="s">
        <v>1121</v>
      </c>
      <c r="B1814" s="40"/>
      <c r="C1814" s="40"/>
      <c r="D1814" s="40"/>
      <c r="E1814" s="40"/>
      <c r="F1814" s="40"/>
    </row>
    <row r="1815" spans="1:6" ht="12.75" x14ac:dyDescent="0.2">
      <c r="A1815" s="41" t="s">
        <v>1122</v>
      </c>
      <c r="B1815" s="40"/>
      <c r="C1815" s="40"/>
      <c r="D1815" s="40"/>
      <c r="E1815" s="40"/>
      <c r="F1815" s="40"/>
    </row>
    <row r="1816" spans="1:6" ht="12.75" x14ac:dyDescent="0.2">
      <c r="A1816" s="41" t="s">
        <v>1123</v>
      </c>
      <c r="B1816" s="40"/>
      <c r="C1816" s="40"/>
      <c r="D1816" s="40"/>
      <c r="E1816" s="40"/>
      <c r="F1816" s="40"/>
    </row>
    <row r="1817" spans="1:6" ht="12.75" x14ac:dyDescent="0.2">
      <c r="A1817" s="41" t="s">
        <v>1124</v>
      </c>
      <c r="B1817" s="40"/>
      <c r="C1817" s="40"/>
      <c r="D1817" s="40"/>
      <c r="E1817" s="40"/>
      <c r="F1817" s="40"/>
    </row>
    <row r="1818" spans="1:6" ht="12.75" x14ac:dyDescent="0.2">
      <c r="A1818" s="41" t="s">
        <v>1125</v>
      </c>
      <c r="B1818" s="40"/>
      <c r="C1818" s="40"/>
      <c r="D1818" s="40"/>
      <c r="E1818" s="40"/>
      <c r="F1818" s="40"/>
    </row>
    <row r="1819" spans="1:6" ht="12.75" x14ac:dyDescent="0.2">
      <c r="A1819" s="41" t="s">
        <v>1126</v>
      </c>
      <c r="B1819" s="40"/>
      <c r="C1819" s="40"/>
      <c r="D1819" s="40"/>
      <c r="E1819" s="40"/>
      <c r="F1819" s="40"/>
    </row>
    <row r="1820" spans="1:6" ht="12.75" x14ac:dyDescent="0.2">
      <c r="A1820" s="41" t="s">
        <v>1127</v>
      </c>
      <c r="B1820" s="40"/>
      <c r="C1820" s="40"/>
      <c r="D1820" s="40"/>
      <c r="E1820" s="40"/>
      <c r="F1820" s="40"/>
    </row>
    <row r="1821" spans="1:6" ht="12.75" x14ac:dyDescent="0.2">
      <c r="A1821" s="41" t="s">
        <v>1128</v>
      </c>
      <c r="B1821" s="40"/>
      <c r="C1821" s="40"/>
      <c r="D1821" s="40"/>
      <c r="E1821" s="40"/>
      <c r="F1821" s="40"/>
    </row>
    <row r="1822" spans="1:6" ht="12.75" x14ac:dyDescent="0.2">
      <c r="A1822" s="40"/>
      <c r="B1822" s="40"/>
      <c r="C1822" s="40"/>
      <c r="D1822" s="40"/>
      <c r="E1822" s="40"/>
      <c r="F1822" s="40"/>
    </row>
    <row r="1823" spans="1:6" ht="12.75" x14ac:dyDescent="0.2">
      <c r="A1823" s="41" t="s">
        <v>1129</v>
      </c>
      <c r="B1823" s="40"/>
      <c r="C1823" s="40"/>
      <c r="D1823" s="40"/>
      <c r="E1823" s="40"/>
      <c r="F1823" s="40"/>
    </row>
    <row r="1824" spans="1:6" ht="12.75" x14ac:dyDescent="0.2">
      <c r="A1824" s="40"/>
      <c r="B1824" s="41" t="s">
        <v>398</v>
      </c>
      <c r="C1824" s="40"/>
      <c r="D1824" s="40"/>
      <c r="E1824" s="40"/>
      <c r="F1824" s="40"/>
    </row>
    <row r="1825" spans="1:6" ht="12.75" x14ac:dyDescent="0.2">
      <c r="A1825" s="40"/>
      <c r="B1825" s="41" t="s">
        <v>399</v>
      </c>
      <c r="C1825" s="40"/>
      <c r="D1825" s="40"/>
      <c r="E1825" s="40"/>
      <c r="F1825" s="40"/>
    </row>
    <row r="1826" spans="1:6" ht="12.75" x14ac:dyDescent="0.2">
      <c r="A1826" s="40"/>
      <c r="B1826" s="41" t="s">
        <v>400</v>
      </c>
      <c r="C1826" s="41" t="s">
        <v>1129</v>
      </c>
      <c r="D1826" s="40"/>
      <c r="E1826" s="40"/>
      <c r="F1826" s="40"/>
    </row>
    <row r="1827" spans="1:6" ht="12.75" x14ac:dyDescent="0.2">
      <c r="A1827" s="40"/>
      <c r="B1827" s="41" t="s">
        <v>401</v>
      </c>
      <c r="C1827" s="40"/>
      <c r="D1827" s="40"/>
      <c r="E1827" s="40"/>
      <c r="F1827" s="40"/>
    </row>
    <row r="1828" spans="1:6" ht="12.75" x14ac:dyDescent="0.2">
      <c r="A1828" s="41" t="s">
        <v>1130</v>
      </c>
      <c r="B1828" s="41" t="s">
        <v>402</v>
      </c>
      <c r="C1828" s="41" t="s">
        <v>1131</v>
      </c>
      <c r="D1828" s="40"/>
      <c r="E1828" s="40"/>
      <c r="F1828" s="40"/>
    </row>
    <row r="1829" spans="1:6" ht="12.75" x14ac:dyDescent="0.2">
      <c r="A1829" s="41" t="s">
        <v>1132</v>
      </c>
      <c r="B1829" s="40"/>
      <c r="C1829" s="40"/>
      <c r="D1829" s="40"/>
      <c r="E1829" s="40"/>
      <c r="F1829" s="40"/>
    </row>
    <row r="1830" spans="1:6" ht="12.75" x14ac:dyDescent="0.2">
      <c r="A1830" s="41" t="s">
        <v>1133</v>
      </c>
      <c r="B1830" s="40"/>
      <c r="C1830" s="40"/>
      <c r="D1830" s="40"/>
      <c r="E1830" s="40"/>
      <c r="F1830" s="40"/>
    </row>
    <row r="1831" spans="1:6" ht="12.75" x14ac:dyDescent="0.2">
      <c r="A1831" s="41" t="s">
        <v>1134</v>
      </c>
      <c r="B1831" s="40"/>
      <c r="C1831" s="40"/>
      <c r="D1831" s="40"/>
      <c r="E1831" s="40"/>
      <c r="F1831" s="40"/>
    </row>
    <row r="1832" spans="1:6" ht="12.75" x14ac:dyDescent="0.2">
      <c r="A1832" s="41" t="s">
        <v>1135</v>
      </c>
      <c r="B1832" s="40"/>
      <c r="C1832" s="40"/>
      <c r="D1832" s="40"/>
      <c r="E1832" s="40"/>
      <c r="F1832" s="40"/>
    </row>
    <row r="1833" spans="1:6" ht="12.75" x14ac:dyDescent="0.2">
      <c r="A1833" s="41" t="s">
        <v>1136</v>
      </c>
      <c r="B1833" s="40"/>
      <c r="C1833" s="40"/>
      <c r="D1833" s="40"/>
      <c r="E1833" s="40"/>
      <c r="F1833" s="40"/>
    </row>
    <row r="1834" spans="1:6" ht="12.75" x14ac:dyDescent="0.2">
      <c r="A1834" s="41" t="s">
        <v>1137</v>
      </c>
      <c r="B1834" s="40"/>
      <c r="C1834" s="40"/>
      <c r="D1834" s="40"/>
      <c r="E1834" s="40"/>
      <c r="F1834" s="40"/>
    </row>
    <row r="1835" spans="1:6" ht="12.75" x14ac:dyDescent="0.2">
      <c r="A1835" s="41" t="s">
        <v>1138</v>
      </c>
      <c r="B1835" s="40"/>
      <c r="C1835" s="40"/>
      <c r="D1835" s="40"/>
      <c r="E1835" s="40"/>
      <c r="F1835" s="40"/>
    </row>
    <row r="1836" spans="1:6" ht="12.75" x14ac:dyDescent="0.2">
      <c r="A1836" s="41" t="s">
        <v>1139</v>
      </c>
      <c r="B1836" s="40"/>
      <c r="C1836" s="40"/>
      <c r="D1836" s="40"/>
      <c r="E1836" s="40"/>
      <c r="F1836" s="40"/>
    </row>
    <row r="1837" spans="1:6" ht="12.75" x14ac:dyDescent="0.2">
      <c r="A1837" s="41" t="s">
        <v>1140</v>
      </c>
      <c r="B1837" s="40"/>
      <c r="C1837" s="40"/>
      <c r="D1837" s="40"/>
      <c r="E1837" s="40"/>
      <c r="F1837" s="40"/>
    </row>
    <row r="1838" spans="1:6" ht="12.75" x14ac:dyDescent="0.2">
      <c r="A1838" s="40"/>
      <c r="B1838" s="40"/>
      <c r="C1838" s="40"/>
      <c r="D1838" s="40"/>
      <c r="E1838" s="40"/>
      <c r="F1838" s="40"/>
    </row>
    <row r="1839" spans="1:6" ht="12.75" x14ac:dyDescent="0.2">
      <c r="A1839" s="41" t="s">
        <v>1141</v>
      </c>
      <c r="B1839" s="40"/>
      <c r="C1839" s="40"/>
      <c r="D1839" s="40"/>
      <c r="E1839" s="40"/>
      <c r="F1839" s="40"/>
    </row>
    <row r="1840" spans="1:6" ht="12.75" x14ac:dyDescent="0.2">
      <c r="A1840" s="40"/>
      <c r="B1840" s="41" t="s">
        <v>398</v>
      </c>
      <c r="C1840" s="40"/>
      <c r="D1840" s="40"/>
      <c r="E1840" s="40"/>
      <c r="F1840" s="40"/>
    </row>
    <row r="1841" spans="1:6" ht="12.75" x14ac:dyDescent="0.2">
      <c r="A1841" s="40"/>
      <c r="B1841" s="41" t="s">
        <v>399</v>
      </c>
      <c r="C1841" s="40"/>
      <c r="D1841" s="40"/>
      <c r="E1841" s="40"/>
      <c r="F1841" s="40"/>
    </row>
    <row r="1842" spans="1:6" ht="12.75" x14ac:dyDescent="0.2">
      <c r="A1842" s="40"/>
      <c r="B1842" s="41" t="s">
        <v>400</v>
      </c>
      <c r="C1842" s="41" t="s">
        <v>1141</v>
      </c>
      <c r="D1842" s="40"/>
      <c r="E1842" s="40"/>
      <c r="F1842" s="40"/>
    </row>
    <row r="1843" spans="1:6" ht="12.75" x14ac:dyDescent="0.2">
      <c r="A1843" s="40"/>
      <c r="B1843" s="41" t="s">
        <v>401</v>
      </c>
      <c r="C1843" s="40"/>
      <c r="D1843" s="40"/>
      <c r="E1843" s="40"/>
      <c r="F1843" s="40"/>
    </row>
    <row r="1844" spans="1:6" ht="12.75" x14ac:dyDescent="0.2">
      <c r="A1844" s="41" t="s">
        <v>1142</v>
      </c>
      <c r="B1844" s="41" t="s">
        <v>402</v>
      </c>
      <c r="C1844" s="41" t="s">
        <v>1143</v>
      </c>
      <c r="D1844" s="40"/>
      <c r="E1844" s="40"/>
      <c r="F1844" s="40"/>
    </row>
    <row r="1845" spans="1:6" ht="12.75" x14ac:dyDescent="0.2">
      <c r="A1845" s="41" t="s">
        <v>1144</v>
      </c>
      <c r="B1845" s="40"/>
      <c r="C1845" s="40"/>
      <c r="D1845" s="40"/>
      <c r="E1845" s="40"/>
      <c r="F1845" s="40"/>
    </row>
    <row r="1846" spans="1:6" ht="12.75" x14ac:dyDescent="0.2">
      <c r="A1846" s="41" t="s">
        <v>1145</v>
      </c>
      <c r="B1846" s="40"/>
      <c r="C1846" s="40"/>
      <c r="D1846" s="40"/>
      <c r="E1846" s="40"/>
      <c r="F1846" s="40"/>
    </row>
    <row r="1847" spans="1:6" ht="12.75" x14ac:dyDescent="0.2">
      <c r="A1847" s="41" t="s">
        <v>1146</v>
      </c>
      <c r="B1847" s="40"/>
      <c r="C1847" s="40"/>
      <c r="D1847" s="40"/>
      <c r="E1847" s="40"/>
      <c r="F1847" s="40"/>
    </row>
    <row r="1848" spans="1:6" ht="12.75" x14ac:dyDescent="0.2">
      <c r="A1848" s="41" t="s">
        <v>1147</v>
      </c>
      <c r="B1848" s="40"/>
      <c r="C1848" s="40"/>
      <c r="D1848" s="40"/>
      <c r="E1848" s="40"/>
      <c r="F1848" s="40"/>
    </row>
    <row r="1849" spans="1:6" ht="12.75" x14ac:dyDescent="0.2">
      <c r="A1849" s="41" t="s">
        <v>1148</v>
      </c>
      <c r="B1849" s="40"/>
      <c r="C1849" s="40"/>
      <c r="D1849" s="40"/>
      <c r="E1849" s="40"/>
      <c r="F1849" s="40"/>
    </row>
    <row r="1850" spans="1:6" ht="12.75" x14ac:dyDescent="0.2">
      <c r="A1850" s="41" t="s">
        <v>1149</v>
      </c>
      <c r="B1850" s="40"/>
      <c r="C1850" s="40"/>
      <c r="D1850" s="40"/>
      <c r="E1850" s="40"/>
      <c r="F1850" s="40"/>
    </row>
    <row r="1851" spans="1:6" ht="12.75" x14ac:dyDescent="0.2">
      <c r="A1851" s="41" t="s">
        <v>1150</v>
      </c>
      <c r="B1851" s="40"/>
      <c r="C1851" s="40"/>
      <c r="D1851" s="40"/>
      <c r="E1851" s="40"/>
      <c r="F1851" s="40"/>
    </row>
    <row r="1852" spans="1:6" ht="12.75" x14ac:dyDescent="0.2">
      <c r="A1852" s="40"/>
      <c r="B1852" s="40"/>
      <c r="C1852" s="40"/>
      <c r="D1852" s="40"/>
      <c r="E1852" s="40"/>
      <c r="F1852" s="40"/>
    </row>
    <row r="1853" spans="1:6" ht="12.75" x14ac:dyDescent="0.2">
      <c r="A1853" s="41" t="s">
        <v>1151</v>
      </c>
      <c r="B1853" s="40"/>
      <c r="C1853" s="40"/>
      <c r="D1853" s="40"/>
      <c r="E1853" s="40"/>
      <c r="F1853" s="40"/>
    </row>
    <row r="1854" spans="1:6" ht="12.75" x14ac:dyDescent="0.2">
      <c r="A1854" s="40"/>
      <c r="B1854" s="41" t="s">
        <v>398</v>
      </c>
      <c r="C1854" s="40"/>
      <c r="D1854" s="40"/>
      <c r="E1854" s="40"/>
      <c r="F1854" s="40"/>
    </row>
    <row r="1855" spans="1:6" ht="12.75" x14ac:dyDescent="0.2">
      <c r="A1855" s="40"/>
      <c r="B1855" s="41" t="s">
        <v>399</v>
      </c>
      <c r="C1855" s="40"/>
      <c r="D1855" s="40"/>
      <c r="E1855" s="40"/>
      <c r="F1855" s="40"/>
    </row>
    <row r="1856" spans="1:6" ht="12.75" x14ac:dyDescent="0.2">
      <c r="A1856" s="40"/>
      <c r="B1856" s="41" t="s">
        <v>400</v>
      </c>
      <c r="C1856" s="41" t="s">
        <v>1151</v>
      </c>
      <c r="D1856" s="40"/>
      <c r="E1856" s="40"/>
      <c r="F1856" s="40"/>
    </row>
    <row r="1857" spans="1:6" ht="12.75" x14ac:dyDescent="0.2">
      <c r="A1857" s="40"/>
      <c r="B1857" s="41" t="s">
        <v>401</v>
      </c>
      <c r="C1857" s="40"/>
      <c r="D1857" s="40"/>
      <c r="E1857" s="40"/>
      <c r="F1857" s="40"/>
    </row>
    <row r="1858" spans="1:6" ht="12.75" x14ac:dyDescent="0.2">
      <c r="A1858" s="41" t="s">
        <v>1152</v>
      </c>
      <c r="B1858" s="41" t="s">
        <v>402</v>
      </c>
      <c r="C1858" s="41" t="s">
        <v>1153</v>
      </c>
      <c r="D1858" s="40"/>
      <c r="E1858" s="40"/>
      <c r="F1858" s="40"/>
    </row>
    <row r="1859" spans="1:6" ht="12.75" x14ac:dyDescent="0.2">
      <c r="A1859" s="41" t="s">
        <v>1154</v>
      </c>
      <c r="B1859" s="40"/>
      <c r="C1859" s="40"/>
      <c r="D1859" s="40"/>
      <c r="E1859" s="40"/>
      <c r="F1859" s="40"/>
    </row>
    <row r="1860" spans="1:6" ht="12.75" x14ac:dyDescent="0.2">
      <c r="A1860" s="41" t="s">
        <v>1155</v>
      </c>
      <c r="B1860" s="40"/>
      <c r="C1860" s="40"/>
      <c r="D1860" s="40"/>
      <c r="E1860" s="40"/>
      <c r="F1860" s="40"/>
    </row>
    <row r="1861" spans="1:6" ht="12.75" x14ac:dyDescent="0.2">
      <c r="A1861" s="41" t="s">
        <v>1156</v>
      </c>
      <c r="B1861" s="40"/>
      <c r="C1861" s="40"/>
      <c r="D1861" s="40"/>
      <c r="E1861" s="40"/>
      <c r="F1861" s="40"/>
    </row>
    <row r="1862" spans="1:6" ht="12.75" x14ac:dyDescent="0.2">
      <c r="A1862" s="41" t="s">
        <v>1157</v>
      </c>
      <c r="B1862" s="40"/>
      <c r="C1862" s="40"/>
      <c r="D1862" s="40"/>
      <c r="E1862" s="40"/>
      <c r="F1862" s="40"/>
    </row>
    <row r="1863" spans="1:6" ht="12.75" x14ac:dyDescent="0.2">
      <c r="A1863" s="41" t="s">
        <v>1158</v>
      </c>
      <c r="B1863" s="40"/>
      <c r="C1863" s="40"/>
      <c r="D1863" s="40"/>
      <c r="E1863" s="40"/>
      <c r="F1863" s="40"/>
    </row>
    <row r="1864" spans="1:6" ht="12.75" x14ac:dyDescent="0.2">
      <c r="A1864" s="41" t="s">
        <v>1159</v>
      </c>
      <c r="B1864" s="40"/>
      <c r="C1864" s="40"/>
      <c r="D1864" s="40"/>
      <c r="E1864" s="40"/>
      <c r="F1864" s="40"/>
    </row>
    <row r="1865" spans="1:6" ht="12.75" x14ac:dyDescent="0.2">
      <c r="A1865" s="41" t="s">
        <v>1160</v>
      </c>
      <c r="B1865" s="40"/>
      <c r="C1865" s="40"/>
      <c r="D1865" s="40"/>
      <c r="E1865" s="40"/>
      <c r="F1865" s="40"/>
    </row>
    <row r="1866" spans="1:6" ht="12.75" x14ac:dyDescent="0.2">
      <c r="A1866" s="40"/>
      <c r="B1866" s="40"/>
      <c r="C1866" s="40"/>
      <c r="D1866" s="40"/>
      <c r="E1866" s="40"/>
      <c r="F1866" s="40"/>
    </row>
    <row r="1867" spans="1:6" ht="12.75" x14ac:dyDescent="0.2">
      <c r="A1867" s="41" t="s">
        <v>1161</v>
      </c>
      <c r="B1867" s="40"/>
      <c r="C1867" s="40"/>
      <c r="D1867" s="40"/>
      <c r="E1867" s="40"/>
      <c r="F1867" s="40"/>
    </row>
    <row r="1868" spans="1:6" ht="12.75" x14ac:dyDescent="0.2">
      <c r="A1868" s="40"/>
      <c r="B1868" s="41" t="s">
        <v>398</v>
      </c>
      <c r="C1868" s="40"/>
      <c r="D1868" s="40"/>
      <c r="E1868" s="40"/>
      <c r="F1868" s="40"/>
    </row>
    <row r="1869" spans="1:6" ht="12.75" x14ac:dyDescent="0.2">
      <c r="A1869" s="40"/>
      <c r="B1869" s="41" t="s">
        <v>399</v>
      </c>
      <c r="C1869" s="40"/>
      <c r="D1869" s="40"/>
      <c r="E1869" s="40"/>
      <c r="F1869" s="40"/>
    </row>
    <row r="1870" spans="1:6" ht="12.75" x14ac:dyDescent="0.2">
      <c r="A1870" s="40"/>
      <c r="B1870" s="41" t="s">
        <v>400</v>
      </c>
      <c r="C1870" s="41" t="s">
        <v>1161</v>
      </c>
      <c r="D1870" s="40"/>
      <c r="E1870" s="40"/>
      <c r="F1870" s="40"/>
    </row>
    <row r="1871" spans="1:6" ht="12.75" x14ac:dyDescent="0.2">
      <c r="A1871" s="40"/>
      <c r="B1871" s="41" t="s">
        <v>401</v>
      </c>
      <c r="C1871" s="40"/>
      <c r="D1871" s="40"/>
      <c r="E1871" s="40"/>
      <c r="F1871" s="40"/>
    </row>
    <row r="1872" spans="1:6" ht="12.75" x14ac:dyDescent="0.2">
      <c r="A1872" s="41" t="s">
        <v>124</v>
      </c>
      <c r="B1872" s="41" t="s">
        <v>402</v>
      </c>
      <c r="C1872" s="41" t="s">
        <v>1162</v>
      </c>
      <c r="D1872" s="40"/>
      <c r="E1872" s="40"/>
      <c r="F1872" s="40"/>
    </row>
    <row r="1873" spans="1:6" ht="12.75" x14ac:dyDescent="0.2">
      <c r="A1873" s="41" t="s">
        <v>1163</v>
      </c>
      <c r="B1873" s="40"/>
      <c r="C1873" s="40"/>
      <c r="D1873" s="40"/>
      <c r="E1873" s="40"/>
      <c r="F1873" s="40"/>
    </row>
    <row r="1874" spans="1:6" ht="12.75" x14ac:dyDescent="0.2">
      <c r="A1874" s="41" t="s">
        <v>1164</v>
      </c>
      <c r="B1874" s="40"/>
      <c r="C1874" s="40"/>
      <c r="D1874" s="40"/>
      <c r="E1874" s="40"/>
      <c r="F1874" s="40"/>
    </row>
    <row r="1875" spans="1:6" ht="12.75" x14ac:dyDescent="0.2">
      <c r="A1875" s="41" t="s">
        <v>1165</v>
      </c>
      <c r="B1875" s="40"/>
      <c r="C1875" s="40"/>
      <c r="D1875" s="40"/>
      <c r="E1875" s="40"/>
      <c r="F1875" s="40"/>
    </row>
    <row r="1876" spans="1:6" ht="12.75" x14ac:dyDescent="0.2">
      <c r="A1876" s="41" t="s">
        <v>1166</v>
      </c>
      <c r="B1876" s="40"/>
      <c r="C1876" s="40"/>
      <c r="D1876" s="40"/>
      <c r="E1876" s="40"/>
      <c r="F1876" s="40"/>
    </row>
    <row r="1877" spans="1:6" ht="12.75" x14ac:dyDescent="0.2">
      <c r="A1877" s="41" t="s">
        <v>1167</v>
      </c>
      <c r="B1877" s="40"/>
      <c r="C1877" s="40"/>
      <c r="D1877" s="40"/>
      <c r="E1877" s="40"/>
      <c r="F1877" s="40"/>
    </row>
    <row r="1878" spans="1:6" ht="12.75" x14ac:dyDescent="0.2">
      <c r="A1878" s="41" t="s">
        <v>1168</v>
      </c>
      <c r="B1878" s="40"/>
      <c r="C1878" s="40"/>
      <c r="D1878" s="40"/>
      <c r="E1878" s="40"/>
      <c r="F1878" s="40"/>
    </row>
    <row r="1879" spans="1:6" ht="12.75" x14ac:dyDescent="0.2">
      <c r="A1879" s="41" t="s">
        <v>1169</v>
      </c>
      <c r="B1879" s="40"/>
      <c r="C1879" s="40"/>
      <c r="D1879" s="40"/>
      <c r="E1879" s="40"/>
      <c r="F1879" s="40"/>
    </row>
    <row r="1880" spans="1:6" ht="12.75" x14ac:dyDescent="0.2">
      <c r="A1880" s="41" t="s">
        <v>1170</v>
      </c>
      <c r="B1880" s="40"/>
      <c r="C1880" s="40"/>
      <c r="D1880" s="40"/>
      <c r="E1880" s="40"/>
      <c r="F1880" s="40"/>
    </row>
    <row r="1881" spans="1:6" ht="12.75" x14ac:dyDescent="0.2">
      <c r="A1881" s="40"/>
      <c r="B1881" s="40"/>
      <c r="C1881" s="40"/>
      <c r="D1881" s="40"/>
      <c r="E1881" s="40"/>
      <c r="F1881" s="40"/>
    </row>
    <row r="1882" spans="1:6" ht="12.75" x14ac:dyDescent="0.2">
      <c r="A1882" s="41" t="s">
        <v>1171</v>
      </c>
      <c r="B1882" s="40"/>
      <c r="C1882" s="40"/>
      <c r="D1882" s="40"/>
      <c r="E1882" s="40"/>
      <c r="F1882" s="40"/>
    </row>
    <row r="1883" spans="1:6" ht="12.75" x14ac:dyDescent="0.2">
      <c r="A1883" s="40"/>
      <c r="B1883" s="41" t="s">
        <v>398</v>
      </c>
      <c r="C1883" s="40"/>
      <c r="D1883" s="40"/>
      <c r="E1883" s="40"/>
      <c r="F1883" s="40"/>
    </row>
    <row r="1884" spans="1:6" ht="12.75" x14ac:dyDescent="0.2">
      <c r="A1884" s="40"/>
      <c r="B1884" s="41" t="s">
        <v>399</v>
      </c>
      <c r="C1884" s="40"/>
      <c r="D1884" s="40"/>
      <c r="E1884" s="40"/>
      <c r="F1884" s="40"/>
    </row>
    <row r="1885" spans="1:6" ht="12.75" x14ac:dyDescent="0.2">
      <c r="A1885" s="40"/>
      <c r="B1885" s="41" t="s">
        <v>400</v>
      </c>
      <c r="C1885" s="41" t="s">
        <v>1171</v>
      </c>
      <c r="D1885" s="40"/>
      <c r="E1885" s="40"/>
      <c r="F1885" s="40"/>
    </row>
    <row r="1886" spans="1:6" ht="12.75" x14ac:dyDescent="0.2">
      <c r="A1886" s="40"/>
      <c r="B1886" s="41" t="s">
        <v>401</v>
      </c>
      <c r="C1886" s="40"/>
      <c r="D1886" s="40"/>
      <c r="E1886" s="40"/>
      <c r="F1886" s="40"/>
    </row>
    <row r="1887" spans="1:6" ht="12.75" x14ac:dyDescent="0.2">
      <c r="A1887" s="41" t="s">
        <v>1172</v>
      </c>
      <c r="B1887" s="41" t="s">
        <v>402</v>
      </c>
      <c r="C1887" s="41" t="s">
        <v>1173</v>
      </c>
      <c r="D1887" s="40"/>
      <c r="E1887" s="40"/>
      <c r="F1887" s="40"/>
    </row>
    <row r="1888" spans="1:6" ht="12.75" x14ac:dyDescent="0.2">
      <c r="A1888" s="41" t="s">
        <v>1174</v>
      </c>
      <c r="B1888" s="40"/>
      <c r="C1888" s="40"/>
      <c r="D1888" s="40"/>
      <c r="E1888" s="40"/>
      <c r="F1888" s="40"/>
    </row>
    <row r="1889" spans="1:6" ht="12.75" x14ac:dyDescent="0.2">
      <c r="A1889" s="41" t="s">
        <v>1175</v>
      </c>
      <c r="B1889" s="40"/>
      <c r="C1889" s="40"/>
      <c r="D1889" s="40"/>
      <c r="E1889" s="40"/>
      <c r="F1889" s="40"/>
    </row>
    <row r="1890" spans="1:6" ht="12.75" x14ac:dyDescent="0.2">
      <c r="A1890" s="41" t="s">
        <v>1176</v>
      </c>
      <c r="B1890" s="40"/>
      <c r="C1890" s="40"/>
      <c r="D1890" s="40"/>
      <c r="E1890" s="40"/>
      <c r="F1890" s="40"/>
    </row>
    <row r="1891" spans="1:6" ht="12.75" x14ac:dyDescent="0.2">
      <c r="A1891" s="41" t="s">
        <v>1177</v>
      </c>
      <c r="B1891" s="40"/>
      <c r="C1891" s="40"/>
      <c r="D1891" s="40"/>
      <c r="E1891" s="40"/>
      <c r="F1891" s="40"/>
    </row>
    <row r="1892" spans="1:6" ht="12.75" x14ac:dyDescent="0.2">
      <c r="A1892" s="41" t="s">
        <v>1178</v>
      </c>
      <c r="B1892" s="40"/>
      <c r="C1892" s="40"/>
      <c r="D1892" s="40"/>
      <c r="E1892" s="40"/>
      <c r="F1892" s="40"/>
    </row>
    <row r="1893" spans="1:6" ht="12.75" x14ac:dyDescent="0.2">
      <c r="A1893" s="41" t="s">
        <v>1179</v>
      </c>
      <c r="B1893" s="40"/>
      <c r="C1893" s="40"/>
      <c r="D1893" s="40"/>
      <c r="E1893" s="40"/>
      <c r="F1893" s="40"/>
    </row>
    <row r="1894" spans="1:6" ht="12.75" x14ac:dyDescent="0.2">
      <c r="A1894" s="41" t="s">
        <v>1180</v>
      </c>
      <c r="B1894" s="40"/>
      <c r="C1894" s="40"/>
      <c r="D1894" s="40"/>
      <c r="E1894" s="40"/>
      <c r="F1894" s="40"/>
    </row>
    <row r="1895" spans="1:6" ht="12.75" x14ac:dyDescent="0.2">
      <c r="A1895" s="41" t="s">
        <v>1181</v>
      </c>
      <c r="B1895" s="40"/>
      <c r="C1895" s="40"/>
      <c r="D1895" s="40"/>
      <c r="E1895" s="40"/>
      <c r="F1895" s="40"/>
    </row>
    <row r="1896" spans="1:6" ht="12.75" x14ac:dyDescent="0.2">
      <c r="A1896" s="41" t="s">
        <v>1182</v>
      </c>
      <c r="B1896" s="40"/>
      <c r="C1896" s="40"/>
      <c r="D1896" s="40"/>
      <c r="E1896" s="40"/>
      <c r="F1896" s="40"/>
    </row>
    <row r="1897" spans="1:6" ht="12.75" x14ac:dyDescent="0.2">
      <c r="A1897" s="40"/>
      <c r="B1897" s="40"/>
      <c r="C1897" s="40"/>
      <c r="D1897" s="40"/>
      <c r="E1897" s="40"/>
      <c r="F1897" s="40"/>
    </row>
    <row r="1898" spans="1:6" ht="12.75" x14ac:dyDescent="0.2">
      <c r="A1898" s="41" t="s">
        <v>1183</v>
      </c>
      <c r="B1898" s="40"/>
      <c r="C1898" s="40"/>
      <c r="D1898" s="40"/>
      <c r="E1898" s="40"/>
      <c r="F1898" s="40"/>
    </row>
    <row r="1899" spans="1:6" ht="12.75" x14ac:dyDescent="0.2">
      <c r="A1899" s="40"/>
      <c r="B1899" s="41" t="s">
        <v>398</v>
      </c>
      <c r="C1899" s="40"/>
      <c r="D1899" s="40"/>
      <c r="E1899" s="40"/>
      <c r="F1899" s="40"/>
    </row>
    <row r="1900" spans="1:6" ht="12.75" x14ac:dyDescent="0.2">
      <c r="A1900" s="40"/>
      <c r="B1900" s="41" t="s">
        <v>399</v>
      </c>
      <c r="C1900" s="40"/>
      <c r="D1900" s="40"/>
      <c r="E1900" s="40"/>
      <c r="F1900" s="40"/>
    </row>
    <row r="1901" spans="1:6" ht="12.75" x14ac:dyDescent="0.2">
      <c r="A1901" s="40"/>
      <c r="B1901" s="41" t="s">
        <v>400</v>
      </c>
      <c r="C1901" s="41" t="s">
        <v>1183</v>
      </c>
      <c r="D1901" s="40"/>
      <c r="E1901" s="40"/>
      <c r="F1901" s="40"/>
    </row>
    <row r="1902" spans="1:6" ht="12.75" x14ac:dyDescent="0.2">
      <c r="A1902" s="40"/>
      <c r="B1902" s="41" t="s">
        <v>401</v>
      </c>
      <c r="C1902" s="40"/>
      <c r="D1902" s="40"/>
      <c r="E1902" s="40"/>
      <c r="F1902" s="40"/>
    </row>
    <row r="1903" spans="1:6" ht="12.75" x14ac:dyDescent="0.2">
      <c r="A1903" s="41" t="s">
        <v>1184</v>
      </c>
      <c r="B1903" s="41" t="s">
        <v>402</v>
      </c>
      <c r="C1903" s="41" t="s">
        <v>1185</v>
      </c>
      <c r="D1903" s="40"/>
      <c r="E1903" s="40"/>
      <c r="F1903" s="40"/>
    </row>
    <row r="1904" spans="1:6" ht="12.75" x14ac:dyDescent="0.2">
      <c r="A1904" s="41" t="s">
        <v>1186</v>
      </c>
      <c r="B1904" s="40"/>
      <c r="C1904" s="40"/>
      <c r="D1904" s="40"/>
      <c r="E1904" s="40"/>
      <c r="F1904" s="40"/>
    </row>
    <row r="1905" spans="1:6" ht="12.75" x14ac:dyDescent="0.2">
      <c r="A1905" s="41" t="s">
        <v>1187</v>
      </c>
      <c r="B1905" s="40"/>
      <c r="C1905" s="40"/>
      <c r="D1905" s="40"/>
      <c r="E1905" s="40"/>
      <c r="F1905" s="40"/>
    </row>
    <row r="1906" spans="1:6" ht="12.75" x14ac:dyDescent="0.2">
      <c r="A1906" s="41" t="s">
        <v>1188</v>
      </c>
      <c r="B1906" s="40"/>
      <c r="C1906" s="40"/>
      <c r="D1906" s="40"/>
      <c r="E1906" s="40"/>
      <c r="F1906" s="40"/>
    </row>
    <row r="1907" spans="1:6" ht="12.75" x14ac:dyDescent="0.2">
      <c r="A1907" s="41" t="s">
        <v>1189</v>
      </c>
      <c r="B1907" s="40"/>
      <c r="C1907" s="40"/>
      <c r="D1907" s="40"/>
      <c r="E1907" s="40"/>
      <c r="F1907" s="40"/>
    </row>
    <row r="1908" spans="1:6" ht="12.75" x14ac:dyDescent="0.2">
      <c r="A1908" s="41" t="s">
        <v>1190</v>
      </c>
      <c r="B1908" s="40"/>
      <c r="C1908" s="40"/>
      <c r="D1908" s="40"/>
      <c r="E1908" s="40"/>
      <c r="F1908" s="40"/>
    </row>
    <row r="1909" spans="1:6" ht="12.75" x14ac:dyDescent="0.2">
      <c r="A1909" s="41" t="s">
        <v>1191</v>
      </c>
      <c r="B1909" s="40"/>
      <c r="C1909" s="40"/>
      <c r="D1909" s="40"/>
      <c r="E1909" s="40"/>
      <c r="F1909" s="40"/>
    </row>
    <row r="1910" spans="1:6" ht="12.75" x14ac:dyDescent="0.2">
      <c r="A1910" s="41" t="s">
        <v>1192</v>
      </c>
      <c r="B1910" s="40"/>
      <c r="C1910" s="40"/>
      <c r="D1910" s="40"/>
      <c r="E1910" s="40"/>
      <c r="F1910" s="40"/>
    </row>
    <row r="1911" spans="1:6" ht="12.75" x14ac:dyDescent="0.2">
      <c r="A1911" s="41" t="s">
        <v>1193</v>
      </c>
      <c r="B1911" s="40"/>
      <c r="C1911" s="40"/>
      <c r="D1911" s="40"/>
      <c r="E1911" s="40"/>
      <c r="F1911" s="40"/>
    </row>
    <row r="1912" spans="1:6" ht="12.75" x14ac:dyDescent="0.2">
      <c r="A1912" s="41" t="s">
        <v>1194</v>
      </c>
      <c r="B1912" s="40"/>
      <c r="C1912" s="40"/>
      <c r="D1912" s="40"/>
      <c r="E1912" s="40"/>
      <c r="F1912" s="40"/>
    </row>
    <row r="1913" spans="1:6" ht="12.75" x14ac:dyDescent="0.2">
      <c r="A1913" s="40"/>
      <c r="B1913" s="40"/>
      <c r="C1913" s="40"/>
      <c r="D1913" s="40"/>
      <c r="E1913" s="40"/>
      <c r="F1913" s="40"/>
    </row>
    <row r="1914" spans="1:6" ht="12.75" x14ac:dyDescent="0.2">
      <c r="A1914" s="41" t="s">
        <v>1195</v>
      </c>
      <c r="B1914" s="40"/>
      <c r="C1914" s="40"/>
      <c r="D1914" s="40"/>
      <c r="E1914" s="40"/>
      <c r="F1914" s="40"/>
    </row>
    <row r="1915" spans="1:6" ht="12.75" x14ac:dyDescent="0.2">
      <c r="A1915" s="40"/>
      <c r="B1915" s="41" t="s">
        <v>398</v>
      </c>
      <c r="C1915" s="40"/>
      <c r="D1915" s="40"/>
      <c r="E1915" s="40"/>
      <c r="F1915" s="40"/>
    </row>
    <row r="1916" spans="1:6" ht="12.75" x14ac:dyDescent="0.2">
      <c r="A1916" s="40"/>
      <c r="B1916" s="41" t="s">
        <v>399</v>
      </c>
      <c r="C1916" s="40"/>
      <c r="D1916" s="40"/>
      <c r="E1916" s="40"/>
      <c r="F1916" s="40"/>
    </row>
    <row r="1917" spans="1:6" ht="12.75" x14ac:dyDescent="0.2">
      <c r="A1917" s="40"/>
      <c r="B1917" s="41" t="s">
        <v>400</v>
      </c>
      <c r="C1917" s="41" t="s">
        <v>1195</v>
      </c>
      <c r="D1917" s="40"/>
      <c r="E1917" s="40"/>
      <c r="F1917" s="40"/>
    </row>
    <row r="1918" spans="1:6" ht="12.75" x14ac:dyDescent="0.2">
      <c r="A1918" s="40"/>
      <c r="B1918" s="41" t="s">
        <v>401</v>
      </c>
      <c r="C1918" s="40"/>
      <c r="D1918" s="40"/>
      <c r="E1918" s="40"/>
      <c r="F1918" s="40"/>
    </row>
    <row r="1919" spans="1:6" ht="25.5" x14ac:dyDescent="0.2">
      <c r="A1919" s="41" t="s">
        <v>1196</v>
      </c>
      <c r="B1919" s="41" t="s">
        <v>402</v>
      </c>
      <c r="C1919" s="41" t="s">
        <v>1197</v>
      </c>
      <c r="D1919" s="40"/>
      <c r="E1919" s="40"/>
      <c r="F1919" s="40"/>
    </row>
    <row r="1920" spans="1:6" ht="12.75" x14ac:dyDescent="0.2">
      <c r="A1920" s="41" t="s">
        <v>1198</v>
      </c>
      <c r="B1920" s="40"/>
      <c r="C1920" s="40"/>
      <c r="D1920" s="40"/>
      <c r="E1920" s="40"/>
      <c r="F1920" s="40"/>
    </row>
    <row r="1921" spans="1:6" ht="12.75" x14ac:dyDescent="0.2">
      <c r="A1921" s="41" t="s">
        <v>1199</v>
      </c>
      <c r="B1921" s="40"/>
      <c r="C1921" s="40"/>
      <c r="D1921" s="40"/>
      <c r="E1921" s="40"/>
      <c r="F1921" s="40"/>
    </row>
    <row r="1922" spans="1:6" ht="12.75" x14ac:dyDescent="0.2">
      <c r="A1922" s="41" t="s">
        <v>1200</v>
      </c>
      <c r="B1922" s="40"/>
      <c r="C1922" s="40"/>
      <c r="D1922" s="40"/>
      <c r="E1922" s="40"/>
      <c r="F1922" s="40"/>
    </row>
    <row r="1923" spans="1:6" ht="12.75" x14ac:dyDescent="0.2">
      <c r="A1923" s="41" t="s">
        <v>1201</v>
      </c>
      <c r="B1923" s="40"/>
      <c r="C1923" s="40"/>
      <c r="D1923" s="40"/>
      <c r="E1923" s="40"/>
      <c r="F1923" s="40"/>
    </row>
    <row r="1924" spans="1:6" ht="12.75" x14ac:dyDescent="0.2">
      <c r="A1924" s="41" t="s">
        <v>1202</v>
      </c>
      <c r="B1924" s="40"/>
      <c r="C1924" s="40"/>
      <c r="D1924" s="40"/>
      <c r="E1924" s="40"/>
      <c r="F1924" s="40"/>
    </row>
    <row r="1925" spans="1:6" ht="12.75" x14ac:dyDescent="0.2">
      <c r="A1925" s="41" t="s">
        <v>1203</v>
      </c>
      <c r="B1925" s="40"/>
      <c r="C1925" s="40"/>
      <c r="D1925" s="40"/>
      <c r="E1925" s="40"/>
      <c r="F1925" s="40"/>
    </row>
    <row r="1926" spans="1:6" ht="12.75" x14ac:dyDescent="0.2">
      <c r="A1926" s="41" t="s">
        <v>1204</v>
      </c>
      <c r="B1926" s="40"/>
      <c r="C1926" s="40"/>
      <c r="D1926" s="40"/>
      <c r="E1926" s="40"/>
      <c r="F1926" s="40"/>
    </row>
    <row r="1927" spans="1:6" ht="12.75" x14ac:dyDescent="0.2">
      <c r="A1927" s="41" t="s">
        <v>1205</v>
      </c>
      <c r="B1927" s="40"/>
      <c r="C1927" s="40"/>
      <c r="D1927" s="40"/>
      <c r="E1927" s="40"/>
      <c r="F1927" s="40"/>
    </row>
    <row r="1928" spans="1:6" ht="12.75" x14ac:dyDescent="0.2">
      <c r="A1928" s="41" t="s">
        <v>1206</v>
      </c>
      <c r="B1928" s="40"/>
      <c r="C1928" s="40"/>
      <c r="D1928" s="40"/>
      <c r="E1928" s="40"/>
      <c r="F1928" s="40"/>
    </row>
    <row r="1929" spans="1:6" ht="12.75" x14ac:dyDescent="0.2">
      <c r="A1929" s="40"/>
      <c r="B1929" s="40"/>
      <c r="C1929" s="40"/>
      <c r="D1929" s="40"/>
      <c r="E1929" s="40"/>
      <c r="F1929" s="40"/>
    </row>
    <row r="1930" spans="1:6" ht="12.75" x14ac:dyDescent="0.2">
      <c r="A1930" s="41" t="s">
        <v>1207</v>
      </c>
      <c r="B1930" s="40"/>
      <c r="C1930" s="40"/>
      <c r="D1930" s="40"/>
      <c r="E1930" s="40"/>
      <c r="F1930" s="40"/>
    </row>
    <row r="1931" spans="1:6" ht="12.75" x14ac:dyDescent="0.2">
      <c r="A1931" s="40"/>
      <c r="B1931" s="41" t="s">
        <v>398</v>
      </c>
      <c r="C1931" s="40"/>
      <c r="D1931" s="40"/>
      <c r="E1931" s="40"/>
      <c r="F1931" s="40"/>
    </row>
    <row r="1932" spans="1:6" ht="12.75" x14ac:dyDescent="0.2">
      <c r="A1932" s="40"/>
      <c r="B1932" s="41" t="s">
        <v>399</v>
      </c>
      <c r="C1932" s="40"/>
      <c r="D1932" s="40"/>
      <c r="E1932" s="40"/>
      <c r="F1932" s="40"/>
    </row>
    <row r="1933" spans="1:6" ht="12.75" x14ac:dyDescent="0.2">
      <c r="A1933" s="40"/>
      <c r="B1933" s="41" t="s">
        <v>400</v>
      </c>
      <c r="C1933" s="41" t="s">
        <v>1207</v>
      </c>
      <c r="D1933" s="40"/>
      <c r="E1933" s="40"/>
      <c r="F1933" s="40"/>
    </row>
    <row r="1934" spans="1:6" ht="12.75" x14ac:dyDescent="0.2">
      <c r="A1934" s="40"/>
      <c r="B1934" s="41" t="s">
        <v>401</v>
      </c>
      <c r="C1934" s="40"/>
      <c r="D1934" s="40"/>
      <c r="E1934" s="40"/>
      <c r="F1934" s="40"/>
    </row>
    <row r="1935" spans="1:6" ht="38.25" x14ac:dyDescent="0.2">
      <c r="A1935" s="41" t="s">
        <v>1208</v>
      </c>
      <c r="B1935" s="41" t="s">
        <v>402</v>
      </c>
      <c r="C1935" s="41" t="s">
        <v>1209</v>
      </c>
      <c r="D1935" s="40"/>
      <c r="E1935" s="40"/>
      <c r="F1935" s="40"/>
    </row>
    <row r="1936" spans="1:6" ht="12.75" x14ac:dyDescent="0.2">
      <c r="A1936" s="41" t="s">
        <v>1210</v>
      </c>
      <c r="B1936" s="40"/>
      <c r="C1936" s="40"/>
      <c r="D1936" s="40"/>
      <c r="E1936" s="40"/>
      <c r="F1936" s="40"/>
    </row>
    <row r="1937" spans="1:6" ht="12.75" x14ac:dyDescent="0.2">
      <c r="A1937" s="41" t="s">
        <v>1211</v>
      </c>
      <c r="B1937" s="40"/>
      <c r="C1937" s="40"/>
      <c r="D1937" s="40"/>
      <c r="E1937" s="40"/>
      <c r="F1937" s="40"/>
    </row>
    <row r="1938" spans="1:6" ht="12.75" x14ac:dyDescent="0.2">
      <c r="A1938" s="41" t="s">
        <v>1212</v>
      </c>
      <c r="B1938" s="40"/>
      <c r="C1938" s="40"/>
      <c r="D1938" s="40"/>
      <c r="E1938" s="40"/>
      <c r="F1938" s="40"/>
    </row>
    <row r="1939" spans="1:6" ht="12.75" x14ac:dyDescent="0.2">
      <c r="A1939" s="41" t="s">
        <v>1213</v>
      </c>
      <c r="B1939" s="40"/>
      <c r="C1939" s="40"/>
      <c r="D1939" s="40"/>
      <c r="E1939" s="40"/>
      <c r="F1939" s="40"/>
    </row>
    <row r="1940" spans="1:6" ht="12.75" x14ac:dyDescent="0.2">
      <c r="A1940" s="41" t="s">
        <v>1214</v>
      </c>
      <c r="B1940" s="40"/>
      <c r="C1940" s="40"/>
      <c r="D1940" s="40"/>
      <c r="E1940" s="40"/>
      <c r="F1940" s="40"/>
    </row>
    <row r="1941" spans="1:6" ht="12.75" x14ac:dyDescent="0.2">
      <c r="A1941" s="41" t="s">
        <v>1215</v>
      </c>
      <c r="B1941" s="40"/>
      <c r="C1941" s="40"/>
      <c r="D1941" s="40"/>
      <c r="E1941" s="40"/>
      <c r="F1941" s="40"/>
    </row>
    <row r="1942" spans="1:6" ht="12.75" x14ac:dyDescent="0.2">
      <c r="A1942" s="41" t="s">
        <v>1216</v>
      </c>
      <c r="B1942" s="40"/>
      <c r="C1942" s="40"/>
      <c r="D1942" s="40"/>
      <c r="E1942" s="40"/>
      <c r="F1942" s="40"/>
    </row>
    <row r="1943" spans="1:6" ht="12.75" x14ac:dyDescent="0.2">
      <c r="A1943" s="41" t="s">
        <v>1217</v>
      </c>
      <c r="B1943" s="40"/>
      <c r="C1943" s="40"/>
      <c r="D1943" s="40"/>
      <c r="E1943" s="40"/>
      <c r="F1943" s="40"/>
    </row>
    <row r="1944" spans="1:6" ht="12.75" x14ac:dyDescent="0.2">
      <c r="A1944" s="41" t="s">
        <v>1218</v>
      </c>
      <c r="B1944" s="40"/>
      <c r="C1944" s="40"/>
      <c r="D1944" s="40"/>
      <c r="E1944" s="40"/>
      <c r="F1944" s="40"/>
    </row>
    <row r="1945" spans="1:6" ht="12.75" x14ac:dyDescent="0.2">
      <c r="A1945" s="41" t="s">
        <v>1219</v>
      </c>
      <c r="B1945" s="40"/>
      <c r="C1945" s="40"/>
      <c r="D1945" s="40"/>
      <c r="E1945" s="40"/>
      <c r="F1945" s="40"/>
    </row>
    <row r="1946" spans="1:6" ht="12.75" x14ac:dyDescent="0.2">
      <c r="A1946" s="41" t="s">
        <v>1220</v>
      </c>
      <c r="B1946" s="40"/>
      <c r="C1946" s="40"/>
      <c r="D1946" s="40"/>
      <c r="E1946" s="40"/>
      <c r="F1946" s="40"/>
    </row>
    <row r="1947" spans="1:6" ht="12.75" x14ac:dyDescent="0.2">
      <c r="A1947" s="41" t="s">
        <v>1221</v>
      </c>
      <c r="B1947" s="40"/>
      <c r="C1947" s="40"/>
      <c r="D1947" s="40"/>
      <c r="E1947" s="40"/>
      <c r="F1947" s="40"/>
    </row>
    <row r="1948" spans="1:6" ht="12.75" x14ac:dyDescent="0.2">
      <c r="A1948" s="41" t="s">
        <v>1222</v>
      </c>
      <c r="B1948" s="40"/>
      <c r="C1948" s="40"/>
      <c r="D1948" s="40"/>
      <c r="E1948" s="40"/>
      <c r="F1948" s="40"/>
    </row>
    <row r="1949" spans="1:6" ht="12.75" x14ac:dyDescent="0.2">
      <c r="A1949" s="41" t="s">
        <v>1223</v>
      </c>
      <c r="B1949" s="40"/>
      <c r="C1949" s="40"/>
      <c r="D1949" s="40"/>
      <c r="E1949" s="40"/>
      <c r="F1949" s="40"/>
    </row>
    <row r="1950" spans="1:6" ht="12.75" x14ac:dyDescent="0.2">
      <c r="A1950" s="41" t="s">
        <v>1224</v>
      </c>
      <c r="B1950" s="40"/>
      <c r="C1950" s="40"/>
      <c r="D1950" s="40"/>
      <c r="E1950" s="40"/>
      <c r="F1950" s="40"/>
    </row>
    <row r="1951" spans="1:6" ht="12.75" x14ac:dyDescent="0.2">
      <c r="A1951" s="41" t="s">
        <v>1225</v>
      </c>
      <c r="B1951" s="40"/>
      <c r="C1951" s="40"/>
      <c r="D1951" s="40"/>
      <c r="E1951" s="40"/>
      <c r="F1951" s="40"/>
    </row>
    <row r="1952" spans="1:6" ht="12.75" x14ac:dyDescent="0.2">
      <c r="A1952" s="40"/>
      <c r="B1952" s="41" t="s">
        <v>403</v>
      </c>
      <c r="C1952" s="41" t="s">
        <v>25</v>
      </c>
      <c r="D1952" s="41" t="s">
        <v>27</v>
      </c>
      <c r="E1952" s="40"/>
      <c r="F1952" s="40"/>
    </row>
    <row r="1953" spans="1:6" ht="12.75" x14ac:dyDescent="0.2">
      <c r="A1953" s="40"/>
      <c r="B1953" s="41" t="s">
        <v>403</v>
      </c>
      <c r="C1953" s="41" t="s">
        <v>30</v>
      </c>
      <c r="D1953" s="41" t="s">
        <v>31</v>
      </c>
      <c r="E1953" s="40"/>
      <c r="F1953" s="40"/>
    </row>
    <row r="1954" spans="1:6" ht="12.75" x14ac:dyDescent="0.2">
      <c r="A1954" s="40"/>
      <c r="B1954" s="41" t="s">
        <v>403</v>
      </c>
      <c r="C1954" s="41" t="s">
        <v>16</v>
      </c>
      <c r="D1954" s="41" t="s">
        <v>10</v>
      </c>
      <c r="E1954" s="40"/>
      <c r="F1954" s="40"/>
    </row>
    <row r="1955" spans="1:6" ht="12.75" x14ac:dyDescent="0.2">
      <c r="A1955" s="40"/>
      <c r="B1955" s="40"/>
      <c r="C1955" s="40"/>
      <c r="D1955" s="40"/>
      <c r="E1955" s="40"/>
      <c r="F1955" s="40"/>
    </row>
    <row r="1956" spans="1:6" ht="12.75" x14ac:dyDescent="0.2">
      <c r="A1956" s="41" t="s">
        <v>1226</v>
      </c>
      <c r="B1956" s="40"/>
      <c r="C1956" s="40"/>
      <c r="D1956" s="40"/>
      <c r="E1956" s="40"/>
      <c r="F1956" s="40"/>
    </row>
    <row r="1957" spans="1:6" ht="12.75" x14ac:dyDescent="0.2">
      <c r="A1957" s="40"/>
      <c r="B1957" s="41" t="s">
        <v>398</v>
      </c>
      <c r="C1957" s="40"/>
      <c r="D1957" s="40"/>
      <c r="E1957" s="40"/>
      <c r="F1957" s="40"/>
    </row>
    <row r="1958" spans="1:6" ht="12.75" x14ac:dyDescent="0.2">
      <c r="A1958" s="40"/>
      <c r="B1958" s="41" t="s">
        <v>399</v>
      </c>
      <c r="C1958" s="40"/>
      <c r="D1958" s="40"/>
      <c r="E1958" s="40"/>
      <c r="F1958" s="40"/>
    </row>
    <row r="1959" spans="1:6" ht="12.75" x14ac:dyDescent="0.2">
      <c r="A1959" s="40"/>
      <c r="B1959" s="41" t="s">
        <v>400</v>
      </c>
      <c r="C1959" s="41" t="s">
        <v>1226</v>
      </c>
      <c r="D1959" s="40"/>
      <c r="E1959" s="40"/>
      <c r="F1959" s="40"/>
    </row>
    <row r="1960" spans="1:6" ht="12.75" x14ac:dyDescent="0.2">
      <c r="A1960" s="40"/>
      <c r="B1960" s="41" t="s">
        <v>401</v>
      </c>
      <c r="C1960" s="40"/>
      <c r="D1960" s="40"/>
      <c r="E1960" s="40"/>
      <c r="F1960" s="40"/>
    </row>
    <row r="1961" spans="1:6" ht="12.75" x14ac:dyDescent="0.2">
      <c r="A1961" s="41" t="s">
        <v>1227</v>
      </c>
      <c r="B1961" s="41" t="s">
        <v>402</v>
      </c>
      <c r="C1961" s="41" t="s">
        <v>1228</v>
      </c>
      <c r="D1961" s="40"/>
      <c r="E1961" s="40"/>
      <c r="F1961" s="40"/>
    </row>
    <row r="1962" spans="1:6" ht="12.75" x14ac:dyDescent="0.2">
      <c r="A1962" s="41" t="s">
        <v>1229</v>
      </c>
      <c r="B1962" s="40"/>
      <c r="C1962" s="40"/>
      <c r="D1962" s="40"/>
      <c r="E1962" s="40"/>
      <c r="F1962" s="40"/>
    </row>
    <row r="1963" spans="1:6" ht="12.75" x14ac:dyDescent="0.2">
      <c r="A1963" s="41" t="s">
        <v>1230</v>
      </c>
      <c r="B1963" s="40"/>
      <c r="C1963" s="40"/>
      <c r="D1963" s="40"/>
      <c r="E1963" s="40"/>
      <c r="F1963" s="40"/>
    </row>
    <row r="1964" spans="1:6" ht="12.75" x14ac:dyDescent="0.2">
      <c r="A1964" s="41" t="s">
        <v>1231</v>
      </c>
      <c r="B1964" s="40"/>
      <c r="C1964" s="40"/>
      <c r="D1964" s="40"/>
      <c r="E1964" s="40"/>
      <c r="F1964" s="40"/>
    </row>
    <row r="1965" spans="1:6" ht="12.75" x14ac:dyDescent="0.2">
      <c r="A1965" s="41" t="s">
        <v>1232</v>
      </c>
      <c r="B1965" s="40"/>
      <c r="C1965" s="40"/>
      <c r="D1965" s="40"/>
      <c r="E1965" s="40"/>
      <c r="F1965" s="40"/>
    </row>
    <row r="1966" spans="1:6" ht="12.75" x14ac:dyDescent="0.2">
      <c r="A1966" s="41" t="s">
        <v>1233</v>
      </c>
      <c r="B1966" s="40"/>
      <c r="C1966" s="40"/>
      <c r="D1966" s="40"/>
      <c r="E1966" s="40"/>
      <c r="F1966" s="40"/>
    </row>
    <row r="1967" spans="1:6" ht="12.75" x14ac:dyDescent="0.2">
      <c r="A1967" s="41" t="s">
        <v>1234</v>
      </c>
      <c r="B1967" s="40"/>
      <c r="C1967" s="40"/>
      <c r="D1967" s="40"/>
      <c r="E1967" s="40"/>
      <c r="F1967" s="40"/>
    </row>
    <row r="1968" spans="1:6" ht="12.75" x14ac:dyDescent="0.2">
      <c r="A1968" s="41" t="s">
        <v>1235</v>
      </c>
      <c r="B1968" s="40"/>
      <c r="C1968" s="40"/>
      <c r="D1968" s="40"/>
      <c r="E1968" s="40"/>
      <c r="F1968" s="40"/>
    </row>
    <row r="1969" spans="1:6" ht="12.75" x14ac:dyDescent="0.2">
      <c r="A1969" s="41" t="s">
        <v>1236</v>
      </c>
      <c r="B1969" s="40"/>
      <c r="C1969" s="40"/>
      <c r="D1969" s="40"/>
      <c r="E1969" s="40"/>
      <c r="F1969" s="40"/>
    </row>
    <row r="1970" spans="1:6" ht="12.75" x14ac:dyDescent="0.2">
      <c r="A1970" s="41" t="s">
        <v>1237</v>
      </c>
      <c r="B1970" s="40"/>
      <c r="C1970" s="40"/>
      <c r="D1970" s="40"/>
      <c r="E1970" s="40"/>
      <c r="F1970" s="40"/>
    </row>
    <row r="1971" spans="1:6" ht="12.75" x14ac:dyDescent="0.2">
      <c r="A1971" s="40"/>
      <c r="B1971" s="40"/>
      <c r="C1971" s="40"/>
      <c r="D1971" s="40"/>
      <c r="E1971" s="40"/>
      <c r="F1971" s="40"/>
    </row>
    <row r="1972" spans="1:6" ht="12.75" x14ac:dyDescent="0.2">
      <c r="A1972" s="41" t="s">
        <v>1238</v>
      </c>
      <c r="B1972" s="40"/>
      <c r="C1972" s="40"/>
      <c r="D1972" s="40"/>
      <c r="E1972" s="40"/>
      <c r="F1972" s="40"/>
    </row>
    <row r="1973" spans="1:6" ht="12.75" x14ac:dyDescent="0.2">
      <c r="A1973" s="40"/>
      <c r="B1973" s="41" t="s">
        <v>398</v>
      </c>
      <c r="C1973" s="40"/>
      <c r="D1973" s="40"/>
      <c r="E1973" s="40"/>
      <c r="F1973" s="40"/>
    </row>
    <row r="1974" spans="1:6" ht="12.75" x14ac:dyDescent="0.2">
      <c r="A1974" s="40"/>
      <c r="B1974" s="41" t="s">
        <v>399</v>
      </c>
      <c r="C1974" s="40"/>
      <c r="D1974" s="40"/>
      <c r="E1974" s="40"/>
      <c r="F1974" s="40"/>
    </row>
    <row r="1975" spans="1:6" ht="12.75" x14ac:dyDescent="0.2">
      <c r="A1975" s="40"/>
      <c r="B1975" s="41" t="s">
        <v>400</v>
      </c>
      <c r="C1975" s="41" t="s">
        <v>1238</v>
      </c>
      <c r="D1975" s="40"/>
      <c r="E1975" s="40"/>
      <c r="F1975" s="40"/>
    </row>
    <row r="1976" spans="1:6" ht="12.75" x14ac:dyDescent="0.2">
      <c r="A1976" s="40"/>
      <c r="B1976" s="41" t="s">
        <v>401</v>
      </c>
      <c r="C1976" s="40"/>
      <c r="D1976" s="40"/>
      <c r="E1976" s="40"/>
      <c r="F1976" s="40"/>
    </row>
    <row r="1977" spans="1:6" ht="12.75" x14ac:dyDescent="0.2">
      <c r="A1977" s="41" t="s">
        <v>1239</v>
      </c>
      <c r="B1977" s="41" t="s">
        <v>402</v>
      </c>
      <c r="C1977" s="41" t="s">
        <v>1240</v>
      </c>
      <c r="D1977" s="40"/>
      <c r="E1977" s="40"/>
      <c r="F1977" s="40"/>
    </row>
    <row r="1978" spans="1:6" ht="12.75" x14ac:dyDescent="0.2">
      <c r="A1978" s="41" t="s">
        <v>1241</v>
      </c>
      <c r="B1978" s="40"/>
      <c r="C1978" s="40"/>
      <c r="D1978" s="40"/>
      <c r="E1978" s="40"/>
      <c r="F1978" s="40"/>
    </row>
    <row r="1979" spans="1:6" ht="12.75" x14ac:dyDescent="0.2">
      <c r="A1979" s="41" t="s">
        <v>1242</v>
      </c>
      <c r="B1979" s="40"/>
      <c r="C1979" s="40"/>
      <c r="D1979" s="40"/>
      <c r="E1979" s="40"/>
      <c r="F1979" s="40"/>
    </row>
    <row r="1980" spans="1:6" ht="12.75" x14ac:dyDescent="0.2">
      <c r="A1980" s="41" t="s">
        <v>1243</v>
      </c>
      <c r="B1980" s="40"/>
      <c r="C1980" s="40"/>
      <c r="D1980" s="40"/>
      <c r="E1980" s="40"/>
      <c r="F1980" s="40"/>
    </row>
    <row r="1981" spans="1:6" ht="12.75" x14ac:dyDescent="0.2">
      <c r="A1981" s="41" t="s">
        <v>1244</v>
      </c>
      <c r="B1981" s="40"/>
      <c r="C1981" s="40"/>
      <c r="D1981" s="40"/>
      <c r="E1981" s="40"/>
      <c r="F1981" s="40"/>
    </row>
    <row r="1982" spans="1:6" ht="12.75" x14ac:dyDescent="0.2">
      <c r="A1982" s="41" t="s">
        <v>1245</v>
      </c>
      <c r="B1982" s="40"/>
      <c r="C1982" s="40"/>
      <c r="D1982" s="40"/>
      <c r="E1982" s="40"/>
      <c r="F1982" s="40"/>
    </row>
    <row r="1983" spans="1:6" ht="12.75" x14ac:dyDescent="0.2">
      <c r="A1983" s="40"/>
      <c r="B1983" s="41" t="s">
        <v>403</v>
      </c>
      <c r="C1983" s="41" t="s">
        <v>25</v>
      </c>
      <c r="D1983" s="41" t="s">
        <v>27</v>
      </c>
      <c r="E1983" s="40"/>
      <c r="F1983" s="40"/>
    </row>
    <row r="1984" spans="1:6" ht="12.75" x14ac:dyDescent="0.2">
      <c r="A1984" s="40"/>
      <c r="B1984" s="41" t="s">
        <v>403</v>
      </c>
      <c r="C1984" s="41" t="s">
        <v>30</v>
      </c>
      <c r="D1984" s="41" t="s">
        <v>31</v>
      </c>
      <c r="E1984" s="40"/>
      <c r="F1984" s="40"/>
    </row>
    <row r="1985" spans="1:6" ht="12.75" x14ac:dyDescent="0.2">
      <c r="A1985" s="40"/>
      <c r="B1985" s="41" t="s">
        <v>403</v>
      </c>
      <c r="C1985" s="41" t="s">
        <v>41</v>
      </c>
      <c r="D1985" s="41" t="s">
        <v>10</v>
      </c>
      <c r="E1985" s="40"/>
      <c r="F1985" s="40"/>
    </row>
    <row r="1986" spans="1:6" ht="12.75" x14ac:dyDescent="0.2">
      <c r="A1986" s="40"/>
      <c r="B1986" s="40"/>
      <c r="C1986" s="40"/>
      <c r="D1986" s="40"/>
      <c r="E1986" s="40"/>
      <c r="F1986" s="40"/>
    </row>
    <row r="1987" spans="1:6" ht="12.75" x14ac:dyDescent="0.2">
      <c r="A1987" s="41" t="s">
        <v>1246</v>
      </c>
      <c r="B1987" s="40"/>
      <c r="C1987" s="40"/>
      <c r="D1987" s="40"/>
      <c r="E1987" s="40"/>
      <c r="F1987" s="40"/>
    </row>
    <row r="1988" spans="1:6" ht="12.75" x14ac:dyDescent="0.2">
      <c r="A1988" s="40"/>
      <c r="B1988" s="41" t="s">
        <v>398</v>
      </c>
      <c r="C1988" s="40"/>
      <c r="D1988" s="40"/>
      <c r="E1988" s="40"/>
      <c r="F1988" s="40"/>
    </row>
    <row r="1989" spans="1:6" ht="12.75" x14ac:dyDescent="0.2">
      <c r="A1989" s="40"/>
      <c r="B1989" s="41" t="s">
        <v>399</v>
      </c>
      <c r="C1989" s="40"/>
      <c r="D1989" s="40"/>
      <c r="E1989" s="40"/>
      <c r="F1989" s="40"/>
    </row>
    <row r="1990" spans="1:6" ht="12.75" x14ac:dyDescent="0.2">
      <c r="A1990" s="40"/>
      <c r="B1990" s="41" t="s">
        <v>400</v>
      </c>
      <c r="C1990" s="41" t="s">
        <v>1246</v>
      </c>
      <c r="D1990" s="40"/>
      <c r="E1990" s="40"/>
      <c r="F1990" s="40"/>
    </row>
    <row r="1991" spans="1:6" ht="12.75" x14ac:dyDescent="0.2">
      <c r="A1991" s="40"/>
      <c r="B1991" s="41" t="s">
        <v>401</v>
      </c>
      <c r="C1991" s="40"/>
      <c r="D1991" s="40"/>
      <c r="E1991" s="40"/>
      <c r="F1991" s="40"/>
    </row>
    <row r="1992" spans="1:6" ht="12.75" x14ac:dyDescent="0.2">
      <c r="A1992" s="41" t="s">
        <v>1247</v>
      </c>
      <c r="B1992" s="41" t="s">
        <v>402</v>
      </c>
      <c r="C1992" s="41" t="s">
        <v>1248</v>
      </c>
      <c r="D1992" s="40"/>
      <c r="E1992" s="40"/>
      <c r="F1992" s="40"/>
    </row>
    <row r="1993" spans="1:6" ht="12.75" x14ac:dyDescent="0.2">
      <c r="A1993" s="41" t="s">
        <v>1249</v>
      </c>
      <c r="B1993" s="40"/>
      <c r="C1993" s="40"/>
      <c r="D1993" s="40"/>
      <c r="E1993" s="40"/>
      <c r="F1993" s="40"/>
    </row>
    <row r="1994" spans="1:6" ht="12.75" x14ac:dyDescent="0.2">
      <c r="A1994" s="41" t="s">
        <v>1250</v>
      </c>
      <c r="B1994" s="40"/>
      <c r="C1994" s="40"/>
      <c r="D1994" s="40"/>
      <c r="E1994" s="40"/>
      <c r="F1994" s="40"/>
    </row>
    <row r="1995" spans="1:6" ht="12.75" x14ac:dyDescent="0.2">
      <c r="A1995" s="41" t="s">
        <v>1251</v>
      </c>
      <c r="B1995" s="40"/>
      <c r="C1995" s="40"/>
      <c r="D1995" s="40"/>
      <c r="E1995" s="40"/>
      <c r="F1995" s="40"/>
    </row>
    <row r="1996" spans="1:6" ht="12.75" x14ac:dyDescent="0.2">
      <c r="A1996" s="41" t="s">
        <v>1252</v>
      </c>
      <c r="B1996" s="40"/>
      <c r="C1996" s="40"/>
      <c r="D1996" s="40"/>
      <c r="E1996" s="40"/>
      <c r="F1996" s="40"/>
    </row>
    <row r="1997" spans="1:6" ht="12.75" x14ac:dyDescent="0.2">
      <c r="A1997" s="41" t="s">
        <v>1253</v>
      </c>
      <c r="B1997" s="40"/>
      <c r="C1997" s="40"/>
      <c r="D1997" s="40"/>
      <c r="E1997" s="40"/>
      <c r="F1997" s="40"/>
    </row>
    <row r="1998" spans="1:6" ht="12.75" x14ac:dyDescent="0.2">
      <c r="A1998" s="41" t="s">
        <v>1254</v>
      </c>
      <c r="B1998" s="40"/>
      <c r="C1998" s="40"/>
      <c r="D1998" s="40"/>
      <c r="E1998" s="40"/>
      <c r="F1998" s="40"/>
    </row>
    <row r="1999" spans="1:6" ht="12.75" x14ac:dyDescent="0.2">
      <c r="A1999" s="41" t="s">
        <v>1255</v>
      </c>
      <c r="B1999" s="40"/>
      <c r="C1999" s="40"/>
      <c r="D1999" s="40"/>
      <c r="E1999" s="40"/>
      <c r="F1999" s="40"/>
    </row>
    <row r="2000" spans="1:6" ht="12.75" x14ac:dyDescent="0.2">
      <c r="A2000" s="41" t="s">
        <v>1256</v>
      </c>
      <c r="B2000" s="40"/>
      <c r="C2000" s="40"/>
      <c r="D2000" s="40"/>
      <c r="E2000" s="40"/>
      <c r="F2000" s="40"/>
    </row>
    <row r="2001" spans="1:6" ht="12.75" x14ac:dyDescent="0.2">
      <c r="A2001" s="41" t="s">
        <v>1257</v>
      </c>
      <c r="B2001" s="40"/>
      <c r="C2001" s="40"/>
      <c r="D2001" s="40"/>
      <c r="E2001" s="40"/>
      <c r="F2001" s="40"/>
    </row>
    <row r="2002" spans="1:6" ht="12.75" x14ac:dyDescent="0.2">
      <c r="A2002" s="40"/>
      <c r="B2002" s="40"/>
      <c r="C2002" s="40"/>
      <c r="D2002" s="40"/>
      <c r="E2002" s="40"/>
      <c r="F2002" s="40"/>
    </row>
    <row r="2003" spans="1:6" ht="12.75" x14ac:dyDescent="0.2">
      <c r="A2003" s="41" t="s">
        <v>1258</v>
      </c>
      <c r="B2003" s="40"/>
      <c r="C2003" s="40"/>
      <c r="D2003" s="40"/>
      <c r="E2003" s="40"/>
      <c r="F2003" s="40"/>
    </row>
    <row r="2004" spans="1:6" ht="12.75" x14ac:dyDescent="0.2">
      <c r="A2004" s="40"/>
      <c r="B2004" s="41" t="s">
        <v>398</v>
      </c>
      <c r="C2004" s="40"/>
      <c r="D2004" s="40"/>
      <c r="E2004" s="40"/>
      <c r="F2004" s="40"/>
    </row>
    <row r="2005" spans="1:6" ht="12.75" x14ac:dyDescent="0.2">
      <c r="A2005" s="40"/>
      <c r="B2005" s="41" t="s">
        <v>399</v>
      </c>
      <c r="C2005" s="40"/>
      <c r="D2005" s="40"/>
      <c r="E2005" s="40"/>
      <c r="F2005" s="40"/>
    </row>
    <row r="2006" spans="1:6" ht="12.75" x14ac:dyDescent="0.2">
      <c r="A2006" s="40"/>
      <c r="B2006" s="41" t="s">
        <v>400</v>
      </c>
      <c r="C2006" s="41" t="s">
        <v>1258</v>
      </c>
      <c r="D2006" s="40"/>
      <c r="E2006" s="40"/>
      <c r="F2006" s="40"/>
    </row>
    <row r="2007" spans="1:6" ht="12.75" x14ac:dyDescent="0.2">
      <c r="A2007" s="40"/>
      <c r="B2007" s="41" t="s">
        <v>401</v>
      </c>
      <c r="C2007" s="40"/>
      <c r="D2007" s="40"/>
      <c r="E2007" s="40"/>
      <c r="F2007" s="40"/>
    </row>
    <row r="2008" spans="1:6" ht="12.75" x14ac:dyDescent="0.2">
      <c r="A2008" s="41" t="s">
        <v>1259</v>
      </c>
      <c r="B2008" s="41" t="s">
        <v>402</v>
      </c>
      <c r="C2008" s="41" t="s">
        <v>1260</v>
      </c>
      <c r="D2008" s="40"/>
      <c r="E2008" s="40"/>
      <c r="F2008" s="40"/>
    </row>
    <row r="2009" spans="1:6" ht="12.75" x14ac:dyDescent="0.2">
      <c r="A2009" s="41" t="s">
        <v>1261</v>
      </c>
      <c r="B2009" s="40"/>
      <c r="C2009" s="40"/>
      <c r="D2009" s="40"/>
      <c r="E2009" s="40"/>
      <c r="F2009" s="40"/>
    </row>
    <row r="2010" spans="1:6" ht="12.75" x14ac:dyDescent="0.2">
      <c r="A2010" s="41" t="s">
        <v>1262</v>
      </c>
      <c r="B2010" s="40"/>
      <c r="C2010" s="40"/>
      <c r="D2010" s="40"/>
      <c r="E2010" s="40"/>
      <c r="F2010" s="40"/>
    </row>
    <row r="2011" spans="1:6" ht="12.75" x14ac:dyDescent="0.2">
      <c r="A2011" s="41" t="s">
        <v>1263</v>
      </c>
      <c r="B2011" s="40"/>
      <c r="C2011" s="40"/>
      <c r="D2011" s="40"/>
      <c r="E2011" s="40"/>
      <c r="F2011" s="40"/>
    </row>
    <row r="2012" spans="1:6" ht="12.75" x14ac:dyDescent="0.2">
      <c r="A2012" s="41" t="s">
        <v>1264</v>
      </c>
      <c r="B2012" s="40"/>
      <c r="C2012" s="40"/>
      <c r="D2012" s="40"/>
      <c r="E2012" s="40"/>
      <c r="F2012" s="40"/>
    </row>
    <row r="2013" spans="1:6" ht="12.75" x14ac:dyDescent="0.2">
      <c r="A2013" s="41" t="s">
        <v>1265</v>
      </c>
      <c r="B2013" s="40"/>
      <c r="C2013" s="40"/>
      <c r="D2013" s="40"/>
      <c r="E2013" s="40"/>
      <c r="F2013" s="40"/>
    </row>
    <row r="2014" spans="1:6" ht="12.75" x14ac:dyDescent="0.2">
      <c r="A2014" s="41" t="s">
        <v>1267</v>
      </c>
      <c r="B2014" s="40"/>
      <c r="C2014" s="40"/>
      <c r="D2014" s="40"/>
      <c r="E2014" s="40"/>
      <c r="F2014" s="40"/>
    </row>
    <row r="2015" spans="1:6" ht="12.75" x14ac:dyDescent="0.2">
      <c r="A2015" s="41" t="s">
        <v>1268</v>
      </c>
      <c r="B2015" s="40"/>
      <c r="C2015" s="40"/>
      <c r="D2015" s="40"/>
      <c r="E2015" s="40"/>
      <c r="F2015" s="40"/>
    </row>
    <row r="2016" spans="1:6" ht="12.75" x14ac:dyDescent="0.2">
      <c r="A2016" s="41" t="s">
        <v>1269</v>
      </c>
      <c r="B2016" s="40"/>
      <c r="C2016" s="40"/>
      <c r="D2016" s="40"/>
      <c r="E2016" s="40"/>
      <c r="F2016" s="40"/>
    </row>
    <row r="2017" spans="1:6" ht="12.75" x14ac:dyDescent="0.2">
      <c r="A2017" s="40"/>
      <c r="B2017" s="40"/>
      <c r="C2017" s="40"/>
      <c r="D2017" s="40"/>
      <c r="E2017" s="40"/>
      <c r="F2017" s="40"/>
    </row>
    <row r="2018" spans="1:6" ht="12.75" x14ac:dyDescent="0.2">
      <c r="A2018" s="41" t="s">
        <v>1271</v>
      </c>
      <c r="B2018" s="40"/>
      <c r="C2018" s="40"/>
      <c r="D2018" s="40"/>
      <c r="E2018" s="40"/>
      <c r="F2018" s="40"/>
    </row>
    <row r="2019" spans="1:6" ht="12.75" x14ac:dyDescent="0.2">
      <c r="A2019" s="40"/>
      <c r="B2019" s="41" t="s">
        <v>398</v>
      </c>
      <c r="C2019" s="40"/>
      <c r="D2019" s="40"/>
      <c r="E2019" s="40"/>
      <c r="F2019" s="40"/>
    </row>
    <row r="2020" spans="1:6" ht="12.75" x14ac:dyDescent="0.2">
      <c r="A2020" s="40"/>
      <c r="B2020" s="41" t="s">
        <v>399</v>
      </c>
      <c r="C2020" s="40"/>
      <c r="D2020" s="40"/>
      <c r="E2020" s="40"/>
      <c r="F2020" s="40"/>
    </row>
    <row r="2021" spans="1:6" ht="12.75" x14ac:dyDescent="0.2">
      <c r="A2021" s="40"/>
      <c r="B2021" s="41" t="s">
        <v>400</v>
      </c>
      <c r="C2021" s="41" t="s">
        <v>1271</v>
      </c>
      <c r="D2021" s="40"/>
      <c r="E2021" s="40"/>
      <c r="F2021" s="40"/>
    </row>
    <row r="2022" spans="1:6" ht="12.75" x14ac:dyDescent="0.2">
      <c r="A2022" s="40"/>
      <c r="B2022" s="41" t="s">
        <v>401</v>
      </c>
      <c r="C2022" s="40"/>
      <c r="D2022" s="40"/>
      <c r="E2022" s="40"/>
      <c r="F2022" s="40"/>
    </row>
    <row r="2023" spans="1:6" ht="25.5" x14ac:dyDescent="0.2">
      <c r="A2023" s="41" t="s">
        <v>1025</v>
      </c>
      <c r="B2023" s="41" t="s">
        <v>402</v>
      </c>
      <c r="C2023" s="41" t="s">
        <v>1275</v>
      </c>
      <c r="D2023" s="40"/>
      <c r="E2023" s="40"/>
      <c r="F2023" s="40"/>
    </row>
    <row r="2024" spans="1:6" ht="12.75" x14ac:dyDescent="0.2">
      <c r="A2024" s="41" t="s">
        <v>1277</v>
      </c>
      <c r="B2024" s="40"/>
      <c r="C2024" s="40"/>
      <c r="D2024" s="40"/>
      <c r="E2024" s="40"/>
      <c r="F2024" s="40"/>
    </row>
    <row r="2025" spans="1:6" ht="12.75" x14ac:dyDescent="0.2">
      <c r="A2025" s="41" t="s">
        <v>1278</v>
      </c>
      <c r="B2025" s="40"/>
      <c r="C2025" s="40"/>
      <c r="D2025" s="40"/>
      <c r="E2025" s="40"/>
      <c r="F2025" s="40"/>
    </row>
    <row r="2026" spans="1:6" ht="12.75" x14ac:dyDescent="0.2">
      <c r="A2026" s="41" t="s">
        <v>1279</v>
      </c>
      <c r="B2026" s="40"/>
      <c r="C2026" s="40"/>
      <c r="D2026" s="40"/>
      <c r="E2026" s="40"/>
      <c r="F2026" s="40"/>
    </row>
    <row r="2027" spans="1:6" ht="12.75" x14ac:dyDescent="0.2">
      <c r="A2027" s="41" t="s">
        <v>1281</v>
      </c>
      <c r="B2027" s="40"/>
      <c r="C2027" s="40"/>
      <c r="D2027" s="40"/>
      <c r="E2027" s="40"/>
      <c r="F2027" s="40"/>
    </row>
    <row r="2028" spans="1:6" ht="12.75" x14ac:dyDescent="0.2">
      <c r="A2028" s="41" t="s">
        <v>1282</v>
      </c>
      <c r="B2028" s="40"/>
      <c r="C2028" s="40"/>
      <c r="D2028" s="40"/>
      <c r="E2028" s="40"/>
      <c r="F2028" s="40"/>
    </row>
    <row r="2029" spans="1:6" ht="12.75" x14ac:dyDescent="0.2">
      <c r="A2029" s="41" t="s">
        <v>1283</v>
      </c>
      <c r="B2029" s="40"/>
      <c r="C2029" s="40"/>
      <c r="D2029" s="40"/>
      <c r="E2029" s="40"/>
      <c r="F2029" s="40"/>
    </row>
    <row r="2030" spans="1:6" ht="12.75" x14ac:dyDescent="0.2">
      <c r="A2030" s="41" t="s">
        <v>1284</v>
      </c>
      <c r="B2030" s="40"/>
      <c r="C2030" s="40"/>
      <c r="D2030" s="40"/>
      <c r="E2030" s="40"/>
      <c r="F2030" s="40"/>
    </row>
    <row r="2031" spans="1:6" ht="12.75" x14ac:dyDescent="0.2">
      <c r="A2031" s="41" t="s">
        <v>1019</v>
      </c>
      <c r="B2031" s="40"/>
      <c r="C2031" s="40"/>
      <c r="D2031" s="40"/>
      <c r="E2031" s="40"/>
      <c r="F2031" s="40"/>
    </row>
    <row r="2032" spans="1:6" ht="12.75" x14ac:dyDescent="0.2">
      <c r="A2032" s="41" t="s">
        <v>1285</v>
      </c>
      <c r="B2032" s="40"/>
      <c r="C2032" s="40"/>
      <c r="D2032" s="40"/>
      <c r="E2032" s="40"/>
      <c r="F2032" s="40"/>
    </row>
    <row r="2033" spans="1:6" ht="12.75" x14ac:dyDescent="0.2">
      <c r="A2033" s="40"/>
      <c r="B2033" s="40"/>
      <c r="C2033" s="40"/>
      <c r="D2033" s="40"/>
      <c r="E2033" s="40"/>
      <c r="F2033" s="40"/>
    </row>
    <row r="2034" spans="1:6" ht="12.75" x14ac:dyDescent="0.2">
      <c r="A2034" s="41" t="s">
        <v>1288</v>
      </c>
      <c r="B2034" s="40"/>
      <c r="C2034" s="40"/>
      <c r="D2034" s="40"/>
      <c r="E2034" s="40"/>
      <c r="F2034" s="40"/>
    </row>
    <row r="2035" spans="1:6" ht="12.75" x14ac:dyDescent="0.2">
      <c r="A2035" s="40"/>
      <c r="B2035" s="41" t="s">
        <v>398</v>
      </c>
      <c r="C2035" s="40"/>
      <c r="D2035" s="40"/>
      <c r="E2035" s="40"/>
      <c r="F2035" s="40"/>
    </row>
    <row r="2036" spans="1:6" ht="12.75" x14ac:dyDescent="0.2">
      <c r="A2036" s="40"/>
      <c r="B2036" s="41" t="s">
        <v>399</v>
      </c>
      <c r="C2036" s="40"/>
      <c r="D2036" s="40"/>
      <c r="E2036" s="40"/>
      <c r="F2036" s="40"/>
    </row>
    <row r="2037" spans="1:6" ht="12.75" x14ac:dyDescent="0.2">
      <c r="A2037" s="40"/>
      <c r="B2037" s="41" t="s">
        <v>400</v>
      </c>
      <c r="C2037" s="41" t="s">
        <v>1288</v>
      </c>
      <c r="D2037" s="40"/>
      <c r="E2037" s="40"/>
      <c r="F2037" s="40"/>
    </row>
    <row r="2038" spans="1:6" ht="12.75" x14ac:dyDescent="0.2">
      <c r="A2038" s="40"/>
      <c r="B2038" s="41" t="s">
        <v>401</v>
      </c>
      <c r="C2038" s="40"/>
      <c r="D2038" s="40"/>
      <c r="E2038" s="40"/>
      <c r="F2038" s="40"/>
    </row>
    <row r="2039" spans="1:6" ht="12.75" x14ac:dyDescent="0.2">
      <c r="A2039" s="41" t="s">
        <v>1290</v>
      </c>
      <c r="B2039" s="41" t="s">
        <v>402</v>
      </c>
      <c r="C2039" s="41" t="s">
        <v>1292</v>
      </c>
      <c r="D2039" s="40"/>
      <c r="E2039" s="40"/>
      <c r="F2039" s="40"/>
    </row>
    <row r="2040" spans="1:6" ht="12.75" x14ac:dyDescent="0.2">
      <c r="A2040" s="40"/>
      <c r="B2040" s="40"/>
      <c r="C2040" s="40"/>
      <c r="D2040" s="40"/>
      <c r="E2040" s="40"/>
      <c r="F2040" s="40"/>
    </row>
    <row r="2041" spans="1:6" ht="12.75" x14ac:dyDescent="0.2">
      <c r="A2041" s="41" t="s">
        <v>1295</v>
      </c>
      <c r="B2041" s="40"/>
      <c r="C2041" s="40"/>
      <c r="D2041" s="40"/>
      <c r="E2041" s="40"/>
      <c r="F2041" s="40"/>
    </row>
    <row r="2042" spans="1:6" ht="12.75" x14ac:dyDescent="0.2">
      <c r="A2042" s="40"/>
      <c r="B2042" s="41" t="s">
        <v>398</v>
      </c>
      <c r="C2042" s="40"/>
      <c r="D2042" s="40"/>
      <c r="E2042" s="40"/>
      <c r="F2042" s="40"/>
    </row>
    <row r="2043" spans="1:6" ht="12.75" x14ac:dyDescent="0.2">
      <c r="A2043" s="40"/>
      <c r="B2043" s="41" t="s">
        <v>399</v>
      </c>
      <c r="C2043" s="40"/>
      <c r="D2043" s="40"/>
      <c r="E2043" s="40"/>
      <c r="F2043" s="40"/>
    </row>
    <row r="2044" spans="1:6" ht="12.75" x14ac:dyDescent="0.2">
      <c r="A2044" s="40"/>
      <c r="B2044" s="41" t="s">
        <v>400</v>
      </c>
      <c r="C2044" s="41" t="s">
        <v>1295</v>
      </c>
      <c r="D2044" s="40"/>
      <c r="E2044" s="40"/>
      <c r="F2044" s="40"/>
    </row>
    <row r="2045" spans="1:6" ht="12.75" x14ac:dyDescent="0.2">
      <c r="A2045" s="40"/>
      <c r="B2045" s="41" t="s">
        <v>401</v>
      </c>
      <c r="C2045" s="40"/>
      <c r="D2045" s="40"/>
      <c r="E2045" s="40"/>
      <c r="F2045" s="40"/>
    </row>
    <row r="2046" spans="1:6" ht="12.75" x14ac:dyDescent="0.2">
      <c r="A2046" s="41" t="s">
        <v>1297</v>
      </c>
      <c r="B2046" s="41" t="s">
        <v>402</v>
      </c>
      <c r="C2046" s="41" t="s">
        <v>1298</v>
      </c>
      <c r="D2046" s="40"/>
      <c r="E2046" s="40"/>
      <c r="F2046" s="40"/>
    </row>
    <row r="2047" spans="1:6" ht="12.75" x14ac:dyDescent="0.2">
      <c r="A2047" s="41" t="s">
        <v>1299</v>
      </c>
      <c r="B2047" s="40"/>
      <c r="C2047" s="40"/>
      <c r="D2047" s="40"/>
      <c r="E2047" s="40"/>
      <c r="F2047" s="40"/>
    </row>
    <row r="2048" spans="1:6" ht="12.75" x14ac:dyDescent="0.2">
      <c r="A2048" s="41" t="s">
        <v>1300</v>
      </c>
      <c r="B2048" s="40"/>
      <c r="C2048" s="40"/>
      <c r="D2048" s="40"/>
      <c r="E2048" s="40"/>
      <c r="F2048" s="40"/>
    </row>
    <row r="2049" spans="1:6" ht="12.75" x14ac:dyDescent="0.2">
      <c r="A2049" s="41" t="s">
        <v>1301</v>
      </c>
      <c r="B2049" s="40"/>
      <c r="C2049" s="40"/>
      <c r="D2049" s="40"/>
      <c r="E2049" s="40"/>
      <c r="F2049" s="40"/>
    </row>
    <row r="2050" spans="1:6" ht="12.75" x14ac:dyDescent="0.2">
      <c r="A2050" s="40"/>
      <c r="B2050" s="41" t="s">
        <v>403</v>
      </c>
      <c r="C2050" s="41" t="s">
        <v>25</v>
      </c>
      <c r="D2050" s="41" t="s">
        <v>27</v>
      </c>
      <c r="E2050" s="40"/>
      <c r="F2050" s="40"/>
    </row>
    <row r="2051" spans="1:6" ht="12.75" x14ac:dyDescent="0.2">
      <c r="A2051" s="40"/>
      <c r="B2051" s="41" t="s">
        <v>403</v>
      </c>
      <c r="C2051" s="41" t="s">
        <v>30</v>
      </c>
      <c r="D2051" s="41" t="s">
        <v>31</v>
      </c>
      <c r="E2051" s="40"/>
      <c r="F2051" s="40"/>
    </row>
    <row r="2052" spans="1:6" ht="12.75" x14ac:dyDescent="0.2">
      <c r="A2052" s="40"/>
      <c r="B2052" s="41" t="s">
        <v>403</v>
      </c>
      <c r="C2052" s="41" t="s">
        <v>41</v>
      </c>
      <c r="D2052" s="41" t="s">
        <v>10</v>
      </c>
      <c r="E2052" s="40"/>
      <c r="F2052" s="40"/>
    </row>
    <row r="2053" spans="1:6" ht="12.75" x14ac:dyDescent="0.2">
      <c r="A2053" s="40"/>
      <c r="B2053" s="40"/>
      <c r="C2053" s="40"/>
      <c r="D2053" s="40"/>
      <c r="E2053" s="40"/>
      <c r="F2053" s="40"/>
    </row>
    <row r="2054" spans="1:6" ht="12.75" x14ac:dyDescent="0.2">
      <c r="A2054" s="41" t="s">
        <v>1302</v>
      </c>
      <c r="B2054" s="40"/>
      <c r="C2054" s="40"/>
      <c r="D2054" s="40"/>
      <c r="E2054" s="40"/>
      <c r="F2054" s="40"/>
    </row>
    <row r="2055" spans="1:6" ht="12.75" x14ac:dyDescent="0.2">
      <c r="A2055" s="40"/>
      <c r="B2055" s="41" t="s">
        <v>398</v>
      </c>
      <c r="C2055" s="40"/>
      <c r="D2055" s="40"/>
      <c r="E2055" s="40"/>
      <c r="F2055" s="40"/>
    </row>
    <row r="2056" spans="1:6" ht="12.75" x14ac:dyDescent="0.2">
      <c r="A2056" s="40"/>
      <c r="B2056" s="41" t="s">
        <v>399</v>
      </c>
      <c r="C2056" s="40"/>
      <c r="D2056" s="40"/>
      <c r="E2056" s="40"/>
      <c r="F2056" s="40"/>
    </row>
    <row r="2057" spans="1:6" ht="12.75" x14ac:dyDescent="0.2">
      <c r="A2057" s="40"/>
      <c r="B2057" s="41" t="s">
        <v>400</v>
      </c>
      <c r="C2057" s="41" t="s">
        <v>1302</v>
      </c>
      <c r="D2057" s="40"/>
      <c r="E2057" s="40"/>
      <c r="F2057" s="40"/>
    </row>
    <row r="2058" spans="1:6" ht="12.75" x14ac:dyDescent="0.2">
      <c r="A2058" s="40"/>
      <c r="B2058" s="41" t="s">
        <v>401</v>
      </c>
      <c r="C2058" s="40"/>
      <c r="D2058" s="40"/>
      <c r="E2058" s="40"/>
      <c r="F2058" s="40"/>
    </row>
    <row r="2059" spans="1:6" ht="12.75" x14ac:dyDescent="0.2">
      <c r="A2059" s="41" t="s">
        <v>1303</v>
      </c>
      <c r="B2059" s="41" t="s">
        <v>402</v>
      </c>
      <c r="C2059" s="41" t="s">
        <v>1304</v>
      </c>
      <c r="D2059" s="40"/>
      <c r="E2059" s="40"/>
      <c r="F2059" s="40"/>
    </row>
    <row r="2060" spans="1:6" ht="12.75" x14ac:dyDescent="0.2">
      <c r="A2060" s="41" t="s">
        <v>1305</v>
      </c>
      <c r="B2060" s="40"/>
      <c r="C2060" s="40"/>
      <c r="D2060" s="40"/>
      <c r="E2060" s="40"/>
      <c r="F2060" s="40"/>
    </row>
    <row r="2061" spans="1:6" ht="12.75" x14ac:dyDescent="0.2">
      <c r="A2061" s="41" t="s">
        <v>1306</v>
      </c>
      <c r="B2061" s="40"/>
      <c r="C2061" s="40"/>
      <c r="D2061" s="40"/>
      <c r="E2061" s="40"/>
      <c r="F2061" s="40"/>
    </row>
    <row r="2062" spans="1:6" ht="12.75" x14ac:dyDescent="0.2">
      <c r="A2062" s="41" t="s">
        <v>1307</v>
      </c>
      <c r="B2062" s="40"/>
      <c r="C2062" s="40"/>
      <c r="D2062" s="40"/>
      <c r="E2062" s="40"/>
      <c r="F2062" s="40"/>
    </row>
    <row r="2063" spans="1:6" ht="12.75" x14ac:dyDescent="0.2">
      <c r="A2063" s="41" t="s">
        <v>1308</v>
      </c>
      <c r="B2063" s="40"/>
      <c r="C2063" s="40"/>
      <c r="D2063" s="40"/>
      <c r="E2063" s="40"/>
      <c r="F2063" s="40"/>
    </row>
    <row r="2064" spans="1:6" ht="12.75" x14ac:dyDescent="0.2">
      <c r="A2064" s="41" t="s">
        <v>1309</v>
      </c>
      <c r="B2064" s="40"/>
      <c r="C2064" s="40"/>
      <c r="D2064" s="40"/>
      <c r="E2064" s="40"/>
      <c r="F2064" s="40"/>
    </row>
    <row r="2065" spans="1:6" ht="12.75" x14ac:dyDescent="0.2">
      <c r="A2065" s="41" t="s">
        <v>1310</v>
      </c>
      <c r="B2065" s="40"/>
      <c r="C2065" s="40"/>
      <c r="D2065" s="40"/>
      <c r="E2065" s="40"/>
      <c r="F2065" s="40"/>
    </row>
    <row r="2066" spans="1:6" ht="12.75" x14ac:dyDescent="0.2">
      <c r="A2066" s="41" t="s">
        <v>1311</v>
      </c>
      <c r="B2066" s="40"/>
      <c r="C2066" s="40"/>
      <c r="D2066" s="40"/>
      <c r="E2066" s="40"/>
      <c r="F2066" s="40"/>
    </row>
    <row r="2067" spans="1:6" ht="12.75" x14ac:dyDescent="0.2">
      <c r="A2067" s="41" t="s">
        <v>1312</v>
      </c>
      <c r="B2067" s="40"/>
      <c r="C2067" s="40"/>
      <c r="D2067" s="40"/>
      <c r="E2067" s="40"/>
      <c r="F2067" s="40"/>
    </row>
    <row r="2068" spans="1:6" ht="12.75" x14ac:dyDescent="0.2">
      <c r="A2068" s="41" t="s">
        <v>1313</v>
      </c>
      <c r="B2068" s="40"/>
      <c r="C2068" s="40"/>
      <c r="D2068" s="40"/>
      <c r="E2068" s="40"/>
      <c r="F2068" s="40"/>
    </row>
    <row r="2069" spans="1:6" ht="12.75" x14ac:dyDescent="0.2">
      <c r="A2069" s="40"/>
      <c r="B2069" s="41" t="s">
        <v>403</v>
      </c>
      <c r="C2069" s="41" t="s">
        <v>25</v>
      </c>
      <c r="D2069" s="41" t="s">
        <v>27</v>
      </c>
      <c r="E2069" s="40"/>
      <c r="F2069" s="40"/>
    </row>
    <row r="2070" spans="1:6" ht="12.75" x14ac:dyDescent="0.2">
      <c r="A2070" s="40"/>
      <c r="B2070" s="41" t="s">
        <v>403</v>
      </c>
      <c r="C2070" s="41" t="s">
        <v>30</v>
      </c>
      <c r="D2070" s="41" t="s">
        <v>31</v>
      </c>
      <c r="E2070" s="40"/>
      <c r="F2070" s="40"/>
    </row>
    <row r="2071" spans="1:6" ht="12.75" x14ac:dyDescent="0.2">
      <c r="A2071" s="40"/>
      <c r="B2071" s="41" t="s">
        <v>403</v>
      </c>
      <c r="C2071" s="41" t="s">
        <v>41</v>
      </c>
      <c r="D2071" s="41" t="s">
        <v>10</v>
      </c>
      <c r="E2071" s="40"/>
      <c r="F2071" s="40"/>
    </row>
    <row r="2072" spans="1:6" ht="12.75" x14ac:dyDescent="0.2">
      <c r="A2072" s="40"/>
      <c r="B2072" s="40"/>
      <c r="C2072" s="40"/>
      <c r="D2072" s="40"/>
      <c r="E2072" s="40"/>
      <c r="F2072" s="40"/>
    </row>
    <row r="2073" spans="1:6" ht="12.75" x14ac:dyDescent="0.2">
      <c r="A2073" s="41" t="s">
        <v>1314</v>
      </c>
      <c r="B2073" s="40"/>
      <c r="C2073" s="40"/>
      <c r="D2073" s="40"/>
      <c r="E2073" s="40"/>
      <c r="F2073" s="40"/>
    </row>
    <row r="2074" spans="1:6" ht="12.75" x14ac:dyDescent="0.2">
      <c r="A2074" s="40"/>
      <c r="B2074" s="41" t="s">
        <v>398</v>
      </c>
      <c r="C2074" s="40"/>
      <c r="D2074" s="40"/>
      <c r="E2074" s="40"/>
      <c r="F2074" s="40"/>
    </row>
    <row r="2075" spans="1:6" ht="12.75" x14ac:dyDescent="0.2">
      <c r="A2075" s="40"/>
      <c r="B2075" s="41" t="s">
        <v>399</v>
      </c>
      <c r="C2075" s="40"/>
      <c r="D2075" s="40"/>
      <c r="E2075" s="40"/>
      <c r="F2075" s="40"/>
    </row>
    <row r="2076" spans="1:6" ht="12.75" x14ac:dyDescent="0.2">
      <c r="A2076" s="40"/>
      <c r="B2076" s="41" t="s">
        <v>400</v>
      </c>
      <c r="C2076" s="41" t="s">
        <v>1314</v>
      </c>
      <c r="D2076" s="40"/>
      <c r="E2076" s="40"/>
      <c r="F2076" s="40"/>
    </row>
    <row r="2077" spans="1:6" ht="12.75" x14ac:dyDescent="0.2">
      <c r="A2077" s="40"/>
      <c r="B2077" s="41" t="s">
        <v>401</v>
      </c>
      <c r="C2077" s="40"/>
      <c r="D2077" s="40"/>
      <c r="E2077" s="40"/>
      <c r="F2077" s="40"/>
    </row>
    <row r="2078" spans="1:6" ht="12.75" x14ac:dyDescent="0.2">
      <c r="A2078" s="41" t="s">
        <v>1315</v>
      </c>
      <c r="B2078" s="41" t="s">
        <v>402</v>
      </c>
      <c r="C2078" s="41" t="s">
        <v>1316</v>
      </c>
      <c r="D2078" s="40"/>
      <c r="E2078" s="40"/>
      <c r="F2078" s="40"/>
    </row>
    <row r="2079" spans="1:6" ht="12.75" x14ac:dyDescent="0.2">
      <c r="A2079" s="41" t="s">
        <v>1317</v>
      </c>
      <c r="B2079" s="40"/>
      <c r="C2079" s="40"/>
      <c r="D2079" s="40"/>
      <c r="E2079" s="40"/>
      <c r="F2079" s="40"/>
    </row>
    <row r="2080" spans="1:6" ht="12.75" x14ac:dyDescent="0.2">
      <c r="A2080" s="41" t="s">
        <v>1318</v>
      </c>
      <c r="B2080" s="40"/>
      <c r="C2080" s="40"/>
      <c r="D2080" s="40"/>
      <c r="E2080" s="40"/>
      <c r="F2080" s="40"/>
    </row>
    <row r="2081" spans="1:6" ht="12.75" x14ac:dyDescent="0.2">
      <c r="A2081" s="41" t="s">
        <v>1319</v>
      </c>
      <c r="B2081" s="40"/>
      <c r="C2081" s="40"/>
      <c r="D2081" s="40"/>
      <c r="E2081" s="40"/>
      <c r="F2081" s="40"/>
    </row>
    <row r="2082" spans="1:6" ht="12.75" x14ac:dyDescent="0.2">
      <c r="A2082" s="40"/>
      <c r="B2082" s="41" t="s">
        <v>422</v>
      </c>
      <c r="C2082" s="41" t="s">
        <v>1320</v>
      </c>
      <c r="D2082" s="41" t="s">
        <v>805</v>
      </c>
      <c r="E2082" s="40"/>
      <c r="F2082" s="40"/>
    </row>
    <row r="2083" spans="1:6" ht="12.75" x14ac:dyDescent="0.2">
      <c r="A2083" s="40"/>
      <c r="B2083" s="41" t="s">
        <v>403</v>
      </c>
      <c r="C2083" s="41" t="s">
        <v>25</v>
      </c>
      <c r="D2083" s="41" t="s">
        <v>27</v>
      </c>
      <c r="E2083" s="40"/>
      <c r="F2083" s="40"/>
    </row>
    <row r="2084" spans="1:6" ht="12.75" x14ac:dyDescent="0.2">
      <c r="A2084" s="40"/>
      <c r="B2084" s="41" t="s">
        <v>403</v>
      </c>
      <c r="C2084" s="41" t="s">
        <v>30</v>
      </c>
      <c r="D2084" s="41" t="s">
        <v>31</v>
      </c>
      <c r="E2084" s="40"/>
      <c r="F2084" s="40"/>
    </row>
    <row r="2085" spans="1:6" ht="12.75" x14ac:dyDescent="0.2">
      <c r="A2085" s="40"/>
      <c r="B2085" s="41" t="s">
        <v>403</v>
      </c>
      <c r="C2085" s="41" t="s">
        <v>41</v>
      </c>
      <c r="D2085" s="41" t="s">
        <v>10</v>
      </c>
      <c r="E2085" s="40"/>
      <c r="F2085" s="40"/>
    </row>
    <row r="2086" spans="1:6" ht="12.75" x14ac:dyDescent="0.2">
      <c r="A2086" s="40"/>
      <c r="B2086" s="40"/>
      <c r="C2086" s="40"/>
      <c r="D2086" s="40"/>
      <c r="E2086" s="40"/>
      <c r="F2086" s="40"/>
    </row>
    <row r="2087" spans="1:6" ht="12.75" x14ac:dyDescent="0.2">
      <c r="A2087" s="41" t="s">
        <v>1321</v>
      </c>
      <c r="B2087" s="40"/>
      <c r="C2087" s="40"/>
      <c r="D2087" s="40"/>
      <c r="E2087" s="40"/>
      <c r="F2087" s="40"/>
    </row>
    <row r="2088" spans="1:6" ht="12.75" x14ac:dyDescent="0.2">
      <c r="A2088" s="40"/>
      <c r="B2088" s="41" t="s">
        <v>398</v>
      </c>
      <c r="C2088" s="40"/>
      <c r="D2088" s="40"/>
      <c r="E2088" s="40"/>
      <c r="F2088" s="40"/>
    </row>
    <row r="2089" spans="1:6" ht="12.75" x14ac:dyDescent="0.2">
      <c r="A2089" s="40"/>
      <c r="B2089" s="41" t="s">
        <v>399</v>
      </c>
      <c r="C2089" s="40"/>
      <c r="D2089" s="40"/>
      <c r="E2089" s="40"/>
      <c r="F2089" s="40"/>
    </row>
    <row r="2090" spans="1:6" ht="12.75" x14ac:dyDescent="0.2">
      <c r="A2090" s="40"/>
      <c r="B2090" s="41" t="s">
        <v>400</v>
      </c>
      <c r="C2090" s="41" t="s">
        <v>1321</v>
      </c>
      <c r="D2090" s="40"/>
      <c r="E2090" s="40"/>
      <c r="F2090" s="40"/>
    </row>
    <row r="2091" spans="1:6" ht="12.75" x14ac:dyDescent="0.2">
      <c r="A2091" s="40"/>
      <c r="B2091" s="41" t="s">
        <v>401</v>
      </c>
      <c r="C2091" s="40"/>
      <c r="D2091" s="40"/>
      <c r="E2091" s="40"/>
      <c r="F2091" s="40"/>
    </row>
    <row r="2092" spans="1:6" ht="12.75" x14ac:dyDescent="0.2">
      <c r="A2092" s="41" t="s">
        <v>1317</v>
      </c>
      <c r="B2092" s="41" t="s">
        <v>402</v>
      </c>
      <c r="C2092" s="41" t="s">
        <v>1322</v>
      </c>
      <c r="D2092" s="40"/>
      <c r="E2092" s="40"/>
      <c r="F2092" s="40"/>
    </row>
    <row r="2093" spans="1:6" ht="12.75" x14ac:dyDescent="0.2">
      <c r="A2093" s="41" t="s">
        <v>1323</v>
      </c>
      <c r="B2093" s="40"/>
      <c r="C2093" s="40"/>
      <c r="D2093" s="40"/>
      <c r="E2093" s="40"/>
      <c r="F2093" s="40"/>
    </row>
    <row r="2094" spans="1:6" ht="12.75" x14ac:dyDescent="0.2">
      <c r="A2094" s="41" t="s">
        <v>1324</v>
      </c>
      <c r="B2094" s="40"/>
      <c r="C2094" s="40"/>
      <c r="D2094" s="40"/>
      <c r="E2094" s="40"/>
      <c r="F2094" s="40"/>
    </row>
    <row r="2095" spans="1:6" ht="12.75" x14ac:dyDescent="0.2">
      <c r="A2095" s="41" t="s">
        <v>1325</v>
      </c>
      <c r="B2095" s="40"/>
      <c r="C2095" s="40"/>
      <c r="D2095" s="40"/>
      <c r="E2095" s="40"/>
      <c r="F2095" s="40"/>
    </row>
    <row r="2096" spans="1:6" ht="12.75" x14ac:dyDescent="0.2">
      <c r="A2096" s="41" t="s">
        <v>1326</v>
      </c>
      <c r="B2096" s="40"/>
      <c r="C2096" s="40"/>
      <c r="D2096" s="40"/>
      <c r="E2096" s="40"/>
      <c r="F2096" s="40"/>
    </row>
    <row r="2097" spans="1:6" ht="12.75" x14ac:dyDescent="0.2">
      <c r="A2097" s="41" t="s">
        <v>1327</v>
      </c>
      <c r="B2097" s="40"/>
      <c r="C2097" s="40"/>
      <c r="D2097" s="40"/>
      <c r="E2097" s="40"/>
      <c r="F2097" s="40"/>
    </row>
    <row r="2098" spans="1:6" ht="12.75" x14ac:dyDescent="0.2">
      <c r="A2098" s="41" t="s">
        <v>1328</v>
      </c>
      <c r="B2098" s="40"/>
      <c r="C2098" s="40"/>
      <c r="D2098" s="40"/>
      <c r="E2098" s="40"/>
      <c r="F2098" s="40"/>
    </row>
    <row r="2099" spans="1:6" ht="12.75" x14ac:dyDescent="0.2">
      <c r="A2099" s="40"/>
      <c r="B2099" s="41" t="s">
        <v>403</v>
      </c>
      <c r="C2099" s="41" t="s">
        <v>25</v>
      </c>
      <c r="D2099" s="41" t="s">
        <v>27</v>
      </c>
      <c r="E2099" s="40"/>
      <c r="F2099" s="40"/>
    </row>
    <row r="2100" spans="1:6" ht="12.75" x14ac:dyDescent="0.2">
      <c r="A2100" s="40"/>
      <c r="B2100" s="41" t="s">
        <v>403</v>
      </c>
      <c r="C2100" s="41" t="s">
        <v>30</v>
      </c>
      <c r="D2100" s="41" t="s">
        <v>31</v>
      </c>
      <c r="E2100" s="40"/>
      <c r="F2100" s="40"/>
    </row>
    <row r="2101" spans="1:6" ht="12.75" x14ac:dyDescent="0.2">
      <c r="A2101" s="40"/>
      <c r="B2101" s="41" t="s">
        <v>403</v>
      </c>
      <c r="C2101" s="41" t="s">
        <v>41</v>
      </c>
      <c r="D2101" s="41" t="s">
        <v>10</v>
      </c>
      <c r="E2101" s="40"/>
      <c r="F2101" s="40"/>
    </row>
    <row r="2102" spans="1:6" ht="12.75" x14ac:dyDescent="0.2">
      <c r="A2102" s="40"/>
      <c r="B2102" s="40"/>
      <c r="C2102" s="40"/>
      <c r="D2102" s="40"/>
      <c r="E2102" s="40"/>
      <c r="F2102" s="40"/>
    </row>
    <row r="2103" spans="1:6" ht="12.75" x14ac:dyDescent="0.2">
      <c r="A2103" s="41" t="s">
        <v>1329</v>
      </c>
      <c r="B2103" s="40"/>
      <c r="C2103" s="40"/>
      <c r="D2103" s="40"/>
      <c r="E2103" s="40"/>
      <c r="F2103" s="40"/>
    </row>
    <row r="2104" spans="1:6" ht="12.75" x14ac:dyDescent="0.2">
      <c r="A2104" s="40"/>
      <c r="B2104" s="41" t="s">
        <v>398</v>
      </c>
      <c r="C2104" s="40"/>
      <c r="D2104" s="40"/>
      <c r="E2104" s="40"/>
      <c r="F2104" s="40"/>
    </row>
    <row r="2105" spans="1:6" ht="12.75" x14ac:dyDescent="0.2">
      <c r="A2105" s="40"/>
      <c r="B2105" s="41" t="s">
        <v>399</v>
      </c>
      <c r="C2105" s="40"/>
      <c r="D2105" s="40"/>
      <c r="E2105" s="40"/>
      <c r="F2105" s="40"/>
    </row>
    <row r="2106" spans="1:6" ht="12.75" x14ac:dyDescent="0.2">
      <c r="A2106" s="40"/>
      <c r="B2106" s="41" t="s">
        <v>400</v>
      </c>
      <c r="C2106" s="41" t="s">
        <v>1329</v>
      </c>
      <c r="D2106" s="40"/>
      <c r="E2106" s="40"/>
      <c r="F2106" s="40"/>
    </row>
    <row r="2107" spans="1:6" ht="12.75" x14ac:dyDescent="0.2">
      <c r="A2107" s="40"/>
      <c r="B2107" s="41" t="s">
        <v>401</v>
      </c>
      <c r="C2107" s="40"/>
      <c r="D2107" s="40"/>
      <c r="E2107" s="40"/>
      <c r="F2107" s="40"/>
    </row>
    <row r="2108" spans="1:6" ht="12.75" x14ac:dyDescent="0.2">
      <c r="A2108" s="41" t="s">
        <v>1330</v>
      </c>
      <c r="B2108" s="41" t="s">
        <v>402</v>
      </c>
      <c r="C2108" s="41" t="s">
        <v>1331</v>
      </c>
      <c r="D2108" s="40"/>
      <c r="E2108" s="40"/>
      <c r="F2108" s="40"/>
    </row>
    <row r="2109" spans="1:6" ht="12.75" x14ac:dyDescent="0.2">
      <c r="A2109" s="41" t="s">
        <v>1332</v>
      </c>
      <c r="B2109" s="40"/>
      <c r="C2109" s="40"/>
      <c r="D2109" s="40"/>
      <c r="E2109" s="40"/>
      <c r="F2109" s="40"/>
    </row>
    <row r="2110" spans="1:6" ht="12.75" x14ac:dyDescent="0.2">
      <c r="A2110" s="41" t="s">
        <v>1333</v>
      </c>
      <c r="B2110" s="40"/>
      <c r="C2110" s="40"/>
      <c r="D2110" s="40"/>
      <c r="E2110" s="40"/>
      <c r="F2110" s="40"/>
    </row>
    <row r="2111" spans="1:6" ht="12.75" x14ac:dyDescent="0.2">
      <c r="A2111" s="41" t="s">
        <v>1334</v>
      </c>
      <c r="B2111" s="40"/>
      <c r="C2111" s="40"/>
      <c r="D2111" s="40"/>
      <c r="E2111" s="40"/>
      <c r="F2111" s="40"/>
    </row>
    <row r="2112" spans="1:6" ht="12.75" x14ac:dyDescent="0.2">
      <c r="A2112" s="41" t="s">
        <v>1335</v>
      </c>
      <c r="B2112" s="40"/>
      <c r="C2112" s="40"/>
      <c r="D2112" s="40"/>
      <c r="E2112" s="40"/>
      <c r="F2112" s="40"/>
    </row>
    <row r="2113" spans="1:6" ht="12.75" x14ac:dyDescent="0.2">
      <c r="A2113" s="41" t="s">
        <v>1336</v>
      </c>
      <c r="B2113" s="40"/>
      <c r="C2113" s="40"/>
      <c r="D2113" s="40"/>
      <c r="E2113" s="40"/>
      <c r="F2113" s="40"/>
    </row>
    <row r="2114" spans="1:6" ht="12.75" x14ac:dyDescent="0.2">
      <c r="A2114" s="41" t="s">
        <v>1337</v>
      </c>
      <c r="B2114" s="40"/>
      <c r="C2114" s="40"/>
      <c r="D2114" s="40"/>
      <c r="E2114" s="40"/>
      <c r="F2114" s="40"/>
    </row>
    <row r="2115" spans="1:6" ht="12.75" x14ac:dyDescent="0.2">
      <c r="A2115" s="40"/>
      <c r="B2115" s="40"/>
      <c r="C2115" s="40"/>
      <c r="D2115" s="40"/>
      <c r="E2115" s="40"/>
      <c r="F2115" s="40"/>
    </row>
    <row r="2116" spans="1:6" ht="12.75" x14ac:dyDescent="0.2">
      <c r="A2116" s="41" t="s">
        <v>1338</v>
      </c>
      <c r="B2116" s="40"/>
      <c r="C2116" s="40"/>
      <c r="D2116" s="40"/>
      <c r="E2116" s="40"/>
      <c r="F2116" s="40"/>
    </row>
    <row r="2117" spans="1:6" ht="12.75" x14ac:dyDescent="0.2">
      <c r="A2117" s="40"/>
      <c r="B2117" s="41" t="s">
        <v>398</v>
      </c>
      <c r="C2117" s="40"/>
      <c r="D2117" s="40"/>
      <c r="E2117" s="40"/>
      <c r="F2117" s="40"/>
    </row>
    <row r="2118" spans="1:6" ht="12.75" x14ac:dyDescent="0.2">
      <c r="A2118" s="40"/>
      <c r="B2118" s="41" t="s">
        <v>399</v>
      </c>
      <c r="C2118" s="40"/>
      <c r="D2118" s="40"/>
      <c r="E2118" s="40"/>
      <c r="F2118" s="40"/>
    </row>
    <row r="2119" spans="1:6" ht="12.75" x14ac:dyDescent="0.2">
      <c r="A2119" s="40"/>
      <c r="B2119" s="41" t="s">
        <v>400</v>
      </c>
      <c r="C2119" s="41" t="s">
        <v>1338</v>
      </c>
      <c r="D2119" s="40"/>
      <c r="E2119" s="40"/>
      <c r="F2119" s="40"/>
    </row>
    <row r="2120" spans="1:6" ht="12.75" x14ac:dyDescent="0.2">
      <c r="A2120" s="40"/>
      <c r="B2120" s="41" t="s">
        <v>401</v>
      </c>
      <c r="C2120" s="40"/>
      <c r="D2120" s="40"/>
      <c r="E2120" s="40"/>
      <c r="F2120" s="40"/>
    </row>
    <row r="2121" spans="1:6" ht="12.75" x14ac:dyDescent="0.2">
      <c r="A2121" s="41" t="s">
        <v>1339</v>
      </c>
      <c r="B2121" s="41" t="s">
        <v>402</v>
      </c>
      <c r="C2121" s="41" t="s">
        <v>1340</v>
      </c>
      <c r="D2121" s="40"/>
      <c r="E2121" s="40"/>
      <c r="F2121" s="40"/>
    </row>
    <row r="2122" spans="1:6" ht="12.75" x14ac:dyDescent="0.2">
      <c r="A2122" s="41" t="s">
        <v>1341</v>
      </c>
      <c r="B2122" s="40"/>
      <c r="C2122" s="40"/>
      <c r="D2122" s="40"/>
      <c r="E2122" s="40"/>
      <c r="F2122" s="40"/>
    </row>
    <row r="2123" spans="1:6" ht="12.75" x14ac:dyDescent="0.2">
      <c r="A2123" s="41" t="s">
        <v>1342</v>
      </c>
      <c r="B2123" s="40"/>
      <c r="C2123" s="40"/>
      <c r="D2123" s="40"/>
      <c r="E2123" s="40"/>
      <c r="F2123" s="40"/>
    </row>
    <row r="2124" spans="1:6" ht="12.75" x14ac:dyDescent="0.2">
      <c r="A2124" s="41" t="s">
        <v>1343</v>
      </c>
      <c r="B2124" s="40"/>
      <c r="C2124" s="40"/>
      <c r="D2124" s="40"/>
      <c r="E2124" s="40"/>
      <c r="F2124" s="40"/>
    </row>
    <row r="2125" spans="1:6" ht="12.75" x14ac:dyDescent="0.2">
      <c r="A2125" s="41" t="s">
        <v>1344</v>
      </c>
      <c r="B2125" s="40"/>
      <c r="C2125" s="40"/>
      <c r="D2125" s="40"/>
      <c r="E2125" s="40"/>
      <c r="F2125" s="40"/>
    </row>
    <row r="2126" spans="1:6" ht="12.75" x14ac:dyDescent="0.2">
      <c r="A2126" s="41" t="s">
        <v>1345</v>
      </c>
      <c r="B2126" s="40"/>
      <c r="C2126" s="40"/>
      <c r="D2126" s="40"/>
      <c r="E2126" s="40"/>
      <c r="F2126" s="40"/>
    </row>
    <row r="2127" spans="1:6" ht="12.75" x14ac:dyDescent="0.2">
      <c r="A2127" s="41" t="s">
        <v>1346</v>
      </c>
      <c r="B2127" s="40"/>
      <c r="C2127" s="40"/>
      <c r="D2127" s="40"/>
      <c r="E2127" s="40"/>
      <c r="F2127" s="40"/>
    </row>
    <row r="2128" spans="1:6" ht="12.75" x14ac:dyDescent="0.2">
      <c r="A2128" s="41" t="s">
        <v>1347</v>
      </c>
      <c r="B2128" s="40"/>
      <c r="C2128" s="40"/>
      <c r="D2128" s="40"/>
      <c r="E2128" s="40"/>
      <c r="F2128" s="40"/>
    </row>
    <row r="2129" spans="1:6" ht="12.75" x14ac:dyDescent="0.2">
      <c r="A2129" s="41" t="s">
        <v>1348</v>
      </c>
      <c r="B2129" s="40"/>
      <c r="C2129" s="40"/>
      <c r="D2129" s="40"/>
      <c r="E2129" s="40"/>
      <c r="F2129" s="40"/>
    </row>
    <row r="2130" spans="1:6" ht="12.75" x14ac:dyDescent="0.2">
      <c r="A2130" s="41" t="s">
        <v>1349</v>
      </c>
      <c r="B2130" s="40"/>
      <c r="C2130" s="40"/>
      <c r="D2130" s="40"/>
      <c r="E2130" s="40"/>
      <c r="F2130" s="40"/>
    </row>
    <row r="2131" spans="1:6" ht="12.75" x14ac:dyDescent="0.2">
      <c r="A2131" s="40"/>
      <c r="B2131" s="40"/>
      <c r="C2131" s="40"/>
      <c r="D2131" s="40"/>
      <c r="E2131" s="40"/>
      <c r="F2131" s="40"/>
    </row>
    <row r="2132" spans="1:6" ht="12.75" x14ac:dyDescent="0.2">
      <c r="A2132" s="41" t="s">
        <v>1350</v>
      </c>
      <c r="B2132" s="40"/>
      <c r="C2132" s="40"/>
      <c r="D2132" s="40"/>
      <c r="E2132" s="40"/>
      <c r="F2132" s="40"/>
    </row>
    <row r="2133" spans="1:6" ht="12.75" x14ac:dyDescent="0.2">
      <c r="A2133" s="40"/>
      <c r="B2133" s="41" t="s">
        <v>398</v>
      </c>
      <c r="C2133" s="40"/>
      <c r="D2133" s="40"/>
      <c r="E2133" s="40"/>
      <c r="F2133" s="40"/>
    </row>
    <row r="2134" spans="1:6" ht="12.75" x14ac:dyDescent="0.2">
      <c r="A2134" s="40"/>
      <c r="B2134" s="41" t="s">
        <v>399</v>
      </c>
      <c r="C2134" s="40"/>
      <c r="D2134" s="40"/>
      <c r="E2134" s="40"/>
      <c r="F2134" s="40"/>
    </row>
    <row r="2135" spans="1:6" ht="12.75" x14ac:dyDescent="0.2">
      <c r="A2135" s="40"/>
      <c r="B2135" s="41" t="s">
        <v>400</v>
      </c>
      <c r="C2135" s="41" t="s">
        <v>1350</v>
      </c>
      <c r="D2135" s="40"/>
      <c r="E2135" s="40"/>
      <c r="F2135" s="40"/>
    </row>
    <row r="2136" spans="1:6" ht="12.75" x14ac:dyDescent="0.2">
      <c r="A2136" s="40"/>
      <c r="B2136" s="41" t="s">
        <v>401</v>
      </c>
      <c r="C2136" s="40"/>
      <c r="D2136" s="40"/>
      <c r="E2136" s="40"/>
      <c r="F2136" s="40"/>
    </row>
    <row r="2137" spans="1:6" ht="12.75" x14ac:dyDescent="0.2">
      <c r="A2137" s="41" t="s">
        <v>1351</v>
      </c>
      <c r="B2137" s="41" t="s">
        <v>402</v>
      </c>
      <c r="C2137" s="41" t="s">
        <v>1352</v>
      </c>
      <c r="D2137" s="40"/>
      <c r="E2137" s="40"/>
      <c r="F2137" s="40"/>
    </row>
    <row r="2138" spans="1:6" ht="12.75" x14ac:dyDescent="0.2">
      <c r="A2138" s="41" t="s">
        <v>1353</v>
      </c>
      <c r="B2138" s="40"/>
      <c r="C2138" s="40"/>
      <c r="D2138" s="40"/>
      <c r="E2138" s="40"/>
      <c r="F2138" s="40"/>
    </row>
    <row r="2139" spans="1:6" ht="12.75" x14ac:dyDescent="0.2">
      <c r="A2139" s="41" t="s">
        <v>1354</v>
      </c>
      <c r="B2139" s="40"/>
      <c r="C2139" s="40"/>
      <c r="D2139" s="40"/>
      <c r="E2139" s="40"/>
      <c r="F2139" s="40"/>
    </row>
    <row r="2140" spans="1:6" ht="12.75" x14ac:dyDescent="0.2">
      <c r="A2140" s="41" t="s">
        <v>1355</v>
      </c>
      <c r="B2140" s="40"/>
      <c r="C2140" s="40"/>
      <c r="D2140" s="40"/>
      <c r="E2140" s="40"/>
      <c r="F2140" s="40"/>
    </row>
    <row r="2141" spans="1:6" ht="12.75" x14ac:dyDescent="0.2">
      <c r="A2141" s="41" t="s">
        <v>1356</v>
      </c>
      <c r="B2141" s="40"/>
      <c r="C2141" s="40"/>
      <c r="D2141" s="40"/>
      <c r="E2141" s="40"/>
      <c r="F2141" s="40"/>
    </row>
    <row r="2142" spans="1:6" ht="12.75" x14ac:dyDescent="0.2">
      <c r="A2142" s="41" t="s">
        <v>1357</v>
      </c>
      <c r="B2142" s="40"/>
      <c r="C2142" s="40"/>
      <c r="D2142" s="40"/>
      <c r="E2142" s="40"/>
      <c r="F2142" s="40"/>
    </row>
    <row r="2143" spans="1:6" ht="12.75" x14ac:dyDescent="0.2">
      <c r="A2143" s="41" t="s">
        <v>1358</v>
      </c>
      <c r="B2143" s="40"/>
      <c r="C2143" s="40"/>
      <c r="D2143" s="40"/>
      <c r="E2143" s="40"/>
      <c r="F2143" s="40"/>
    </row>
    <row r="2144" spans="1:6" ht="12.75" x14ac:dyDescent="0.2">
      <c r="A2144" s="40"/>
      <c r="B2144" s="40"/>
      <c r="C2144" s="40"/>
      <c r="D2144" s="40"/>
      <c r="E2144" s="40"/>
      <c r="F2144" s="40"/>
    </row>
    <row r="2145" spans="1:6" ht="12.75" x14ac:dyDescent="0.2">
      <c r="A2145" s="41" t="s">
        <v>1359</v>
      </c>
      <c r="B2145" s="40"/>
      <c r="C2145" s="40"/>
      <c r="D2145" s="40"/>
      <c r="E2145" s="40"/>
      <c r="F2145" s="40"/>
    </row>
    <row r="2146" spans="1:6" ht="12.75" x14ac:dyDescent="0.2">
      <c r="A2146" s="40"/>
      <c r="B2146" s="41" t="s">
        <v>398</v>
      </c>
      <c r="C2146" s="40"/>
      <c r="D2146" s="40"/>
      <c r="E2146" s="40"/>
      <c r="F2146" s="40"/>
    </row>
    <row r="2147" spans="1:6" ht="12.75" x14ac:dyDescent="0.2">
      <c r="A2147" s="40"/>
      <c r="B2147" s="41" t="s">
        <v>399</v>
      </c>
      <c r="C2147" s="40"/>
      <c r="D2147" s="40"/>
      <c r="E2147" s="40"/>
      <c r="F2147" s="40"/>
    </row>
    <row r="2148" spans="1:6" ht="12.75" x14ac:dyDescent="0.2">
      <c r="A2148" s="40"/>
      <c r="B2148" s="41" t="s">
        <v>400</v>
      </c>
      <c r="C2148" s="41" t="s">
        <v>1359</v>
      </c>
      <c r="D2148" s="40"/>
      <c r="E2148" s="40"/>
      <c r="F2148" s="40"/>
    </row>
    <row r="2149" spans="1:6" ht="12.75" x14ac:dyDescent="0.2">
      <c r="A2149" s="40"/>
      <c r="B2149" s="41" t="s">
        <v>401</v>
      </c>
      <c r="C2149" s="40"/>
      <c r="D2149" s="40"/>
      <c r="E2149" s="40"/>
      <c r="F2149" s="40"/>
    </row>
    <row r="2150" spans="1:6" ht="12.75" x14ac:dyDescent="0.2">
      <c r="A2150" s="41" t="s">
        <v>1360</v>
      </c>
      <c r="B2150" s="41" t="s">
        <v>402</v>
      </c>
      <c r="C2150" s="41" t="s">
        <v>1361</v>
      </c>
      <c r="D2150" s="40"/>
      <c r="E2150" s="40"/>
      <c r="F2150" s="40"/>
    </row>
    <row r="2151" spans="1:6" ht="12.75" x14ac:dyDescent="0.2">
      <c r="A2151" s="41" t="s">
        <v>1362</v>
      </c>
      <c r="B2151" s="40"/>
      <c r="C2151" s="40"/>
      <c r="D2151" s="40"/>
      <c r="E2151" s="40"/>
      <c r="F2151" s="40"/>
    </row>
    <row r="2152" spans="1:6" ht="12.75" x14ac:dyDescent="0.2">
      <c r="A2152" s="41" t="s">
        <v>1363</v>
      </c>
      <c r="B2152" s="40"/>
      <c r="C2152" s="40"/>
      <c r="D2152" s="40"/>
      <c r="E2152" s="40"/>
      <c r="F2152" s="40"/>
    </row>
    <row r="2153" spans="1:6" ht="12.75" x14ac:dyDescent="0.2">
      <c r="A2153" s="41" t="s">
        <v>1364</v>
      </c>
      <c r="B2153" s="40"/>
      <c r="C2153" s="40"/>
      <c r="D2153" s="40"/>
      <c r="E2153" s="40"/>
      <c r="F2153" s="40"/>
    </row>
    <row r="2154" spans="1:6" ht="12.75" x14ac:dyDescent="0.2">
      <c r="A2154" s="41" t="s">
        <v>1365</v>
      </c>
      <c r="B2154" s="40"/>
      <c r="C2154" s="40"/>
      <c r="D2154" s="40"/>
      <c r="E2154" s="40"/>
      <c r="F2154" s="40"/>
    </row>
    <row r="2155" spans="1:6" ht="12.75" x14ac:dyDescent="0.2">
      <c r="A2155" s="41" t="s">
        <v>1366</v>
      </c>
      <c r="B2155" s="40"/>
      <c r="C2155" s="40"/>
      <c r="D2155" s="40"/>
      <c r="E2155" s="40"/>
      <c r="F2155" s="40"/>
    </row>
    <row r="2156" spans="1:6" ht="12.75" x14ac:dyDescent="0.2">
      <c r="A2156" s="41" t="s">
        <v>1367</v>
      </c>
      <c r="B2156" s="40"/>
      <c r="C2156" s="40"/>
      <c r="D2156" s="40"/>
      <c r="E2156" s="40"/>
      <c r="F2156" s="40"/>
    </row>
    <row r="2157" spans="1:6" ht="12.75" x14ac:dyDescent="0.2">
      <c r="A2157" s="41" t="s">
        <v>1368</v>
      </c>
      <c r="B2157" s="40"/>
      <c r="C2157" s="40"/>
      <c r="D2157" s="40"/>
      <c r="E2157" s="40"/>
      <c r="F2157" s="40"/>
    </row>
    <row r="2158" spans="1:6" ht="12.75" x14ac:dyDescent="0.2">
      <c r="A2158" s="41" t="s">
        <v>1369</v>
      </c>
      <c r="B2158" s="40"/>
      <c r="C2158" s="40"/>
      <c r="D2158" s="40"/>
      <c r="E2158" s="40"/>
      <c r="F2158" s="40"/>
    </row>
    <row r="2159" spans="1:6" ht="12.75" x14ac:dyDescent="0.2">
      <c r="A2159" s="41" t="s">
        <v>1370</v>
      </c>
      <c r="B2159" s="40"/>
      <c r="C2159" s="40"/>
      <c r="D2159" s="40"/>
      <c r="E2159" s="40"/>
      <c r="F2159" s="40"/>
    </row>
    <row r="2160" spans="1:6" ht="12.75" x14ac:dyDescent="0.2">
      <c r="A2160" s="40"/>
      <c r="B2160" s="40"/>
      <c r="C2160" s="40"/>
      <c r="D2160" s="40"/>
      <c r="E2160" s="40"/>
      <c r="F2160" s="40"/>
    </row>
    <row r="2161" spans="1:6" ht="12.75" x14ac:dyDescent="0.2">
      <c r="A2161" s="41" t="s">
        <v>1371</v>
      </c>
      <c r="B2161" s="40"/>
      <c r="C2161" s="40"/>
      <c r="D2161" s="40"/>
      <c r="E2161" s="40"/>
      <c r="F2161" s="40"/>
    </row>
    <row r="2162" spans="1:6" ht="12.75" x14ac:dyDescent="0.2">
      <c r="A2162" s="40"/>
      <c r="B2162" s="41" t="s">
        <v>398</v>
      </c>
      <c r="C2162" s="40"/>
      <c r="D2162" s="40"/>
      <c r="E2162" s="40"/>
      <c r="F2162" s="40"/>
    </row>
    <row r="2163" spans="1:6" ht="12.75" x14ac:dyDescent="0.2">
      <c r="A2163" s="40"/>
      <c r="B2163" s="41" t="s">
        <v>399</v>
      </c>
      <c r="C2163" s="40"/>
      <c r="D2163" s="40"/>
      <c r="E2163" s="40"/>
      <c r="F2163" s="40"/>
    </row>
    <row r="2164" spans="1:6" ht="12.75" x14ac:dyDescent="0.2">
      <c r="A2164" s="40"/>
      <c r="B2164" s="41" t="s">
        <v>400</v>
      </c>
      <c r="C2164" s="41" t="s">
        <v>1371</v>
      </c>
      <c r="D2164" s="40"/>
      <c r="E2164" s="40"/>
      <c r="F2164" s="40"/>
    </row>
    <row r="2165" spans="1:6" ht="12.75" x14ac:dyDescent="0.2">
      <c r="A2165" s="40"/>
      <c r="B2165" s="41" t="s">
        <v>401</v>
      </c>
      <c r="C2165" s="40"/>
      <c r="D2165" s="40"/>
      <c r="E2165" s="40"/>
      <c r="F2165" s="40"/>
    </row>
    <row r="2166" spans="1:6" ht="12.75" x14ac:dyDescent="0.2">
      <c r="A2166" s="41" t="s">
        <v>1372</v>
      </c>
      <c r="B2166" s="41" t="s">
        <v>402</v>
      </c>
      <c r="C2166" s="41" t="s">
        <v>1373</v>
      </c>
      <c r="D2166" s="40"/>
      <c r="E2166" s="40"/>
      <c r="F2166" s="40"/>
    </row>
    <row r="2167" spans="1:6" ht="12.75" x14ac:dyDescent="0.2">
      <c r="A2167" s="41" t="s">
        <v>1374</v>
      </c>
      <c r="B2167" s="40"/>
      <c r="C2167" s="40"/>
      <c r="D2167" s="40"/>
      <c r="E2167" s="40"/>
      <c r="F2167" s="40"/>
    </row>
    <row r="2168" spans="1:6" ht="12.75" x14ac:dyDescent="0.2">
      <c r="A2168" s="41" t="s">
        <v>1375</v>
      </c>
      <c r="B2168" s="40"/>
      <c r="C2168" s="40"/>
      <c r="D2168" s="40"/>
      <c r="E2168" s="40"/>
      <c r="F2168" s="40"/>
    </row>
    <row r="2169" spans="1:6" ht="12.75" x14ac:dyDescent="0.2">
      <c r="A2169" s="41" t="s">
        <v>1376</v>
      </c>
      <c r="B2169" s="40"/>
      <c r="C2169" s="40"/>
      <c r="D2169" s="40"/>
      <c r="E2169" s="40"/>
      <c r="F2169" s="40"/>
    </row>
    <row r="2170" spans="1:6" ht="12.75" x14ac:dyDescent="0.2">
      <c r="A2170" s="40"/>
      <c r="B2170" s="40"/>
      <c r="C2170" s="40"/>
      <c r="D2170" s="40"/>
      <c r="E2170" s="40"/>
      <c r="F2170" s="40"/>
    </row>
    <row r="2171" spans="1:6" ht="12.75" x14ac:dyDescent="0.2">
      <c r="A2171" s="41" t="s">
        <v>1377</v>
      </c>
      <c r="B2171" s="40"/>
      <c r="C2171" s="40"/>
      <c r="D2171" s="40"/>
      <c r="E2171" s="40"/>
      <c r="F2171" s="40"/>
    </row>
    <row r="2172" spans="1:6" ht="12.75" x14ac:dyDescent="0.2">
      <c r="A2172" s="40"/>
      <c r="B2172" s="41" t="s">
        <v>398</v>
      </c>
      <c r="C2172" s="40"/>
      <c r="D2172" s="40"/>
      <c r="E2172" s="40"/>
      <c r="F2172" s="40"/>
    </row>
    <row r="2173" spans="1:6" ht="12.75" x14ac:dyDescent="0.2">
      <c r="A2173" s="40"/>
      <c r="B2173" s="41" t="s">
        <v>399</v>
      </c>
      <c r="C2173" s="40"/>
      <c r="D2173" s="40"/>
      <c r="E2173" s="40"/>
      <c r="F2173" s="40"/>
    </row>
    <row r="2174" spans="1:6" ht="12.75" x14ac:dyDescent="0.2">
      <c r="A2174" s="40"/>
      <c r="B2174" s="41" t="s">
        <v>400</v>
      </c>
      <c r="C2174" s="41" t="s">
        <v>1377</v>
      </c>
      <c r="D2174" s="40"/>
      <c r="E2174" s="40"/>
      <c r="F2174" s="40"/>
    </row>
    <row r="2175" spans="1:6" ht="12.75" x14ac:dyDescent="0.2">
      <c r="A2175" s="40"/>
      <c r="B2175" s="41" t="s">
        <v>401</v>
      </c>
      <c r="C2175" s="40"/>
      <c r="D2175" s="40"/>
      <c r="E2175" s="40"/>
      <c r="F2175" s="40"/>
    </row>
    <row r="2176" spans="1:6" ht="12.75" x14ac:dyDescent="0.2">
      <c r="A2176" s="41" t="s">
        <v>1378</v>
      </c>
      <c r="B2176" s="41" t="s">
        <v>402</v>
      </c>
      <c r="C2176" s="41" t="s">
        <v>1379</v>
      </c>
      <c r="D2176" s="40"/>
      <c r="E2176" s="40"/>
      <c r="F2176" s="40"/>
    </row>
    <row r="2177" spans="1:6" ht="12.75" x14ac:dyDescent="0.2">
      <c r="A2177" s="41" t="s">
        <v>1380</v>
      </c>
      <c r="B2177" s="40"/>
      <c r="C2177" s="40"/>
      <c r="D2177" s="40"/>
      <c r="E2177" s="40"/>
      <c r="F2177" s="40"/>
    </row>
    <row r="2178" spans="1:6" ht="12.75" x14ac:dyDescent="0.2">
      <c r="A2178" s="41" t="s">
        <v>1381</v>
      </c>
      <c r="B2178" s="40"/>
      <c r="C2178" s="40"/>
      <c r="D2178" s="40"/>
      <c r="E2178" s="40"/>
      <c r="F2178" s="40"/>
    </row>
    <row r="2179" spans="1:6" ht="12.75" x14ac:dyDescent="0.2">
      <c r="A2179" s="41" t="s">
        <v>1382</v>
      </c>
      <c r="B2179" s="40"/>
      <c r="C2179" s="40"/>
      <c r="D2179" s="40"/>
      <c r="E2179" s="40"/>
      <c r="F2179" s="40"/>
    </row>
    <row r="2180" spans="1:6" ht="12.75" x14ac:dyDescent="0.2">
      <c r="A2180" s="41" t="s">
        <v>1383</v>
      </c>
      <c r="B2180" s="40"/>
      <c r="C2180" s="40"/>
      <c r="D2180" s="40"/>
      <c r="E2180" s="40"/>
      <c r="F2180" s="40"/>
    </row>
    <row r="2181" spans="1:6" ht="12.75" x14ac:dyDescent="0.2">
      <c r="A2181" s="41" t="s">
        <v>1384</v>
      </c>
      <c r="B2181" s="40"/>
      <c r="C2181" s="40"/>
      <c r="D2181" s="40"/>
      <c r="E2181" s="40"/>
      <c r="F2181" s="40"/>
    </row>
    <row r="2182" spans="1:6" ht="12.75" x14ac:dyDescent="0.2">
      <c r="A2182" s="41" t="s">
        <v>951</v>
      </c>
      <c r="B2182" s="40"/>
      <c r="C2182" s="40"/>
      <c r="D2182" s="40"/>
      <c r="E2182" s="40"/>
      <c r="F2182" s="40"/>
    </row>
    <row r="2183" spans="1:6" ht="12.75" x14ac:dyDescent="0.2">
      <c r="A2183" s="41" t="s">
        <v>1385</v>
      </c>
      <c r="B2183" s="40"/>
      <c r="C2183" s="40"/>
      <c r="D2183" s="40"/>
      <c r="E2183" s="40"/>
      <c r="F2183" s="40"/>
    </row>
    <row r="2184" spans="1:6" ht="12.75" x14ac:dyDescent="0.2">
      <c r="A2184" s="41" t="s">
        <v>1386</v>
      </c>
      <c r="B2184" s="40"/>
      <c r="C2184" s="40"/>
      <c r="D2184" s="40"/>
      <c r="E2184" s="40"/>
      <c r="F2184" s="40"/>
    </row>
    <row r="2185" spans="1:6" ht="12.75" x14ac:dyDescent="0.2">
      <c r="A2185" s="41" t="s">
        <v>1387</v>
      </c>
      <c r="B2185" s="40"/>
      <c r="C2185" s="40"/>
      <c r="D2185" s="40"/>
      <c r="E2185" s="40"/>
      <c r="F2185" s="40"/>
    </row>
    <row r="2186" spans="1:6" ht="12.75" x14ac:dyDescent="0.2">
      <c r="A2186" s="40"/>
      <c r="B2186" s="40"/>
      <c r="C2186" s="40"/>
      <c r="D2186" s="40"/>
      <c r="E2186" s="40"/>
      <c r="F2186" s="40"/>
    </row>
    <row r="2187" spans="1:6" ht="12.75" x14ac:dyDescent="0.2">
      <c r="A2187" s="41" t="s">
        <v>1388</v>
      </c>
      <c r="B2187" s="40"/>
      <c r="C2187" s="40"/>
      <c r="D2187" s="40"/>
      <c r="E2187" s="40"/>
      <c r="F2187" s="40"/>
    </row>
    <row r="2188" spans="1:6" ht="12.75" x14ac:dyDescent="0.2">
      <c r="A2188" s="40"/>
      <c r="B2188" s="41" t="s">
        <v>398</v>
      </c>
      <c r="C2188" s="40"/>
      <c r="D2188" s="40"/>
      <c r="E2188" s="40"/>
      <c r="F2188" s="40"/>
    </row>
    <row r="2189" spans="1:6" ht="12.75" x14ac:dyDescent="0.2">
      <c r="A2189" s="40"/>
      <c r="B2189" s="41" t="s">
        <v>399</v>
      </c>
      <c r="C2189" s="40"/>
      <c r="D2189" s="40"/>
      <c r="E2189" s="40"/>
      <c r="F2189" s="40"/>
    </row>
    <row r="2190" spans="1:6" ht="12.75" x14ac:dyDescent="0.2">
      <c r="A2190" s="40"/>
      <c r="B2190" s="41" t="s">
        <v>400</v>
      </c>
      <c r="C2190" s="41" t="s">
        <v>1388</v>
      </c>
      <c r="D2190" s="40"/>
      <c r="E2190" s="40"/>
      <c r="F2190" s="40"/>
    </row>
    <row r="2191" spans="1:6" ht="12.75" x14ac:dyDescent="0.2">
      <c r="A2191" s="40"/>
      <c r="B2191" s="41" t="s">
        <v>401</v>
      </c>
      <c r="C2191" s="40"/>
      <c r="D2191" s="40"/>
      <c r="E2191" s="40"/>
      <c r="F2191" s="40"/>
    </row>
    <row r="2192" spans="1:6" ht="12.75" x14ac:dyDescent="0.2">
      <c r="A2192" s="41" t="s">
        <v>1389</v>
      </c>
      <c r="B2192" s="41" t="s">
        <v>402</v>
      </c>
      <c r="C2192" s="41" t="s">
        <v>1390</v>
      </c>
      <c r="D2192" s="40"/>
      <c r="E2192" s="40"/>
      <c r="F2192" s="40"/>
    </row>
    <row r="2193" spans="1:6" ht="12.75" x14ac:dyDescent="0.2">
      <c r="A2193" s="41" t="s">
        <v>1391</v>
      </c>
      <c r="B2193" s="40"/>
      <c r="C2193" s="40"/>
      <c r="D2193" s="40"/>
      <c r="E2193" s="40"/>
      <c r="F2193" s="40"/>
    </row>
    <row r="2194" spans="1:6" ht="12.75" x14ac:dyDescent="0.2">
      <c r="A2194" s="41" t="s">
        <v>1392</v>
      </c>
      <c r="B2194" s="40"/>
      <c r="C2194" s="40"/>
      <c r="D2194" s="40"/>
      <c r="E2194" s="40"/>
      <c r="F2194" s="40"/>
    </row>
    <row r="2195" spans="1:6" ht="12.75" x14ac:dyDescent="0.2">
      <c r="A2195" s="41" t="s">
        <v>1393</v>
      </c>
      <c r="B2195" s="40"/>
      <c r="C2195" s="40"/>
      <c r="D2195" s="40"/>
      <c r="E2195" s="40"/>
      <c r="F2195" s="40"/>
    </row>
    <row r="2196" spans="1:6" ht="12.75" x14ac:dyDescent="0.2">
      <c r="A2196" s="41" t="s">
        <v>1394</v>
      </c>
      <c r="B2196" s="40"/>
      <c r="C2196" s="40"/>
      <c r="D2196" s="40"/>
      <c r="E2196" s="40"/>
      <c r="F2196" s="40"/>
    </row>
    <row r="2197" spans="1:6" ht="12.75" x14ac:dyDescent="0.2">
      <c r="A2197" s="41" t="s">
        <v>1395</v>
      </c>
      <c r="B2197" s="40"/>
      <c r="C2197" s="40"/>
      <c r="D2197" s="40"/>
      <c r="E2197" s="40"/>
      <c r="F2197" s="40"/>
    </row>
    <row r="2198" spans="1:6" ht="12.75" x14ac:dyDescent="0.2">
      <c r="A2198" s="41" t="s">
        <v>1396</v>
      </c>
      <c r="B2198" s="40"/>
      <c r="C2198" s="40"/>
      <c r="D2198" s="40"/>
      <c r="E2198" s="40"/>
      <c r="F2198" s="40"/>
    </row>
    <row r="2199" spans="1:6" ht="12.75" x14ac:dyDescent="0.2">
      <c r="A2199" s="41" t="s">
        <v>1397</v>
      </c>
      <c r="B2199" s="40"/>
      <c r="C2199" s="40"/>
      <c r="D2199" s="40"/>
      <c r="E2199" s="40"/>
      <c r="F2199" s="40"/>
    </row>
    <row r="2200" spans="1:6" ht="12.75" x14ac:dyDescent="0.2">
      <c r="A2200" s="40"/>
      <c r="B2200" s="40"/>
      <c r="C2200" s="40"/>
      <c r="D2200" s="40"/>
      <c r="E2200" s="40"/>
      <c r="F2200" s="40"/>
    </row>
    <row r="2201" spans="1:6" ht="12.75" x14ac:dyDescent="0.2">
      <c r="A2201" s="41" t="s">
        <v>1398</v>
      </c>
      <c r="B2201" s="40"/>
      <c r="C2201" s="40"/>
      <c r="D2201" s="40"/>
      <c r="E2201" s="40"/>
      <c r="F2201" s="40"/>
    </row>
    <row r="2202" spans="1:6" ht="12.75" x14ac:dyDescent="0.2">
      <c r="A2202" s="40"/>
      <c r="B2202" s="41" t="s">
        <v>398</v>
      </c>
      <c r="C2202" s="40"/>
      <c r="D2202" s="40"/>
      <c r="E2202" s="40"/>
      <c r="F2202" s="40"/>
    </row>
    <row r="2203" spans="1:6" ht="12.75" x14ac:dyDescent="0.2">
      <c r="A2203" s="40"/>
      <c r="B2203" s="41" t="s">
        <v>399</v>
      </c>
      <c r="C2203" s="40"/>
      <c r="D2203" s="40"/>
      <c r="E2203" s="40"/>
      <c r="F2203" s="40"/>
    </row>
    <row r="2204" spans="1:6" ht="12.75" x14ac:dyDescent="0.2">
      <c r="A2204" s="40"/>
      <c r="B2204" s="41" t="s">
        <v>400</v>
      </c>
      <c r="C2204" s="41" t="s">
        <v>1398</v>
      </c>
      <c r="D2204" s="40"/>
      <c r="E2204" s="40"/>
      <c r="F2204" s="40"/>
    </row>
    <row r="2205" spans="1:6" ht="12.75" x14ac:dyDescent="0.2">
      <c r="A2205" s="40"/>
      <c r="B2205" s="41" t="s">
        <v>401</v>
      </c>
      <c r="C2205" s="40"/>
      <c r="D2205" s="40"/>
      <c r="E2205" s="40"/>
      <c r="F2205" s="40"/>
    </row>
    <row r="2206" spans="1:6" ht="12.75" x14ac:dyDescent="0.2">
      <c r="A2206" s="41" t="s">
        <v>1399</v>
      </c>
      <c r="B2206" s="41" t="s">
        <v>402</v>
      </c>
      <c r="C2206" s="41" t="s">
        <v>1400</v>
      </c>
      <c r="D2206" s="40"/>
      <c r="E2206" s="40"/>
      <c r="F2206" s="40"/>
    </row>
    <row r="2207" spans="1:6" ht="12.75" x14ac:dyDescent="0.2">
      <c r="A2207" s="41" t="s">
        <v>1401</v>
      </c>
      <c r="B2207" s="40"/>
      <c r="C2207" s="40"/>
      <c r="D2207" s="40"/>
      <c r="E2207" s="40"/>
      <c r="F2207" s="40"/>
    </row>
    <row r="2208" spans="1:6" ht="12.75" x14ac:dyDescent="0.2">
      <c r="A2208" s="41" t="s">
        <v>319</v>
      </c>
      <c r="B2208" s="40"/>
      <c r="C2208" s="40"/>
      <c r="D2208" s="40"/>
      <c r="E2208" s="40"/>
      <c r="F2208" s="40"/>
    </row>
    <row r="2209" spans="1:6" ht="12.75" x14ac:dyDescent="0.2">
      <c r="A2209" s="41" t="s">
        <v>1402</v>
      </c>
      <c r="B2209" s="40"/>
      <c r="C2209" s="40"/>
      <c r="D2209" s="40"/>
      <c r="E2209" s="40"/>
      <c r="F2209" s="40"/>
    </row>
    <row r="2210" spans="1:6" ht="12.75" x14ac:dyDescent="0.2">
      <c r="A2210" s="41" t="s">
        <v>333</v>
      </c>
      <c r="B2210" s="40"/>
      <c r="C2210" s="40"/>
      <c r="D2210" s="40"/>
      <c r="E2210" s="40"/>
      <c r="F2210" s="40"/>
    </row>
    <row r="2211" spans="1:6" ht="12.75" x14ac:dyDescent="0.2">
      <c r="A2211" s="41" t="s">
        <v>1403</v>
      </c>
      <c r="B2211" s="40"/>
      <c r="C2211" s="40"/>
      <c r="D2211" s="40"/>
      <c r="E2211" s="40"/>
      <c r="F2211" s="40"/>
    </row>
    <row r="2212" spans="1:6" ht="12.75" x14ac:dyDescent="0.2">
      <c r="A2212" s="41" t="s">
        <v>1404</v>
      </c>
      <c r="B2212" s="40"/>
      <c r="C2212" s="40"/>
      <c r="D2212" s="40"/>
      <c r="E2212" s="40"/>
      <c r="F2212" s="40"/>
    </row>
    <row r="2213" spans="1:6" ht="12.75" x14ac:dyDescent="0.2">
      <c r="A2213" s="41" t="s">
        <v>327</v>
      </c>
      <c r="B2213" s="40"/>
      <c r="C2213" s="40"/>
      <c r="D2213" s="40"/>
      <c r="E2213" s="40"/>
      <c r="F2213" s="40"/>
    </row>
    <row r="2214" spans="1:6" ht="12.75" x14ac:dyDescent="0.2">
      <c r="A2214" s="41" t="s">
        <v>1405</v>
      </c>
      <c r="B2214" s="40"/>
      <c r="C2214" s="40"/>
      <c r="D2214" s="40"/>
      <c r="E2214" s="40"/>
      <c r="F2214" s="40"/>
    </row>
    <row r="2215" spans="1:6" ht="12.75" x14ac:dyDescent="0.2">
      <c r="A2215" s="40"/>
      <c r="B2215" s="40"/>
      <c r="C2215" s="40"/>
      <c r="D2215" s="40"/>
      <c r="E2215" s="40"/>
      <c r="F2215" s="40"/>
    </row>
    <row r="2216" spans="1:6" ht="12.75" x14ac:dyDescent="0.2">
      <c r="A2216" s="41" t="s">
        <v>1406</v>
      </c>
      <c r="B2216" s="40"/>
      <c r="C2216" s="40"/>
      <c r="D2216" s="40"/>
      <c r="E2216" s="40"/>
      <c r="F2216" s="40"/>
    </row>
    <row r="2217" spans="1:6" ht="12.75" x14ac:dyDescent="0.2">
      <c r="A2217" s="40"/>
      <c r="B2217" s="41" t="s">
        <v>398</v>
      </c>
      <c r="C2217" s="40"/>
      <c r="D2217" s="40"/>
      <c r="E2217" s="40"/>
      <c r="F2217" s="40"/>
    </row>
    <row r="2218" spans="1:6" ht="12.75" x14ac:dyDescent="0.2">
      <c r="A2218" s="40"/>
      <c r="B2218" s="41" t="s">
        <v>399</v>
      </c>
      <c r="C2218" s="40"/>
      <c r="D2218" s="40"/>
      <c r="E2218" s="40"/>
      <c r="F2218" s="40"/>
    </row>
    <row r="2219" spans="1:6" ht="12.75" x14ac:dyDescent="0.2">
      <c r="A2219" s="40"/>
      <c r="B2219" s="41" t="s">
        <v>400</v>
      </c>
      <c r="C2219" s="41" t="s">
        <v>1406</v>
      </c>
      <c r="D2219" s="40"/>
      <c r="E2219" s="40"/>
      <c r="F2219" s="40"/>
    </row>
    <row r="2220" spans="1:6" ht="12.75" x14ac:dyDescent="0.2">
      <c r="A2220" s="40"/>
      <c r="B2220" s="41" t="s">
        <v>401</v>
      </c>
      <c r="C2220" s="40"/>
      <c r="D2220" s="40"/>
      <c r="E2220" s="40"/>
      <c r="F2220" s="40"/>
    </row>
    <row r="2221" spans="1:6" ht="12.75" x14ac:dyDescent="0.2">
      <c r="A2221" s="41" t="s">
        <v>1407</v>
      </c>
      <c r="B2221" s="41" t="s">
        <v>402</v>
      </c>
      <c r="C2221" s="41" t="s">
        <v>1408</v>
      </c>
      <c r="D2221" s="40"/>
      <c r="E2221" s="40"/>
      <c r="F2221" s="40"/>
    </row>
    <row r="2222" spans="1:6" ht="12.75" x14ac:dyDescent="0.2">
      <c r="A2222" s="41" t="s">
        <v>1409</v>
      </c>
      <c r="B2222" s="40"/>
      <c r="C2222" s="40"/>
      <c r="D2222" s="40"/>
      <c r="E2222" s="40"/>
      <c r="F2222" s="40"/>
    </row>
    <row r="2223" spans="1:6" ht="12.75" x14ac:dyDescent="0.2">
      <c r="A2223" s="41" t="s">
        <v>1410</v>
      </c>
      <c r="B2223" s="40"/>
      <c r="C2223" s="40"/>
      <c r="D2223" s="40"/>
      <c r="E2223" s="40"/>
      <c r="F2223" s="40"/>
    </row>
    <row r="2224" spans="1:6" ht="12.75" x14ac:dyDescent="0.2">
      <c r="A2224" s="41" t="s">
        <v>1411</v>
      </c>
      <c r="B2224" s="40"/>
      <c r="C2224" s="40"/>
      <c r="D2224" s="40"/>
      <c r="E2224" s="40"/>
      <c r="F2224" s="40"/>
    </row>
    <row r="2225" spans="1:6" ht="12.75" x14ac:dyDescent="0.2">
      <c r="A2225" s="41" t="s">
        <v>1412</v>
      </c>
      <c r="B2225" s="40"/>
      <c r="C2225" s="40"/>
      <c r="D2225" s="40"/>
      <c r="E2225" s="40"/>
      <c r="F2225" s="40"/>
    </row>
    <row r="2226" spans="1:6" ht="12.75" x14ac:dyDescent="0.2">
      <c r="A2226" s="41" t="s">
        <v>1413</v>
      </c>
      <c r="B2226" s="40"/>
      <c r="C2226" s="40"/>
      <c r="D2226" s="40"/>
      <c r="E2226" s="40"/>
      <c r="F2226" s="40"/>
    </row>
    <row r="2227" spans="1:6" ht="12.75" x14ac:dyDescent="0.2">
      <c r="A2227" s="41" t="s">
        <v>1414</v>
      </c>
      <c r="B2227" s="40"/>
      <c r="C2227" s="40"/>
      <c r="D2227" s="40"/>
      <c r="E2227" s="40"/>
      <c r="F2227" s="40"/>
    </row>
    <row r="2228" spans="1:6" ht="12.75" x14ac:dyDescent="0.2">
      <c r="A2228" s="40"/>
      <c r="B2228" s="40"/>
      <c r="C2228" s="40"/>
      <c r="D2228" s="40"/>
      <c r="E2228" s="40"/>
      <c r="F2228" s="40"/>
    </row>
    <row r="2229" spans="1:6" ht="12.75" x14ac:dyDescent="0.2">
      <c r="A2229" s="41" t="s">
        <v>1415</v>
      </c>
      <c r="B2229" s="40"/>
      <c r="C2229" s="40"/>
      <c r="D2229" s="40"/>
      <c r="E2229" s="40"/>
      <c r="F2229" s="40"/>
    </row>
    <row r="2230" spans="1:6" ht="12.75" x14ac:dyDescent="0.2">
      <c r="A2230" s="40"/>
      <c r="B2230" s="41" t="s">
        <v>398</v>
      </c>
      <c r="C2230" s="40"/>
      <c r="D2230" s="40"/>
      <c r="E2230" s="40"/>
      <c r="F2230" s="40"/>
    </row>
    <row r="2231" spans="1:6" ht="12.75" x14ac:dyDescent="0.2">
      <c r="A2231" s="40"/>
      <c r="B2231" s="41" t="s">
        <v>399</v>
      </c>
      <c r="C2231" s="40"/>
      <c r="D2231" s="40"/>
      <c r="E2231" s="40"/>
      <c r="F2231" s="40"/>
    </row>
    <row r="2232" spans="1:6" ht="12.75" x14ac:dyDescent="0.2">
      <c r="A2232" s="40"/>
      <c r="B2232" s="41" t="s">
        <v>400</v>
      </c>
      <c r="C2232" s="41" t="s">
        <v>1415</v>
      </c>
      <c r="D2232" s="40"/>
      <c r="E2232" s="40"/>
      <c r="F2232" s="40"/>
    </row>
    <row r="2233" spans="1:6" ht="12.75" x14ac:dyDescent="0.2">
      <c r="A2233" s="40"/>
      <c r="B2233" s="41" t="s">
        <v>401</v>
      </c>
      <c r="C2233" s="40"/>
      <c r="D2233" s="40"/>
      <c r="E2233" s="40"/>
      <c r="F2233" s="40"/>
    </row>
    <row r="2234" spans="1:6" ht="12.75" x14ac:dyDescent="0.2">
      <c r="A2234" s="41" t="s">
        <v>1416</v>
      </c>
      <c r="B2234" s="41" t="s">
        <v>402</v>
      </c>
      <c r="C2234" s="41" t="s">
        <v>1417</v>
      </c>
      <c r="D2234" s="40"/>
      <c r="E2234" s="40"/>
      <c r="F2234" s="40"/>
    </row>
    <row r="2235" spans="1:6" ht="12.75" x14ac:dyDescent="0.2">
      <c r="A2235" s="41" t="s">
        <v>1418</v>
      </c>
      <c r="B2235" s="40"/>
      <c r="C2235" s="40"/>
      <c r="D2235" s="40"/>
      <c r="E2235" s="40"/>
      <c r="F2235" s="40"/>
    </row>
    <row r="2236" spans="1:6" ht="12.75" x14ac:dyDescent="0.2">
      <c r="A2236" s="41" t="s">
        <v>1419</v>
      </c>
      <c r="B2236" s="40"/>
      <c r="C2236" s="40"/>
      <c r="D2236" s="40"/>
      <c r="E2236" s="40"/>
      <c r="F2236" s="40"/>
    </row>
    <row r="2237" spans="1:6" ht="12.75" x14ac:dyDescent="0.2">
      <c r="A2237" s="41" t="s">
        <v>1420</v>
      </c>
      <c r="B2237" s="40"/>
      <c r="C2237" s="40"/>
      <c r="D2237" s="40"/>
      <c r="E2237" s="40"/>
      <c r="F2237" s="40"/>
    </row>
    <row r="2238" spans="1:6" ht="12.75" x14ac:dyDescent="0.2">
      <c r="A2238" s="41" t="s">
        <v>1421</v>
      </c>
      <c r="B2238" s="40"/>
      <c r="C2238" s="40"/>
      <c r="D2238" s="40"/>
      <c r="E2238" s="40"/>
      <c r="F2238" s="40"/>
    </row>
    <row r="2239" spans="1:6" ht="12.75" x14ac:dyDescent="0.2">
      <c r="A2239" s="41" t="s">
        <v>1422</v>
      </c>
      <c r="B2239" s="40"/>
      <c r="C2239" s="40"/>
      <c r="D2239" s="40"/>
      <c r="E2239" s="40"/>
      <c r="F2239" s="40"/>
    </row>
    <row r="2240" spans="1:6" ht="12.75" x14ac:dyDescent="0.2">
      <c r="A2240" s="41" t="s">
        <v>1423</v>
      </c>
      <c r="B2240" s="40"/>
      <c r="C2240" s="40"/>
      <c r="D2240" s="40"/>
      <c r="E2240" s="40"/>
      <c r="F2240" s="40"/>
    </row>
    <row r="2241" spans="1:6" ht="12.75" x14ac:dyDescent="0.2">
      <c r="A2241" s="41" t="s">
        <v>1424</v>
      </c>
      <c r="B2241" s="40"/>
      <c r="C2241" s="40"/>
      <c r="D2241" s="40"/>
      <c r="E2241" s="40"/>
      <c r="F2241" s="40"/>
    </row>
    <row r="2242" spans="1:6" ht="12.75" x14ac:dyDescent="0.2">
      <c r="A2242" s="41" t="s">
        <v>1425</v>
      </c>
      <c r="B2242" s="40"/>
      <c r="C2242" s="40"/>
      <c r="D2242" s="40"/>
      <c r="E2242" s="40"/>
      <c r="F2242" s="40"/>
    </row>
    <row r="2243" spans="1:6" ht="12.75" x14ac:dyDescent="0.2">
      <c r="A2243" s="40"/>
      <c r="B2243" s="40"/>
      <c r="C2243" s="40"/>
      <c r="D2243" s="40"/>
      <c r="E2243" s="40"/>
      <c r="F2243" s="40"/>
    </row>
    <row r="2244" spans="1:6" ht="12.75" x14ac:dyDescent="0.2">
      <c r="A2244" s="41" t="s">
        <v>1426</v>
      </c>
      <c r="B2244" s="40"/>
      <c r="C2244" s="40"/>
      <c r="D2244" s="40"/>
      <c r="E2244" s="40"/>
      <c r="F2244" s="40"/>
    </row>
    <row r="2245" spans="1:6" ht="12.75" x14ac:dyDescent="0.2">
      <c r="A2245" s="40"/>
      <c r="B2245" s="41" t="s">
        <v>398</v>
      </c>
      <c r="C2245" s="40"/>
      <c r="D2245" s="40"/>
      <c r="E2245" s="40"/>
      <c r="F2245" s="40"/>
    </row>
    <row r="2246" spans="1:6" ht="12.75" x14ac:dyDescent="0.2">
      <c r="A2246" s="40"/>
      <c r="B2246" s="41" t="s">
        <v>399</v>
      </c>
      <c r="C2246" s="40"/>
      <c r="D2246" s="40"/>
      <c r="E2246" s="40"/>
      <c r="F2246" s="40"/>
    </row>
    <row r="2247" spans="1:6" ht="12.75" x14ac:dyDescent="0.2">
      <c r="A2247" s="40"/>
      <c r="B2247" s="41" t="s">
        <v>400</v>
      </c>
      <c r="C2247" s="41" t="s">
        <v>1426</v>
      </c>
      <c r="D2247" s="40"/>
      <c r="E2247" s="40"/>
      <c r="F2247" s="40"/>
    </row>
    <row r="2248" spans="1:6" ht="12.75" x14ac:dyDescent="0.2">
      <c r="A2248" s="40"/>
      <c r="B2248" s="41" t="s">
        <v>401</v>
      </c>
      <c r="C2248" s="40"/>
      <c r="D2248" s="40"/>
      <c r="E2248" s="40"/>
      <c r="F2248" s="40"/>
    </row>
    <row r="2249" spans="1:6" ht="12.75" x14ac:dyDescent="0.2">
      <c r="A2249" s="41" t="s">
        <v>1427</v>
      </c>
      <c r="B2249" s="41" t="s">
        <v>402</v>
      </c>
      <c r="C2249" s="41" t="s">
        <v>1428</v>
      </c>
      <c r="D2249" s="40"/>
      <c r="E2249" s="40"/>
      <c r="F2249" s="40"/>
    </row>
    <row r="2250" spans="1:6" ht="12.75" x14ac:dyDescent="0.2">
      <c r="A2250" s="41" t="s">
        <v>1429</v>
      </c>
      <c r="B2250" s="40"/>
      <c r="C2250" s="40"/>
      <c r="D2250" s="40"/>
      <c r="E2250" s="40"/>
      <c r="F2250" s="40"/>
    </row>
    <row r="2251" spans="1:6" ht="12.75" x14ac:dyDescent="0.2">
      <c r="A2251" s="41" t="s">
        <v>1430</v>
      </c>
      <c r="B2251" s="40"/>
      <c r="C2251" s="40"/>
      <c r="D2251" s="40"/>
      <c r="E2251" s="40"/>
      <c r="F2251" s="40"/>
    </row>
    <row r="2252" spans="1:6" ht="12.75" x14ac:dyDescent="0.2">
      <c r="A2252" s="41" t="s">
        <v>1431</v>
      </c>
      <c r="B2252" s="40"/>
      <c r="C2252" s="40"/>
      <c r="D2252" s="40"/>
      <c r="E2252" s="40"/>
      <c r="F2252" s="40"/>
    </row>
    <row r="2253" spans="1:6" ht="12.75" x14ac:dyDescent="0.2">
      <c r="A2253" s="41" t="s">
        <v>1432</v>
      </c>
      <c r="B2253" s="40"/>
      <c r="C2253" s="40"/>
      <c r="D2253" s="40"/>
      <c r="E2253" s="40"/>
      <c r="F2253" s="40"/>
    </row>
    <row r="2254" spans="1:6" ht="12.75" x14ac:dyDescent="0.2">
      <c r="A2254" s="40"/>
      <c r="B2254" s="40"/>
      <c r="C2254" s="40"/>
      <c r="D2254" s="40"/>
      <c r="E2254" s="40"/>
      <c r="F2254" s="40"/>
    </row>
    <row r="2255" spans="1:6" ht="12.75" x14ac:dyDescent="0.2">
      <c r="A2255" s="41" t="s">
        <v>1433</v>
      </c>
      <c r="B2255" s="40"/>
      <c r="C2255" s="40"/>
      <c r="D2255" s="40"/>
      <c r="E2255" s="40"/>
      <c r="F2255" s="40"/>
    </row>
    <row r="2256" spans="1:6" ht="12.75" x14ac:dyDescent="0.2">
      <c r="A2256" s="40"/>
      <c r="B2256" s="41" t="s">
        <v>398</v>
      </c>
      <c r="C2256" s="40"/>
      <c r="D2256" s="40"/>
      <c r="E2256" s="40"/>
      <c r="F2256" s="40"/>
    </row>
    <row r="2257" spans="1:6" ht="12.75" x14ac:dyDescent="0.2">
      <c r="A2257" s="40"/>
      <c r="B2257" s="41" t="s">
        <v>399</v>
      </c>
      <c r="C2257" s="40"/>
      <c r="D2257" s="40"/>
      <c r="E2257" s="40"/>
      <c r="F2257" s="40"/>
    </row>
    <row r="2258" spans="1:6" ht="12.75" x14ac:dyDescent="0.2">
      <c r="A2258" s="40"/>
      <c r="B2258" s="41" t="s">
        <v>400</v>
      </c>
      <c r="C2258" s="41" t="s">
        <v>1433</v>
      </c>
      <c r="D2258" s="40"/>
      <c r="E2258" s="40"/>
      <c r="F2258" s="40"/>
    </row>
    <row r="2259" spans="1:6" ht="12.75" x14ac:dyDescent="0.2">
      <c r="A2259" s="40"/>
      <c r="B2259" s="41" t="s">
        <v>401</v>
      </c>
      <c r="C2259" s="40"/>
      <c r="D2259" s="40"/>
      <c r="E2259" s="40"/>
      <c r="F2259" s="40"/>
    </row>
    <row r="2260" spans="1:6" ht="12.75" x14ac:dyDescent="0.2">
      <c r="A2260" s="41" t="s">
        <v>1434</v>
      </c>
      <c r="B2260" s="41" t="s">
        <v>402</v>
      </c>
      <c r="C2260" s="41" t="s">
        <v>1435</v>
      </c>
      <c r="D2260" s="40"/>
      <c r="E2260" s="40"/>
      <c r="F2260" s="40"/>
    </row>
    <row r="2261" spans="1:6" ht="12.75" x14ac:dyDescent="0.2">
      <c r="A2261" s="41" t="s">
        <v>1436</v>
      </c>
      <c r="B2261" s="40"/>
      <c r="C2261" s="40"/>
      <c r="D2261" s="40"/>
      <c r="E2261" s="40"/>
      <c r="F2261" s="40"/>
    </row>
    <row r="2262" spans="1:6" ht="12.75" x14ac:dyDescent="0.2">
      <c r="A2262" s="40"/>
      <c r="B2262" s="40"/>
      <c r="C2262" s="40"/>
      <c r="D2262" s="40"/>
      <c r="E2262" s="40"/>
      <c r="F2262" s="40"/>
    </row>
    <row r="2263" spans="1:6" ht="12.75" x14ac:dyDescent="0.2">
      <c r="A2263" s="41" t="s">
        <v>1437</v>
      </c>
      <c r="B2263" s="40"/>
      <c r="C2263" s="40"/>
      <c r="D2263" s="40"/>
      <c r="E2263" s="40"/>
      <c r="F2263" s="40"/>
    </row>
    <row r="2264" spans="1:6" ht="12.75" x14ac:dyDescent="0.2">
      <c r="A2264" s="40"/>
      <c r="B2264" s="41" t="s">
        <v>398</v>
      </c>
      <c r="C2264" s="40"/>
      <c r="D2264" s="40"/>
      <c r="E2264" s="40"/>
      <c r="F2264" s="40"/>
    </row>
    <row r="2265" spans="1:6" ht="12.75" x14ac:dyDescent="0.2">
      <c r="A2265" s="40"/>
      <c r="B2265" s="41" t="s">
        <v>399</v>
      </c>
      <c r="C2265" s="40"/>
      <c r="D2265" s="40"/>
      <c r="E2265" s="40"/>
      <c r="F2265" s="40"/>
    </row>
    <row r="2266" spans="1:6" ht="12.75" x14ac:dyDescent="0.2">
      <c r="A2266" s="40"/>
      <c r="B2266" s="41" t="s">
        <v>400</v>
      </c>
      <c r="C2266" s="41" t="s">
        <v>1437</v>
      </c>
      <c r="D2266" s="40"/>
      <c r="E2266" s="40"/>
      <c r="F2266" s="40"/>
    </row>
    <row r="2267" spans="1:6" ht="12.75" x14ac:dyDescent="0.2">
      <c r="A2267" s="40"/>
      <c r="B2267" s="41" t="s">
        <v>401</v>
      </c>
      <c r="C2267" s="40"/>
      <c r="D2267" s="40"/>
      <c r="E2267" s="40"/>
      <c r="F2267" s="40"/>
    </row>
    <row r="2268" spans="1:6" ht="12.75" x14ac:dyDescent="0.2">
      <c r="A2268" s="41" t="s">
        <v>1438</v>
      </c>
      <c r="B2268" s="41" t="s">
        <v>402</v>
      </c>
      <c r="C2268" s="41" t="s">
        <v>1439</v>
      </c>
      <c r="D2268" s="40"/>
      <c r="E2268" s="40"/>
      <c r="F2268" s="40"/>
    </row>
    <row r="2269" spans="1:6" ht="12.75" x14ac:dyDescent="0.2">
      <c r="A2269" s="41" t="s">
        <v>1440</v>
      </c>
      <c r="B2269" s="40"/>
      <c r="C2269" s="40"/>
      <c r="D2269" s="40"/>
      <c r="E2269" s="40"/>
      <c r="F2269" s="40"/>
    </row>
    <row r="2270" spans="1:6" ht="12.75" x14ac:dyDescent="0.2">
      <c r="A2270" s="41" t="s">
        <v>1441</v>
      </c>
      <c r="B2270" s="40"/>
      <c r="C2270" s="40"/>
      <c r="D2270" s="40"/>
      <c r="E2270" s="40"/>
      <c r="F2270" s="40"/>
    </row>
    <row r="2271" spans="1:6" ht="12.75" x14ac:dyDescent="0.2">
      <c r="A2271" s="41" t="s">
        <v>1442</v>
      </c>
      <c r="B2271" s="40"/>
      <c r="C2271" s="40"/>
      <c r="D2271" s="40"/>
      <c r="E2271" s="40"/>
      <c r="F2271" s="40"/>
    </row>
    <row r="2272" spans="1:6" ht="12.75" x14ac:dyDescent="0.2">
      <c r="A2272" s="40"/>
      <c r="B2272" s="40"/>
      <c r="C2272" s="40"/>
      <c r="D2272" s="40"/>
      <c r="E2272" s="40"/>
      <c r="F2272" s="40"/>
    </row>
    <row r="2273" spans="1:6" ht="12.75" x14ac:dyDescent="0.2">
      <c r="A2273" s="41" t="s">
        <v>1443</v>
      </c>
      <c r="B2273" s="40"/>
      <c r="C2273" s="40"/>
      <c r="D2273" s="40"/>
      <c r="E2273" s="40"/>
      <c r="F2273" s="40"/>
    </row>
    <row r="2274" spans="1:6" ht="12.75" x14ac:dyDescent="0.2">
      <c r="A2274" s="40"/>
      <c r="B2274" s="41" t="s">
        <v>398</v>
      </c>
      <c r="C2274" s="40"/>
      <c r="D2274" s="40"/>
      <c r="E2274" s="40"/>
      <c r="F2274" s="40"/>
    </row>
    <row r="2275" spans="1:6" ht="12.75" x14ac:dyDescent="0.2">
      <c r="A2275" s="40"/>
      <c r="B2275" s="41" t="s">
        <v>399</v>
      </c>
      <c r="C2275" s="40"/>
      <c r="D2275" s="40"/>
      <c r="E2275" s="40"/>
      <c r="F2275" s="40"/>
    </row>
    <row r="2276" spans="1:6" ht="12.75" x14ac:dyDescent="0.2">
      <c r="A2276" s="40"/>
      <c r="B2276" s="41" t="s">
        <v>400</v>
      </c>
      <c r="C2276" s="41" t="s">
        <v>1443</v>
      </c>
      <c r="D2276" s="40"/>
      <c r="E2276" s="40"/>
      <c r="F2276" s="40"/>
    </row>
    <row r="2277" spans="1:6" ht="12.75" x14ac:dyDescent="0.2">
      <c r="A2277" s="40"/>
      <c r="B2277" s="41" t="s">
        <v>401</v>
      </c>
      <c r="C2277" s="40"/>
      <c r="D2277" s="40"/>
      <c r="E2277" s="40"/>
      <c r="F2277" s="40"/>
    </row>
    <row r="2278" spans="1:6" ht="12.75" x14ac:dyDescent="0.2">
      <c r="A2278" s="41" t="s">
        <v>1444</v>
      </c>
      <c r="B2278" s="41" t="s">
        <v>402</v>
      </c>
      <c r="C2278" s="41" t="s">
        <v>1445</v>
      </c>
      <c r="D2278" s="40"/>
      <c r="E2278" s="40"/>
      <c r="F2278" s="40"/>
    </row>
    <row r="2279" spans="1:6" ht="12.75" x14ac:dyDescent="0.2">
      <c r="A2279" s="41" t="s">
        <v>1446</v>
      </c>
      <c r="B2279" s="40"/>
      <c r="C2279" s="40"/>
      <c r="D2279" s="40"/>
      <c r="E2279" s="40"/>
      <c r="F2279" s="40"/>
    </row>
    <row r="2280" spans="1:6" ht="12.75" x14ac:dyDescent="0.2">
      <c r="A2280" s="41" t="s">
        <v>1447</v>
      </c>
      <c r="B2280" s="40"/>
      <c r="C2280" s="40"/>
      <c r="D2280" s="40"/>
      <c r="E2280" s="40"/>
      <c r="F2280" s="40"/>
    </row>
    <row r="2281" spans="1:6" ht="12.75" x14ac:dyDescent="0.2">
      <c r="A2281" s="41" t="s">
        <v>1448</v>
      </c>
      <c r="B2281" s="40"/>
      <c r="C2281" s="40"/>
      <c r="D2281" s="40"/>
      <c r="E2281" s="40"/>
      <c r="F2281" s="40"/>
    </row>
    <row r="2282" spans="1:6" ht="12.75" x14ac:dyDescent="0.2">
      <c r="A2282" s="41" t="s">
        <v>1449</v>
      </c>
      <c r="B2282" s="40"/>
      <c r="C2282" s="40"/>
      <c r="D2282" s="40"/>
      <c r="E2282" s="40"/>
      <c r="F2282" s="40"/>
    </row>
    <row r="2283" spans="1:6" ht="12.75" x14ac:dyDescent="0.2">
      <c r="A2283" s="41" t="s">
        <v>1450</v>
      </c>
      <c r="B2283" s="40"/>
      <c r="C2283" s="40"/>
      <c r="D2283" s="40"/>
      <c r="E2283" s="40"/>
      <c r="F2283" s="40"/>
    </row>
    <row r="2284" spans="1:6" ht="12.75" x14ac:dyDescent="0.2">
      <c r="A2284" s="41" t="s">
        <v>1451</v>
      </c>
      <c r="B2284" s="40"/>
      <c r="C2284" s="40"/>
      <c r="D2284" s="40"/>
      <c r="E2284" s="40"/>
      <c r="F2284" s="40"/>
    </row>
    <row r="2285" spans="1:6" ht="12.75" x14ac:dyDescent="0.2">
      <c r="A2285" s="40"/>
      <c r="B2285" s="40"/>
      <c r="C2285" s="40"/>
      <c r="D2285" s="40"/>
      <c r="E2285" s="40"/>
      <c r="F2285" s="40"/>
    </row>
    <row r="2286" spans="1:6" ht="12.75" x14ac:dyDescent="0.2">
      <c r="A2286" s="41" t="s">
        <v>1452</v>
      </c>
      <c r="B2286" s="40"/>
      <c r="C2286" s="40"/>
      <c r="D2286" s="40"/>
      <c r="E2286" s="40"/>
      <c r="F2286" s="40"/>
    </row>
    <row r="2287" spans="1:6" ht="12.75" x14ac:dyDescent="0.2">
      <c r="A2287" s="40"/>
      <c r="B2287" s="41" t="s">
        <v>398</v>
      </c>
      <c r="C2287" s="40"/>
      <c r="D2287" s="40"/>
      <c r="E2287" s="40"/>
      <c r="F2287" s="40"/>
    </row>
    <row r="2288" spans="1:6" ht="12.75" x14ac:dyDescent="0.2">
      <c r="A2288" s="40"/>
      <c r="B2288" s="41" t="s">
        <v>399</v>
      </c>
      <c r="C2288" s="40"/>
      <c r="D2288" s="40"/>
      <c r="E2288" s="40"/>
      <c r="F2288" s="40"/>
    </row>
    <row r="2289" spans="1:6" ht="12.75" x14ac:dyDescent="0.2">
      <c r="A2289" s="40"/>
      <c r="B2289" s="41" t="s">
        <v>400</v>
      </c>
      <c r="C2289" s="41" t="s">
        <v>1452</v>
      </c>
      <c r="D2289" s="40"/>
      <c r="E2289" s="40"/>
      <c r="F2289" s="40"/>
    </row>
    <row r="2290" spans="1:6" ht="12.75" x14ac:dyDescent="0.2">
      <c r="A2290" s="40"/>
      <c r="B2290" s="41" t="s">
        <v>401</v>
      </c>
      <c r="C2290" s="40"/>
      <c r="D2290" s="40"/>
      <c r="E2290" s="40"/>
      <c r="F2290" s="40"/>
    </row>
    <row r="2291" spans="1:6" ht="12.75" x14ac:dyDescent="0.2">
      <c r="A2291" s="41" t="s">
        <v>1453</v>
      </c>
      <c r="B2291" s="41" t="s">
        <v>402</v>
      </c>
      <c r="C2291" s="41" t="s">
        <v>1454</v>
      </c>
      <c r="D2291" s="40"/>
      <c r="E2291" s="40"/>
      <c r="F2291" s="40"/>
    </row>
    <row r="2292" spans="1:6" ht="12.75" x14ac:dyDescent="0.2">
      <c r="A2292" s="41" t="s">
        <v>1455</v>
      </c>
      <c r="B2292" s="40"/>
      <c r="C2292" s="40"/>
      <c r="D2292" s="40"/>
      <c r="E2292" s="40"/>
      <c r="F2292" s="40"/>
    </row>
    <row r="2293" spans="1:6" ht="12.75" x14ac:dyDescent="0.2">
      <c r="A2293" s="41" t="s">
        <v>1456</v>
      </c>
      <c r="B2293" s="40"/>
      <c r="C2293" s="40"/>
      <c r="D2293" s="40"/>
      <c r="E2293" s="40"/>
      <c r="F2293" s="40"/>
    </row>
    <row r="2294" spans="1:6" ht="12.75" x14ac:dyDescent="0.2">
      <c r="A2294" s="41" t="s">
        <v>1457</v>
      </c>
      <c r="B2294" s="40"/>
      <c r="C2294" s="40"/>
      <c r="D2294" s="40"/>
      <c r="E2294" s="40"/>
      <c r="F2294" s="40"/>
    </row>
    <row r="2295" spans="1:6" ht="12.75" x14ac:dyDescent="0.2">
      <c r="A2295" s="41" t="s">
        <v>1458</v>
      </c>
      <c r="B2295" s="40"/>
      <c r="C2295" s="40"/>
      <c r="D2295" s="40"/>
      <c r="E2295" s="40"/>
      <c r="F2295" s="40"/>
    </row>
    <row r="2296" spans="1:6" ht="12.75" x14ac:dyDescent="0.2">
      <c r="A2296" s="41" t="s">
        <v>1459</v>
      </c>
      <c r="B2296" s="40"/>
      <c r="C2296" s="40"/>
      <c r="D2296" s="40"/>
      <c r="E2296" s="40"/>
      <c r="F2296" s="40"/>
    </row>
    <row r="2297" spans="1:6" ht="12.75" x14ac:dyDescent="0.2">
      <c r="A2297" s="41" t="s">
        <v>1460</v>
      </c>
      <c r="B2297" s="40"/>
      <c r="C2297" s="40"/>
      <c r="D2297" s="40"/>
      <c r="E2297" s="40"/>
      <c r="F2297" s="40"/>
    </row>
    <row r="2298" spans="1:6" ht="12.75" x14ac:dyDescent="0.2">
      <c r="A2298" s="41" t="s">
        <v>1461</v>
      </c>
      <c r="B2298" s="40"/>
      <c r="C2298" s="40"/>
      <c r="D2298" s="40"/>
      <c r="E2298" s="40"/>
      <c r="F2298" s="40"/>
    </row>
    <row r="2299" spans="1:6" ht="12.75" x14ac:dyDescent="0.2">
      <c r="A2299" s="40"/>
      <c r="B2299" s="40"/>
      <c r="C2299" s="40"/>
      <c r="D2299" s="40"/>
      <c r="E2299" s="40"/>
      <c r="F2299" s="40"/>
    </row>
    <row r="2300" spans="1:6" ht="12.75" x14ac:dyDescent="0.2">
      <c r="A2300" s="41" t="s">
        <v>1462</v>
      </c>
      <c r="B2300" s="40"/>
      <c r="C2300" s="40"/>
      <c r="D2300" s="40"/>
      <c r="E2300" s="40"/>
      <c r="F2300" s="40"/>
    </row>
    <row r="2301" spans="1:6" ht="12.75" x14ac:dyDescent="0.2">
      <c r="A2301" s="40"/>
      <c r="B2301" s="41" t="s">
        <v>398</v>
      </c>
      <c r="C2301" s="40"/>
      <c r="D2301" s="40"/>
      <c r="E2301" s="40"/>
      <c r="F2301" s="40"/>
    </row>
    <row r="2302" spans="1:6" ht="12.75" x14ac:dyDescent="0.2">
      <c r="A2302" s="40"/>
      <c r="B2302" s="41" t="s">
        <v>399</v>
      </c>
      <c r="C2302" s="40"/>
      <c r="D2302" s="40"/>
      <c r="E2302" s="40"/>
      <c r="F2302" s="40"/>
    </row>
    <row r="2303" spans="1:6" ht="12.75" x14ac:dyDescent="0.2">
      <c r="A2303" s="40"/>
      <c r="B2303" s="41" t="s">
        <v>400</v>
      </c>
      <c r="C2303" s="41" t="s">
        <v>1462</v>
      </c>
      <c r="D2303" s="40"/>
      <c r="E2303" s="40"/>
      <c r="F2303" s="40"/>
    </row>
    <row r="2304" spans="1:6" ht="12.75" x14ac:dyDescent="0.2">
      <c r="A2304" s="40"/>
      <c r="B2304" s="41" t="s">
        <v>401</v>
      </c>
      <c r="C2304" s="40"/>
      <c r="D2304" s="40"/>
      <c r="E2304" s="40"/>
      <c r="F2304" s="40"/>
    </row>
    <row r="2305" spans="1:6" ht="12.75" x14ac:dyDescent="0.2">
      <c r="A2305" s="41" t="s">
        <v>1463</v>
      </c>
      <c r="B2305" s="41" t="s">
        <v>402</v>
      </c>
      <c r="C2305" s="41" t="s">
        <v>1408</v>
      </c>
      <c r="D2305" s="40"/>
      <c r="E2305" s="40"/>
      <c r="F2305" s="40"/>
    </row>
    <row r="2306" spans="1:6" ht="12.75" x14ac:dyDescent="0.2">
      <c r="A2306" s="41" t="s">
        <v>1464</v>
      </c>
      <c r="B2306" s="40"/>
      <c r="C2306" s="40"/>
      <c r="D2306" s="40"/>
      <c r="E2306" s="40"/>
      <c r="F2306" s="40"/>
    </row>
    <row r="2307" spans="1:6" ht="12.75" x14ac:dyDescent="0.2">
      <c r="A2307" s="41" t="s">
        <v>1465</v>
      </c>
      <c r="B2307" s="40"/>
      <c r="C2307" s="40"/>
      <c r="D2307" s="40"/>
      <c r="E2307" s="40"/>
      <c r="F2307" s="40"/>
    </row>
    <row r="2308" spans="1:6" ht="12.75" x14ac:dyDescent="0.2">
      <c r="A2308" s="41" t="s">
        <v>1466</v>
      </c>
      <c r="B2308" s="40"/>
      <c r="C2308" s="40"/>
      <c r="D2308" s="40"/>
      <c r="E2308" s="40"/>
      <c r="F2308" s="40"/>
    </row>
    <row r="2309" spans="1:6" ht="12.75" x14ac:dyDescent="0.2">
      <c r="A2309" s="41" t="s">
        <v>1467</v>
      </c>
      <c r="B2309" s="40"/>
      <c r="C2309" s="40"/>
      <c r="D2309" s="40"/>
      <c r="E2309" s="40"/>
      <c r="F2309" s="40"/>
    </row>
    <row r="2310" spans="1:6" ht="12.75" x14ac:dyDescent="0.2">
      <c r="A2310" s="41" t="s">
        <v>1468</v>
      </c>
      <c r="B2310" s="40"/>
      <c r="C2310" s="40"/>
      <c r="D2310" s="40"/>
      <c r="E2310" s="40"/>
      <c r="F2310" s="40"/>
    </row>
    <row r="2311" spans="1:6" ht="12.75" x14ac:dyDescent="0.2">
      <c r="A2311" s="41" t="s">
        <v>1469</v>
      </c>
      <c r="B2311" s="40"/>
      <c r="C2311" s="40"/>
      <c r="D2311" s="40"/>
      <c r="E2311" s="40"/>
      <c r="F2311" s="40"/>
    </row>
    <row r="2312" spans="1:6" ht="12.75" x14ac:dyDescent="0.2">
      <c r="A2312" s="41" t="s">
        <v>1470</v>
      </c>
      <c r="B2312" s="40"/>
      <c r="C2312" s="40"/>
      <c r="D2312" s="40"/>
      <c r="E2312" s="40"/>
      <c r="F2312" s="40"/>
    </row>
    <row r="2313" spans="1:6" ht="12.75" x14ac:dyDescent="0.2">
      <c r="A2313" s="41" t="s">
        <v>1471</v>
      </c>
      <c r="B2313" s="40"/>
      <c r="C2313" s="40"/>
      <c r="D2313" s="40"/>
      <c r="E2313" s="40"/>
      <c r="F2313" s="40"/>
    </row>
    <row r="2314" spans="1:6" ht="12.75" x14ac:dyDescent="0.2">
      <c r="A2314" s="40"/>
      <c r="B2314" s="40"/>
      <c r="C2314" s="40"/>
      <c r="D2314" s="40"/>
      <c r="E2314" s="40"/>
      <c r="F2314" s="40"/>
    </row>
    <row r="2315" spans="1:6" ht="12.75" x14ac:dyDescent="0.2">
      <c r="A2315" s="41" t="s">
        <v>1472</v>
      </c>
      <c r="B2315" s="40"/>
      <c r="C2315" s="40"/>
      <c r="D2315" s="40"/>
      <c r="E2315" s="40"/>
      <c r="F2315" s="40"/>
    </row>
    <row r="2316" spans="1:6" ht="12.75" x14ac:dyDescent="0.2">
      <c r="A2316" s="40"/>
      <c r="B2316" s="41" t="s">
        <v>398</v>
      </c>
      <c r="C2316" s="40"/>
      <c r="D2316" s="40"/>
      <c r="E2316" s="40"/>
      <c r="F2316" s="40"/>
    </row>
    <row r="2317" spans="1:6" ht="12.75" x14ac:dyDescent="0.2">
      <c r="A2317" s="40"/>
      <c r="B2317" s="41" t="s">
        <v>399</v>
      </c>
      <c r="C2317" s="40"/>
      <c r="D2317" s="40"/>
      <c r="E2317" s="40"/>
      <c r="F2317" s="40"/>
    </row>
    <row r="2318" spans="1:6" ht="12.75" x14ac:dyDescent="0.2">
      <c r="A2318" s="40"/>
      <c r="B2318" s="41" t="s">
        <v>400</v>
      </c>
      <c r="C2318" s="41" t="s">
        <v>1472</v>
      </c>
      <c r="D2318" s="40"/>
      <c r="E2318" s="40"/>
      <c r="F2318" s="40"/>
    </row>
    <row r="2319" spans="1:6" ht="12.75" x14ac:dyDescent="0.2">
      <c r="A2319" s="40"/>
      <c r="B2319" s="41" t="s">
        <v>401</v>
      </c>
      <c r="C2319" s="40"/>
      <c r="D2319" s="40"/>
      <c r="E2319" s="40"/>
      <c r="F2319" s="40"/>
    </row>
    <row r="2320" spans="1:6" ht="12.75" x14ac:dyDescent="0.2">
      <c r="A2320" s="41" t="s">
        <v>1473</v>
      </c>
      <c r="B2320" s="41" t="s">
        <v>402</v>
      </c>
      <c r="C2320" s="41" t="s">
        <v>1474</v>
      </c>
      <c r="D2320" s="40"/>
      <c r="E2320" s="40"/>
      <c r="F2320" s="40"/>
    </row>
    <row r="2321" spans="1:6" ht="12.75" x14ac:dyDescent="0.2">
      <c r="A2321" s="41" t="s">
        <v>1475</v>
      </c>
      <c r="B2321" s="40"/>
      <c r="C2321" s="40"/>
      <c r="D2321" s="40"/>
      <c r="E2321" s="40"/>
      <c r="F2321" s="40"/>
    </row>
    <row r="2322" spans="1:6" ht="12.75" x14ac:dyDescent="0.2">
      <c r="A2322" s="41" t="s">
        <v>1476</v>
      </c>
      <c r="B2322" s="40"/>
      <c r="C2322" s="40"/>
      <c r="D2322" s="40"/>
      <c r="E2322" s="40"/>
      <c r="F2322" s="40"/>
    </row>
    <row r="2323" spans="1:6" ht="12.75" x14ac:dyDescent="0.2">
      <c r="A2323" s="41" t="s">
        <v>1477</v>
      </c>
      <c r="B2323" s="40"/>
      <c r="C2323" s="40"/>
      <c r="D2323" s="40"/>
      <c r="E2323" s="40"/>
      <c r="F2323" s="40"/>
    </row>
    <row r="2324" spans="1:6" ht="12.75" x14ac:dyDescent="0.2">
      <c r="A2324" s="41" t="s">
        <v>1478</v>
      </c>
      <c r="B2324" s="40"/>
      <c r="C2324" s="40"/>
      <c r="D2324" s="40"/>
      <c r="E2324" s="40"/>
      <c r="F2324" s="40"/>
    </row>
    <row r="2325" spans="1:6" ht="12.75" x14ac:dyDescent="0.2">
      <c r="A2325" s="41" t="s">
        <v>1479</v>
      </c>
      <c r="B2325" s="40"/>
      <c r="C2325" s="40"/>
      <c r="D2325" s="40"/>
      <c r="E2325" s="40"/>
      <c r="F2325" s="40"/>
    </row>
    <row r="2326" spans="1:6" ht="12.75" x14ac:dyDescent="0.2">
      <c r="A2326" s="41" t="s">
        <v>1480</v>
      </c>
      <c r="B2326" s="40"/>
      <c r="C2326" s="40"/>
      <c r="D2326" s="40"/>
      <c r="E2326" s="40"/>
      <c r="F2326" s="40"/>
    </row>
    <row r="2327" spans="1:6" ht="12.75" x14ac:dyDescent="0.2">
      <c r="A2327" s="41" t="s">
        <v>1481</v>
      </c>
      <c r="B2327" s="40"/>
      <c r="C2327" s="40"/>
      <c r="D2327" s="40"/>
      <c r="E2327" s="40"/>
      <c r="F2327" s="40"/>
    </row>
    <row r="2328" spans="1:6" ht="12.75" x14ac:dyDescent="0.2">
      <c r="A2328" s="41" t="s">
        <v>1482</v>
      </c>
      <c r="B2328" s="40"/>
      <c r="C2328" s="40"/>
      <c r="D2328" s="40"/>
      <c r="E2328" s="40"/>
      <c r="F2328" s="40"/>
    </row>
    <row r="2329" spans="1:6" ht="12.75" x14ac:dyDescent="0.2">
      <c r="A2329" s="41" t="s">
        <v>1483</v>
      </c>
      <c r="B2329" s="40"/>
      <c r="C2329" s="40"/>
      <c r="D2329" s="40"/>
      <c r="E2329" s="40"/>
      <c r="F2329" s="40"/>
    </row>
    <row r="2330" spans="1:6" ht="12.75" x14ac:dyDescent="0.2">
      <c r="A2330" s="40"/>
      <c r="B2330" s="41" t="s">
        <v>403</v>
      </c>
      <c r="C2330" s="41" t="s">
        <v>41</v>
      </c>
      <c r="D2330" s="41" t="s">
        <v>10</v>
      </c>
      <c r="E2330" s="40"/>
      <c r="F2330" s="40"/>
    </row>
    <row r="2331" spans="1:6" ht="12.75" x14ac:dyDescent="0.2">
      <c r="A2331" s="40"/>
      <c r="B2331" s="40"/>
      <c r="C2331" s="40"/>
      <c r="D2331" s="40"/>
      <c r="E2331" s="40"/>
      <c r="F2331" s="40"/>
    </row>
    <row r="2332" spans="1:6" ht="12.75" x14ac:dyDescent="0.2">
      <c r="A2332" s="41" t="s">
        <v>1484</v>
      </c>
      <c r="B2332" s="40"/>
      <c r="C2332" s="40"/>
      <c r="D2332" s="40"/>
      <c r="E2332" s="40"/>
      <c r="F2332" s="40"/>
    </row>
    <row r="2333" spans="1:6" ht="12.75" x14ac:dyDescent="0.2">
      <c r="A2333" s="40"/>
      <c r="B2333" s="41" t="s">
        <v>398</v>
      </c>
      <c r="C2333" s="40"/>
      <c r="D2333" s="40"/>
      <c r="E2333" s="40"/>
      <c r="F2333" s="40"/>
    </row>
    <row r="2334" spans="1:6" ht="12.75" x14ac:dyDescent="0.2">
      <c r="A2334" s="40"/>
      <c r="B2334" s="41" t="s">
        <v>399</v>
      </c>
      <c r="C2334" s="40"/>
      <c r="D2334" s="40"/>
      <c r="E2334" s="40"/>
      <c r="F2334" s="40"/>
    </row>
    <row r="2335" spans="1:6" ht="12.75" x14ac:dyDescent="0.2">
      <c r="A2335" s="40"/>
      <c r="B2335" s="41" t="s">
        <v>400</v>
      </c>
      <c r="C2335" s="41" t="s">
        <v>1484</v>
      </c>
      <c r="D2335" s="40"/>
      <c r="E2335" s="40"/>
      <c r="F2335" s="40"/>
    </row>
    <row r="2336" spans="1:6" ht="12.75" x14ac:dyDescent="0.2">
      <c r="A2336" s="40"/>
      <c r="B2336" s="41" t="s">
        <v>401</v>
      </c>
      <c r="C2336" s="40"/>
      <c r="D2336" s="40"/>
      <c r="E2336" s="40"/>
      <c r="F2336" s="40"/>
    </row>
    <row r="2337" spans="1:6" ht="12.75" x14ac:dyDescent="0.2">
      <c r="A2337" s="41" t="s">
        <v>1485</v>
      </c>
      <c r="B2337" s="41" t="s">
        <v>402</v>
      </c>
      <c r="C2337" s="41" t="s">
        <v>1486</v>
      </c>
      <c r="D2337" s="40"/>
      <c r="E2337" s="40"/>
      <c r="F2337" s="40"/>
    </row>
    <row r="2338" spans="1:6" ht="12.75" x14ac:dyDescent="0.2">
      <c r="A2338" s="41" t="s">
        <v>1487</v>
      </c>
      <c r="B2338" s="40"/>
      <c r="C2338" s="40"/>
      <c r="D2338" s="40"/>
      <c r="E2338" s="40"/>
      <c r="F2338" s="40"/>
    </row>
    <row r="2339" spans="1:6" ht="12.75" x14ac:dyDescent="0.2">
      <c r="A2339" s="41" t="s">
        <v>1488</v>
      </c>
      <c r="B2339" s="40"/>
      <c r="C2339" s="40"/>
      <c r="D2339" s="40"/>
      <c r="E2339" s="40"/>
      <c r="F2339" s="40"/>
    </row>
    <row r="2340" spans="1:6" ht="12.75" x14ac:dyDescent="0.2">
      <c r="A2340" s="41" t="s">
        <v>1489</v>
      </c>
      <c r="B2340" s="40"/>
      <c r="C2340" s="40"/>
      <c r="D2340" s="40"/>
      <c r="E2340" s="40"/>
      <c r="F2340" s="40"/>
    </row>
    <row r="2341" spans="1:6" ht="12.75" x14ac:dyDescent="0.2">
      <c r="A2341" s="41" t="s">
        <v>1490</v>
      </c>
      <c r="B2341" s="40"/>
      <c r="C2341" s="40"/>
      <c r="D2341" s="40"/>
      <c r="E2341" s="40"/>
      <c r="F2341" s="40"/>
    </row>
    <row r="2342" spans="1:6" ht="12.75" x14ac:dyDescent="0.2">
      <c r="A2342" s="41" t="s">
        <v>1491</v>
      </c>
      <c r="B2342" s="40"/>
      <c r="C2342" s="40"/>
      <c r="D2342" s="40"/>
      <c r="E2342" s="40"/>
      <c r="F2342" s="40"/>
    </row>
    <row r="2343" spans="1:6" ht="12.75" x14ac:dyDescent="0.2">
      <c r="A2343" s="41" t="s">
        <v>1492</v>
      </c>
      <c r="B2343" s="40"/>
      <c r="C2343" s="40"/>
      <c r="D2343" s="40"/>
      <c r="E2343" s="40"/>
      <c r="F2343" s="40"/>
    </row>
    <row r="2344" spans="1:6" ht="12.75" x14ac:dyDescent="0.2">
      <c r="A2344" s="41" t="s">
        <v>1493</v>
      </c>
      <c r="B2344" s="40"/>
      <c r="C2344" s="40"/>
      <c r="D2344" s="40"/>
      <c r="E2344" s="40"/>
      <c r="F2344" s="40"/>
    </row>
    <row r="2345" spans="1:6" ht="12.75" x14ac:dyDescent="0.2">
      <c r="A2345" s="41" t="s">
        <v>1494</v>
      </c>
      <c r="B2345" s="40"/>
      <c r="C2345" s="40"/>
      <c r="D2345" s="40"/>
      <c r="E2345" s="40"/>
      <c r="F2345" s="40"/>
    </row>
    <row r="2346" spans="1:6" ht="12.75" x14ac:dyDescent="0.2">
      <c r="A2346" s="41" t="s">
        <v>1495</v>
      </c>
      <c r="B2346" s="40"/>
      <c r="C2346" s="40"/>
      <c r="D2346" s="40"/>
      <c r="E2346" s="40"/>
      <c r="F2346" s="40"/>
    </row>
    <row r="2347" spans="1:6" ht="12.75" x14ac:dyDescent="0.2">
      <c r="A2347" s="40"/>
      <c r="B2347" s="40"/>
      <c r="C2347" s="40"/>
      <c r="D2347" s="40"/>
      <c r="E2347" s="40"/>
      <c r="F2347" s="40"/>
    </row>
    <row r="2348" spans="1:6" ht="12.75" x14ac:dyDescent="0.2">
      <c r="A2348" s="41" t="s">
        <v>1496</v>
      </c>
      <c r="B2348" s="40"/>
      <c r="C2348" s="40"/>
      <c r="D2348" s="40"/>
      <c r="E2348" s="40"/>
      <c r="F2348" s="40"/>
    </row>
    <row r="2349" spans="1:6" ht="12.75" x14ac:dyDescent="0.2">
      <c r="A2349" s="40"/>
      <c r="B2349" s="41" t="s">
        <v>398</v>
      </c>
      <c r="C2349" s="40"/>
      <c r="D2349" s="40"/>
      <c r="E2349" s="40"/>
      <c r="F2349" s="40"/>
    </row>
    <row r="2350" spans="1:6" ht="12.75" x14ac:dyDescent="0.2">
      <c r="A2350" s="40"/>
      <c r="B2350" s="41" t="s">
        <v>399</v>
      </c>
      <c r="C2350" s="40"/>
      <c r="D2350" s="40"/>
      <c r="E2350" s="40"/>
      <c r="F2350" s="40"/>
    </row>
    <row r="2351" spans="1:6" ht="12.75" x14ac:dyDescent="0.2">
      <c r="A2351" s="40"/>
      <c r="B2351" s="41" t="s">
        <v>400</v>
      </c>
      <c r="C2351" s="41" t="s">
        <v>1496</v>
      </c>
      <c r="D2351" s="40"/>
      <c r="E2351" s="40"/>
      <c r="F2351" s="40"/>
    </row>
    <row r="2352" spans="1:6" ht="12.75" x14ac:dyDescent="0.2">
      <c r="A2352" s="40"/>
      <c r="B2352" s="41" t="s">
        <v>401</v>
      </c>
      <c r="C2352" s="40"/>
      <c r="D2352" s="40"/>
      <c r="E2352" s="40"/>
      <c r="F2352" s="40"/>
    </row>
    <row r="2353" spans="1:6" ht="12.75" x14ac:dyDescent="0.2">
      <c r="A2353" s="41" t="s">
        <v>1497</v>
      </c>
      <c r="B2353" s="41" t="s">
        <v>402</v>
      </c>
      <c r="C2353" s="41" t="s">
        <v>1498</v>
      </c>
      <c r="D2353" s="40"/>
      <c r="E2353" s="40"/>
      <c r="F2353" s="40"/>
    </row>
    <row r="2354" spans="1:6" ht="12.75" x14ac:dyDescent="0.2">
      <c r="A2354" s="41" t="s">
        <v>1499</v>
      </c>
      <c r="B2354" s="40"/>
      <c r="C2354" s="40"/>
      <c r="D2354" s="40"/>
      <c r="E2354" s="40"/>
      <c r="F2354" s="40"/>
    </row>
    <row r="2355" spans="1:6" ht="12.75" x14ac:dyDescent="0.2">
      <c r="A2355" s="41" t="s">
        <v>1500</v>
      </c>
      <c r="B2355" s="40"/>
      <c r="C2355" s="40"/>
      <c r="D2355" s="40"/>
      <c r="E2355" s="40"/>
      <c r="F2355" s="40"/>
    </row>
    <row r="2356" spans="1:6" ht="12.75" x14ac:dyDescent="0.2">
      <c r="A2356" s="41" t="s">
        <v>1501</v>
      </c>
      <c r="B2356" s="40"/>
      <c r="C2356" s="40"/>
      <c r="D2356" s="40"/>
      <c r="E2356" s="40"/>
      <c r="F2356" s="40"/>
    </row>
    <row r="2357" spans="1:6" ht="12.75" x14ac:dyDescent="0.2">
      <c r="A2357" s="41" t="s">
        <v>1502</v>
      </c>
      <c r="B2357" s="40"/>
      <c r="C2357" s="40"/>
      <c r="D2357" s="40"/>
      <c r="E2357" s="40"/>
      <c r="F2357" s="40"/>
    </row>
    <row r="2358" spans="1:6" ht="12.75" x14ac:dyDescent="0.2">
      <c r="A2358" s="41" t="s">
        <v>1503</v>
      </c>
      <c r="B2358" s="40"/>
      <c r="C2358" s="40"/>
      <c r="D2358" s="40"/>
      <c r="E2358" s="40"/>
      <c r="F2358" s="40"/>
    </row>
    <row r="2359" spans="1:6" ht="12.75" x14ac:dyDescent="0.2">
      <c r="A2359" s="41" t="s">
        <v>1504</v>
      </c>
      <c r="B2359" s="40"/>
      <c r="C2359" s="40"/>
      <c r="D2359" s="40"/>
      <c r="E2359" s="40"/>
      <c r="F2359" s="40"/>
    </row>
    <row r="2360" spans="1:6" ht="12.75" x14ac:dyDescent="0.2">
      <c r="A2360" s="41" t="s">
        <v>1505</v>
      </c>
      <c r="B2360" s="40"/>
      <c r="C2360" s="40"/>
      <c r="D2360" s="40"/>
      <c r="E2360" s="40"/>
      <c r="F2360" s="40"/>
    </row>
    <row r="2361" spans="1:6" ht="12.75" x14ac:dyDescent="0.2">
      <c r="A2361" s="41" t="s">
        <v>1506</v>
      </c>
      <c r="B2361" s="40"/>
      <c r="C2361" s="40"/>
      <c r="D2361" s="40"/>
      <c r="E2361" s="40"/>
      <c r="F2361" s="40"/>
    </row>
    <row r="2362" spans="1:6" ht="12.75" x14ac:dyDescent="0.2">
      <c r="A2362" s="41" t="s">
        <v>1507</v>
      </c>
      <c r="B2362" s="40"/>
      <c r="C2362" s="40"/>
      <c r="D2362" s="40"/>
      <c r="E2362" s="40"/>
      <c r="F2362" s="40"/>
    </row>
    <row r="2363" spans="1:6" ht="12.75" x14ac:dyDescent="0.2">
      <c r="A2363" s="40"/>
      <c r="B2363" s="40"/>
      <c r="C2363" s="40"/>
      <c r="D2363" s="40"/>
      <c r="E2363" s="40"/>
      <c r="F2363" s="40"/>
    </row>
    <row r="2364" spans="1:6" ht="12.75" x14ac:dyDescent="0.2">
      <c r="A2364" s="41" t="s">
        <v>1508</v>
      </c>
      <c r="B2364" s="40"/>
      <c r="C2364" s="40"/>
      <c r="D2364" s="40"/>
      <c r="E2364" s="40"/>
      <c r="F2364" s="40"/>
    </row>
    <row r="2365" spans="1:6" ht="12.75" x14ac:dyDescent="0.2">
      <c r="A2365" s="40"/>
      <c r="B2365" s="41" t="s">
        <v>398</v>
      </c>
      <c r="C2365" s="40"/>
      <c r="D2365" s="40"/>
      <c r="E2365" s="40"/>
      <c r="F2365" s="40"/>
    </row>
    <row r="2366" spans="1:6" ht="12.75" x14ac:dyDescent="0.2">
      <c r="A2366" s="40"/>
      <c r="B2366" s="41" t="s">
        <v>399</v>
      </c>
      <c r="C2366" s="40"/>
      <c r="D2366" s="40"/>
      <c r="E2366" s="40"/>
      <c r="F2366" s="40"/>
    </row>
    <row r="2367" spans="1:6" ht="12.75" x14ac:dyDescent="0.2">
      <c r="A2367" s="40"/>
      <c r="B2367" s="41" t="s">
        <v>400</v>
      </c>
      <c r="C2367" s="41" t="s">
        <v>1508</v>
      </c>
      <c r="D2367" s="40"/>
      <c r="E2367" s="40"/>
      <c r="F2367" s="40"/>
    </row>
    <row r="2368" spans="1:6" ht="12.75" x14ac:dyDescent="0.2">
      <c r="A2368" s="40"/>
      <c r="B2368" s="41" t="s">
        <v>401</v>
      </c>
      <c r="C2368" s="40"/>
      <c r="D2368" s="40"/>
      <c r="E2368" s="40"/>
      <c r="F2368" s="40"/>
    </row>
    <row r="2369" spans="1:6" ht="12.75" x14ac:dyDescent="0.2">
      <c r="A2369" s="41" t="s">
        <v>1509</v>
      </c>
      <c r="B2369" s="41" t="s">
        <v>402</v>
      </c>
      <c r="C2369" s="41" t="s">
        <v>1510</v>
      </c>
      <c r="D2369" s="40"/>
      <c r="E2369" s="40"/>
      <c r="F2369" s="40"/>
    </row>
    <row r="2370" spans="1:6" ht="12.75" x14ac:dyDescent="0.2">
      <c r="A2370" s="41" t="s">
        <v>1511</v>
      </c>
      <c r="B2370" s="40"/>
      <c r="C2370" s="40"/>
      <c r="D2370" s="40"/>
      <c r="E2370" s="40"/>
      <c r="F2370" s="40"/>
    </row>
    <row r="2371" spans="1:6" ht="12.75" x14ac:dyDescent="0.2">
      <c r="A2371" s="41" t="s">
        <v>1512</v>
      </c>
      <c r="B2371" s="40"/>
      <c r="C2371" s="40"/>
      <c r="D2371" s="40"/>
      <c r="E2371" s="40"/>
      <c r="F2371" s="40"/>
    </row>
    <row r="2372" spans="1:6" ht="12.75" x14ac:dyDescent="0.2">
      <c r="A2372" s="41" t="s">
        <v>1513</v>
      </c>
      <c r="B2372" s="40"/>
      <c r="C2372" s="40"/>
      <c r="D2372" s="40"/>
      <c r="E2372" s="40"/>
      <c r="F2372" s="40"/>
    </row>
    <row r="2373" spans="1:6" ht="12.75" x14ac:dyDescent="0.2">
      <c r="A2373" s="41" t="s">
        <v>1514</v>
      </c>
      <c r="B2373" s="40"/>
      <c r="C2373" s="40"/>
      <c r="D2373" s="40"/>
      <c r="E2373" s="40"/>
      <c r="F2373" s="40"/>
    </row>
    <row r="2374" spans="1:6" ht="12.75" x14ac:dyDescent="0.2">
      <c r="A2374" s="40"/>
      <c r="B2374" s="40"/>
      <c r="C2374" s="40"/>
      <c r="D2374" s="40"/>
      <c r="E2374" s="40"/>
      <c r="F2374" s="40"/>
    </row>
    <row r="2375" spans="1:6" ht="12.75" x14ac:dyDescent="0.2">
      <c r="A2375" s="41" t="s">
        <v>1515</v>
      </c>
      <c r="B2375" s="40"/>
      <c r="C2375" s="40"/>
      <c r="D2375" s="40"/>
      <c r="E2375" s="40"/>
      <c r="F2375" s="40"/>
    </row>
    <row r="2376" spans="1:6" ht="12.75" x14ac:dyDescent="0.2">
      <c r="A2376" s="40"/>
      <c r="B2376" s="41" t="s">
        <v>398</v>
      </c>
      <c r="C2376" s="40"/>
      <c r="D2376" s="40"/>
      <c r="E2376" s="40"/>
      <c r="F2376" s="40"/>
    </row>
    <row r="2377" spans="1:6" ht="12.75" x14ac:dyDescent="0.2">
      <c r="A2377" s="40"/>
      <c r="B2377" s="41" t="s">
        <v>399</v>
      </c>
      <c r="C2377" s="40"/>
      <c r="D2377" s="40"/>
      <c r="E2377" s="40"/>
      <c r="F2377" s="40"/>
    </row>
    <row r="2378" spans="1:6" ht="12.75" x14ac:dyDescent="0.2">
      <c r="A2378" s="40"/>
      <c r="B2378" s="41" t="s">
        <v>400</v>
      </c>
      <c r="C2378" s="41" t="s">
        <v>1515</v>
      </c>
      <c r="D2378" s="40"/>
      <c r="E2378" s="40"/>
      <c r="F2378" s="40"/>
    </row>
    <row r="2379" spans="1:6" ht="12.75" x14ac:dyDescent="0.2">
      <c r="A2379" s="40"/>
      <c r="B2379" s="41" t="s">
        <v>401</v>
      </c>
      <c r="C2379" s="40"/>
      <c r="D2379" s="40"/>
      <c r="E2379" s="40"/>
      <c r="F2379" s="40"/>
    </row>
    <row r="2380" spans="1:6" ht="25.5" x14ac:dyDescent="0.2">
      <c r="A2380" s="41" t="s">
        <v>1516</v>
      </c>
      <c r="B2380" s="41" t="s">
        <v>402</v>
      </c>
      <c r="C2380" s="41" t="s">
        <v>1517</v>
      </c>
      <c r="D2380" s="40"/>
      <c r="E2380" s="40"/>
      <c r="F2380" s="40"/>
    </row>
    <row r="2381" spans="1:6" ht="12.75" x14ac:dyDescent="0.2">
      <c r="A2381" s="41" t="s">
        <v>1518</v>
      </c>
      <c r="B2381" s="40"/>
      <c r="C2381" s="40"/>
      <c r="D2381" s="40"/>
      <c r="E2381" s="40"/>
      <c r="F2381" s="40"/>
    </row>
    <row r="2382" spans="1:6" ht="12.75" x14ac:dyDescent="0.2">
      <c r="A2382" s="41" t="s">
        <v>1519</v>
      </c>
      <c r="B2382" s="40"/>
      <c r="C2382" s="40"/>
      <c r="D2382" s="40"/>
      <c r="E2382" s="40"/>
      <c r="F2382" s="40"/>
    </row>
    <row r="2383" spans="1:6" ht="12.75" x14ac:dyDescent="0.2">
      <c r="A2383" s="41" t="s">
        <v>1520</v>
      </c>
      <c r="B2383" s="40"/>
      <c r="C2383" s="40"/>
      <c r="D2383" s="40"/>
      <c r="E2383" s="40"/>
      <c r="F2383" s="40"/>
    </row>
    <row r="2384" spans="1:6" ht="12.75" x14ac:dyDescent="0.2">
      <c r="A2384" s="41" t="s">
        <v>1521</v>
      </c>
      <c r="B2384" s="40"/>
      <c r="C2384" s="40"/>
      <c r="D2384" s="40"/>
      <c r="E2384" s="40"/>
      <c r="F2384" s="40"/>
    </row>
    <row r="2385" spans="1:6" ht="12.75" x14ac:dyDescent="0.2">
      <c r="A2385" s="41" t="s">
        <v>1522</v>
      </c>
      <c r="B2385" s="40"/>
      <c r="C2385" s="40"/>
      <c r="D2385" s="40"/>
      <c r="E2385" s="40"/>
      <c r="F2385" s="40"/>
    </row>
    <row r="2386" spans="1:6" ht="12.75" x14ac:dyDescent="0.2">
      <c r="A2386" s="41" t="s">
        <v>1523</v>
      </c>
      <c r="B2386" s="40"/>
      <c r="C2386" s="40"/>
      <c r="D2386" s="40"/>
      <c r="E2386" s="40"/>
      <c r="F2386" s="40"/>
    </row>
    <row r="2387" spans="1:6" ht="12.75" x14ac:dyDescent="0.2">
      <c r="A2387" s="41" t="s">
        <v>1524</v>
      </c>
      <c r="B2387" s="40"/>
      <c r="C2387" s="40"/>
      <c r="D2387" s="40"/>
      <c r="E2387" s="40"/>
      <c r="F2387" s="40"/>
    </row>
    <row r="2388" spans="1:6" ht="12.75" x14ac:dyDescent="0.2">
      <c r="A2388" s="41" t="s">
        <v>1525</v>
      </c>
      <c r="B2388" s="40"/>
      <c r="C2388" s="40"/>
      <c r="D2388" s="40"/>
      <c r="E2388" s="40"/>
      <c r="F2388" s="40"/>
    </row>
    <row r="2389" spans="1:6" ht="12.75" x14ac:dyDescent="0.2">
      <c r="A2389" s="40"/>
      <c r="B2389" s="40"/>
      <c r="C2389" s="40"/>
      <c r="D2389" s="40"/>
      <c r="E2389" s="40"/>
      <c r="F2389" s="40"/>
    </row>
    <row r="2390" spans="1:6" ht="12.75" x14ac:dyDescent="0.2">
      <c r="A2390" s="41" t="s">
        <v>1526</v>
      </c>
      <c r="B2390" s="40"/>
      <c r="C2390" s="40"/>
      <c r="D2390" s="40"/>
      <c r="E2390" s="40"/>
      <c r="F2390" s="40"/>
    </row>
    <row r="2391" spans="1:6" ht="12.75" x14ac:dyDescent="0.2">
      <c r="A2391" s="40"/>
      <c r="B2391" s="41" t="s">
        <v>398</v>
      </c>
      <c r="C2391" s="40"/>
      <c r="D2391" s="40"/>
      <c r="E2391" s="40"/>
      <c r="F2391" s="40"/>
    </row>
    <row r="2392" spans="1:6" ht="12.75" x14ac:dyDescent="0.2">
      <c r="A2392" s="40"/>
      <c r="B2392" s="41" t="s">
        <v>399</v>
      </c>
      <c r="C2392" s="40"/>
      <c r="D2392" s="40"/>
      <c r="E2392" s="40"/>
      <c r="F2392" s="40"/>
    </row>
    <row r="2393" spans="1:6" ht="12.75" x14ac:dyDescent="0.2">
      <c r="A2393" s="40"/>
      <c r="B2393" s="41" t="s">
        <v>400</v>
      </c>
      <c r="C2393" s="41" t="s">
        <v>1526</v>
      </c>
      <c r="D2393" s="40"/>
      <c r="E2393" s="40"/>
      <c r="F2393" s="40"/>
    </row>
    <row r="2394" spans="1:6" ht="12.75" x14ac:dyDescent="0.2">
      <c r="A2394" s="40"/>
      <c r="B2394" s="41" t="s">
        <v>401</v>
      </c>
      <c r="C2394" s="40"/>
      <c r="D2394" s="40"/>
      <c r="E2394" s="40"/>
      <c r="F2394" s="40"/>
    </row>
    <row r="2395" spans="1:6" ht="12.75" x14ac:dyDescent="0.2">
      <c r="A2395" s="41" t="s">
        <v>1528</v>
      </c>
      <c r="B2395" s="41" t="s">
        <v>402</v>
      </c>
      <c r="C2395" s="41" t="s">
        <v>1528</v>
      </c>
      <c r="D2395" s="40"/>
      <c r="E2395" s="40"/>
      <c r="F2395" s="40"/>
    </row>
    <row r="2396" spans="1:6" ht="12.75" x14ac:dyDescent="0.2">
      <c r="A2396" s="41" t="s">
        <v>1529</v>
      </c>
      <c r="B2396" s="40"/>
      <c r="C2396" s="40"/>
      <c r="D2396" s="40"/>
      <c r="E2396" s="40"/>
      <c r="F2396" s="40"/>
    </row>
    <row r="2397" spans="1:6" ht="12.75" x14ac:dyDescent="0.2">
      <c r="A2397" s="41" t="s">
        <v>1530</v>
      </c>
      <c r="B2397" s="40"/>
      <c r="C2397" s="40"/>
      <c r="D2397" s="40"/>
      <c r="E2397" s="40"/>
      <c r="F2397" s="40"/>
    </row>
    <row r="2398" spans="1:6" ht="12.75" x14ac:dyDescent="0.2">
      <c r="A2398" s="41" t="s">
        <v>1531</v>
      </c>
      <c r="B2398" s="40"/>
      <c r="C2398" s="40"/>
      <c r="D2398" s="40"/>
      <c r="E2398" s="40"/>
      <c r="F2398" s="40"/>
    </row>
    <row r="2399" spans="1:6" ht="12.75" x14ac:dyDescent="0.2">
      <c r="A2399" s="41" t="s">
        <v>1532</v>
      </c>
      <c r="B2399" s="40"/>
      <c r="C2399" s="40"/>
      <c r="D2399" s="40"/>
      <c r="E2399" s="40"/>
      <c r="F2399" s="40"/>
    </row>
    <row r="2400" spans="1:6" ht="12.75" x14ac:dyDescent="0.2">
      <c r="A2400" s="41" t="s">
        <v>1533</v>
      </c>
      <c r="B2400" s="40"/>
      <c r="C2400" s="40"/>
      <c r="D2400" s="40"/>
      <c r="E2400" s="40"/>
      <c r="F2400" s="40"/>
    </row>
    <row r="2401" spans="1:6" ht="12.75" x14ac:dyDescent="0.2">
      <c r="A2401" s="41" t="s">
        <v>1534</v>
      </c>
      <c r="B2401" s="40"/>
      <c r="C2401" s="40"/>
      <c r="D2401" s="40"/>
      <c r="E2401" s="40"/>
      <c r="F2401" s="40"/>
    </row>
    <row r="2402" spans="1:6" ht="12.75" x14ac:dyDescent="0.2">
      <c r="A2402" s="41" t="s">
        <v>1535</v>
      </c>
      <c r="B2402" s="40"/>
      <c r="C2402" s="40"/>
      <c r="D2402" s="40"/>
      <c r="E2402" s="40"/>
      <c r="F2402" s="40"/>
    </row>
    <row r="2403" spans="1:6" ht="12.75" x14ac:dyDescent="0.2">
      <c r="A2403" s="41" t="s">
        <v>1536</v>
      </c>
      <c r="B2403" s="40"/>
      <c r="C2403" s="40"/>
      <c r="D2403" s="40"/>
      <c r="E2403" s="40"/>
      <c r="F2403" s="40"/>
    </row>
    <row r="2404" spans="1:6" ht="12.75" x14ac:dyDescent="0.2">
      <c r="A2404" s="40"/>
      <c r="B2404" s="40"/>
      <c r="C2404" s="40"/>
      <c r="D2404" s="40"/>
      <c r="E2404" s="40"/>
      <c r="F2404" s="40"/>
    </row>
    <row r="2405" spans="1:6" ht="12.75" x14ac:dyDescent="0.2">
      <c r="A2405" s="41" t="s">
        <v>1537</v>
      </c>
      <c r="B2405" s="40"/>
      <c r="C2405" s="40"/>
      <c r="D2405" s="40"/>
      <c r="E2405" s="40"/>
      <c r="F2405" s="40"/>
    </row>
    <row r="2406" spans="1:6" ht="12.75" x14ac:dyDescent="0.2">
      <c r="A2406" s="40"/>
      <c r="B2406" s="41" t="s">
        <v>398</v>
      </c>
      <c r="C2406" s="40"/>
      <c r="D2406" s="40"/>
      <c r="E2406" s="40"/>
      <c r="F2406" s="40"/>
    </row>
    <row r="2407" spans="1:6" ht="12.75" x14ac:dyDescent="0.2">
      <c r="A2407" s="40"/>
      <c r="B2407" s="41" t="s">
        <v>399</v>
      </c>
      <c r="C2407" s="40"/>
      <c r="D2407" s="40"/>
      <c r="E2407" s="40"/>
      <c r="F2407" s="40"/>
    </row>
    <row r="2408" spans="1:6" ht="12.75" x14ac:dyDescent="0.2">
      <c r="A2408" s="40"/>
      <c r="B2408" s="41" t="s">
        <v>400</v>
      </c>
      <c r="C2408" s="41" t="s">
        <v>1537</v>
      </c>
      <c r="D2408" s="40"/>
      <c r="E2408" s="40"/>
      <c r="F2408" s="40"/>
    </row>
    <row r="2409" spans="1:6" ht="12.75" x14ac:dyDescent="0.2">
      <c r="A2409" s="40"/>
      <c r="B2409" s="41" t="s">
        <v>401</v>
      </c>
      <c r="C2409" s="40"/>
      <c r="D2409" s="40"/>
      <c r="E2409" s="40"/>
      <c r="F2409" s="40"/>
    </row>
    <row r="2410" spans="1:6" ht="12.75" x14ac:dyDescent="0.2">
      <c r="A2410" s="41" t="s">
        <v>1538</v>
      </c>
      <c r="B2410" s="41" t="s">
        <v>402</v>
      </c>
      <c r="C2410" s="41" t="s">
        <v>1539</v>
      </c>
      <c r="D2410" s="40"/>
      <c r="E2410" s="40"/>
      <c r="F2410" s="40"/>
    </row>
    <row r="2411" spans="1:6" ht="12.75" x14ac:dyDescent="0.2">
      <c r="A2411" s="41" t="s">
        <v>1540</v>
      </c>
      <c r="B2411" s="40"/>
      <c r="C2411" s="40"/>
      <c r="D2411" s="40"/>
      <c r="E2411" s="40"/>
      <c r="F2411" s="40"/>
    </row>
    <row r="2412" spans="1:6" ht="12.75" x14ac:dyDescent="0.2">
      <c r="A2412" s="41" t="s">
        <v>1541</v>
      </c>
      <c r="B2412" s="40"/>
      <c r="C2412" s="40"/>
      <c r="D2412" s="40"/>
      <c r="E2412" s="40"/>
      <c r="F2412" s="40"/>
    </row>
    <row r="2413" spans="1:6" ht="12.75" x14ac:dyDescent="0.2">
      <c r="A2413" s="41" t="s">
        <v>1542</v>
      </c>
      <c r="B2413" s="40"/>
      <c r="C2413" s="40"/>
      <c r="D2413" s="40"/>
      <c r="E2413" s="40"/>
      <c r="F2413" s="40"/>
    </row>
    <row r="2414" spans="1:6" ht="12.75" x14ac:dyDescent="0.2">
      <c r="A2414" s="41" t="s">
        <v>1544</v>
      </c>
      <c r="B2414" s="40"/>
      <c r="C2414" s="40"/>
      <c r="D2414" s="40"/>
      <c r="E2414" s="40"/>
      <c r="F2414" s="40"/>
    </row>
    <row r="2415" spans="1:6" ht="12.75" x14ac:dyDescent="0.2">
      <c r="A2415" s="41" t="s">
        <v>1545</v>
      </c>
      <c r="B2415" s="40"/>
      <c r="C2415" s="40"/>
      <c r="D2415" s="40"/>
      <c r="E2415" s="40"/>
      <c r="F2415" s="40"/>
    </row>
    <row r="2416" spans="1:6" ht="12.75" x14ac:dyDescent="0.2">
      <c r="A2416" s="41" t="s">
        <v>1546</v>
      </c>
      <c r="B2416" s="40"/>
      <c r="C2416" s="40"/>
      <c r="D2416" s="40"/>
      <c r="E2416" s="40"/>
      <c r="F2416" s="40"/>
    </row>
    <row r="2417" spans="1:6" ht="12.75" x14ac:dyDescent="0.2">
      <c r="A2417" s="41" t="s">
        <v>1547</v>
      </c>
      <c r="B2417" s="40"/>
      <c r="C2417" s="40"/>
      <c r="D2417" s="40"/>
      <c r="E2417" s="40"/>
      <c r="F2417" s="40"/>
    </row>
    <row r="2418" spans="1:6" ht="12.75" x14ac:dyDescent="0.2">
      <c r="A2418" s="41" t="s">
        <v>1549</v>
      </c>
      <c r="B2418" s="40"/>
      <c r="C2418" s="40"/>
      <c r="D2418" s="40"/>
      <c r="E2418" s="40"/>
      <c r="F2418" s="40"/>
    </row>
    <row r="2419" spans="1:6" ht="12.75" x14ac:dyDescent="0.2">
      <c r="A2419" s="40"/>
      <c r="B2419" s="40"/>
      <c r="C2419" s="40"/>
      <c r="D2419" s="40"/>
      <c r="E2419" s="40"/>
      <c r="F2419" s="40"/>
    </row>
    <row r="2420" spans="1:6" ht="12.75" x14ac:dyDescent="0.2">
      <c r="A2420" s="82" t="s">
        <v>1551</v>
      </c>
      <c r="B2420" s="40"/>
      <c r="C2420" s="40"/>
      <c r="D2420" s="40"/>
      <c r="E2420" s="40"/>
      <c r="F2420" s="40"/>
    </row>
    <row r="2421" spans="1:6" ht="12.75" x14ac:dyDescent="0.2">
      <c r="A2421" s="40"/>
      <c r="B2421" s="41" t="s">
        <v>398</v>
      </c>
      <c r="C2421" s="40"/>
      <c r="D2421" s="40"/>
      <c r="E2421" s="40"/>
      <c r="F2421" s="40"/>
    </row>
    <row r="2422" spans="1:6" ht="12.75" x14ac:dyDescent="0.2">
      <c r="A2422" s="40"/>
      <c r="B2422" s="41" t="s">
        <v>399</v>
      </c>
      <c r="C2422" s="40"/>
      <c r="D2422" s="40"/>
      <c r="E2422" s="40"/>
      <c r="F2422" s="40"/>
    </row>
    <row r="2423" spans="1:6" ht="12.75" x14ac:dyDescent="0.2">
      <c r="A2423" s="40"/>
      <c r="B2423" s="41" t="s">
        <v>400</v>
      </c>
      <c r="C2423" s="82" t="s">
        <v>1551</v>
      </c>
      <c r="D2423" s="40"/>
      <c r="E2423" s="40"/>
      <c r="F2423" s="40"/>
    </row>
    <row r="2424" spans="1:6" ht="12.75" x14ac:dyDescent="0.2">
      <c r="A2424" s="40"/>
      <c r="B2424" s="41" t="s">
        <v>401</v>
      </c>
      <c r="C2424" s="40"/>
      <c r="D2424" s="40"/>
      <c r="E2424" s="40"/>
      <c r="F2424" s="40"/>
    </row>
    <row r="2425" spans="1:6" ht="12.75" x14ac:dyDescent="0.2">
      <c r="A2425" s="41" t="s">
        <v>1608</v>
      </c>
      <c r="B2425" s="41" t="s">
        <v>402</v>
      </c>
      <c r="C2425" s="41" t="s">
        <v>1611</v>
      </c>
      <c r="D2425" s="40"/>
      <c r="E2425" s="40"/>
      <c r="F2425" s="40"/>
    </row>
    <row r="2426" spans="1:6" ht="12.75" x14ac:dyDescent="0.2">
      <c r="A2426" s="41" t="s">
        <v>1613</v>
      </c>
      <c r="B2426" s="40"/>
      <c r="C2426" s="40"/>
      <c r="D2426" s="40"/>
      <c r="E2426" s="40"/>
      <c r="F2426" s="40"/>
    </row>
    <row r="2427" spans="1:6" ht="12.75" x14ac:dyDescent="0.2">
      <c r="A2427" s="41" t="s">
        <v>1615</v>
      </c>
      <c r="B2427" s="40"/>
      <c r="C2427" s="40"/>
      <c r="D2427" s="40"/>
      <c r="E2427" s="40"/>
      <c r="F2427" s="40"/>
    </row>
    <row r="2428" spans="1:6" ht="12.75" x14ac:dyDescent="0.2">
      <c r="A2428" s="41" t="s">
        <v>1616</v>
      </c>
      <c r="B2428" s="40"/>
      <c r="C2428" s="40"/>
      <c r="D2428" s="40"/>
      <c r="E2428" s="40"/>
      <c r="F2428" s="40"/>
    </row>
    <row r="2429" spans="1:6" ht="12.75" x14ac:dyDescent="0.2">
      <c r="A2429" s="40"/>
      <c r="B2429" s="40"/>
      <c r="C2429" s="40"/>
      <c r="D2429" s="40"/>
      <c r="E2429" s="40"/>
      <c r="F2429" s="40"/>
    </row>
    <row r="2430" spans="1:6" ht="12.75" x14ac:dyDescent="0.2">
      <c r="A2430" s="41" t="s">
        <v>1618</v>
      </c>
      <c r="B2430" s="40"/>
      <c r="C2430" s="40"/>
      <c r="D2430" s="40"/>
      <c r="E2430" s="40"/>
      <c r="F2430" s="40"/>
    </row>
    <row r="2431" spans="1:6" ht="12.75" x14ac:dyDescent="0.2">
      <c r="A2431" s="40"/>
      <c r="B2431" s="41" t="s">
        <v>398</v>
      </c>
      <c r="C2431" s="40"/>
      <c r="D2431" s="40"/>
      <c r="E2431" s="40"/>
      <c r="F2431" s="40"/>
    </row>
    <row r="2432" spans="1:6" ht="12.75" x14ac:dyDescent="0.2">
      <c r="A2432" s="40"/>
      <c r="B2432" s="41" t="s">
        <v>399</v>
      </c>
      <c r="C2432" s="40"/>
      <c r="D2432" s="40"/>
      <c r="E2432" s="40"/>
      <c r="F2432" s="40"/>
    </row>
    <row r="2433" spans="1:6" ht="12.75" x14ac:dyDescent="0.2">
      <c r="A2433" s="40"/>
      <c r="B2433" s="41" t="s">
        <v>400</v>
      </c>
      <c r="C2433" s="41" t="s">
        <v>1618</v>
      </c>
      <c r="D2433" s="40"/>
      <c r="E2433" s="40"/>
      <c r="F2433" s="40"/>
    </row>
    <row r="2434" spans="1:6" ht="12.75" x14ac:dyDescent="0.2">
      <c r="A2434" s="40"/>
      <c r="B2434" s="41" t="s">
        <v>401</v>
      </c>
      <c r="C2434" s="40"/>
      <c r="D2434" s="40"/>
      <c r="E2434" s="40"/>
      <c r="F2434" s="40"/>
    </row>
    <row r="2435" spans="1:6" ht="12.75" x14ac:dyDescent="0.2">
      <c r="A2435" s="41" t="s">
        <v>1620</v>
      </c>
      <c r="B2435" s="41" t="s">
        <v>402</v>
      </c>
      <c r="C2435" s="41" t="s">
        <v>1621</v>
      </c>
      <c r="D2435" s="40"/>
      <c r="E2435" s="40"/>
      <c r="F2435" s="40"/>
    </row>
    <row r="2436" spans="1:6" ht="12.75" x14ac:dyDescent="0.2">
      <c r="A2436" s="40"/>
      <c r="B2436" s="40"/>
      <c r="C2436" s="40"/>
      <c r="D2436" s="40"/>
      <c r="E2436" s="40"/>
      <c r="F2436" s="40"/>
    </row>
    <row r="2437" spans="1:6" ht="12.75" x14ac:dyDescent="0.2">
      <c r="A2437" s="41" t="s">
        <v>1623</v>
      </c>
      <c r="B2437" s="40"/>
      <c r="C2437" s="40"/>
      <c r="D2437" s="40"/>
      <c r="E2437" s="40"/>
      <c r="F2437" s="40"/>
    </row>
    <row r="2438" spans="1:6" ht="12.75" x14ac:dyDescent="0.2">
      <c r="A2438" s="40"/>
      <c r="B2438" s="41" t="s">
        <v>398</v>
      </c>
      <c r="C2438" s="40"/>
      <c r="D2438" s="40"/>
      <c r="E2438" s="40"/>
      <c r="F2438" s="40"/>
    </row>
    <row r="2439" spans="1:6" ht="12.75" x14ac:dyDescent="0.2">
      <c r="A2439" s="40"/>
      <c r="B2439" s="41" t="s">
        <v>399</v>
      </c>
      <c r="C2439" s="40"/>
      <c r="D2439" s="40"/>
      <c r="E2439" s="40"/>
      <c r="F2439" s="40"/>
    </row>
    <row r="2440" spans="1:6" ht="12.75" x14ac:dyDescent="0.2">
      <c r="A2440" s="40"/>
      <c r="B2440" s="41" t="s">
        <v>400</v>
      </c>
      <c r="C2440" s="41" t="s">
        <v>1623</v>
      </c>
      <c r="D2440" s="40"/>
      <c r="E2440" s="40"/>
      <c r="F2440" s="40"/>
    </row>
    <row r="2441" spans="1:6" ht="12.75" x14ac:dyDescent="0.2">
      <c r="A2441" s="40"/>
      <c r="B2441" s="41" t="s">
        <v>401</v>
      </c>
      <c r="C2441" s="40"/>
      <c r="D2441" s="40"/>
      <c r="E2441" s="40"/>
      <c r="F2441" s="40"/>
    </row>
    <row r="2442" spans="1:6" ht="12.75" x14ac:dyDescent="0.2">
      <c r="A2442" s="41" t="s">
        <v>168</v>
      </c>
      <c r="B2442" s="41" t="s">
        <v>402</v>
      </c>
      <c r="C2442" s="41" t="s">
        <v>1626</v>
      </c>
      <c r="D2442" s="40"/>
      <c r="E2442" s="40"/>
      <c r="F2442" s="40"/>
    </row>
    <row r="2443" spans="1:6" ht="12.75" x14ac:dyDescent="0.2">
      <c r="A2443" s="41" t="s">
        <v>1627</v>
      </c>
      <c r="B2443" s="40"/>
      <c r="C2443" s="40"/>
      <c r="D2443" s="40"/>
      <c r="E2443" s="40"/>
      <c r="F2443" s="40"/>
    </row>
    <row r="2444" spans="1:6" ht="12.75" x14ac:dyDescent="0.2">
      <c r="A2444" s="41" t="s">
        <v>175</v>
      </c>
      <c r="B2444" s="40"/>
      <c r="C2444" s="40"/>
      <c r="D2444" s="40"/>
      <c r="E2444" s="40"/>
      <c r="F2444" s="40"/>
    </row>
    <row r="2445" spans="1:6" ht="12.75" x14ac:dyDescent="0.2">
      <c r="A2445" s="41" t="s">
        <v>161</v>
      </c>
      <c r="B2445" s="40"/>
      <c r="C2445" s="40"/>
      <c r="D2445" s="40"/>
      <c r="E2445" s="40"/>
      <c r="F2445" s="40"/>
    </row>
    <row r="2446" spans="1:6" ht="12.75" x14ac:dyDescent="0.2">
      <c r="A2446" s="41" t="s">
        <v>1628</v>
      </c>
      <c r="B2446" s="40"/>
      <c r="C2446" s="40"/>
      <c r="D2446" s="40"/>
      <c r="E2446" s="40"/>
      <c r="F2446" s="40"/>
    </row>
    <row r="2447" spans="1:6" ht="12.75" x14ac:dyDescent="0.2">
      <c r="A2447" s="41" t="s">
        <v>1629</v>
      </c>
      <c r="B2447" s="40"/>
      <c r="C2447" s="40"/>
      <c r="D2447" s="40"/>
      <c r="E2447" s="40"/>
      <c r="F2447" s="40"/>
    </row>
    <row r="2448" spans="1:6" ht="12.75" x14ac:dyDescent="0.2">
      <c r="A2448" s="41" t="s">
        <v>1630</v>
      </c>
      <c r="B2448" s="40"/>
      <c r="C2448" s="40"/>
      <c r="D2448" s="40"/>
      <c r="E2448" s="40"/>
      <c r="F2448" s="40"/>
    </row>
    <row r="2449" spans="1:6" ht="12.75" x14ac:dyDescent="0.2">
      <c r="A2449" s="41" t="s">
        <v>1631</v>
      </c>
      <c r="B2449" s="40"/>
      <c r="C2449" s="40"/>
      <c r="D2449" s="40"/>
      <c r="E2449" s="40"/>
      <c r="F2449" s="40"/>
    </row>
    <row r="2450" spans="1:6" ht="12.75" x14ac:dyDescent="0.2">
      <c r="A2450" s="41" t="s">
        <v>1633</v>
      </c>
      <c r="B2450" s="40"/>
      <c r="C2450" s="40"/>
      <c r="D2450" s="40"/>
      <c r="E2450" s="40"/>
      <c r="F2450" s="40"/>
    </row>
    <row r="2451" spans="1:6" ht="12.75" x14ac:dyDescent="0.2">
      <c r="A2451" s="40"/>
      <c r="B2451" s="40"/>
      <c r="C2451" s="40"/>
      <c r="D2451" s="40"/>
      <c r="E2451" s="40"/>
      <c r="F2451" s="40"/>
    </row>
    <row r="2452" spans="1:6" ht="12.75" x14ac:dyDescent="0.2">
      <c r="A2452" s="41" t="s">
        <v>1638</v>
      </c>
      <c r="B2452" s="40"/>
      <c r="C2452" s="40"/>
      <c r="D2452" s="40"/>
      <c r="E2452" s="40"/>
      <c r="F2452" s="40"/>
    </row>
    <row r="2453" spans="1:6" ht="12.75" x14ac:dyDescent="0.2">
      <c r="A2453" s="40"/>
      <c r="B2453" s="41" t="s">
        <v>398</v>
      </c>
      <c r="C2453" s="40"/>
      <c r="D2453" s="40"/>
      <c r="E2453" s="40"/>
      <c r="F2453" s="40"/>
    </row>
    <row r="2454" spans="1:6" ht="12.75" x14ac:dyDescent="0.2">
      <c r="A2454" s="40"/>
      <c r="B2454" s="41" t="s">
        <v>399</v>
      </c>
      <c r="C2454" s="40"/>
      <c r="D2454" s="40"/>
      <c r="E2454" s="40"/>
      <c r="F2454" s="40"/>
    </row>
    <row r="2455" spans="1:6" ht="12.75" x14ac:dyDescent="0.2">
      <c r="A2455" s="40"/>
      <c r="B2455" s="41" t="s">
        <v>400</v>
      </c>
      <c r="C2455" s="41" t="s">
        <v>1638</v>
      </c>
      <c r="D2455" s="40"/>
      <c r="E2455" s="40"/>
      <c r="F2455" s="40"/>
    </row>
    <row r="2456" spans="1:6" ht="12.75" x14ac:dyDescent="0.2">
      <c r="A2456" s="40"/>
      <c r="B2456" s="41" t="s">
        <v>401</v>
      </c>
      <c r="C2456" s="40"/>
      <c r="D2456" s="40"/>
      <c r="E2456" s="40"/>
      <c r="F2456" s="40"/>
    </row>
    <row r="2457" spans="1:6" ht="12.75" x14ac:dyDescent="0.2">
      <c r="A2457" s="41" t="s">
        <v>184</v>
      </c>
      <c r="B2457" s="41" t="s">
        <v>402</v>
      </c>
      <c r="C2457" s="41" t="s">
        <v>1644</v>
      </c>
      <c r="D2457" s="40"/>
      <c r="E2457" s="40"/>
      <c r="F2457" s="40"/>
    </row>
    <row r="2458" spans="1:6" ht="12.75" x14ac:dyDescent="0.2">
      <c r="A2458" s="41" t="s">
        <v>1648</v>
      </c>
      <c r="B2458" s="40"/>
      <c r="C2458" s="40"/>
      <c r="D2458" s="40"/>
      <c r="E2458" s="40"/>
      <c r="F2458" s="40"/>
    </row>
    <row r="2459" spans="1:6" ht="12.75" x14ac:dyDescent="0.2">
      <c r="A2459" s="41" t="s">
        <v>1652</v>
      </c>
      <c r="B2459" s="40"/>
      <c r="C2459" s="40"/>
      <c r="D2459" s="40"/>
      <c r="E2459" s="40"/>
      <c r="F2459" s="40"/>
    </row>
    <row r="2460" spans="1:6" ht="12.75" x14ac:dyDescent="0.2">
      <c r="A2460" s="41" t="s">
        <v>1657</v>
      </c>
      <c r="B2460" s="40"/>
      <c r="C2460" s="40"/>
      <c r="D2460" s="40"/>
      <c r="E2460" s="40"/>
      <c r="F2460" s="40"/>
    </row>
    <row r="2461" spans="1:6" ht="12.75" x14ac:dyDescent="0.2">
      <c r="A2461" s="41" t="s">
        <v>1663</v>
      </c>
      <c r="B2461" s="40"/>
      <c r="C2461" s="40"/>
      <c r="D2461" s="40"/>
      <c r="E2461" s="40"/>
      <c r="F2461" s="40"/>
    </row>
    <row r="2462" spans="1:6" ht="12.75" x14ac:dyDescent="0.2">
      <c r="A2462" s="41" t="s">
        <v>1667</v>
      </c>
      <c r="B2462" s="40"/>
      <c r="C2462" s="40"/>
      <c r="D2462" s="40"/>
      <c r="E2462" s="40"/>
      <c r="F2462" s="40"/>
    </row>
    <row r="2463" spans="1:6" ht="12.75" x14ac:dyDescent="0.2">
      <c r="A2463" s="40"/>
      <c r="B2463" s="40"/>
      <c r="C2463" s="40"/>
      <c r="D2463" s="40"/>
      <c r="E2463" s="40"/>
      <c r="F2463" s="40"/>
    </row>
    <row r="2464" spans="1:6" ht="12.75" x14ac:dyDescent="0.2">
      <c r="A2464" s="41" t="s">
        <v>1671</v>
      </c>
      <c r="B2464" s="40"/>
      <c r="C2464" s="40"/>
      <c r="D2464" s="40"/>
      <c r="E2464" s="40"/>
      <c r="F2464" s="40"/>
    </row>
    <row r="2465" spans="1:6" ht="12.75" x14ac:dyDescent="0.2">
      <c r="A2465" s="40"/>
      <c r="B2465" s="41" t="s">
        <v>398</v>
      </c>
      <c r="C2465" s="40"/>
      <c r="D2465" s="40"/>
      <c r="E2465" s="40"/>
      <c r="F2465" s="40"/>
    </row>
    <row r="2466" spans="1:6" ht="12.75" x14ac:dyDescent="0.2">
      <c r="A2466" s="40"/>
      <c r="B2466" s="41" t="s">
        <v>399</v>
      </c>
      <c r="C2466" s="40"/>
      <c r="D2466" s="40"/>
      <c r="E2466" s="40"/>
      <c r="F2466" s="40"/>
    </row>
    <row r="2467" spans="1:6" ht="12.75" x14ac:dyDescent="0.2">
      <c r="A2467" s="40"/>
      <c r="B2467" s="41" t="s">
        <v>400</v>
      </c>
      <c r="C2467" s="41" t="s">
        <v>1671</v>
      </c>
      <c r="D2467" s="40"/>
      <c r="E2467" s="40"/>
      <c r="F2467" s="40"/>
    </row>
    <row r="2468" spans="1:6" ht="12.75" x14ac:dyDescent="0.2">
      <c r="A2468" s="40"/>
      <c r="B2468" s="41" t="s">
        <v>401</v>
      </c>
      <c r="C2468" s="40"/>
      <c r="D2468" s="40"/>
      <c r="E2468" s="40"/>
      <c r="F2468" s="40"/>
    </row>
    <row r="2469" spans="1:6" ht="12.75" x14ac:dyDescent="0.2">
      <c r="A2469" s="41" t="s">
        <v>186</v>
      </c>
      <c r="B2469" s="41" t="s">
        <v>402</v>
      </c>
      <c r="C2469" s="41" t="s">
        <v>1677</v>
      </c>
      <c r="D2469" s="40"/>
      <c r="E2469" s="40"/>
      <c r="F2469" s="40"/>
    </row>
    <row r="2470" spans="1:6" ht="12.75" x14ac:dyDescent="0.2">
      <c r="A2470" s="41" t="s">
        <v>1680</v>
      </c>
      <c r="B2470" s="40"/>
      <c r="C2470" s="40"/>
      <c r="D2470" s="40"/>
      <c r="E2470" s="40"/>
      <c r="F2470" s="40"/>
    </row>
    <row r="2471" spans="1:6" ht="12.75" x14ac:dyDescent="0.2">
      <c r="A2471" s="41" t="s">
        <v>187</v>
      </c>
      <c r="B2471" s="40"/>
      <c r="C2471" s="40"/>
      <c r="D2471" s="40"/>
      <c r="E2471" s="40"/>
      <c r="F2471" s="40"/>
    </row>
    <row r="2472" spans="1:6" ht="12.75" x14ac:dyDescent="0.2">
      <c r="A2472" s="41" t="s">
        <v>188</v>
      </c>
      <c r="B2472" s="40"/>
      <c r="C2472" s="40"/>
      <c r="D2472" s="40"/>
      <c r="E2472" s="40"/>
      <c r="F2472" s="40"/>
    </row>
    <row r="2473" spans="1:6" ht="12.75" x14ac:dyDescent="0.2">
      <c r="A2473" s="41" t="s">
        <v>1683</v>
      </c>
      <c r="B2473" s="40"/>
      <c r="C2473" s="40"/>
      <c r="D2473" s="40"/>
      <c r="E2473" s="40"/>
      <c r="F2473" s="40"/>
    </row>
    <row r="2474" spans="1:6" ht="12.75" x14ac:dyDescent="0.2">
      <c r="A2474" s="41" t="s">
        <v>1684</v>
      </c>
      <c r="B2474" s="40"/>
      <c r="C2474" s="40"/>
      <c r="D2474" s="40"/>
      <c r="E2474" s="40"/>
      <c r="F2474" s="40"/>
    </row>
    <row r="2475" spans="1:6" ht="12.75" x14ac:dyDescent="0.2">
      <c r="A2475" s="40"/>
      <c r="B2475" s="40"/>
      <c r="C2475" s="40"/>
      <c r="D2475" s="40"/>
      <c r="E2475" s="40"/>
      <c r="F2475" s="40"/>
    </row>
    <row r="2476" spans="1:6" ht="12.75" x14ac:dyDescent="0.2">
      <c r="A2476" s="41" t="s">
        <v>1685</v>
      </c>
      <c r="B2476" s="40"/>
      <c r="C2476" s="40"/>
      <c r="D2476" s="40"/>
      <c r="E2476" s="40"/>
      <c r="F2476" s="40"/>
    </row>
    <row r="2477" spans="1:6" ht="12.75" x14ac:dyDescent="0.2">
      <c r="A2477" s="40"/>
      <c r="B2477" s="41" t="s">
        <v>398</v>
      </c>
      <c r="C2477" s="40"/>
      <c r="D2477" s="40"/>
      <c r="E2477" s="40"/>
      <c r="F2477" s="40"/>
    </row>
    <row r="2478" spans="1:6" ht="12.75" x14ac:dyDescent="0.2">
      <c r="A2478" s="40"/>
      <c r="B2478" s="41" t="s">
        <v>399</v>
      </c>
      <c r="C2478" s="40"/>
      <c r="D2478" s="40"/>
      <c r="E2478" s="40"/>
      <c r="F2478" s="40"/>
    </row>
    <row r="2479" spans="1:6" ht="12.75" x14ac:dyDescent="0.2">
      <c r="A2479" s="40"/>
      <c r="B2479" s="41" t="s">
        <v>400</v>
      </c>
      <c r="C2479" s="41" t="s">
        <v>1685</v>
      </c>
      <c r="D2479" s="40"/>
      <c r="E2479" s="40"/>
      <c r="F2479" s="40"/>
    </row>
    <row r="2480" spans="1:6" ht="12.75" x14ac:dyDescent="0.2">
      <c r="A2480" s="40"/>
      <c r="B2480" s="41" t="s">
        <v>401</v>
      </c>
      <c r="C2480" s="40"/>
      <c r="D2480" s="40"/>
      <c r="E2480" s="40"/>
      <c r="F2480" s="40"/>
    </row>
    <row r="2481" spans="1:6" ht="12.75" x14ac:dyDescent="0.2">
      <c r="A2481" s="41" t="s">
        <v>1686</v>
      </c>
      <c r="B2481" s="41" t="s">
        <v>402</v>
      </c>
      <c r="C2481" s="41" t="s">
        <v>1687</v>
      </c>
      <c r="D2481" s="40"/>
      <c r="E2481" s="40"/>
      <c r="F2481" s="40"/>
    </row>
    <row r="2482" spans="1:6" ht="12.75" x14ac:dyDescent="0.2">
      <c r="A2482" s="41" t="s">
        <v>1688</v>
      </c>
      <c r="B2482" s="40"/>
      <c r="C2482" s="40"/>
      <c r="D2482" s="40"/>
      <c r="E2482" s="40"/>
      <c r="F2482" s="40"/>
    </row>
    <row r="2483" spans="1:6" ht="12.75" x14ac:dyDescent="0.2">
      <c r="A2483" s="41" t="s">
        <v>1689</v>
      </c>
      <c r="B2483" s="40"/>
      <c r="C2483" s="40"/>
      <c r="D2483" s="40"/>
      <c r="E2483" s="40"/>
      <c r="F2483" s="40"/>
    </row>
    <row r="2484" spans="1:6" ht="12.75" x14ac:dyDescent="0.2">
      <c r="A2484" s="41" t="s">
        <v>1690</v>
      </c>
      <c r="B2484" s="40"/>
      <c r="C2484" s="40"/>
      <c r="D2484" s="40"/>
      <c r="E2484" s="40"/>
      <c r="F2484" s="40"/>
    </row>
    <row r="2485" spans="1:6" ht="12.75" x14ac:dyDescent="0.2">
      <c r="A2485" s="41" t="s">
        <v>1691</v>
      </c>
      <c r="B2485" s="40"/>
      <c r="C2485" s="40"/>
      <c r="D2485" s="40"/>
      <c r="E2485" s="40"/>
      <c r="F2485" s="40"/>
    </row>
    <row r="2486" spans="1:6" ht="12.75" x14ac:dyDescent="0.2">
      <c r="A2486" s="41" t="s">
        <v>1692</v>
      </c>
      <c r="B2486" s="40"/>
      <c r="C2486" s="40"/>
      <c r="D2486" s="40"/>
      <c r="E2486" s="40"/>
      <c r="F2486" s="40"/>
    </row>
    <row r="2487" spans="1:6" ht="12.75" x14ac:dyDescent="0.2">
      <c r="A2487" s="41" t="s">
        <v>1696</v>
      </c>
      <c r="B2487" s="40"/>
      <c r="C2487" s="40"/>
      <c r="D2487" s="40"/>
      <c r="E2487" s="40"/>
      <c r="F2487" s="40"/>
    </row>
    <row r="2488" spans="1:6" ht="12.75" x14ac:dyDescent="0.2">
      <c r="A2488" s="41" t="s">
        <v>1698</v>
      </c>
      <c r="B2488" s="40"/>
      <c r="C2488" s="40"/>
      <c r="D2488" s="40"/>
      <c r="E2488" s="40"/>
      <c r="F2488" s="40"/>
    </row>
    <row r="2489" spans="1:6" ht="12.75" x14ac:dyDescent="0.2">
      <c r="A2489" s="41" t="s">
        <v>1701</v>
      </c>
      <c r="B2489" s="40"/>
      <c r="C2489" s="40"/>
      <c r="D2489" s="40"/>
      <c r="E2489" s="40"/>
      <c r="F2489" s="40"/>
    </row>
    <row r="2490" spans="1:6" ht="12.75" x14ac:dyDescent="0.2">
      <c r="A2490" s="41" t="s">
        <v>1704</v>
      </c>
      <c r="B2490" s="40"/>
      <c r="C2490" s="40"/>
      <c r="D2490" s="40"/>
      <c r="E2490" s="40"/>
      <c r="F2490" s="40"/>
    </row>
    <row r="2491" spans="1:6" ht="12.75" x14ac:dyDescent="0.2">
      <c r="A2491" s="40"/>
      <c r="B2491" s="40"/>
      <c r="C2491" s="40"/>
      <c r="D2491" s="40"/>
      <c r="E2491" s="40"/>
      <c r="F2491" s="40"/>
    </row>
    <row r="2492" spans="1:6" ht="12.75" x14ac:dyDescent="0.2">
      <c r="A2492" s="41" t="s">
        <v>1707</v>
      </c>
      <c r="B2492" s="40"/>
      <c r="C2492" s="40"/>
      <c r="D2492" s="40"/>
      <c r="E2492" s="40"/>
      <c r="F2492" s="40"/>
    </row>
    <row r="2493" spans="1:6" ht="12.75" x14ac:dyDescent="0.2">
      <c r="A2493" s="40"/>
      <c r="B2493" s="41" t="s">
        <v>398</v>
      </c>
      <c r="C2493" s="40"/>
      <c r="D2493" s="40"/>
      <c r="E2493" s="40"/>
      <c r="F2493" s="40"/>
    </row>
    <row r="2494" spans="1:6" ht="12.75" x14ac:dyDescent="0.2">
      <c r="A2494" s="40"/>
      <c r="B2494" s="41" t="s">
        <v>399</v>
      </c>
      <c r="C2494" s="40"/>
      <c r="D2494" s="40"/>
      <c r="E2494" s="40"/>
      <c r="F2494" s="40"/>
    </row>
    <row r="2495" spans="1:6" ht="12.75" x14ac:dyDescent="0.2">
      <c r="A2495" s="40"/>
      <c r="B2495" s="41" t="s">
        <v>400</v>
      </c>
      <c r="C2495" s="41" t="s">
        <v>1707</v>
      </c>
      <c r="D2495" s="40"/>
      <c r="E2495" s="40"/>
      <c r="F2495" s="40"/>
    </row>
    <row r="2496" spans="1:6" ht="12.75" x14ac:dyDescent="0.2">
      <c r="A2496" s="40"/>
      <c r="B2496" s="41" t="s">
        <v>401</v>
      </c>
      <c r="C2496" s="40"/>
      <c r="D2496" s="40"/>
      <c r="E2496" s="40"/>
      <c r="F2496" s="40"/>
    </row>
    <row r="2497" spans="1:6" ht="12.75" x14ac:dyDescent="0.2">
      <c r="A2497" s="41" t="s">
        <v>1710</v>
      </c>
      <c r="B2497" s="41" t="s">
        <v>402</v>
      </c>
      <c r="C2497" s="41" t="s">
        <v>1712</v>
      </c>
      <c r="D2497" s="40"/>
      <c r="E2497" s="40"/>
      <c r="F2497" s="40"/>
    </row>
    <row r="2498" spans="1:6" ht="12.75" x14ac:dyDescent="0.2">
      <c r="A2498" s="41" t="s">
        <v>1716</v>
      </c>
      <c r="B2498" s="40"/>
      <c r="C2498" s="40"/>
      <c r="D2498" s="40"/>
      <c r="E2498" s="40"/>
      <c r="F2498" s="40"/>
    </row>
    <row r="2499" spans="1:6" ht="12.75" x14ac:dyDescent="0.2">
      <c r="A2499" s="41" t="s">
        <v>190</v>
      </c>
      <c r="B2499" s="40"/>
      <c r="C2499" s="40"/>
      <c r="D2499" s="40"/>
      <c r="E2499" s="40"/>
      <c r="F2499" s="40"/>
    </row>
    <row r="2500" spans="1:6" ht="12.75" x14ac:dyDescent="0.2">
      <c r="A2500" s="41" t="s">
        <v>328</v>
      </c>
      <c r="B2500" s="40"/>
      <c r="C2500" s="40"/>
      <c r="D2500" s="40"/>
      <c r="E2500" s="40"/>
      <c r="F2500" s="40"/>
    </row>
    <row r="2501" spans="1:6" ht="12.75" x14ac:dyDescent="0.2">
      <c r="A2501" s="41" t="s">
        <v>1721</v>
      </c>
      <c r="B2501" s="40"/>
      <c r="C2501" s="40"/>
      <c r="D2501" s="40"/>
      <c r="E2501" s="40"/>
      <c r="F2501" s="40"/>
    </row>
    <row r="2502" spans="1:6" ht="12.75" x14ac:dyDescent="0.2">
      <c r="A2502" s="41" t="s">
        <v>1722</v>
      </c>
      <c r="B2502" s="40"/>
      <c r="C2502" s="40"/>
      <c r="D2502" s="40"/>
      <c r="E2502" s="40"/>
      <c r="F2502" s="40"/>
    </row>
    <row r="2503" spans="1:6" ht="12.75" x14ac:dyDescent="0.2">
      <c r="A2503" s="41" t="s">
        <v>1724</v>
      </c>
      <c r="B2503" s="40"/>
      <c r="C2503" s="40"/>
      <c r="D2503" s="40"/>
      <c r="E2503" s="40"/>
      <c r="F2503" s="40"/>
    </row>
    <row r="2504" spans="1:6" ht="12.75" x14ac:dyDescent="0.2">
      <c r="A2504" s="41" t="s">
        <v>1728</v>
      </c>
      <c r="B2504" s="40"/>
      <c r="C2504" s="40"/>
      <c r="D2504" s="40"/>
      <c r="E2504" s="40"/>
      <c r="F2504" s="40"/>
    </row>
    <row r="2505" spans="1:6" ht="12.75" x14ac:dyDescent="0.2">
      <c r="A2505" s="41" t="s">
        <v>1731</v>
      </c>
      <c r="B2505" s="40"/>
      <c r="C2505" s="40"/>
      <c r="D2505" s="40"/>
      <c r="E2505" s="40"/>
      <c r="F2505" s="40"/>
    </row>
    <row r="2506" spans="1:6" ht="12.75" x14ac:dyDescent="0.2">
      <c r="A2506" s="40"/>
      <c r="B2506" s="41" t="s">
        <v>403</v>
      </c>
      <c r="C2506" s="41" t="s">
        <v>25</v>
      </c>
      <c r="D2506" s="41" t="s">
        <v>27</v>
      </c>
      <c r="E2506" s="40"/>
      <c r="F2506" s="40"/>
    </row>
    <row r="2507" spans="1:6" ht="12.75" x14ac:dyDescent="0.2">
      <c r="A2507" s="40"/>
      <c r="B2507" s="41" t="s">
        <v>403</v>
      </c>
      <c r="C2507" s="41" t="s">
        <v>30</v>
      </c>
      <c r="D2507" s="41" t="s">
        <v>31</v>
      </c>
      <c r="E2507" s="40"/>
      <c r="F2507" s="40"/>
    </row>
    <row r="2508" spans="1:6" ht="12.75" x14ac:dyDescent="0.2">
      <c r="A2508" s="40"/>
      <c r="B2508" s="41" t="s">
        <v>403</v>
      </c>
      <c r="C2508" s="41" t="s">
        <v>41</v>
      </c>
      <c r="D2508" s="41" t="s">
        <v>10</v>
      </c>
      <c r="E2508" s="40"/>
      <c r="F2508" s="40"/>
    </row>
    <row r="2509" spans="1:6" ht="12.75" x14ac:dyDescent="0.2">
      <c r="A2509" s="40"/>
      <c r="B2509" s="40"/>
      <c r="C2509" s="40"/>
      <c r="D2509" s="40"/>
      <c r="E2509" s="40"/>
      <c r="F2509" s="40"/>
    </row>
    <row r="2510" spans="1:6" ht="12.75" x14ac:dyDescent="0.2">
      <c r="A2510" s="41" t="s">
        <v>1746</v>
      </c>
      <c r="B2510" s="40"/>
      <c r="C2510" s="40"/>
      <c r="D2510" s="40"/>
      <c r="E2510" s="40"/>
      <c r="F2510" s="40"/>
    </row>
    <row r="2511" spans="1:6" ht="12.75" x14ac:dyDescent="0.2">
      <c r="A2511" s="40"/>
      <c r="B2511" s="41" t="s">
        <v>398</v>
      </c>
      <c r="C2511" s="40"/>
      <c r="D2511" s="40"/>
      <c r="E2511" s="40"/>
      <c r="F2511" s="40"/>
    </row>
    <row r="2512" spans="1:6" ht="12.75" x14ac:dyDescent="0.2">
      <c r="A2512" s="40"/>
      <c r="B2512" s="41" t="s">
        <v>399</v>
      </c>
      <c r="C2512" s="40"/>
      <c r="D2512" s="40"/>
      <c r="E2512" s="40"/>
      <c r="F2512" s="40"/>
    </row>
    <row r="2513" spans="1:6" ht="12.75" x14ac:dyDescent="0.2">
      <c r="A2513" s="40"/>
      <c r="B2513" s="41" t="s">
        <v>400</v>
      </c>
      <c r="C2513" s="41" t="s">
        <v>1746</v>
      </c>
      <c r="D2513" s="40"/>
      <c r="E2513" s="40"/>
      <c r="F2513" s="40"/>
    </row>
    <row r="2514" spans="1:6" ht="12.75" x14ac:dyDescent="0.2">
      <c r="A2514" s="40"/>
      <c r="B2514" s="41" t="s">
        <v>401</v>
      </c>
      <c r="C2514" s="40"/>
      <c r="D2514" s="40"/>
      <c r="E2514" s="40"/>
      <c r="F2514" s="40"/>
    </row>
    <row r="2515" spans="1:6" ht="12.75" x14ac:dyDescent="0.2">
      <c r="A2515" s="41" t="s">
        <v>1391</v>
      </c>
      <c r="B2515" s="41" t="s">
        <v>402</v>
      </c>
      <c r="C2515" s="41" t="s">
        <v>1752</v>
      </c>
      <c r="D2515" s="40"/>
      <c r="E2515" s="40"/>
      <c r="F2515" s="40"/>
    </row>
    <row r="2516" spans="1:6" ht="12.75" x14ac:dyDescent="0.2">
      <c r="A2516" s="41" t="s">
        <v>1754</v>
      </c>
      <c r="B2516" s="40"/>
      <c r="C2516" s="40"/>
      <c r="D2516" s="40"/>
      <c r="E2516" s="40"/>
      <c r="F2516" s="40"/>
    </row>
    <row r="2517" spans="1:6" ht="12.75" x14ac:dyDescent="0.2">
      <c r="A2517" s="41" t="s">
        <v>1757</v>
      </c>
      <c r="B2517" s="40"/>
      <c r="C2517" s="40"/>
      <c r="D2517" s="40"/>
      <c r="E2517" s="40"/>
      <c r="F2517" s="40"/>
    </row>
    <row r="2518" spans="1:6" ht="12.75" x14ac:dyDescent="0.2">
      <c r="A2518" s="41" t="s">
        <v>1760</v>
      </c>
      <c r="B2518" s="40"/>
      <c r="C2518" s="40"/>
      <c r="D2518" s="40"/>
      <c r="E2518" s="40"/>
      <c r="F2518" s="40"/>
    </row>
    <row r="2519" spans="1:6" ht="12.75" x14ac:dyDescent="0.2">
      <c r="A2519" s="41" t="s">
        <v>1762</v>
      </c>
      <c r="B2519" s="40"/>
      <c r="C2519" s="40"/>
      <c r="D2519" s="40"/>
      <c r="E2519" s="40"/>
      <c r="F2519" s="40"/>
    </row>
    <row r="2520" spans="1:6" ht="12.75" x14ac:dyDescent="0.2">
      <c r="A2520" s="41" t="s">
        <v>1764</v>
      </c>
      <c r="B2520" s="40"/>
      <c r="C2520" s="40"/>
      <c r="D2520" s="40"/>
      <c r="E2520" s="40"/>
      <c r="F2520" s="40"/>
    </row>
    <row r="2521" spans="1:6" ht="12.75" x14ac:dyDescent="0.2">
      <c r="A2521" s="41" t="s">
        <v>1766</v>
      </c>
      <c r="B2521" s="40"/>
      <c r="C2521" s="40"/>
      <c r="D2521" s="40"/>
      <c r="E2521" s="40"/>
      <c r="F2521" s="40"/>
    </row>
    <row r="2522" spans="1:6" ht="12.75" x14ac:dyDescent="0.2">
      <c r="A2522" s="41" t="s">
        <v>1768</v>
      </c>
      <c r="B2522" s="40"/>
      <c r="C2522" s="40"/>
      <c r="D2522" s="40"/>
      <c r="E2522" s="40"/>
      <c r="F2522" s="40"/>
    </row>
    <row r="2523" spans="1:6" ht="12.75" x14ac:dyDescent="0.2">
      <c r="A2523" s="40"/>
      <c r="B2523" s="40"/>
      <c r="C2523" s="40"/>
      <c r="D2523" s="40"/>
      <c r="E2523" s="40"/>
      <c r="F2523" s="40"/>
    </row>
    <row r="2524" spans="1:6" ht="12.75" x14ac:dyDescent="0.2">
      <c r="A2524" s="41" t="s">
        <v>1773</v>
      </c>
      <c r="B2524" s="40"/>
      <c r="C2524" s="40"/>
      <c r="D2524" s="40"/>
      <c r="E2524" s="40"/>
      <c r="F2524" s="40"/>
    </row>
    <row r="2525" spans="1:6" ht="12.75" x14ac:dyDescent="0.2">
      <c r="A2525" s="40"/>
      <c r="B2525" s="41" t="s">
        <v>398</v>
      </c>
      <c r="C2525" s="40"/>
      <c r="D2525" s="40"/>
      <c r="E2525" s="40"/>
      <c r="F2525" s="40"/>
    </row>
    <row r="2526" spans="1:6" ht="12.75" x14ac:dyDescent="0.2">
      <c r="A2526" s="40"/>
      <c r="B2526" s="41" t="s">
        <v>399</v>
      </c>
      <c r="C2526" s="40"/>
      <c r="D2526" s="40"/>
      <c r="E2526" s="40"/>
      <c r="F2526" s="40"/>
    </row>
    <row r="2527" spans="1:6" ht="12.75" x14ac:dyDescent="0.2">
      <c r="A2527" s="40"/>
      <c r="B2527" s="41" t="s">
        <v>400</v>
      </c>
      <c r="C2527" s="41" t="s">
        <v>1773</v>
      </c>
      <c r="D2527" s="40"/>
      <c r="E2527" s="40"/>
      <c r="F2527" s="40"/>
    </row>
    <row r="2528" spans="1:6" ht="12.75" x14ac:dyDescent="0.2">
      <c r="A2528" s="40"/>
      <c r="B2528" s="41" t="s">
        <v>401</v>
      </c>
      <c r="C2528" s="40"/>
      <c r="D2528" s="40"/>
      <c r="E2528" s="40"/>
      <c r="F2528" s="40"/>
    </row>
    <row r="2529" spans="1:6" ht="25.5" x14ac:dyDescent="0.2">
      <c r="A2529" s="41" t="s">
        <v>193</v>
      </c>
      <c r="B2529" s="41" t="s">
        <v>402</v>
      </c>
      <c r="C2529" s="41" t="s">
        <v>1776</v>
      </c>
      <c r="D2529" s="40"/>
      <c r="E2529" s="40"/>
      <c r="F2529" s="40"/>
    </row>
    <row r="2530" spans="1:6" ht="12.75" x14ac:dyDescent="0.2">
      <c r="A2530" s="41" t="s">
        <v>1777</v>
      </c>
      <c r="B2530" s="40"/>
      <c r="C2530" s="40"/>
      <c r="D2530" s="40"/>
      <c r="E2530" s="40"/>
      <c r="F2530" s="40"/>
    </row>
    <row r="2531" spans="1:6" ht="12.75" x14ac:dyDescent="0.2">
      <c r="A2531" s="41" t="s">
        <v>1779</v>
      </c>
      <c r="B2531" s="40"/>
      <c r="C2531" s="40"/>
      <c r="D2531" s="40"/>
      <c r="E2531" s="40"/>
      <c r="F2531" s="40"/>
    </row>
    <row r="2532" spans="1:6" ht="12.75" x14ac:dyDescent="0.2">
      <c r="A2532" s="41" t="s">
        <v>1781</v>
      </c>
      <c r="B2532" s="40"/>
      <c r="C2532" s="40"/>
      <c r="D2532" s="40"/>
      <c r="E2532" s="40"/>
      <c r="F2532" s="40"/>
    </row>
    <row r="2533" spans="1:6" ht="12.75" x14ac:dyDescent="0.2">
      <c r="A2533" s="41" t="s">
        <v>1782</v>
      </c>
      <c r="B2533" s="40"/>
      <c r="C2533" s="40"/>
      <c r="D2533" s="40"/>
      <c r="E2533" s="40"/>
      <c r="F2533" s="40"/>
    </row>
    <row r="2534" spans="1:6" ht="12.75" x14ac:dyDescent="0.2">
      <c r="A2534" s="41" t="s">
        <v>1784</v>
      </c>
      <c r="B2534" s="40"/>
      <c r="C2534" s="40"/>
      <c r="D2534" s="40"/>
      <c r="E2534" s="40"/>
      <c r="F2534" s="40"/>
    </row>
    <row r="2535" spans="1:6" ht="12.75" x14ac:dyDescent="0.2">
      <c r="A2535" s="41" t="s">
        <v>1787</v>
      </c>
      <c r="B2535" s="40"/>
      <c r="C2535" s="40"/>
      <c r="D2535" s="40"/>
      <c r="E2535" s="40"/>
      <c r="F2535" s="40"/>
    </row>
    <row r="2536" spans="1:6" ht="12.75" x14ac:dyDescent="0.2">
      <c r="A2536" s="41" t="s">
        <v>1789</v>
      </c>
      <c r="B2536" s="40"/>
      <c r="C2536" s="40"/>
      <c r="D2536" s="40"/>
      <c r="E2536" s="40"/>
      <c r="F2536" s="40"/>
    </row>
    <row r="2537" spans="1:6" ht="12.75" x14ac:dyDescent="0.2">
      <c r="A2537" s="41" t="s">
        <v>1791</v>
      </c>
      <c r="B2537" s="40"/>
      <c r="C2537" s="40"/>
      <c r="D2537" s="40"/>
      <c r="E2537" s="40"/>
      <c r="F2537" s="40"/>
    </row>
    <row r="2538" spans="1:6" ht="12.75" x14ac:dyDescent="0.2">
      <c r="A2538" s="40"/>
      <c r="B2538" s="41" t="s">
        <v>403</v>
      </c>
      <c r="C2538" s="41" t="s">
        <v>25</v>
      </c>
      <c r="D2538" s="41" t="s">
        <v>27</v>
      </c>
      <c r="E2538" s="40"/>
      <c r="F2538" s="40"/>
    </row>
    <row r="2539" spans="1:6" ht="12.75" x14ac:dyDescent="0.2">
      <c r="A2539" s="40"/>
      <c r="B2539" s="41" t="s">
        <v>403</v>
      </c>
      <c r="C2539" s="41" t="s">
        <v>30</v>
      </c>
      <c r="D2539" s="41" t="s">
        <v>31</v>
      </c>
      <c r="E2539" s="40"/>
      <c r="F2539" s="40"/>
    </row>
    <row r="2540" spans="1:6" ht="12.75" x14ac:dyDescent="0.2">
      <c r="A2540" s="40"/>
      <c r="B2540" s="41" t="s">
        <v>403</v>
      </c>
      <c r="C2540" s="41" t="s">
        <v>41</v>
      </c>
      <c r="D2540" s="41" t="s">
        <v>10</v>
      </c>
      <c r="E2540" s="40"/>
      <c r="F2540" s="40"/>
    </row>
    <row r="2541" spans="1:6" ht="12.75" x14ac:dyDescent="0.2">
      <c r="A2541" s="40"/>
      <c r="B2541" s="40"/>
      <c r="C2541" s="40"/>
      <c r="D2541" s="40"/>
      <c r="E2541" s="40"/>
      <c r="F2541" s="40"/>
    </row>
    <row r="2542" spans="1:6" ht="12.75" x14ac:dyDescent="0.2">
      <c r="A2542" s="41" t="s">
        <v>1806</v>
      </c>
      <c r="B2542" s="40"/>
      <c r="C2542" s="40"/>
      <c r="D2542" s="40"/>
      <c r="E2542" s="40"/>
      <c r="F2542" s="40"/>
    </row>
    <row r="2543" spans="1:6" ht="12.75" x14ac:dyDescent="0.2">
      <c r="A2543" s="40"/>
      <c r="B2543" s="41" t="s">
        <v>398</v>
      </c>
      <c r="C2543" s="40"/>
      <c r="D2543" s="40"/>
      <c r="E2543" s="40"/>
      <c r="F2543" s="40"/>
    </row>
    <row r="2544" spans="1:6" ht="12.75" x14ac:dyDescent="0.2">
      <c r="A2544" s="40"/>
      <c r="B2544" s="41" t="s">
        <v>399</v>
      </c>
      <c r="C2544" s="40"/>
      <c r="D2544" s="40"/>
      <c r="E2544" s="40"/>
      <c r="F2544" s="40"/>
    </row>
    <row r="2545" spans="1:6" ht="12.75" x14ac:dyDescent="0.2">
      <c r="A2545" s="40"/>
      <c r="B2545" s="41" t="s">
        <v>400</v>
      </c>
      <c r="C2545" s="41" t="s">
        <v>1806</v>
      </c>
      <c r="D2545" s="40"/>
      <c r="E2545" s="40"/>
      <c r="F2545" s="40"/>
    </row>
    <row r="2546" spans="1:6" ht="12.75" x14ac:dyDescent="0.2">
      <c r="A2546" s="40"/>
      <c r="B2546" s="41" t="s">
        <v>401</v>
      </c>
      <c r="C2546" s="40"/>
      <c r="D2546" s="40"/>
      <c r="E2546" s="40"/>
      <c r="F2546" s="40"/>
    </row>
    <row r="2547" spans="1:6" ht="12.75" x14ac:dyDescent="0.2">
      <c r="A2547" s="41" t="s">
        <v>1809</v>
      </c>
      <c r="B2547" s="41" t="s">
        <v>402</v>
      </c>
      <c r="C2547" s="41" t="s">
        <v>1812</v>
      </c>
      <c r="D2547" s="40"/>
      <c r="E2547" s="40"/>
      <c r="F2547" s="40"/>
    </row>
    <row r="2548" spans="1:6" ht="12.75" x14ac:dyDescent="0.2">
      <c r="A2548" s="41" t="s">
        <v>1814</v>
      </c>
      <c r="B2548" s="40"/>
      <c r="C2548" s="40"/>
      <c r="D2548" s="40"/>
      <c r="E2548" s="40"/>
      <c r="F2548" s="40"/>
    </row>
    <row r="2549" spans="1:6" ht="12.75" x14ac:dyDescent="0.2">
      <c r="A2549" s="41" t="s">
        <v>1816</v>
      </c>
      <c r="B2549" s="40"/>
      <c r="C2549" s="40"/>
      <c r="D2549" s="40"/>
      <c r="E2549" s="40"/>
      <c r="F2549" s="40"/>
    </row>
    <row r="2550" spans="1:6" ht="12.75" x14ac:dyDescent="0.2">
      <c r="A2550" s="41" t="s">
        <v>1782</v>
      </c>
      <c r="B2550" s="40"/>
      <c r="C2550" s="40"/>
      <c r="D2550" s="40"/>
      <c r="E2550" s="40"/>
      <c r="F2550" s="40"/>
    </row>
    <row r="2551" spans="1:6" ht="12.75" x14ac:dyDescent="0.2">
      <c r="A2551" s="41" t="s">
        <v>1819</v>
      </c>
      <c r="B2551" s="40"/>
      <c r="C2551" s="40"/>
      <c r="D2551" s="40"/>
      <c r="E2551" s="40"/>
      <c r="F2551" s="40"/>
    </row>
    <row r="2552" spans="1:6" ht="12.75" x14ac:dyDescent="0.2">
      <c r="A2552" s="41" t="s">
        <v>1821</v>
      </c>
      <c r="B2552" s="40"/>
      <c r="C2552" s="40"/>
      <c r="D2552" s="40"/>
      <c r="E2552" s="40"/>
      <c r="F2552" s="40"/>
    </row>
    <row r="2553" spans="1:6" ht="12.75" x14ac:dyDescent="0.2">
      <c r="A2553" s="41" t="s">
        <v>1822</v>
      </c>
      <c r="B2553" s="40"/>
      <c r="C2553" s="40"/>
      <c r="D2553" s="40"/>
      <c r="E2553" s="40"/>
      <c r="F2553" s="40"/>
    </row>
    <row r="2554" spans="1:6" ht="12.75" x14ac:dyDescent="0.2">
      <c r="A2554" s="41" t="s">
        <v>1824</v>
      </c>
      <c r="B2554" s="40"/>
      <c r="C2554" s="40"/>
      <c r="D2554" s="40"/>
      <c r="E2554" s="40"/>
      <c r="F2554" s="40"/>
    </row>
    <row r="2555" spans="1:6" ht="12.75" x14ac:dyDescent="0.2">
      <c r="A2555" s="41" t="s">
        <v>1826</v>
      </c>
      <c r="B2555" s="40"/>
      <c r="C2555" s="40"/>
      <c r="D2555" s="40"/>
      <c r="E2555" s="40"/>
      <c r="F2555" s="40"/>
    </row>
    <row r="2556" spans="1:6" ht="12.75" x14ac:dyDescent="0.2">
      <c r="A2556" s="41" t="s">
        <v>1828</v>
      </c>
      <c r="B2556" s="40"/>
      <c r="C2556" s="40"/>
      <c r="D2556" s="40"/>
      <c r="E2556" s="40"/>
      <c r="F2556" s="40"/>
    </row>
    <row r="2557" spans="1:6" ht="12.75" x14ac:dyDescent="0.2">
      <c r="A2557" s="40"/>
      <c r="B2557" s="40"/>
      <c r="C2557" s="40"/>
      <c r="D2557" s="40"/>
      <c r="E2557" s="40"/>
      <c r="F2557" s="40"/>
    </row>
    <row r="2558" spans="1:6" ht="12.75" x14ac:dyDescent="0.2">
      <c r="A2558" s="41" t="s">
        <v>1832</v>
      </c>
      <c r="B2558" s="40"/>
      <c r="C2558" s="40"/>
      <c r="D2558" s="40"/>
      <c r="E2558" s="40"/>
      <c r="F2558" s="40"/>
    </row>
    <row r="2559" spans="1:6" ht="12.75" x14ac:dyDescent="0.2">
      <c r="A2559" s="40"/>
      <c r="B2559" s="41" t="s">
        <v>398</v>
      </c>
      <c r="C2559" s="40"/>
      <c r="D2559" s="40"/>
      <c r="E2559" s="40"/>
      <c r="F2559" s="40"/>
    </row>
    <row r="2560" spans="1:6" ht="12.75" x14ac:dyDescent="0.2">
      <c r="A2560" s="40"/>
      <c r="B2560" s="41" t="s">
        <v>399</v>
      </c>
      <c r="C2560" s="40"/>
      <c r="D2560" s="40"/>
      <c r="E2560" s="40"/>
      <c r="F2560" s="40"/>
    </row>
    <row r="2561" spans="1:6" ht="12.75" x14ac:dyDescent="0.2">
      <c r="A2561" s="40"/>
      <c r="B2561" s="41" t="s">
        <v>400</v>
      </c>
      <c r="C2561" s="41" t="s">
        <v>1832</v>
      </c>
      <c r="D2561" s="40"/>
      <c r="E2561" s="40"/>
      <c r="F2561" s="40"/>
    </row>
    <row r="2562" spans="1:6" ht="12.75" x14ac:dyDescent="0.2">
      <c r="A2562" s="40"/>
      <c r="B2562" s="41" t="s">
        <v>401</v>
      </c>
      <c r="C2562" s="40"/>
      <c r="D2562" s="40"/>
      <c r="E2562" s="40"/>
      <c r="F2562" s="40"/>
    </row>
    <row r="2563" spans="1:6" ht="12.75" x14ac:dyDescent="0.2">
      <c r="A2563" s="41" t="s">
        <v>1834</v>
      </c>
      <c r="B2563" s="41" t="s">
        <v>402</v>
      </c>
      <c r="C2563" s="41" t="s">
        <v>1836</v>
      </c>
      <c r="D2563" s="40"/>
      <c r="E2563" s="40"/>
      <c r="F2563" s="40"/>
    </row>
    <row r="2564" spans="1:6" ht="12.75" x14ac:dyDescent="0.2">
      <c r="A2564" s="41" t="s">
        <v>1838</v>
      </c>
      <c r="B2564" s="40"/>
      <c r="C2564" s="40"/>
      <c r="D2564" s="40"/>
      <c r="E2564" s="40"/>
      <c r="F2564" s="40"/>
    </row>
    <row r="2565" spans="1:6" ht="12.75" x14ac:dyDescent="0.2">
      <c r="A2565" s="41" t="s">
        <v>1840</v>
      </c>
      <c r="B2565" s="40"/>
      <c r="C2565" s="40"/>
      <c r="D2565" s="40"/>
      <c r="E2565" s="40"/>
      <c r="F2565" s="40"/>
    </row>
    <row r="2566" spans="1:6" ht="12.75" x14ac:dyDescent="0.2">
      <c r="A2566" s="41" t="s">
        <v>1842</v>
      </c>
      <c r="B2566" s="40"/>
      <c r="C2566" s="40"/>
      <c r="D2566" s="40"/>
      <c r="E2566" s="40"/>
      <c r="F2566" s="40"/>
    </row>
    <row r="2567" spans="1:6" ht="12.75" x14ac:dyDescent="0.2">
      <c r="A2567" s="41" t="s">
        <v>1844</v>
      </c>
      <c r="B2567" s="40"/>
      <c r="C2567" s="40"/>
      <c r="D2567" s="40"/>
      <c r="E2567" s="40"/>
      <c r="F2567" s="40"/>
    </row>
    <row r="2568" spans="1:6" ht="12.75" x14ac:dyDescent="0.2">
      <c r="A2568" s="41" t="s">
        <v>1846</v>
      </c>
      <c r="B2568" s="40"/>
      <c r="C2568" s="40"/>
      <c r="D2568" s="40"/>
      <c r="E2568" s="40"/>
      <c r="F2568" s="40"/>
    </row>
    <row r="2569" spans="1:6" ht="12.75" x14ac:dyDescent="0.2">
      <c r="A2569" s="41" t="s">
        <v>1848</v>
      </c>
      <c r="B2569" s="40"/>
      <c r="C2569" s="40"/>
      <c r="D2569" s="40"/>
      <c r="E2569" s="40"/>
      <c r="F2569" s="40"/>
    </row>
    <row r="2570" spans="1:6" ht="12.75" x14ac:dyDescent="0.2">
      <c r="A2570" s="40"/>
      <c r="B2570" s="40"/>
      <c r="C2570" s="40"/>
      <c r="D2570" s="40"/>
      <c r="E2570" s="40"/>
      <c r="F2570" s="40"/>
    </row>
    <row r="2571" spans="1:6" ht="12.75" x14ac:dyDescent="0.2">
      <c r="A2571" s="41" t="s">
        <v>1851</v>
      </c>
      <c r="B2571" s="40"/>
      <c r="C2571" s="40"/>
      <c r="D2571" s="40"/>
      <c r="E2571" s="40"/>
      <c r="F2571" s="40"/>
    </row>
    <row r="2572" spans="1:6" ht="12.75" x14ac:dyDescent="0.2">
      <c r="A2572" s="40"/>
      <c r="B2572" s="41" t="s">
        <v>398</v>
      </c>
      <c r="C2572" s="40"/>
      <c r="D2572" s="40"/>
      <c r="E2572" s="40"/>
      <c r="F2572" s="40"/>
    </row>
    <row r="2573" spans="1:6" ht="12.75" x14ac:dyDescent="0.2">
      <c r="A2573" s="40"/>
      <c r="B2573" s="41" t="s">
        <v>399</v>
      </c>
      <c r="C2573" s="40"/>
      <c r="D2573" s="40"/>
      <c r="E2573" s="40"/>
      <c r="F2573" s="40"/>
    </row>
    <row r="2574" spans="1:6" ht="12.75" x14ac:dyDescent="0.2">
      <c r="A2574" s="40"/>
      <c r="B2574" s="41" t="s">
        <v>400</v>
      </c>
      <c r="C2574" s="41" t="s">
        <v>1851</v>
      </c>
      <c r="D2574" s="40"/>
      <c r="E2574" s="40"/>
      <c r="F2574" s="40"/>
    </row>
    <row r="2575" spans="1:6" ht="12.75" x14ac:dyDescent="0.2">
      <c r="A2575" s="40"/>
      <c r="B2575" s="41" t="s">
        <v>401</v>
      </c>
      <c r="C2575" s="40"/>
      <c r="D2575" s="40"/>
      <c r="E2575" s="40"/>
      <c r="F2575" s="40"/>
    </row>
    <row r="2576" spans="1:6" ht="12.75" x14ac:dyDescent="0.2">
      <c r="A2576" s="41" t="s">
        <v>1853</v>
      </c>
      <c r="B2576" s="41" t="s">
        <v>402</v>
      </c>
      <c r="C2576" s="41" t="s">
        <v>1856</v>
      </c>
      <c r="D2576" s="40"/>
      <c r="E2576" s="40"/>
      <c r="F2576" s="40"/>
    </row>
    <row r="2577" spans="1:6" ht="12.75" x14ac:dyDescent="0.2">
      <c r="A2577" s="41" t="s">
        <v>1858</v>
      </c>
      <c r="B2577" s="40"/>
      <c r="C2577" s="40"/>
      <c r="D2577" s="40"/>
      <c r="E2577" s="40"/>
      <c r="F2577" s="40"/>
    </row>
    <row r="2578" spans="1:6" ht="12.75" x14ac:dyDescent="0.2">
      <c r="A2578" s="41" t="s">
        <v>1859</v>
      </c>
      <c r="B2578" s="40"/>
      <c r="C2578" s="40"/>
      <c r="D2578" s="40"/>
      <c r="E2578" s="40"/>
      <c r="F2578" s="40"/>
    </row>
    <row r="2579" spans="1:6" ht="12.75" x14ac:dyDescent="0.2">
      <c r="A2579" s="41" t="s">
        <v>1860</v>
      </c>
      <c r="B2579" s="40"/>
      <c r="C2579" s="40"/>
      <c r="D2579" s="40"/>
      <c r="E2579" s="40"/>
      <c r="F2579" s="40"/>
    </row>
    <row r="2580" spans="1:6" ht="12.75" x14ac:dyDescent="0.2">
      <c r="A2580" s="41" t="s">
        <v>1861</v>
      </c>
      <c r="B2580" s="40"/>
      <c r="C2580" s="40"/>
      <c r="D2580" s="40"/>
      <c r="E2580" s="40"/>
      <c r="F2580" s="40"/>
    </row>
    <row r="2581" spans="1:6" ht="12.75" x14ac:dyDescent="0.2">
      <c r="A2581" s="40"/>
      <c r="B2581" s="40"/>
      <c r="C2581" s="40"/>
      <c r="D2581" s="40"/>
      <c r="E2581" s="40"/>
      <c r="F2581" s="40"/>
    </row>
    <row r="2582" spans="1:6" ht="12.75" x14ac:dyDescent="0.2">
      <c r="A2582" s="41" t="s">
        <v>1862</v>
      </c>
      <c r="B2582" s="40"/>
      <c r="C2582" s="40"/>
      <c r="D2582" s="40"/>
      <c r="E2582" s="40"/>
      <c r="F2582" s="40"/>
    </row>
    <row r="2583" spans="1:6" ht="12.75" x14ac:dyDescent="0.2">
      <c r="A2583" s="40"/>
      <c r="B2583" s="41" t="s">
        <v>398</v>
      </c>
      <c r="C2583" s="40"/>
      <c r="D2583" s="40"/>
      <c r="E2583" s="40"/>
      <c r="F2583" s="40"/>
    </row>
    <row r="2584" spans="1:6" ht="12.75" x14ac:dyDescent="0.2">
      <c r="A2584" s="40"/>
      <c r="B2584" s="41" t="s">
        <v>399</v>
      </c>
      <c r="C2584" s="40"/>
      <c r="D2584" s="40"/>
      <c r="E2584" s="40"/>
      <c r="F2584" s="40"/>
    </row>
    <row r="2585" spans="1:6" ht="12.75" x14ac:dyDescent="0.2">
      <c r="A2585" s="40"/>
      <c r="B2585" s="41" t="s">
        <v>400</v>
      </c>
      <c r="C2585" s="41" t="s">
        <v>1862</v>
      </c>
      <c r="D2585" s="40"/>
      <c r="E2585" s="40"/>
      <c r="F2585" s="40"/>
    </row>
    <row r="2586" spans="1:6" ht="12.75" x14ac:dyDescent="0.2">
      <c r="A2586" s="40"/>
      <c r="B2586" s="41" t="s">
        <v>401</v>
      </c>
      <c r="C2586" s="40"/>
      <c r="D2586" s="40"/>
      <c r="E2586" s="40"/>
      <c r="F2586" s="40"/>
    </row>
    <row r="2587" spans="1:6" ht="12.75" x14ac:dyDescent="0.2">
      <c r="A2587" s="41" t="s">
        <v>1863</v>
      </c>
      <c r="B2587" s="41" t="s">
        <v>402</v>
      </c>
      <c r="C2587" s="41" t="s">
        <v>1864</v>
      </c>
      <c r="D2587" s="40"/>
      <c r="E2587" s="40"/>
      <c r="F2587" s="40"/>
    </row>
    <row r="2588" spans="1:6" ht="12.75" x14ac:dyDescent="0.2">
      <c r="A2588" s="41" t="s">
        <v>1865</v>
      </c>
      <c r="B2588" s="40"/>
      <c r="C2588" s="40"/>
      <c r="D2588" s="40"/>
      <c r="E2588" s="40"/>
      <c r="F2588" s="40"/>
    </row>
    <row r="2589" spans="1:6" ht="12.75" x14ac:dyDescent="0.2">
      <c r="A2589" s="41" t="s">
        <v>1866</v>
      </c>
      <c r="B2589" s="40"/>
      <c r="C2589" s="40"/>
      <c r="D2589" s="40"/>
      <c r="E2589" s="40"/>
      <c r="F2589" s="40"/>
    </row>
    <row r="2590" spans="1:6" ht="12.75" x14ac:dyDescent="0.2">
      <c r="A2590" s="41" t="s">
        <v>1867</v>
      </c>
      <c r="B2590" s="40"/>
      <c r="C2590" s="40"/>
      <c r="D2590" s="40"/>
      <c r="E2590" s="40"/>
      <c r="F2590" s="40"/>
    </row>
    <row r="2591" spans="1:6" ht="12.75" x14ac:dyDescent="0.2">
      <c r="A2591" s="41" t="s">
        <v>1868</v>
      </c>
      <c r="B2591" s="40"/>
      <c r="C2591" s="40"/>
      <c r="D2591" s="40"/>
      <c r="E2591" s="40"/>
      <c r="F2591" s="40"/>
    </row>
    <row r="2592" spans="1:6" ht="12.75" x14ac:dyDescent="0.2">
      <c r="A2592" s="41" t="s">
        <v>1869</v>
      </c>
      <c r="B2592" s="40"/>
      <c r="C2592" s="40"/>
      <c r="D2592" s="40"/>
      <c r="E2592" s="40"/>
      <c r="F2592" s="40"/>
    </row>
    <row r="2593" spans="1:6" ht="12.75" x14ac:dyDescent="0.2">
      <c r="A2593" s="40"/>
      <c r="B2593" s="41" t="s">
        <v>422</v>
      </c>
      <c r="C2593" s="41" t="s">
        <v>1870</v>
      </c>
      <c r="D2593" s="41" t="s">
        <v>489</v>
      </c>
      <c r="E2593" s="40"/>
      <c r="F2593" s="40"/>
    </row>
    <row r="2594" spans="1:6" ht="12.75" x14ac:dyDescent="0.2">
      <c r="A2594" s="40"/>
      <c r="B2594" s="40"/>
      <c r="C2594" s="40"/>
      <c r="D2594" s="40"/>
      <c r="E2594" s="40"/>
      <c r="F2594" s="40"/>
    </row>
    <row r="2595" spans="1:6" ht="12.75" x14ac:dyDescent="0.2">
      <c r="A2595" s="41" t="s">
        <v>1871</v>
      </c>
      <c r="B2595" s="40"/>
      <c r="C2595" s="40"/>
      <c r="D2595" s="40"/>
      <c r="E2595" s="40"/>
      <c r="F2595" s="40"/>
    </row>
    <row r="2596" spans="1:6" ht="12.75" x14ac:dyDescent="0.2">
      <c r="A2596" s="40"/>
      <c r="B2596" s="41" t="s">
        <v>398</v>
      </c>
      <c r="C2596" s="40"/>
      <c r="D2596" s="40"/>
      <c r="E2596" s="40"/>
      <c r="F2596" s="40"/>
    </row>
    <row r="2597" spans="1:6" ht="12.75" x14ac:dyDescent="0.2">
      <c r="A2597" s="40"/>
      <c r="B2597" s="41" t="s">
        <v>399</v>
      </c>
      <c r="C2597" s="40"/>
      <c r="D2597" s="40"/>
      <c r="E2597" s="40"/>
      <c r="F2597" s="40"/>
    </row>
    <row r="2598" spans="1:6" ht="12.75" x14ac:dyDescent="0.2">
      <c r="A2598" s="40"/>
      <c r="B2598" s="41" t="s">
        <v>400</v>
      </c>
      <c r="C2598" s="41" t="s">
        <v>1871</v>
      </c>
      <c r="D2598" s="40"/>
      <c r="E2598" s="40"/>
      <c r="F2598" s="40"/>
    </row>
    <row r="2599" spans="1:6" ht="12.75" x14ac:dyDescent="0.2">
      <c r="A2599" s="40"/>
      <c r="B2599" s="41" t="s">
        <v>401</v>
      </c>
      <c r="C2599" s="40"/>
      <c r="D2599" s="40"/>
      <c r="E2599" s="40"/>
      <c r="F2599" s="40"/>
    </row>
    <row r="2600" spans="1:6" ht="25.5" x14ac:dyDescent="0.2">
      <c r="A2600" s="41" t="s">
        <v>1872</v>
      </c>
      <c r="B2600" s="41" t="s">
        <v>402</v>
      </c>
      <c r="C2600" s="41" t="s">
        <v>1873</v>
      </c>
      <c r="D2600" s="40"/>
      <c r="E2600" s="40"/>
      <c r="F2600" s="40"/>
    </row>
    <row r="2601" spans="1:6" ht="12.75" x14ac:dyDescent="0.2">
      <c r="A2601" s="41" t="s">
        <v>1874</v>
      </c>
      <c r="B2601" s="40"/>
      <c r="C2601" s="40"/>
      <c r="D2601" s="40"/>
      <c r="E2601" s="40"/>
      <c r="F2601" s="40"/>
    </row>
    <row r="2602" spans="1:6" ht="12.75" x14ac:dyDescent="0.2">
      <c r="A2602" s="41" t="s">
        <v>1875</v>
      </c>
      <c r="B2602" s="40"/>
      <c r="C2602" s="40"/>
      <c r="D2602" s="40"/>
      <c r="E2602" s="40"/>
      <c r="F2602" s="40"/>
    </row>
    <row r="2603" spans="1:6" ht="12.75" x14ac:dyDescent="0.2">
      <c r="A2603" s="41" t="s">
        <v>1876</v>
      </c>
      <c r="B2603" s="40"/>
      <c r="C2603" s="40"/>
      <c r="D2603" s="40"/>
      <c r="E2603" s="40"/>
      <c r="F2603" s="40"/>
    </row>
    <row r="2604" spans="1:6" ht="12.75" x14ac:dyDescent="0.2">
      <c r="A2604" s="41" t="s">
        <v>1877</v>
      </c>
      <c r="B2604" s="40"/>
      <c r="C2604" s="40"/>
      <c r="D2604" s="40"/>
      <c r="E2604" s="40"/>
      <c r="F2604" s="40"/>
    </row>
    <row r="2605" spans="1:6" ht="12.75" x14ac:dyDescent="0.2">
      <c r="A2605" s="41" t="s">
        <v>1878</v>
      </c>
      <c r="B2605" s="40"/>
      <c r="C2605" s="40"/>
      <c r="D2605" s="40"/>
      <c r="E2605" s="40"/>
      <c r="F2605" s="40"/>
    </row>
    <row r="2606" spans="1:6" ht="12.75" x14ac:dyDescent="0.2">
      <c r="A2606" s="41" t="s">
        <v>1879</v>
      </c>
      <c r="B2606" s="40"/>
      <c r="C2606" s="40"/>
      <c r="D2606" s="40"/>
      <c r="E2606" s="40"/>
      <c r="F2606" s="40"/>
    </row>
    <row r="2607" spans="1:6" ht="12.75" x14ac:dyDescent="0.2">
      <c r="A2607" s="40"/>
      <c r="B2607" s="40"/>
      <c r="C2607" s="40"/>
      <c r="D2607" s="40"/>
      <c r="E2607" s="40"/>
      <c r="F2607" s="40"/>
    </row>
    <row r="2608" spans="1:6" ht="12.75" x14ac:dyDescent="0.2">
      <c r="A2608" s="41" t="s">
        <v>1880</v>
      </c>
      <c r="B2608" s="40"/>
      <c r="C2608" s="40"/>
      <c r="D2608" s="40"/>
      <c r="E2608" s="40"/>
      <c r="F2608" s="40"/>
    </row>
    <row r="2609" spans="1:6" ht="12.75" x14ac:dyDescent="0.2">
      <c r="A2609" s="40"/>
      <c r="B2609" s="41" t="s">
        <v>398</v>
      </c>
      <c r="C2609" s="40"/>
      <c r="D2609" s="40"/>
      <c r="E2609" s="40"/>
      <c r="F2609" s="40"/>
    </row>
    <row r="2610" spans="1:6" ht="12.75" x14ac:dyDescent="0.2">
      <c r="A2610" s="40"/>
      <c r="B2610" s="41" t="s">
        <v>399</v>
      </c>
      <c r="C2610" s="40"/>
      <c r="D2610" s="40"/>
      <c r="E2610" s="40"/>
      <c r="F2610" s="40"/>
    </row>
    <row r="2611" spans="1:6" ht="12.75" x14ac:dyDescent="0.2">
      <c r="A2611" s="40"/>
      <c r="B2611" s="41" t="s">
        <v>400</v>
      </c>
      <c r="C2611" s="41" t="s">
        <v>1880</v>
      </c>
      <c r="D2611" s="40"/>
      <c r="E2611" s="40"/>
      <c r="F2611" s="40"/>
    </row>
    <row r="2612" spans="1:6" ht="12.75" x14ac:dyDescent="0.2">
      <c r="A2612" s="40"/>
      <c r="B2612" s="41" t="s">
        <v>401</v>
      </c>
      <c r="C2612" s="40"/>
      <c r="D2612" s="40"/>
      <c r="E2612" s="40"/>
      <c r="F2612" s="40"/>
    </row>
    <row r="2613" spans="1:6" ht="12.75" x14ac:dyDescent="0.2">
      <c r="A2613" s="41" t="s">
        <v>1881</v>
      </c>
      <c r="B2613" s="41" t="s">
        <v>402</v>
      </c>
      <c r="C2613" s="41" t="s">
        <v>1882</v>
      </c>
      <c r="D2613" s="40"/>
      <c r="E2613" s="40"/>
      <c r="F2613" s="40"/>
    </row>
    <row r="2614" spans="1:6" ht="12.75" x14ac:dyDescent="0.2">
      <c r="A2614" s="41" t="s">
        <v>1883</v>
      </c>
      <c r="B2614" s="40"/>
      <c r="C2614" s="40"/>
      <c r="D2614" s="40"/>
      <c r="E2614" s="40"/>
      <c r="F2614" s="40"/>
    </row>
    <row r="2615" spans="1:6" ht="12.75" x14ac:dyDescent="0.2">
      <c r="A2615" s="41" t="s">
        <v>1884</v>
      </c>
      <c r="B2615" s="40"/>
      <c r="C2615" s="40"/>
      <c r="D2615" s="40"/>
      <c r="E2615" s="40"/>
      <c r="F2615" s="40"/>
    </row>
    <row r="2616" spans="1:6" ht="12.75" x14ac:dyDescent="0.2">
      <c r="A2616" s="41" t="s">
        <v>1885</v>
      </c>
      <c r="B2616" s="40"/>
      <c r="C2616" s="40"/>
      <c r="D2616" s="40"/>
      <c r="E2616" s="40"/>
      <c r="F2616" s="40"/>
    </row>
    <row r="2617" spans="1:6" ht="12.75" x14ac:dyDescent="0.2">
      <c r="A2617" s="41" t="s">
        <v>1886</v>
      </c>
      <c r="B2617" s="40"/>
      <c r="C2617" s="40"/>
      <c r="D2617" s="40"/>
      <c r="E2617" s="40"/>
      <c r="F2617" s="40"/>
    </row>
    <row r="2618" spans="1:6" ht="12.75" x14ac:dyDescent="0.2">
      <c r="A2618" s="41" t="s">
        <v>1887</v>
      </c>
      <c r="B2618" s="40"/>
      <c r="C2618" s="40"/>
      <c r="D2618" s="40"/>
      <c r="E2618" s="40"/>
      <c r="F2618" s="40"/>
    </row>
    <row r="2619" spans="1:6" ht="12.75" x14ac:dyDescent="0.2">
      <c r="A2619" s="40"/>
      <c r="B2619" s="40"/>
      <c r="C2619" s="40"/>
      <c r="D2619" s="40"/>
      <c r="E2619" s="40"/>
      <c r="F2619" s="40"/>
    </row>
    <row r="2620" spans="1:6" ht="12.75" x14ac:dyDescent="0.2">
      <c r="A2620" s="41" t="s">
        <v>1888</v>
      </c>
      <c r="B2620" s="40"/>
      <c r="C2620" s="40"/>
      <c r="D2620" s="40"/>
      <c r="E2620" s="40"/>
      <c r="F2620" s="40"/>
    </row>
    <row r="2621" spans="1:6" ht="12.75" x14ac:dyDescent="0.2">
      <c r="A2621" s="40"/>
      <c r="B2621" s="41" t="s">
        <v>398</v>
      </c>
      <c r="C2621" s="40"/>
      <c r="D2621" s="40"/>
      <c r="E2621" s="40"/>
      <c r="F2621" s="40"/>
    </row>
    <row r="2622" spans="1:6" ht="12.75" x14ac:dyDescent="0.2">
      <c r="A2622" s="40"/>
      <c r="B2622" s="41" t="s">
        <v>399</v>
      </c>
      <c r="C2622" s="40"/>
      <c r="D2622" s="40"/>
      <c r="E2622" s="40"/>
      <c r="F2622" s="40"/>
    </row>
    <row r="2623" spans="1:6" ht="12.75" x14ac:dyDescent="0.2">
      <c r="A2623" s="40"/>
      <c r="B2623" s="41" t="s">
        <v>400</v>
      </c>
      <c r="C2623" s="41" t="s">
        <v>1888</v>
      </c>
      <c r="D2623" s="40"/>
      <c r="E2623" s="40"/>
      <c r="F2623" s="40"/>
    </row>
    <row r="2624" spans="1:6" ht="12.75" x14ac:dyDescent="0.2">
      <c r="A2624" s="40"/>
      <c r="B2624" s="41" t="s">
        <v>401</v>
      </c>
      <c r="C2624" s="40"/>
      <c r="D2624" s="40"/>
      <c r="E2624" s="40"/>
      <c r="F2624" s="40"/>
    </row>
    <row r="2625" spans="1:6" ht="12.75" x14ac:dyDescent="0.2">
      <c r="A2625" s="41" t="s">
        <v>1889</v>
      </c>
      <c r="B2625" s="41" t="s">
        <v>402</v>
      </c>
      <c r="C2625" s="41" t="s">
        <v>1890</v>
      </c>
      <c r="D2625" s="40"/>
      <c r="E2625" s="40"/>
      <c r="F2625" s="40"/>
    </row>
    <row r="2626" spans="1:6" ht="12.75" x14ac:dyDescent="0.2">
      <c r="A2626" s="41" t="s">
        <v>1891</v>
      </c>
      <c r="B2626" s="40"/>
      <c r="C2626" s="40"/>
      <c r="D2626" s="40"/>
      <c r="E2626" s="40"/>
      <c r="F2626" s="40"/>
    </row>
    <row r="2627" spans="1:6" ht="12.75" x14ac:dyDescent="0.2">
      <c r="A2627" s="41" t="s">
        <v>1892</v>
      </c>
      <c r="B2627" s="40"/>
      <c r="C2627" s="40"/>
      <c r="D2627" s="40"/>
      <c r="E2627" s="40"/>
      <c r="F2627" s="40"/>
    </row>
    <row r="2628" spans="1:6" ht="12.75" x14ac:dyDescent="0.2">
      <c r="A2628" s="41" t="s">
        <v>267</v>
      </c>
      <c r="B2628" s="40"/>
      <c r="C2628" s="40"/>
      <c r="D2628" s="40"/>
      <c r="E2628" s="40"/>
      <c r="F2628" s="40"/>
    </row>
    <row r="2629" spans="1:6" ht="12.75" x14ac:dyDescent="0.2">
      <c r="A2629" s="41" t="s">
        <v>1893</v>
      </c>
      <c r="B2629" s="40"/>
      <c r="C2629" s="40"/>
      <c r="D2629" s="40"/>
      <c r="E2629" s="40"/>
      <c r="F2629" s="40"/>
    </row>
    <row r="2630" spans="1:6" ht="12.75" x14ac:dyDescent="0.2">
      <c r="A2630" s="41" t="s">
        <v>1894</v>
      </c>
      <c r="B2630" s="40"/>
      <c r="C2630" s="40"/>
      <c r="D2630" s="40"/>
      <c r="E2630" s="40"/>
      <c r="F2630" s="40"/>
    </row>
    <row r="2631" spans="1:6" ht="12.75" x14ac:dyDescent="0.2">
      <c r="A2631" s="41" t="s">
        <v>1895</v>
      </c>
      <c r="B2631" s="40"/>
      <c r="C2631" s="40"/>
      <c r="D2631" s="40"/>
      <c r="E2631" s="40"/>
      <c r="F2631" s="40"/>
    </row>
    <row r="2632" spans="1:6" ht="12.75" x14ac:dyDescent="0.2">
      <c r="A2632" s="41" t="s">
        <v>1896</v>
      </c>
      <c r="B2632" s="40"/>
      <c r="C2632" s="40"/>
      <c r="D2632" s="40"/>
      <c r="E2632" s="40"/>
      <c r="F2632" s="40"/>
    </row>
    <row r="2633" spans="1:6" ht="12.75" x14ac:dyDescent="0.2">
      <c r="A2633" s="40"/>
      <c r="B2633" s="40"/>
      <c r="C2633" s="40"/>
      <c r="D2633" s="40"/>
      <c r="E2633" s="40"/>
      <c r="F2633" s="40"/>
    </row>
    <row r="2634" spans="1:6" ht="12.75" x14ac:dyDescent="0.2">
      <c r="A2634" s="41" t="s">
        <v>1897</v>
      </c>
      <c r="B2634" s="40"/>
      <c r="C2634" s="40"/>
      <c r="D2634" s="40"/>
      <c r="E2634" s="40"/>
      <c r="F2634" s="40"/>
    </row>
    <row r="2635" spans="1:6" ht="12.75" x14ac:dyDescent="0.2">
      <c r="A2635" s="40"/>
      <c r="B2635" s="41" t="s">
        <v>398</v>
      </c>
      <c r="C2635" s="40"/>
      <c r="D2635" s="40"/>
      <c r="E2635" s="40"/>
      <c r="F2635" s="40"/>
    </row>
    <row r="2636" spans="1:6" ht="12.75" x14ac:dyDescent="0.2">
      <c r="A2636" s="40"/>
      <c r="B2636" s="41" t="s">
        <v>399</v>
      </c>
      <c r="C2636" s="40"/>
      <c r="D2636" s="40"/>
      <c r="E2636" s="40"/>
      <c r="F2636" s="40"/>
    </row>
    <row r="2637" spans="1:6" ht="12.75" x14ac:dyDescent="0.2">
      <c r="A2637" s="40"/>
      <c r="B2637" s="41" t="s">
        <v>400</v>
      </c>
      <c r="C2637" s="41" t="s">
        <v>1897</v>
      </c>
      <c r="D2637" s="40"/>
      <c r="E2637" s="40"/>
      <c r="F2637" s="40"/>
    </row>
    <row r="2638" spans="1:6" ht="12.75" x14ac:dyDescent="0.2">
      <c r="A2638" s="40"/>
      <c r="B2638" s="41" t="s">
        <v>401</v>
      </c>
      <c r="C2638" s="40"/>
      <c r="D2638" s="40"/>
      <c r="E2638" s="40"/>
      <c r="F2638" s="40"/>
    </row>
    <row r="2639" spans="1:6" ht="12.75" x14ac:dyDescent="0.2">
      <c r="A2639" s="41" t="s">
        <v>1898</v>
      </c>
      <c r="B2639" s="41" t="s">
        <v>402</v>
      </c>
      <c r="C2639" s="41" t="s">
        <v>1899</v>
      </c>
      <c r="D2639" s="40"/>
      <c r="E2639" s="40"/>
      <c r="F2639" s="40"/>
    </row>
    <row r="2640" spans="1:6" ht="12.75" x14ac:dyDescent="0.2">
      <c r="A2640" s="41" t="s">
        <v>1900</v>
      </c>
      <c r="B2640" s="40"/>
      <c r="C2640" s="40"/>
      <c r="D2640" s="40"/>
      <c r="E2640" s="40"/>
      <c r="F2640" s="40"/>
    </row>
    <row r="2641" spans="1:6" ht="12.75" x14ac:dyDescent="0.2">
      <c r="A2641" s="41" t="s">
        <v>154</v>
      </c>
      <c r="B2641" s="40"/>
      <c r="C2641" s="40"/>
      <c r="D2641" s="40"/>
      <c r="E2641" s="40"/>
      <c r="F2641" s="40"/>
    </row>
    <row r="2642" spans="1:6" ht="12.75" x14ac:dyDescent="0.2">
      <c r="A2642" s="41" t="s">
        <v>1901</v>
      </c>
      <c r="B2642" s="40"/>
      <c r="C2642" s="40"/>
      <c r="D2642" s="40"/>
      <c r="E2642" s="40"/>
      <c r="F2642" s="40"/>
    </row>
    <row r="2643" spans="1:6" ht="12.75" x14ac:dyDescent="0.2">
      <c r="A2643" s="41" t="s">
        <v>1902</v>
      </c>
      <c r="B2643" s="40"/>
      <c r="C2643" s="40"/>
      <c r="D2643" s="40"/>
      <c r="E2643" s="40"/>
      <c r="F2643" s="40"/>
    </row>
    <row r="2644" spans="1:6" ht="12.75" x14ac:dyDescent="0.2">
      <c r="A2644" s="41" t="s">
        <v>1903</v>
      </c>
      <c r="B2644" s="40"/>
      <c r="C2644" s="40"/>
      <c r="D2644" s="40"/>
      <c r="E2644" s="40"/>
      <c r="F2644" s="40"/>
    </row>
    <row r="2645" spans="1:6" ht="12.75" x14ac:dyDescent="0.2">
      <c r="A2645" s="40"/>
      <c r="B2645" s="40"/>
      <c r="C2645" s="40"/>
      <c r="D2645" s="40"/>
      <c r="E2645" s="40"/>
      <c r="F2645" s="40"/>
    </row>
    <row r="2646" spans="1:6" ht="12.75" x14ac:dyDescent="0.2">
      <c r="A2646" s="41" t="s">
        <v>1904</v>
      </c>
      <c r="B2646" s="40"/>
      <c r="C2646" s="40"/>
      <c r="D2646" s="40"/>
      <c r="E2646" s="40"/>
      <c r="F2646" s="40"/>
    </row>
    <row r="2647" spans="1:6" ht="12.75" x14ac:dyDescent="0.2">
      <c r="A2647" s="40"/>
      <c r="B2647" s="41" t="s">
        <v>398</v>
      </c>
      <c r="C2647" s="40"/>
      <c r="D2647" s="40"/>
      <c r="E2647" s="40"/>
      <c r="F2647" s="40"/>
    </row>
    <row r="2648" spans="1:6" ht="12.75" x14ac:dyDescent="0.2">
      <c r="A2648" s="40"/>
      <c r="B2648" s="41" t="s">
        <v>399</v>
      </c>
      <c r="C2648" s="40"/>
      <c r="D2648" s="40"/>
      <c r="E2648" s="40"/>
      <c r="F2648" s="40"/>
    </row>
    <row r="2649" spans="1:6" ht="12.75" x14ac:dyDescent="0.2">
      <c r="A2649" s="40"/>
      <c r="B2649" s="41" t="s">
        <v>400</v>
      </c>
      <c r="C2649" s="41" t="s">
        <v>1904</v>
      </c>
      <c r="D2649" s="40"/>
      <c r="E2649" s="40"/>
      <c r="F2649" s="40"/>
    </row>
    <row r="2650" spans="1:6" ht="12.75" x14ac:dyDescent="0.2">
      <c r="A2650" s="40"/>
      <c r="B2650" s="41" t="s">
        <v>401</v>
      </c>
      <c r="C2650" s="40"/>
      <c r="D2650" s="40"/>
      <c r="E2650" s="40"/>
      <c r="F2650" s="40"/>
    </row>
    <row r="2651" spans="1:6" ht="12.75" x14ac:dyDescent="0.2">
      <c r="A2651" s="41" t="s">
        <v>1905</v>
      </c>
      <c r="B2651" s="41" t="s">
        <v>402</v>
      </c>
      <c r="C2651" s="41" t="s">
        <v>1906</v>
      </c>
      <c r="D2651" s="40"/>
      <c r="E2651" s="40"/>
      <c r="F2651" s="40"/>
    </row>
    <row r="2652" spans="1:6" ht="12.75" x14ac:dyDescent="0.2">
      <c r="A2652" s="41" t="s">
        <v>1907</v>
      </c>
      <c r="B2652" s="40"/>
      <c r="C2652" s="40"/>
      <c r="D2652" s="40"/>
      <c r="E2652" s="40"/>
      <c r="F2652" s="40"/>
    </row>
    <row r="2653" spans="1:6" ht="12.75" x14ac:dyDescent="0.2">
      <c r="A2653" s="41" t="s">
        <v>1908</v>
      </c>
      <c r="B2653" s="40"/>
      <c r="C2653" s="40"/>
      <c r="D2653" s="40"/>
      <c r="E2653" s="40"/>
      <c r="F2653" s="40"/>
    </row>
    <row r="2654" spans="1:6" ht="12.75" x14ac:dyDescent="0.2">
      <c r="A2654" s="41" t="s">
        <v>1909</v>
      </c>
      <c r="B2654" s="40"/>
      <c r="C2654" s="40"/>
      <c r="D2654" s="40"/>
      <c r="E2654" s="40"/>
      <c r="F2654" s="40"/>
    </row>
    <row r="2655" spans="1:6" ht="12.75" x14ac:dyDescent="0.2">
      <c r="A2655" s="41" t="s">
        <v>1910</v>
      </c>
      <c r="B2655" s="40"/>
      <c r="C2655" s="40"/>
      <c r="D2655" s="40"/>
      <c r="E2655" s="40"/>
      <c r="F2655" s="40"/>
    </row>
    <row r="2656" spans="1:6" ht="12.75" x14ac:dyDescent="0.2">
      <c r="A2656" s="41" t="s">
        <v>1911</v>
      </c>
      <c r="B2656" s="40"/>
      <c r="C2656" s="40"/>
      <c r="D2656" s="40"/>
      <c r="E2656" s="40"/>
      <c r="F2656" s="40"/>
    </row>
    <row r="2657" spans="1:6" ht="12.75" x14ac:dyDescent="0.2">
      <c r="A2657" s="41" t="s">
        <v>1912</v>
      </c>
      <c r="B2657" s="40"/>
      <c r="C2657" s="40"/>
      <c r="D2657" s="40"/>
      <c r="E2657" s="40"/>
      <c r="F2657" s="40"/>
    </row>
    <row r="2658" spans="1:6" ht="12.75" x14ac:dyDescent="0.2">
      <c r="A2658" s="41" t="s">
        <v>1913</v>
      </c>
      <c r="B2658" s="40"/>
      <c r="C2658" s="40"/>
      <c r="D2658" s="40"/>
      <c r="E2658" s="40"/>
      <c r="F2658" s="40"/>
    </row>
    <row r="2659" spans="1:6" ht="12.75" x14ac:dyDescent="0.2">
      <c r="A2659" s="40"/>
      <c r="B2659" s="40"/>
      <c r="C2659" s="40"/>
      <c r="D2659" s="40"/>
      <c r="E2659" s="40"/>
      <c r="F2659" s="40"/>
    </row>
    <row r="2660" spans="1:6" ht="12.75" x14ac:dyDescent="0.2">
      <c r="A2660" s="41" t="s">
        <v>1914</v>
      </c>
      <c r="B2660" s="40"/>
      <c r="C2660" s="40"/>
      <c r="D2660" s="40"/>
      <c r="E2660" s="40"/>
      <c r="F2660" s="40"/>
    </row>
    <row r="2661" spans="1:6" ht="12.75" x14ac:dyDescent="0.2">
      <c r="A2661" s="40"/>
      <c r="B2661" s="41" t="s">
        <v>398</v>
      </c>
      <c r="C2661" s="40"/>
      <c r="D2661" s="40"/>
      <c r="E2661" s="40"/>
      <c r="F2661" s="40"/>
    </row>
    <row r="2662" spans="1:6" ht="12.75" x14ac:dyDescent="0.2">
      <c r="A2662" s="40"/>
      <c r="B2662" s="41" t="s">
        <v>399</v>
      </c>
      <c r="C2662" s="40"/>
      <c r="D2662" s="40"/>
      <c r="E2662" s="40"/>
      <c r="F2662" s="40"/>
    </row>
    <row r="2663" spans="1:6" ht="12.75" x14ac:dyDescent="0.2">
      <c r="A2663" s="40"/>
      <c r="B2663" s="41" t="s">
        <v>400</v>
      </c>
      <c r="C2663" s="41" t="s">
        <v>1914</v>
      </c>
      <c r="D2663" s="40"/>
      <c r="E2663" s="40"/>
      <c r="F2663" s="40"/>
    </row>
    <row r="2664" spans="1:6" ht="12.75" x14ac:dyDescent="0.2">
      <c r="A2664" s="40"/>
      <c r="B2664" s="41" t="s">
        <v>401</v>
      </c>
      <c r="C2664" s="40"/>
      <c r="D2664" s="40"/>
      <c r="E2664" s="40"/>
      <c r="F2664" s="40"/>
    </row>
    <row r="2665" spans="1:6" ht="12.75" x14ac:dyDescent="0.2">
      <c r="A2665" s="41" t="s">
        <v>1915</v>
      </c>
      <c r="B2665" s="41" t="s">
        <v>402</v>
      </c>
      <c r="C2665" s="41" t="s">
        <v>1916</v>
      </c>
      <c r="D2665" s="40"/>
      <c r="E2665" s="40"/>
      <c r="F2665" s="40"/>
    </row>
    <row r="2666" spans="1:6" ht="12.75" x14ac:dyDescent="0.2">
      <c r="A2666" s="41" t="s">
        <v>1917</v>
      </c>
      <c r="B2666" s="40"/>
      <c r="C2666" s="40"/>
      <c r="D2666" s="40"/>
      <c r="E2666" s="40"/>
      <c r="F2666" s="40"/>
    </row>
    <row r="2667" spans="1:6" ht="12.75" x14ac:dyDescent="0.2">
      <c r="A2667" s="41" t="s">
        <v>1918</v>
      </c>
      <c r="B2667" s="40"/>
      <c r="C2667" s="40"/>
      <c r="D2667" s="40"/>
      <c r="E2667" s="40"/>
      <c r="F2667" s="40"/>
    </row>
    <row r="2668" spans="1:6" ht="12.75" x14ac:dyDescent="0.2">
      <c r="A2668" s="41" t="s">
        <v>1919</v>
      </c>
      <c r="B2668" s="40"/>
      <c r="C2668" s="40"/>
      <c r="D2668" s="40"/>
      <c r="E2668" s="40"/>
      <c r="F2668" s="40"/>
    </row>
    <row r="2669" spans="1:6" ht="12.75" x14ac:dyDescent="0.2">
      <c r="A2669" s="41" t="s">
        <v>1920</v>
      </c>
      <c r="B2669" s="40"/>
      <c r="C2669" s="40"/>
      <c r="D2669" s="40"/>
      <c r="E2669" s="40"/>
      <c r="F2669" s="40"/>
    </row>
    <row r="2670" spans="1:6" ht="12.75" x14ac:dyDescent="0.2">
      <c r="A2670" s="41" t="s">
        <v>1921</v>
      </c>
      <c r="B2670" s="40"/>
      <c r="C2670" s="40"/>
      <c r="D2670" s="40"/>
      <c r="E2670" s="40"/>
      <c r="F2670" s="40"/>
    </row>
    <row r="2671" spans="1:6" ht="12.75" x14ac:dyDescent="0.2">
      <c r="A2671" s="41" t="s">
        <v>1922</v>
      </c>
      <c r="B2671" s="40"/>
      <c r="C2671" s="40"/>
      <c r="D2671" s="40"/>
      <c r="E2671" s="40"/>
      <c r="F2671" s="40"/>
    </row>
    <row r="2672" spans="1:6" ht="12.75" x14ac:dyDescent="0.2">
      <c r="A2672" s="40"/>
      <c r="B2672" s="40"/>
      <c r="C2672" s="40"/>
      <c r="D2672" s="40"/>
      <c r="E2672" s="40"/>
      <c r="F2672" s="40"/>
    </row>
    <row r="2673" spans="1:6" ht="12.75" x14ac:dyDescent="0.2">
      <c r="A2673" s="41" t="s">
        <v>1923</v>
      </c>
      <c r="B2673" s="40"/>
      <c r="C2673" s="40"/>
      <c r="D2673" s="40"/>
      <c r="E2673" s="40"/>
      <c r="F2673" s="40"/>
    </row>
    <row r="2674" spans="1:6" ht="12.75" x14ac:dyDescent="0.2">
      <c r="A2674" s="40"/>
      <c r="B2674" s="41" t="s">
        <v>398</v>
      </c>
      <c r="C2674" s="40"/>
      <c r="D2674" s="40"/>
      <c r="E2674" s="40"/>
      <c r="F2674" s="40"/>
    </row>
    <row r="2675" spans="1:6" ht="12.75" x14ac:dyDescent="0.2">
      <c r="A2675" s="40"/>
      <c r="B2675" s="41" t="s">
        <v>399</v>
      </c>
      <c r="C2675" s="40"/>
      <c r="D2675" s="40"/>
      <c r="E2675" s="40"/>
      <c r="F2675" s="40"/>
    </row>
    <row r="2676" spans="1:6" ht="12.75" x14ac:dyDescent="0.2">
      <c r="A2676" s="40"/>
      <c r="B2676" s="41" t="s">
        <v>400</v>
      </c>
      <c r="C2676" s="41" t="s">
        <v>1923</v>
      </c>
      <c r="D2676" s="40"/>
      <c r="E2676" s="40"/>
      <c r="F2676" s="40"/>
    </row>
    <row r="2677" spans="1:6" ht="12.75" x14ac:dyDescent="0.2">
      <c r="A2677" s="40"/>
      <c r="B2677" s="41" t="s">
        <v>401</v>
      </c>
      <c r="C2677" s="40"/>
      <c r="D2677" s="40"/>
      <c r="E2677" s="40"/>
      <c r="F2677" s="40"/>
    </row>
    <row r="2678" spans="1:6" ht="25.5" x14ac:dyDescent="0.2">
      <c r="A2678" s="41" t="s">
        <v>1924</v>
      </c>
      <c r="B2678" s="41" t="s">
        <v>402</v>
      </c>
      <c r="C2678" s="41" t="s">
        <v>1925</v>
      </c>
      <c r="D2678" s="40"/>
      <c r="E2678" s="40"/>
      <c r="F2678" s="40"/>
    </row>
    <row r="2679" spans="1:6" ht="12.75" x14ac:dyDescent="0.2">
      <c r="A2679" s="41" t="s">
        <v>1926</v>
      </c>
      <c r="B2679" s="40"/>
      <c r="C2679" s="40"/>
      <c r="D2679" s="40"/>
      <c r="E2679" s="40"/>
      <c r="F2679" s="40"/>
    </row>
    <row r="2680" spans="1:6" ht="12.75" x14ac:dyDescent="0.2">
      <c r="A2680" s="41" t="s">
        <v>1927</v>
      </c>
      <c r="B2680" s="40"/>
      <c r="C2680" s="40"/>
      <c r="D2680" s="40"/>
      <c r="E2680" s="40"/>
      <c r="F2680" s="40"/>
    </row>
    <row r="2681" spans="1:6" ht="12.75" x14ac:dyDescent="0.2">
      <c r="A2681" s="41" t="s">
        <v>1928</v>
      </c>
      <c r="B2681" s="40"/>
      <c r="C2681" s="40"/>
      <c r="D2681" s="40"/>
      <c r="E2681" s="40"/>
      <c r="F2681" s="40"/>
    </row>
    <row r="2682" spans="1:6" ht="12.75" x14ac:dyDescent="0.2">
      <c r="A2682" s="41" t="s">
        <v>1929</v>
      </c>
      <c r="B2682" s="40"/>
      <c r="C2682" s="40"/>
      <c r="D2682" s="40"/>
      <c r="E2682" s="40"/>
      <c r="F2682" s="40"/>
    </row>
    <row r="2683" spans="1:6" ht="12.75" x14ac:dyDescent="0.2">
      <c r="A2683" s="41" t="s">
        <v>1930</v>
      </c>
      <c r="B2683" s="40"/>
      <c r="C2683" s="40"/>
      <c r="D2683" s="40"/>
      <c r="E2683" s="40"/>
      <c r="F2683" s="40"/>
    </row>
    <row r="2684" spans="1:6" ht="12.75" x14ac:dyDescent="0.2">
      <c r="A2684" s="41" t="s">
        <v>1931</v>
      </c>
      <c r="B2684" s="40"/>
      <c r="C2684" s="40"/>
      <c r="D2684" s="40"/>
      <c r="E2684" s="40"/>
      <c r="F2684" s="40"/>
    </row>
    <row r="2685" spans="1:6" ht="12.75" x14ac:dyDescent="0.2">
      <c r="A2685" s="40"/>
      <c r="B2685" s="40"/>
      <c r="C2685" s="40"/>
      <c r="D2685" s="40"/>
      <c r="E2685" s="40"/>
      <c r="F2685" s="40"/>
    </row>
    <row r="2686" spans="1:6" ht="12.75" x14ac:dyDescent="0.2">
      <c r="A2686" s="41" t="s">
        <v>1932</v>
      </c>
      <c r="B2686" s="40"/>
      <c r="C2686" s="40"/>
      <c r="D2686" s="40"/>
      <c r="E2686" s="40"/>
      <c r="F2686" s="40"/>
    </row>
    <row r="2687" spans="1:6" ht="12.75" x14ac:dyDescent="0.2">
      <c r="A2687" s="40"/>
      <c r="B2687" s="41" t="s">
        <v>398</v>
      </c>
      <c r="C2687" s="40"/>
      <c r="D2687" s="40"/>
      <c r="E2687" s="40"/>
      <c r="F2687" s="40"/>
    </row>
    <row r="2688" spans="1:6" ht="12.75" x14ac:dyDescent="0.2">
      <c r="A2688" s="40"/>
      <c r="B2688" s="41" t="s">
        <v>399</v>
      </c>
      <c r="C2688" s="40"/>
      <c r="D2688" s="40"/>
      <c r="E2688" s="40"/>
      <c r="F2688" s="40"/>
    </row>
    <row r="2689" spans="1:6" ht="12.75" x14ac:dyDescent="0.2">
      <c r="A2689" s="40"/>
      <c r="B2689" s="41" t="s">
        <v>400</v>
      </c>
      <c r="C2689" s="41" t="s">
        <v>1932</v>
      </c>
      <c r="D2689" s="40"/>
      <c r="E2689" s="40"/>
      <c r="F2689" s="40"/>
    </row>
    <row r="2690" spans="1:6" ht="12.75" x14ac:dyDescent="0.2">
      <c r="A2690" s="40"/>
      <c r="B2690" s="41" t="s">
        <v>401</v>
      </c>
      <c r="C2690" s="40"/>
      <c r="D2690" s="40"/>
      <c r="E2690" s="40"/>
      <c r="F2690" s="40"/>
    </row>
    <row r="2691" spans="1:6" ht="12.75" x14ac:dyDescent="0.2">
      <c r="A2691" s="41" t="s">
        <v>1933</v>
      </c>
      <c r="B2691" s="41" t="s">
        <v>402</v>
      </c>
      <c r="C2691" s="41" t="s">
        <v>1934</v>
      </c>
      <c r="D2691" s="40"/>
      <c r="E2691" s="40"/>
      <c r="F2691" s="40"/>
    </row>
    <row r="2692" spans="1:6" ht="12.75" x14ac:dyDescent="0.2">
      <c r="A2692" s="41" t="s">
        <v>1935</v>
      </c>
      <c r="B2692" s="40"/>
      <c r="C2692" s="40"/>
      <c r="D2692" s="40"/>
      <c r="E2692" s="40"/>
      <c r="F2692" s="40"/>
    </row>
    <row r="2693" spans="1:6" ht="12.75" x14ac:dyDescent="0.2">
      <c r="A2693" s="41" t="s">
        <v>1936</v>
      </c>
      <c r="B2693" s="40"/>
      <c r="C2693" s="40"/>
      <c r="D2693" s="40"/>
      <c r="E2693" s="40"/>
      <c r="F2693" s="40"/>
    </row>
    <row r="2694" spans="1:6" ht="12.75" x14ac:dyDescent="0.2">
      <c r="A2694" s="41" t="s">
        <v>1937</v>
      </c>
      <c r="B2694" s="40"/>
      <c r="C2694" s="40"/>
      <c r="D2694" s="40"/>
      <c r="E2694" s="40"/>
      <c r="F2694" s="40"/>
    </row>
    <row r="2695" spans="1:6" ht="12.75" x14ac:dyDescent="0.2">
      <c r="A2695" s="40"/>
      <c r="B2695" s="40"/>
      <c r="C2695" s="40"/>
      <c r="D2695" s="40"/>
      <c r="E2695" s="40"/>
      <c r="F2695" s="40"/>
    </row>
    <row r="2696" spans="1:6" ht="12.75" x14ac:dyDescent="0.2">
      <c r="A2696" s="41" t="s">
        <v>1938</v>
      </c>
      <c r="B2696" s="40"/>
      <c r="C2696" s="40"/>
      <c r="D2696" s="40"/>
      <c r="E2696" s="40"/>
      <c r="F2696" s="40"/>
    </row>
    <row r="2697" spans="1:6" ht="12.75" x14ac:dyDescent="0.2">
      <c r="A2697" s="40"/>
      <c r="B2697" s="41" t="s">
        <v>398</v>
      </c>
      <c r="C2697" s="40"/>
      <c r="D2697" s="40"/>
      <c r="E2697" s="40"/>
      <c r="F2697" s="40"/>
    </row>
    <row r="2698" spans="1:6" ht="12.75" x14ac:dyDescent="0.2">
      <c r="A2698" s="40"/>
      <c r="B2698" s="41" t="s">
        <v>399</v>
      </c>
      <c r="C2698" s="40"/>
      <c r="D2698" s="40"/>
      <c r="E2698" s="40"/>
      <c r="F2698" s="40"/>
    </row>
    <row r="2699" spans="1:6" ht="12.75" x14ac:dyDescent="0.2">
      <c r="A2699" s="40"/>
      <c r="B2699" s="41" t="s">
        <v>400</v>
      </c>
      <c r="C2699" s="41" t="s">
        <v>1938</v>
      </c>
      <c r="D2699" s="40"/>
      <c r="E2699" s="40"/>
      <c r="F2699" s="40"/>
    </row>
    <row r="2700" spans="1:6" ht="12.75" x14ac:dyDescent="0.2">
      <c r="A2700" s="40"/>
      <c r="B2700" s="41" t="s">
        <v>401</v>
      </c>
      <c r="C2700" s="40"/>
      <c r="D2700" s="40"/>
      <c r="E2700" s="40"/>
      <c r="F2700" s="40"/>
    </row>
    <row r="2701" spans="1:6" ht="12.75" x14ac:dyDescent="0.2">
      <c r="A2701" s="41" t="s">
        <v>1939</v>
      </c>
      <c r="B2701" s="41" t="s">
        <v>402</v>
      </c>
      <c r="C2701" s="41" t="s">
        <v>1940</v>
      </c>
      <c r="D2701" s="40"/>
      <c r="E2701" s="40"/>
      <c r="F2701" s="40"/>
    </row>
    <row r="2702" spans="1:6" ht="12.75" x14ac:dyDescent="0.2">
      <c r="A2702" s="41" t="s">
        <v>1941</v>
      </c>
      <c r="B2702" s="40"/>
      <c r="C2702" s="40"/>
      <c r="D2702" s="40"/>
      <c r="E2702" s="40"/>
      <c r="F2702" s="40"/>
    </row>
    <row r="2703" spans="1:6" ht="12.75" x14ac:dyDescent="0.2">
      <c r="A2703" s="41" t="s">
        <v>1942</v>
      </c>
      <c r="B2703" s="40"/>
      <c r="C2703" s="40"/>
      <c r="D2703" s="40"/>
      <c r="E2703" s="40"/>
      <c r="F2703" s="40"/>
    </row>
    <row r="2704" spans="1:6" ht="12.75" x14ac:dyDescent="0.2">
      <c r="A2704" s="41" t="s">
        <v>1943</v>
      </c>
      <c r="B2704" s="40"/>
      <c r="C2704" s="40"/>
      <c r="D2704" s="40"/>
      <c r="E2704" s="40"/>
      <c r="F2704" s="40"/>
    </row>
    <row r="2705" spans="1:6" ht="12.75" x14ac:dyDescent="0.2">
      <c r="A2705" s="41" t="s">
        <v>1944</v>
      </c>
      <c r="B2705" s="40"/>
      <c r="C2705" s="40"/>
      <c r="D2705" s="40"/>
      <c r="E2705" s="40"/>
      <c r="F2705" s="40"/>
    </row>
    <row r="2706" spans="1:6" ht="12.75" x14ac:dyDescent="0.2">
      <c r="A2706" s="41" t="s">
        <v>1945</v>
      </c>
      <c r="B2706" s="40"/>
      <c r="C2706" s="40"/>
      <c r="D2706" s="40"/>
      <c r="E2706" s="40"/>
      <c r="F2706" s="40"/>
    </row>
    <row r="2707" spans="1:6" ht="12.75" x14ac:dyDescent="0.2">
      <c r="A2707" s="41" t="s">
        <v>1946</v>
      </c>
      <c r="B2707" s="40"/>
      <c r="C2707" s="40"/>
      <c r="D2707" s="40"/>
      <c r="E2707" s="40"/>
      <c r="F2707" s="40"/>
    </row>
    <row r="2708" spans="1:6" ht="12.75" x14ac:dyDescent="0.2">
      <c r="A2708" s="41" t="s">
        <v>1947</v>
      </c>
      <c r="B2708" s="40"/>
      <c r="C2708" s="40"/>
      <c r="D2708" s="40"/>
      <c r="E2708" s="40"/>
      <c r="F2708" s="40"/>
    </row>
    <row r="2709" spans="1:6" ht="12.75" x14ac:dyDescent="0.2">
      <c r="A2709" s="41" t="s">
        <v>1948</v>
      </c>
      <c r="B2709" s="40"/>
      <c r="C2709" s="40"/>
      <c r="D2709" s="40"/>
      <c r="E2709" s="40"/>
      <c r="F2709" s="40"/>
    </row>
    <row r="2710" spans="1:6" ht="12.75" x14ac:dyDescent="0.2">
      <c r="A2710" s="40"/>
      <c r="B2710" s="40"/>
      <c r="C2710" s="40"/>
      <c r="D2710" s="40"/>
      <c r="E2710" s="40"/>
      <c r="F2710" s="40"/>
    </row>
    <row r="2711" spans="1:6" ht="12.75" x14ac:dyDescent="0.2">
      <c r="A2711" s="41" t="s">
        <v>1949</v>
      </c>
      <c r="B2711" s="40"/>
      <c r="C2711" s="40"/>
      <c r="D2711" s="40"/>
      <c r="E2711" s="40"/>
      <c r="F2711" s="40"/>
    </row>
    <row r="2712" spans="1:6" ht="12.75" x14ac:dyDescent="0.2">
      <c r="A2712" s="40"/>
      <c r="B2712" s="41" t="s">
        <v>398</v>
      </c>
      <c r="C2712" s="40"/>
      <c r="D2712" s="40"/>
      <c r="E2712" s="40"/>
      <c r="F2712" s="40"/>
    </row>
    <row r="2713" spans="1:6" ht="12.75" x14ac:dyDescent="0.2">
      <c r="A2713" s="40"/>
      <c r="B2713" s="41" t="s">
        <v>399</v>
      </c>
      <c r="C2713" s="40"/>
      <c r="D2713" s="40"/>
      <c r="E2713" s="40"/>
      <c r="F2713" s="40"/>
    </row>
    <row r="2714" spans="1:6" ht="12.75" x14ac:dyDescent="0.2">
      <c r="A2714" s="40"/>
      <c r="B2714" s="41" t="s">
        <v>400</v>
      </c>
      <c r="C2714" s="41" t="s">
        <v>1949</v>
      </c>
      <c r="D2714" s="40"/>
      <c r="E2714" s="40"/>
      <c r="F2714" s="40"/>
    </row>
    <row r="2715" spans="1:6" ht="12.75" x14ac:dyDescent="0.2">
      <c r="A2715" s="40"/>
      <c r="B2715" s="41" t="s">
        <v>401</v>
      </c>
      <c r="C2715" s="40"/>
      <c r="D2715" s="40"/>
      <c r="E2715" s="40"/>
      <c r="F2715" s="40"/>
    </row>
    <row r="2716" spans="1:6" ht="12.75" x14ac:dyDescent="0.2">
      <c r="A2716" s="41" t="s">
        <v>1950</v>
      </c>
      <c r="B2716" s="41" t="s">
        <v>402</v>
      </c>
      <c r="C2716" s="41" t="s">
        <v>1951</v>
      </c>
      <c r="D2716" s="40"/>
      <c r="E2716" s="40"/>
      <c r="F2716" s="40"/>
    </row>
    <row r="2717" spans="1:6" ht="12.75" x14ac:dyDescent="0.2">
      <c r="A2717" s="41" t="s">
        <v>1952</v>
      </c>
      <c r="B2717" s="40"/>
      <c r="C2717" s="40"/>
      <c r="D2717" s="40"/>
      <c r="E2717" s="40"/>
      <c r="F2717" s="40"/>
    </row>
    <row r="2718" spans="1:6" ht="12.75" x14ac:dyDescent="0.2">
      <c r="A2718" s="41" t="s">
        <v>1953</v>
      </c>
      <c r="B2718" s="40"/>
      <c r="C2718" s="40"/>
      <c r="D2718" s="40"/>
      <c r="E2718" s="40"/>
      <c r="F2718" s="40"/>
    </row>
    <row r="2719" spans="1:6" ht="12.75" x14ac:dyDescent="0.2">
      <c r="A2719" s="41" t="s">
        <v>1954</v>
      </c>
      <c r="B2719" s="40"/>
      <c r="C2719" s="40"/>
      <c r="D2719" s="40"/>
      <c r="E2719" s="40"/>
      <c r="F2719" s="40"/>
    </row>
    <row r="2720" spans="1:6" ht="12.75" x14ac:dyDescent="0.2">
      <c r="A2720" s="41" t="s">
        <v>1955</v>
      </c>
      <c r="B2720" s="40"/>
      <c r="C2720" s="40"/>
      <c r="D2720" s="40"/>
      <c r="E2720" s="40"/>
      <c r="F2720" s="40"/>
    </row>
    <row r="2721" spans="1:6" ht="12.75" x14ac:dyDescent="0.2">
      <c r="A2721" s="41" t="s">
        <v>1956</v>
      </c>
      <c r="B2721" s="40"/>
      <c r="C2721" s="40"/>
      <c r="D2721" s="40"/>
      <c r="E2721" s="40"/>
      <c r="F2721" s="40"/>
    </row>
    <row r="2722" spans="1:6" ht="12.75" x14ac:dyDescent="0.2">
      <c r="A2722" s="40"/>
      <c r="B2722" s="40"/>
      <c r="C2722" s="40"/>
      <c r="D2722" s="40"/>
      <c r="E2722" s="40"/>
      <c r="F2722" s="40"/>
    </row>
    <row r="2723" spans="1:6" ht="12.75" x14ac:dyDescent="0.2">
      <c r="A2723" s="41" t="s">
        <v>1957</v>
      </c>
      <c r="B2723" s="40"/>
      <c r="C2723" s="40"/>
      <c r="D2723" s="40"/>
      <c r="E2723" s="40"/>
      <c r="F2723" s="40"/>
    </row>
    <row r="2724" spans="1:6" ht="12.75" x14ac:dyDescent="0.2">
      <c r="A2724" s="40"/>
      <c r="B2724" s="41" t="s">
        <v>398</v>
      </c>
      <c r="C2724" s="40"/>
      <c r="D2724" s="40"/>
      <c r="E2724" s="40"/>
      <c r="F2724" s="40"/>
    </row>
    <row r="2725" spans="1:6" ht="12.75" x14ac:dyDescent="0.2">
      <c r="A2725" s="40"/>
      <c r="B2725" s="41" t="s">
        <v>399</v>
      </c>
      <c r="C2725" s="40"/>
      <c r="D2725" s="40"/>
      <c r="E2725" s="40"/>
      <c r="F2725" s="40"/>
    </row>
    <row r="2726" spans="1:6" ht="12.75" x14ac:dyDescent="0.2">
      <c r="A2726" s="40"/>
      <c r="B2726" s="41" t="s">
        <v>400</v>
      </c>
      <c r="C2726" s="41" t="s">
        <v>1957</v>
      </c>
      <c r="D2726" s="40"/>
      <c r="E2726" s="40"/>
      <c r="F2726" s="40"/>
    </row>
    <row r="2727" spans="1:6" ht="12.75" x14ac:dyDescent="0.2">
      <c r="A2727" s="40"/>
      <c r="B2727" s="41" t="s">
        <v>401</v>
      </c>
      <c r="C2727" s="40"/>
      <c r="D2727" s="40"/>
      <c r="E2727" s="40"/>
      <c r="F2727" s="40"/>
    </row>
    <row r="2728" spans="1:6" ht="12.75" x14ac:dyDescent="0.2">
      <c r="A2728" s="41" t="s">
        <v>1958</v>
      </c>
      <c r="B2728" s="41" t="s">
        <v>402</v>
      </c>
      <c r="C2728" s="41" t="s">
        <v>1959</v>
      </c>
      <c r="D2728" s="40"/>
      <c r="E2728" s="40"/>
      <c r="F2728" s="40"/>
    </row>
    <row r="2729" spans="1:6" ht="12.75" x14ac:dyDescent="0.2">
      <c r="A2729" s="41" t="s">
        <v>1960</v>
      </c>
      <c r="B2729" s="40"/>
      <c r="C2729" s="40"/>
      <c r="D2729" s="40"/>
      <c r="E2729" s="40"/>
      <c r="F2729" s="40"/>
    </row>
    <row r="2730" spans="1:6" ht="12.75" x14ac:dyDescent="0.2">
      <c r="A2730" s="41" t="s">
        <v>1961</v>
      </c>
      <c r="B2730" s="40"/>
      <c r="C2730" s="40"/>
      <c r="D2730" s="40"/>
      <c r="E2730" s="40"/>
      <c r="F2730" s="40"/>
    </row>
    <row r="2731" spans="1:6" ht="12.75" x14ac:dyDescent="0.2">
      <c r="A2731" s="41" t="s">
        <v>1962</v>
      </c>
      <c r="B2731" s="40"/>
      <c r="C2731" s="40"/>
      <c r="D2731" s="40"/>
      <c r="E2731" s="40"/>
      <c r="F2731" s="40"/>
    </row>
    <row r="2732" spans="1:6" ht="12.75" x14ac:dyDescent="0.2">
      <c r="A2732" s="41" t="s">
        <v>1963</v>
      </c>
      <c r="B2732" s="40"/>
      <c r="C2732" s="40"/>
      <c r="D2732" s="40"/>
      <c r="E2732" s="40"/>
      <c r="F2732" s="40"/>
    </row>
    <row r="2733" spans="1:6" ht="12.75" x14ac:dyDescent="0.2">
      <c r="A2733" s="40"/>
      <c r="B2733" s="40"/>
      <c r="C2733" s="40"/>
      <c r="D2733" s="40"/>
      <c r="E2733" s="40"/>
      <c r="F2733" s="40"/>
    </row>
    <row r="2734" spans="1:6" ht="12.75" x14ac:dyDescent="0.2">
      <c r="A2734" s="41" t="s">
        <v>1964</v>
      </c>
      <c r="B2734" s="40"/>
      <c r="C2734" s="40"/>
      <c r="D2734" s="40"/>
      <c r="E2734" s="40"/>
      <c r="F2734" s="40"/>
    </row>
    <row r="2735" spans="1:6" ht="12.75" x14ac:dyDescent="0.2">
      <c r="A2735" s="40"/>
      <c r="B2735" s="41" t="s">
        <v>398</v>
      </c>
      <c r="C2735" s="40"/>
      <c r="D2735" s="40"/>
      <c r="E2735" s="40"/>
      <c r="F2735" s="40"/>
    </row>
    <row r="2736" spans="1:6" ht="12.75" x14ac:dyDescent="0.2">
      <c r="A2736" s="40"/>
      <c r="B2736" s="41" t="s">
        <v>399</v>
      </c>
      <c r="C2736" s="40"/>
      <c r="D2736" s="40"/>
      <c r="E2736" s="40"/>
      <c r="F2736" s="40"/>
    </row>
    <row r="2737" spans="1:6" ht="12.75" x14ac:dyDescent="0.2">
      <c r="A2737" s="40"/>
      <c r="B2737" s="41" t="s">
        <v>400</v>
      </c>
      <c r="C2737" s="41" t="s">
        <v>1964</v>
      </c>
      <c r="D2737" s="40"/>
      <c r="E2737" s="40"/>
      <c r="F2737" s="40"/>
    </row>
    <row r="2738" spans="1:6" ht="12.75" x14ac:dyDescent="0.2">
      <c r="A2738" s="40"/>
      <c r="B2738" s="41" t="s">
        <v>401</v>
      </c>
      <c r="C2738" s="40"/>
      <c r="D2738" s="40"/>
      <c r="E2738" s="40"/>
      <c r="F2738" s="40"/>
    </row>
    <row r="2739" spans="1:6" ht="12.75" x14ac:dyDescent="0.2">
      <c r="A2739" s="41" t="s">
        <v>1965</v>
      </c>
      <c r="B2739" s="41" t="s">
        <v>402</v>
      </c>
      <c r="C2739" s="41" t="s">
        <v>1966</v>
      </c>
      <c r="D2739" s="40"/>
      <c r="E2739" s="40"/>
      <c r="F2739" s="40"/>
    </row>
    <row r="2740" spans="1:6" ht="12.75" x14ac:dyDescent="0.2">
      <c r="A2740" s="41" t="s">
        <v>1967</v>
      </c>
      <c r="B2740" s="40"/>
      <c r="C2740" s="40"/>
      <c r="D2740" s="40"/>
      <c r="E2740" s="40"/>
      <c r="F2740" s="40"/>
    </row>
    <row r="2741" spans="1:6" ht="12.75" x14ac:dyDescent="0.2">
      <c r="A2741" s="41" t="s">
        <v>1968</v>
      </c>
      <c r="B2741" s="40"/>
      <c r="C2741" s="40"/>
      <c r="D2741" s="40"/>
      <c r="E2741" s="40"/>
      <c r="F2741" s="40"/>
    </row>
    <row r="2742" spans="1:6" ht="12.75" x14ac:dyDescent="0.2">
      <c r="A2742" s="41" t="s">
        <v>1970</v>
      </c>
      <c r="B2742" s="40"/>
      <c r="C2742" s="40"/>
      <c r="D2742" s="40"/>
      <c r="E2742" s="40"/>
      <c r="F2742" s="40"/>
    </row>
    <row r="2743" spans="1:6" ht="12.75" x14ac:dyDescent="0.2">
      <c r="A2743" s="41" t="s">
        <v>1972</v>
      </c>
      <c r="B2743" s="40"/>
      <c r="C2743" s="40"/>
      <c r="D2743" s="40"/>
      <c r="E2743" s="40"/>
      <c r="F2743" s="40"/>
    </row>
    <row r="2744" spans="1:6" ht="12.75" x14ac:dyDescent="0.2">
      <c r="A2744" s="41" t="s">
        <v>1973</v>
      </c>
      <c r="B2744" s="40"/>
      <c r="C2744" s="40"/>
      <c r="D2744" s="40"/>
      <c r="E2744" s="40"/>
      <c r="F2744" s="40"/>
    </row>
    <row r="2745" spans="1:6" ht="12.75" x14ac:dyDescent="0.2">
      <c r="A2745" s="40"/>
      <c r="B2745" s="41" t="s">
        <v>2275</v>
      </c>
      <c r="C2745" s="41" t="s">
        <v>2276</v>
      </c>
      <c r="D2745" s="41" t="s">
        <v>2277</v>
      </c>
      <c r="E2745" s="40"/>
      <c r="F2745" s="40"/>
    </row>
    <row r="2746" spans="1:6" ht="12.75" x14ac:dyDescent="0.2">
      <c r="A2746" s="40"/>
      <c r="B2746" s="40"/>
      <c r="C2746" s="40"/>
      <c r="D2746" s="40"/>
      <c r="E2746" s="40"/>
      <c r="F2746" s="40"/>
    </row>
    <row r="2747" spans="1:6" ht="12.75" x14ac:dyDescent="0.2">
      <c r="A2747" s="41" t="s">
        <v>1974</v>
      </c>
      <c r="B2747" s="40"/>
      <c r="C2747" s="40"/>
      <c r="D2747" s="40"/>
      <c r="E2747" s="40"/>
      <c r="F2747" s="40"/>
    </row>
    <row r="2748" spans="1:6" ht="12.75" x14ac:dyDescent="0.2">
      <c r="A2748" s="40"/>
      <c r="B2748" s="41" t="s">
        <v>398</v>
      </c>
      <c r="C2748" s="40"/>
      <c r="D2748" s="40"/>
      <c r="E2748" s="40"/>
      <c r="F2748" s="40"/>
    </row>
    <row r="2749" spans="1:6" ht="12.75" x14ac:dyDescent="0.2">
      <c r="A2749" s="40"/>
      <c r="B2749" s="41" t="s">
        <v>399</v>
      </c>
      <c r="C2749" s="40"/>
      <c r="D2749" s="40"/>
      <c r="E2749" s="40"/>
      <c r="F2749" s="40"/>
    </row>
    <row r="2750" spans="1:6" ht="12.75" x14ac:dyDescent="0.2">
      <c r="A2750" s="40"/>
      <c r="B2750" s="41" t="s">
        <v>400</v>
      </c>
      <c r="C2750" s="41" t="s">
        <v>1974</v>
      </c>
      <c r="D2750" s="40"/>
      <c r="E2750" s="40"/>
      <c r="F2750" s="40"/>
    </row>
    <row r="2751" spans="1:6" ht="12.75" x14ac:dyDescent="0.2">
      <c r="A2751" s="40"/>
      <c r="B2751" s="41" t="s">
        <v>401</v>
      </c>
      <c r="C2751" s="40"/>
      <c r="D2751" s="40"/>
      <c r="E2751" s="40"/>
      <c r="F2751" s="40"/>
    </row>
    <row r="2752" spans="1:6" ht="12.75" x14ac:dyDescent="0.2">
      <c r="A2752" s="41" t="s">
        <v>1975</v>
      </c>
      <c r="B2752" s="41" t="s">
        <v>402</v>
      </c>
      <c r="C2752" s="41" t="s">
        <v>1976</v>
      </c>
      <c r="D2752" s="40"/>
      <c r="E2752" s="40"/>
      <c r="F2752" s="40"/>
    </row>
    <row r="2753" spans="1:6" ht="12.75" x14ac:dyDescent="0.2">
      <c r="A2753" s="41" t="s">
        <v>1977</v>
      </c>
      <c r="B2753" s="40"/>
      <c r="C2753" s="40"/>
      <c r="D2753" s="40"/>
      <c r="E2753" s="40"/>
      <c r="F2753" s="40"/>
    </row>
    <row r="2754" spans="1:6" ht="12.75" x14ac:dyDescent="0.2">
      <c r="A2754" s="41" t="s">
        <v>1978</v>
      </c>
      <c r="B2754" s="40"/>
      <c r="C2754" s="40"/>
      <c r="D2754" s="40"/>
      <c r="E2754" s="40"/>
      <c r="F2754" s="40"/>
    </row>
    <row r="2755" spans="1:6" ht="12.75" x14ac:dyDescent="0.2">
      <c r="A2755" s="41" t="s">
        <v>1979</v>
      </c>
      <c r="B2755" s="40"/>
      <c r="C2755" s="40"/>
      <c r="D2755" s="40"/>
      <c r="E2755" s="40"/>
      <c r="F2755" s="40"/>
    </row>
    <row r="2756" spans="1:6" ht="12.75" x14ac:dyDescent="0.2">
      <c r="A2756" s="41" t="s">
        <v>1980</v>
      </c>
      <c r="B2756" s="40"/>
      <c r="C2756" s="40"/>
      <c r="D2756" s="40"/>
      <c r="E2756" s="40"/>
      <c r="F2756" s="40"/>
    </row>
    <row r="2757" spans="1:6" ht="12.75" x14ac:dyDescent="0.2">
      <c r="A2757" s="40"/>
      <c r="B2757" s="41" t="s">
        <v>403</v>
      </c>
      <c r="C2757" s="41" t="s">
        <v>25</v>
      </c>
      <c r="D2757" s="41" t="s">
        <v>27</v>
      </c>
      <c r="E2757" s="40"/>
      <c r="F2757" s="40"/>
    </row>
    <row r="2758" spans="1:6" ht="12.75" x14ac:dyDescent="0.2">
      <c r="A2758" s="40"/>
      <c r="B2758" s="41" t="s">
        <v>403</v>
      </c>
      <c r="C2758" s="41" t="s">
        <v>30</v>
      </c>
      <c r="D2758" s="41" t="s">
        <v>31</v>
      </c>
      <c r="E2758" s="40"/>
      <c r="F2758" s="40"/>
    </row>
    <row r="2759" spans="1:6" ht="12.75" x14ac:dyDescent="0.2">
      <c r="A2759" s="40"/>
      <c r="B2759" s="41" t="s">
        <v>403</v>
      </c>
      <c r="C2759" s="41" t="s">
        <v>16</v>
      </c>
      <c r="D2759" s="41" t="s">
        <v>10</v>
      </c>
      <c r="E2759" s="40"/>
      <c r="F2759" s="40"/>
    </row>
    <row r="2760" spans="1:6" ht="12.75" x14ac:dyDescent="0.2">
      <c r="A2760" s="40"/>
      <c r="B2760" s="40"/>
      <c r="C2760" s="40"/>
      <c r="D2760" s="40"/>
      <c r="E2760" s="40"/>
      <c r="F2760" s="40"/>
    </row>
    <row r="2761" spans="1:6" ht="12.75" x14ac:dyDescent="0.2">
      <c r="A2761" s="41" t="s">
        <v>1981</v>
      </c>
      <c r="B2761" s="40"/>
      <c r="C2761" s="40"/>
      <c r="D2761" s="40"/>
      <c r="E2761" s="40"/>
      <c r="F2761" s="40"/>
    </row>
    <row r="2762" spans="1:6" ht="12.75" x14ac:dyDescent="0.2">
      <c r="A2762" s="40"/>
      <c r="B2762" s="41" t="s">
        <v>398</v>
      </c>
      <c r="C2762" s="40"/>
      <c r="D2762" s="40"/>
      <c r="E2762" s="40"/>
      <c r="F2762" s="40"/>
    </row>
    <row r="2763" spans="1:6" ht="12.75" x14ac:dyDescent="0.2">
      <c r="A2763" s="40"/>
      <c r="B2763" s="41" t="s">
        <v>399</v>
      </c>
      <c r="C2763" s="40"/>
      <c r="D2763" s="40"/>
      <c r="E2763" s="40"/>
      <c r="F2763" s="40"/>
    </row>
    <row r="2764" spans="1:6" ht="12.75" x14ac:dyDescent="0.2">
      <c r="A2764" s="40"/>
      <c r="B2764" s="41" t="s">
        <v>400</v>
      </c>
      <c r="C2764" s="41" t="s">
        <v>1981</v>
      </c>
      <c r="D2764" s="40"/>
      <c r="E2764" s="40"/>
      <c r="F2764" s="40"/>
    </row>
    <row r="2765" spans="1:6" ht="12.75" x14ac:dyDescent="0.2">
      <c r="A2765" s="40"/>
      <c r="B2765" s="41" t="s">
        <v>401</v>
      </c>
      <c r="C2765" s="40"/>
      <c r="D2765" s="40"/>
      <c r="E2765" s="40"/>
      <c r="F2765" s="40"/>
    </row>
    <row r="2766" spans="1:6" ht="12.75" x14ac:dyDescent="0.2">
      <c r="A2766" s="41" t="s">
        <v>1982</v>
      </c>
      <c r="B2766" s="41" t="s">
        <v>402</v>
      </c>
      <c r="C2766" s="41" t="s">
        <v>1983</v>
      </c>
      <c r="D2766" s="40"/>
      <c r="E2766" s="40"/>
      <c r="F2766" s="40"/>
    </row>
    <row r="2767" spans="1:6" ht="12.75" x14ac:dyDescent="0.2">
      <c r="A2767" s="41" t="s">
        <v>1984</v>
      </c>
      <c r="B2767" s="40"/>
      <c r="C2767" s="40"/>
      <c r="D2767" s="40"/>
      <c r="E2767" s="40"/>
      <c r="F2767" s="40"/>
    </row>
    <row r="2768" spans="1:6" ht="12.75" x14ac:dyDescent="0.2">
      <c r="A2768" s="41" t="s">
        <v>1985</v>
      </c>
      <c r="B2768" s="40"/>
      <c r="C2768" s="40"/>
      <c r="D2768" s="40"/>
      <c r="E2768" s="40"/>
      <c r="F2768" s="40"/>
    </row>
    <row r="2769" spans="1:6" ht="12.75" x14ac:dyDescent="0.2">
      <c r="A2769" s="41" t="s">
        <v>1986</v>
      </c>
      <c r="B2769" s="40"/>
      <c r="C2769" s="40"/>
      <c r="D2769" s="40"/>
      <c r="E2769" s="40"/>
      <c r="F2769" s="40"/>
    </row>
    <row r="2770" spans="1:6" ht="12.75" x14ac:dyDescent="0.2">
      <c r="A2770" s="41" t="s">
        <v>1987</v>
      </c>
      <c r="B2770" s="40"/>
      <c r="C2770" s="40"/>
      <c r="D2770" s="40"/>
      <c r="E2770" s="40"/>
      <c r="F2770" s="40"/>
    </row>
    <row r="2771" spans="1:6" ht="12.75" x14ac:dyDescent="0.2">
      <c r="A2771" s="41" t="s">
        <v>1988</v>
      </c>
      <c r="B2771" s="40"/>
      <c r="C2771" s="40"/>
      <c r="D2771" s="40"/>
      <c r="E2771" s="40"/>
      <c r="F2771" s="40"/>
    </row>
    <row r="2772" spans="1:6" ht="12.75" x14ac:dyDescent="0.2">
      <c r="A2772" s="41" t="s">
        <v>1989</v>
      </c>
      <c r="B2772" s="40"/>
      <c r="C2772" s="40"/>
      <c r="D2772" s="40"/>
      <c r="E2772" s="40"/>
      <c r="F2772" s="40"/>
    </row>
    <row r="2773" spans="1:6" ht="12.75" x14ac:dyDescent="0.2">
      <c r="A2773" s="41" t="s">
        <v>1990</v>
      </c>
      <c r="B2773" s="40"/>
      <c r="C2773" s="40"/>
      <c r="D2773" s="40"/>
      <c r="E2773" s="40"/>
      <c r="F2773" s="40"/>
    </row>
    <row r="2774" spans="1:6" ht="12.75" x14ac:dyDescent="0.2">
      <c r="A2774" s="41" t="s">
        <v>1991</v>
      </c>
      <c r="B2774" s="40"/>
      <c r="C2774" s="40"/>
      <c r="D2774" s="40"/>
      <c r="E2774" s="40"/>
      <c r="F2774" s="40"/>
    </row>
    <row r="2775" spans="1:6" ht="12.75" x14ac:dyDescent="0.2">
      <c r="A2775" s="41" t="s">
        <v>1992</v>
      </c>
      <c r="B2775" s="40"/>
      <c r="C2775" s="40"/>
      <c r="D2775" s="40"/>
      <c r="E2775" s="40"/>
      <c r="F2775" s="40"/>
    </row>
    <row r="2776" spans="1:6" ht="12.75" x14ac:dyDescent="0.2">
      <c r="A2776" s="40"/>
      <c r="B2776" s="41" t="s">
        <v>2275</v>
      </c>
      <c r="C2776" s="41" t="s">
        <v>2276</v>
      </c>
      <c r="D2776" s="41" t="s">
        <v>2278</v>
      </c>
      <c r="E2776" s="40"/>
      <c r="F2776" s="40"/>
    </row>
    <row r="2777" spans="1:6" ht="12.75" x14ac:dyDescent="0.2">
      <c r="A2777" s="40"/>
      <c r="B2777" s="40"/>
      <c r="C2777" s="40"/>
      <c r="D2777" s="40"/>
      <c r="E2777" s="40"/>
      <c r="F2777" s="40"/>
    </row>
    <row r="2778" spans="1:6" ht="12.75" x14ac:dyDescent="0.2">
      <c r="A2778" s="41" t="s">
        <v>1993</v>
      </c>
      <c r="B2778" s="40"/>
      <c r="C2778" s="40"/>
      <c r="D2778" s="40"/>
      <c r="E2778" s="40"/>
      <c r="F2778" s="40"/>
    </row>
    <row r="2779" spans="1:6" ht="12.75" x14ac:dyDescent="0.2">
      <c r="A2779" s="40"/>
      <c r="B2779" s="41" t="s">
        <v>398</v>
      </c>
      <c r="C2779" s="40"/>
      <c r="D2779" s="40"/>
      <c r="E2779" s="40"/>
      <c r="F2779" s="40"/>
    </row>
    <row r="2780" spans="1:6" ht="12.75" x14ac:dyDescent="0.2">
      <c r="A2780" s="40"/>
      <c r="B2780" s="41" t="s">
        <v>399</v>
      </c>
      <c r="C2780" s="40"/>
      <c r="D2780" s="40"/>
      <c r="E2780" s="40"/>
      <c r="F2780" s="40"/>
    </row>
    <row r="2781" spans="1:6" ht="12.75" x14ac:dyDescent="0.2">
      <c r="A2781" s="40"/>
      <c r="B2781" s="41" t="s">
        <v>400</v>
      </c>
      <c r="C2781" s="41" t="s">
        <v>1993</v>
      </c>
      <c r="D2781" s="40"/>
      <c r="E2781" s="40"/>
      <c r="F2781" s="40"/>
    </row>
    <row r="2782" spans="1:6" ht="12.75" x14ac:dyDescent="0.2">
      <c r="A2782" s="40"/>
      <c r="B2782" s="41" t="s">
        <v>401</v>
      </c>
      <c r="C2782" s="40"/>
      <c r="D2782" s="40"/>
      <c r="E2782" s="40"/>
      <c r="F2782" s="40"/>
    </row>
    <row r="2783" spans="1:6" ht="12.75" x14ac:dyDescent="0.2">
      <c r="A2783" s="41" t="s">
        <v>1994</v>
      </c>
      <c r="B2783" s="41" t="s">
        <v>402</v>
      </c>
      <c r="C2783" s="41" t="s">
        <v>1995</v>
      </c>
      <c r="D2783" s="40"/>
      <c r="E2783" s="40"/>
      <c r="F2783" s="40"/>
    </row>
    <row r="2784" spans="1:6" ht="12.75" x14ac:dyDescent="0.2">
      <c r="A2784" s="41" t="s">
        <v>1996</v>
      </c>
      <c r="B2784" s="40"/>
      <c r="C2784" s="40"/>
      <c r="D2784" s="40"/>
      <c r="E2784" s="40"/>
      <c r="F2784" s="40"/>
    </row>
    <row r="2785" spans="1:6" ht="12.75" x14ac:dyDescent="0.2">
      <c r="A2785" s="41" t="s">
        <v>1997</v>
      </c>
      <c r="B2785" s="40"/>
      <c r="C2785" s="40"/>
      <c r="D2785" s="40"/>
      <c r="E2785" s="40"/>
      <c r="F2785" s="40"/>
    </row>
    <row r="2786" spans="1:6" ht="12.75" x14ac:dyDescent="0.2">
      <c r="A2786" s="41" t="s">
        <v>1998</v>
      </c>
      <c r="B2786" s="40"/>
      <c r="C2786" s="40"/>
      <c r="D2786" s="40"/>
      <c r="E2786" s="40"/>
      <c r="F2786" s="40"/>
    </row>
    <row r="2787" spans="1:6" ht="12.75" x14ac:dyDescent="0.2">
      <c r="A2787" s="41" t="s">
        <v>1999</v>
      </c>
      <c r="B2787" s="40"/>
      <c r="C2787" s="40"/>
      <c r="D2787" s="40"/>
      <c r="E2787" s="40"/>
      <c r="F2787" s="40"/>
    </row>
    <row r="2788" spans="1:6" ht="12.75" x14ac:dyDescent="0.2">
      <c r="A2788" s="41" t="s">
        <v>2000</v>
      </c>
      <c r="B2788" s="40"/>
      <c r="C2788" s="40"/>
      <c r="D2788" s="40"/>
      <c r="E2788" s="40"/>
      <c r="F2788" s="40"/>
    </row>
    <row r="2789" spans="1:6" ht="12.75" x14ac:dyDescent="0.2">
      <c r="A2789" s="41" t="s">
        <v>2001</v>
      </c>
      <c r="B2789" s="40"/>
      <c r="C2789" s="40"/>
      <c r="D2789" s="40"/>
      <c r="E2789" s="40"/>
      <c r="F2789" s="40"/>
    </row>
    <row r="2790" spans="1:6" ht="12.75" x14ac:dyDescent="0.2">
      <c r="A2790" s="41" t="s">
        <v>2002</v>
      </c>
      <c r="B2790" s="40"/>
      <c r="C2790" s="40"/>
      <c r="D2790" s="40"/>
      <c r="E2790" s="40"/>
      <c r="F2790" s="40"/>
    </row>
    <row r="2791" spans="1:6" ht="12.75" x14ac:dyDescent="0.2">
      <c r="A2791" s="41" t="s">
        <v>2003</v>
      </c>
      <c r="B2791" s="40"/>
      <c r="C2791" s="40"/>
      <c r="D2791" s="40"/>
      <c r="E2791" s="40"/>
      <c r="F2791" s="40"/>
    </row>
    <row r="2792" spans="1:6" ht="12.75" x14ac:dyDescent="0.2">
      <c r="A2792" s="41" t="s">
        <v>2004</v>
      </c>
      <c r="B2792" s="40"/>
      <c r="C2792" s="40"/>
      <c r="D2792" s="40"/>
      <c r="E2792" s="40"/>
      <c r="F2792" s="40"/>
    </row>
    <row r="2793" spans="1:6" ht="12.75" x14ac:dyDescent="0.2">
      <c r="A2793" s="40"/>
      <c r="B2793" s="41" t="s">
        <v>2275</v>
      </c>
      <c r="C2793" s="41" t="s">
        <v>2276</v>
      </c>
      <c r="D2793" s="41" t="s">
        <v>2279</v>
      </c>
      <c r="E2793" s="40"/>
      <c r="F2793" s="40"/>
    </row>
    <row r="2794" spans="1:6" ht="12.75" x14ac:dyDescent="0.2">
      <c r="A2794" s="40"/>
      <c r="B2794" s="40"/>
      <c r="C2794" s="40"/>
      <c r="D2794" s="40"/>
      <c r="E2794" s="40"/>
      <c r="F2794" s="40"/>
    </row>
    <row r="2795" spans="1:6" ht="12.75" x14ac:dyDescent="0.2">
      <c r="A2795" s="41" t="s">
        <v>2005</v>
      </c>
      <c r="B2795" s="40"/>
      <c r="C2795" s="40"/>
      <c r="D2795" s="40"/>
      <c r="E2795" s="40"/>
      <c r="F2795" s="40"/>
    </row>
    <row r="2796" spans="1:6" ht="12.75" x14ac:dyDescent="0.2">
      <c r="A2796" s="40"/>
      <c r="B2796" s="41" t="s">
        <v>398</v>
      </c>
      <c r="C2796" s="40"/>
      <c r="D2796" s="40"/>
      <c r="E2796" s="40"/>
      <c r="F2796" s="40"/>
    </row>
    <row r="2797" spans="1:6" ht="12.75" x14ac:dyDescent="0.2">
      <c r="A2797" s="40"/>
      <c r="B2797" s="41" t="s">
        <v>399</v>
      </c>
      <c r="C2797" s="40"/>
      <c r="D2797" s="40"/>
      <c r="E2797" s="40"/>
      <c r="F2797" s="40"/>
    </row>
    <row r="2798" spans="1:6" ht="12.75" x14ac:dyDescent="0.2">
      <c r="A2798" s="40"/>
      <c r="B2798" s="41" t="s">
        <v>400</v>
      </c>
      <c r="C2798" s="41" t="s">
        <v>2005</v>
      </c>
      <c r="D2798" s="40"/>
      <c r="E2798" s="40"/>
      <c r="F2798" s="40"/>
    </row>
    <row r="2799" spans="1:6" ht="12.75" x14ac:dyDescent="0.2">
      <c r="A2799" s="40"/>
      <c r="B2799" s="41" t="s">
        <v>401</v>
      </c>
      <c r="C2799" s="40"/>
      <c r="D2799" s="40"/>
      <c r="E2799" s="40"/>
      <c r="F2799" s="40"/>
    </row>
    <row r="2800" spans="1:6" ht="12.75" x14ac:dyDescent="0.2">
      <c r="A2800" s="41" t="s">
        <v>2006</v>
      </c>
      <c r="B2800" s="41" t="s">
        <v>402</v>
      </c>
      <c r="C2800" s="41" t="s">
        <v>2007</v>
      </c>
      <c r="D2800" s="40"/>
      <c r="E2800" s="40"/>
      <c r="F2800" s="40"/>
    </row>
    <row r="2801" spans="1:6" ht="12.75" x14ac:dyDescent="0.2">
      <c r="A2801" s="41" t="s">
        <v>2008</v>
      </c>
      <c r="B2801" s="40"/>
      <c r="C2801" s="40"/>
      <c r="D2801" s="40"/>
      <c r="E2801" s="40"/>
      <c r="F2801" s="40"/>
    </row>
    <row r="2802" spans="1:6" ht="12.75" x14ac:dyDescent="0.2">
      <c r="A2802" s="41" t="s">
        <v>2009</v>
      </c>
      <c r="B2802" s="40"/>
      <c r="C2802" s="40"/>
      <c r="D2802" s="40"/>
      <c r="E2802" s="40"/>
      <c r="F2802" s="40"/>
    </row>
    <row r="2803" spans="1:6" ht="12.75" x14ac:dyDescent="0.2">
      <c r="A2803" s="41" t="s">
        <v>2010</v>
      </c>
      <c r="B2803" s="40"/>
      <c r="C2803" s="40"/>
      <c r="D2803" s="40"/>
      <c r="E2803" s="40"/>
      <c r="F2803" s="40"/>
    </row>
    <row r="2804" spans="1:6" ht="12.75" x14ac:dyDescent="0.2">
      <c r="A2804" s="41" t="s">
        <v>2011</v>
      </c>
      <c r="B2804" s="40"/>
      <c r="C2804" s="40"/>
      <c r="D2804" s="40"/>
      <c r="E2804" s="40"/>
      <c r="F2804" s="40"/>
    </row>
    <row r="2805" spans="1:6" ht="12.75" x14ac:dyDescent="0.2">
      <c r="A2805" s="41" t="s">
        <v>2012</v>
      </c>
      <c r="B2805" s="40"/>
      <c r="C2805" s="40"/>
      <c r="D2805" s="40"/>
      <c r="E2805" s="40"/>
      <c r="F2805" s="40"/>
    </row>
    <row r="2806" spans="1:6" ht="12.75" x14ac:dyDescent="0.2">
      <c r="A2806" s="40"/>
      <c r="B2806" s="40"/>
      <c r="C2806" s="40"/>
      <c r="D2806" s="40"/>
      <c r="E2806" s="40"/>
      <c r="F2806" s="40"/>
    </row>
    <row r="2807" spans="1:6" ht="12.75" x14ac:dyDescent="0.2">
      <c r="A2807" s="41" t="s">
        <v>2013</v>
      </c>
      <c r="B2807" s="40"/>
      <c r="C2807" s="40"/>
      <c r="D2807" s="40"/>
      <c r="E2807" s="40"/>
      <c r="F2807" s="40"/>
    </row>
    <row r="2808" spans="1:6" ht="12.75" x14ac:dyDescent="0.2">
      <c r="A2808" s="40"/>
      <c r="B2808" s="41" t="s">
        <v>398</v>
      </c>
      <c r="C2808" s="40"/>
      <c r="D2808" s="40"/>
      <c r="E2808" s="40"/>
      <c r="F2808" s="40"/>
    </row>
    <row r="2809" spans="1:6" ht="12.75" x14ac:dyDescent="0.2">
      <c r="A2809" s="40"/>
      <c r="B2809" s="41" t="s">
        <v>399</v>
      </c>
      <c r="C2809" s="40"/>
      <c r="D2809" s="40"/>
      <c r="E2809" s="40"/>
      <c r="F2809" s="40"/>
    </row>
    <row r="2810" spans="1:6" ht="12.75" x14ac:dyDescent="0.2">
      <c r="A2810" s="40"/>
      <c r="B2810" s="41" t="s">
        <v>400</v>
      </c>
      <c r="C2810" s="41" t="s">
        <v>2013</v>
      </c>
      <c r="D2810" s="40"/>
      <c r="E2810" s="40"/>
      <c r="F2810" s="40"/>
    </row>
    <row r="2811" spans="1:6" ht="12.75" x14ac:dyDescent="0.2">
      <c r="A2811" s="40"/>
      <c r="B2811" s="41" t="s">
        <v>401</v>
      </c>
      <c r="C2811" s="40"/>
      <c r="D2811" s="40"/>
      <c r="E2811" s="40"/>
      <c r="F2811" s="40"/>
    </row>
    <row r="2812" spans="1:6" ht="12.75" x14ac:dyDescent="0.2">
      <c r="A2812" s="41" t="s">
        <v>2014</v>
      </c>
      <c r="B2812" s="41" t="s">
        <v>402</v>
      </c>
      <c r="C2812" s="41" t="s">
        <v>2015</v>
      </c>
      <c r="D2812" s="40"/>
      <c r="E2812" s="40"/>
      <c r="F2812" s="40"/>
    </row>
    <row r="2813" spans="1:6" ht="12.75" x14ac:dyDescent="0.2">
      <c r="A2813" s="41" t="s">
        <v>2016</v>
      </c>
      <c r="B2813" s="40"/>
      <c r="C2813" s="40"/>
      <c r="D2813" s="40"/>
      <c r="E2813" s="40"/>
      <c r="F2813" s="40"/>
    </row>
    <row r="2814" spans="1:6" ht="12.75" x14ac:dyDescent="0.2">
      <c r="A2814" s="41" t="s">
        <v>2017</v>
      </c>
      <c r="B2814" s="40"/>
      <c r="C2814" s="40"/>
      <c r="D2814" s="40"/>
      <c r="E2814" s="40"/>
      <c r="F2814" s="40"/>
    </row>
    <row r="2815" spans="1:6" ht="12.75" x14ac:dyDescent="0.2">
      <c r="A2815" s="41" t="s">
        <v>2018</v>
      </c>
      <c r="B2815" s="40"/>
      <c r="C2815" s="40"/>
      <c r="D2815" s="40"/>
      <c r="E2815" s="40"/>
      <c r="F2815" s="40"/>
    </row>
    <row r="2816" spans="1:6" ht="12.75" x14ac:dyDescent="0.2">
      <c r="A2816" s="41" t="s">
        <v>2019</v>
      </c>
      <c r="B2816" s="40"/>
      <c r="C2816" s="40"/>
      <c r="D2816" s="40"/>
      <c r="E2816" s="40"/>
      <c r="F2816" s="40"/>
    </row>
    <row r="2817" spans="1:6" ht="12.75" x14ac:dyDescent="0.2">
      <c r="A2817" s="40"/>
      <c r="B2817" s="41" t="s">
        <v>403</v>
      </c>
      <c r="C2817" s="41" t="s">
        <v>16</v>
      </c>
      <c r="D2817" s="41" t="s">
        <v>10</v>
      </c>
      <c r="E2817" s="40"/>
      <c r="F2817" s="40"/>
    </row>
    <row r="2818" spans="1:6" ht="12.75" x14ac:dyDescent="0.2">
      <c r="A2818" s="40"/>
      <c r="B2818" s="40"/>
      <c r="C2818" s="40"/>
      <c r="D2818" s="40"/>
      <c r="E2818" s="40"/>
      <c r="F2818" s="40"/>
    </row>
    <row r="2819" spans="1:6" ht="12.75" x14ac:dyDescent="0.2">
      <c r="A2819" s="41" t="s">
        <v>2020</v>
      </c>
      <c r="B2819" s="40"/>
      <c r="C2819" s="40"/>
      <c r="D2819" s="40"/>
      <c r="E2819" s="40"/>
      <c r="F2819" s="40"/>
    </row>
    <row r="2820" spans="1:6" ht="12.75" x14ac:dyDescent="0.2">
      <c r="A2820" s="40"/>
      <c r="B2820" s="41" t="s">
        <v>398</v>
      </c>
      <c r="C2820" s="40"/>
      <c r="D2820" s="40"/>
      <c r="E2820" s="40"/>
      <c r="F2820" s="40"/>
    </row>
    <row r="2821" spans="1:6" ht="12.75" x14ac:dyDescent="0.2">
      <c r="A2821" s="40"/>
      <c r="B2821" s="41" t="s">
        <v>399</v>
      </c>
      <c r="C2821" s="40"/>
      <c r="D2821" s="40"/>
      <c r="E2821" s="40"/>
      <c r="F2821" s="40"/>
    </row>
    <row r="2822" spans="1:6" ht="12.75" x14ac:dyDescent="0.2">
      <c r="A2822" s="40"/>
      <c r="B2822" s="41" t="s">
        <v>400</v>
      </c>
      <c r="C2822" s="41" t="s">
        <v>2020</v>
      </c>
      <c r="D2822" s="40"/>
      <c r="E2822" s="40"/>
      <c r="F2822" s="40"/>
    </row>
    <row r="2823" spans="1:6" ht="12.75" x14ac:dyDescent="0.2">
      <c r="A2823" s="40"/>
      <c r="B2823" s="41" t="s">
        <v>401</v>
      </c>
      <c r="C2823" s="40"/>
      <c r="D2823" s="40"/>
      <c r="E2823" s="40"/>
      <c r="F2823" s="40"/>
    </row>
    <row r="2824" spans="1:6" ht="51" x14ac:dyDescent="0.2">
      <c r="A2824" s="41" t="s">
        <v>2021</v>
      </c>
      <c r="B2824" s="41" t="s">
        <v>402</v>
      </c>
      <c r="C2824" s="41" t="s">
        <v>2022</v>
      </c>
      <c r="D2824" s="40"/>
      <c r="E2824" s="40"/>
      <c r="F2824" s="40"/>
    </row>
    <row r="2825" spans="1:6" ht="12.75" x14ac:dyDescent="0.2">
      <c r="A2825" s="41" t="s">
        <v>2023</v>
      </c>
      <c r="B2825" s="40"/>
      <c r="C2825" s="40"/>
      <c r="D2825" s="40"/>
      <c r="E2825" s="40"/>
      <c r="F2825" s="40"/>
    </row>
    <row r="2826" spans="1:6" ht="12.75" x14ac:dyDescent="0.2">
      <c r="A2826" s="41" t="s">
        <v>2024</v>
      </c>
      <c r="B2826" s="40"/>
      <c r="C2826" s="40"/>
      <c r="D2826" s="40"/>
      <c r="E2826" s="40"/>
      <c r="F2826" s="40"/>
    </row>
    <row r="2827" spans="1:6" ht="12.75" x14ac:dyDescent="0.2">
      <c r="A2827" s="41" t="s">
        <v>2025</v>
      </c>
      <c r="B2827" s="40"/>
      <c r="C2827" s="40"/>
      <c r="D2827" s="40"/>
      <c r="E2827" s="40"/>
      <c r="F2827" s="40"/>
    </row>
    <row r="2828" spans="1:6" ht="12.75" x14ac:dyDescent="0.2">
      <c r="A2828" s="41" t="s">
        <v>2026</v>
      </c>
      <c r="B2828" s="40"/>
      <c r="C2828" s="40"/>
      <c r="D2828" s="40"/>
      <c r="E2828" s="40"/>
      <c r="F2828" s="40"/>
    </row>
    <row r="2829" spans="1:6" ht="12.75" x14ac:dyDescent="0.2">
      <c r="A2829" s="41" t="s">
        <v>2027</v>
      </c>
      <c r="B2829" s="40"/>
      <c r="C2829" s="40"/>
      <c r="D2829" s="40"/>
      <c r="E2829" s="40"/>
      <c r="F2829" s="40"/>
    </row>
    <row r="2830" spans="1:6" ht="12.75" x14ac:dyDescent="0.2">
      <c r="A2830" s="41" t="s">
        <v>2028</v>
      </c>
      <c r="B2830" s="40"/>
      <c r="C2830" s="40"/>
      <c r="D2830" s="40"/>
      <c r="E2830" s="40"/>
      <c r="F2830" s="40"/>
    </row>
    <row r="2831" spans="1:6" ht="12.75" x14ac:dyDescent="0.2">
      <c r="A2831" s="41" t="s">
        <v>2029</v>
      </c>
      <c r="B2831" s="40"/>
      <c r="C2831" s="40"/>
      <c r="D2831" s="40"/>
      <c r="E2831" s="40"/>
      <c r="F2831" s="40"/>
    </row>
    <row r="2832" spans="1:6" ht="12.75" x14ac:dyDescent="0.2">
      <c r="A2832" s="40"/>
      <c r="B2832" s="41" t="s">
        <v>2275</v>
      </c>
      <c r="C2832" s="41" t="s">
        <v>2276</v>
      </c>
      <c r="D2832" s="41" t="s">
        <v>2279</v>
      </c>
      <c r="E2832" s="40"/>
      <c r="F2832" s="40"/>
    </row>
    <row r="2833" spans="1:6" ht="12.75" x14ac:dyDescent="0.2">
      <c r="A2833" s="40"/>
      <c r="B2833" s="40"/>
      <c r="C2833" s="40"/>
      <c r="D2833" s="40"/>
      <c r="E2833" s="40"/>
      <c r="F2833" s="40"/>
    </row>
    <row r="2834" spans="1:6" ht="12.75" x14ac:dyDescent="0.2">
      <c r="A2834" s="41" t="s">
        <v>2030</v>
      </c>
      <c r="B2834" s="40"/>
      <c r="C2834" s="40"/>
      <c r="D2834" s="40"/>
      <c r="E2834" s="40"/>
      <c r="F2834" s="40"/>
    </row>
    <row r="2835" spans="1:6" ht="12.75" x14ac:dyDescent="0.2">
      <c r="A2835" s="40"/>
      <c r="B2835" s="41" t="s">
        <v>398</v>
      </c>
      <c r="C2835" s="40"/>
      <c r="D2835" s="40"/>
      <c r="E2835" s="40"/>
      <c r="F2835" s="40"/>
    </row>
    <row r="2836" spans="1:6" ht="12.75" x14ac:dyDescent="0.2">
      <c r="A2836" s="40"/>
      <c r="B2836" s="41" t="s">
        <v>399</v>
      </c>
      <c r="C2836" s="40"/>
      <c r="D2836" s="40"/>
      <c r="E2836" s="40"/>
      <c r="F2836" s="40"/>
    </row>
    <row r="2837" spans="1:6" ht="12.75" x14ac:dyDescent="0.2">
      <c r="A2837" s="40"/>
      <c r="B2837" s="41" t="s">
        <v>400</v>
      </c>
      <c r="C2837" s="41" t="s">
        <v>2030</v>
      </c>
      <c r="D2837" s="40"/>
      <c r="E2837" s="40"/>
      <c r="F2837" s="40"/>
    </row>
    <row r="2838" spans="1:6" ht="12.75" x14ac:dyDescent="0.2">
      <c r="A2838" s="40"/>
      <c r="B2838" s="41" t="s">
        <v>401</v>
      </c>
      <c r="C2838" s="40"/>
      <c r="D2838" s="40"/>
      <c r="E2838" s="40"/>
      <c r="F2838" s="40"/>
    </row>
    <row r="2839" spans="1:6" ht="12.75" x14ac:dyDescent="0.2">
      <c r="A2839" s="41" t="s">
        <v>2031</v>
      </c>
      <c r="B2839" s="41" t="s">
        <v>402</v>
      </c>
      <c r="C2839" s="41" t="s">
        <v>2032</v>
      </c>
      <c r="D2839" s="40"/>
      <c r="E2839" s="40"/>
      <c r="F2839" s="40"/>
    </row>
    <row r="2840" spans="1:6" ht="12.75" x14ac:dyDescent="0.2">
      <c r="A2840" s="41" t="s">
        <v>2033</v>
      </c>
      <c r="B2840" s="40"/>
      <c r="C2840" s="40"/>
      <c r="D2840" s="40"/>
      <c r="E2840" s="40"/>
      <c r="F2840" s="40"/>
    </row>
    <row r="2841" spans="1:6" ht="12.75" x14ac:dyDescent="0.2">
      <c r="A2841" s="40"/>
      <c r="B2841" s="40"/>
      <c r="C2841" s="40"/>
      <c r="D2841" s="40"/>
      <c r="E2841" s="40"/>
      <c r="F2841" s="40"/>
    </row>
    <row r="2842" spans="1:6" ht="12.75" x14ac:dyDescent="0.2">
      <c r="A2842" s="41" t="s">
        <v>2034</v>
      </c>
      <c r="B2842" s="40"/>
      <c r="C2842" s="40"/>
      <c r="D2842" s="40"/>
      <c r="E2842" s="40"/>
      <c r="F2842" s="40"/>
    </row>
    <row r="2843" spans="1:6" ht="12.75" x14ac:dyDescent="0.2">
      <c r="A2843" s="40"/>
      <c r="B2843" s="41" t="s">
        <v>398</v>
      </c>
      <c r="C2843" s="40"/>
      <c r="D2843" s="40"/>
      <c r="E2843" s="40"/>
      <c r="F2843" s="40"/>
    </row>
    <row r="2844" spans="1:6" ht="12.75" x14ac:dyDescent="0.2">
      <c r="A2844" s="40"/>
      <c r="B2844" s="41" t="s">
        <v>399</v>
      </c>
      <c r="C2844" s="40"/>
      <c r="D2844" s="40"/>
      <c r="E2844" s="40"/>
      <c r="F2844" s="40"/>
    </row>
    <row r="2845" spans="1:6" ht="12.75" x14ac:dyDescent="0.2">
      <c r="A2845" s="40"/>
      <c r="B2845" s="41" t="s">
        <v>400</v>
      </c>
      <c r="C2845" s="41" t="s">
        <v>2034</v>
      </c>
      <c r="D2845" s="40"/>
      <c r="E2845" s="40"/>
      <c r="F2845" s="40"/>
    </row>
    <row r="2846" spans="1:6" ht="12.75" x14ac:dyDescent="0.2">
      <c r="A2846" s="40"/>
      <c r="B2846" s="41" t="s">
        <v>401</v>
      </c>
      <c r="C2846" s="40"/>
      <c r="D2846" s="40"/>
      <c r="E2846" s="40"/>
      <c r="F2846" s="40"/>
    </row>
    <row r="2847" spans="1:6" ht="38.25" x14ac:dyDescent="0.2">
      <c r="A2847" s="41" t="s">
        <v>2035</v>
      </c>
      <c r="B2847" s="41" t="s">
        <v>402</v>
      </c>
      <c r="C2847" s="41" t="s">
        <v>2036</v>
      </c>
      <c r="D2847" s="40"/>
      <c r="E2847" s="40"/>
      <c r="F2847" s="40"/>
    </row>
    <row r="2848" spans="1:6" ht="12.75" x14ac:dyDescent="0.2">
      <c r="A2848" s="41" t="s">
        <v>2037</v>
      </c>
      <c r="B2848" s="40"/>
      <c r="C2848" s="40"/>
      <c r="D2848" s="40"/>
      <c r="E2848" s="40"/>
      <c r="F2848" s="40"/>
    </row>
    <row r="2849" spans="1:6" ht="12.75" x14ac:dyDescent="0.2">
      <c r="A2849" s="41" t="s">
        <v>2038</v>
      </c>
      <c r="B2849" s="40"/>
      <c r="C2849" s="40"/>
      <c r="D2849" s="40"/>
      <c r="E2849" s="40"/>
      <c r="F2849" s="40"/>
    </row>
    <row r="2850" spans="1:6" ht="12.75" x14ac:dyDescent="0.2">
      <c r="A2850" s="41" t="s">
        <v>2039</v>
      </c>
      <c r="B2850" s="40"/>
      <c r="C2850" s="40"/>
      <c r="D2850" s="40"/>
      <c r="E2850" s="40"/>
      <c r="F2850" s="40"/>
    </row>
    <row r="2851" spans="1:6" ht="12.75" x14ac:dyDescent="0.2">
      <c r="A2851" s="41" t="s">
        <v>2040</v>
      </c>
      <c r="B2851" s="40"/>
      <c r="C2851" s="40"/>
      <c r="D2851" s="40"/>
      <c r="E2851" s="40"/>
      <c r="F2851" s="40"/>
    </row>
    <row r="2852" spans="1:6" ht="12.75" x14ac:dyDescent="0.2">
      <c r="A2852" s="41" t="s">
        <v>2041</v>
      </c>
      <c r="B2852" s="40"/>
      <c r="C2852" s="40"/>
      <c r="D2852" s="40"/>
      <c r="E2852" s="40"/>
      <c r="F2852" s="40"/>
    </row>
    <row r="2853" spans="1:6" ht="12.75" x14ac:dyDescent="0.2">
      <c r="A2853" s="41" t="s">
        <v>2042</v>
      </c>
      <c r="B2853" s="40"/>
      <c r="C2853" s="40"/>
      <c r="D2853" s="40"/>
      <c r="E2853" s="40"/>
      <c r="F2853" s="40"/>
    </row>
    <row r="2854" spans="1:6" ht="12.75" x14ac:dyDescent="0.2">
      <c r="A2854" s="41" t="s">
        <v>2043</v>
      </c>
      <c r="B2854" s="40"/>
      <c r="C2854" s="40"/>
      <c r="D2854" s="40"/>
      <c r="E2854" s="40"/>
      <c r="F2854" s="40"/>
    </row>
    <row r="2855" spans="1:6" ht="12.75" x14ac:dyDescent="0.2">
      <c r="A2855" s="41" t="s">
        <v>2044</v>
      </c>
      <c r="B2855" s="40"/>
      <c r="C2855" s="40"/>
      <c r="D2855" s="40"/>
      <c r="E2855" s="40"/>
      <c r="F2855" s="40"/>
    </row>
    <row r="2856" spans="1:6" ht="12.75" x14ac:dyDescent="0.2">
      <c r="A2856" s="41" t="s">
        <v>2045</v>
      </c>
      <c r="B2856" s="40"/>
      <c r="C2856" s="40"/>
      <c r="D2856" s="40"/>
      <c r="E2856" s="40"/>
      <c r="F2856" s="40"/>
    </row>
    <row r="2857" spans="1:6" ht="12.75" x14ac:dyDescent="0.2">
      <c r="A2857" s="40"/>
      <c r="B2857" s="40"/>
      <c r="C2857" s="40"/>
      <c r="D2857" s="40"/>
      <c r="E2857" s="40"/>
      <c r="F2857" s="40"/>
    </row>
    <row r="2858" spans="1:6" ht="12.75" x14ac:dyDescent="0.2">
      <c r="A2858" s="41" t="s">
        <v>2046</v>
      </c>
      <c r="B2858" s="40"/>
      <c r="C2858" s="40"/>
      <c r="D2858" s="40"/>
      <c r="E2858" s="40"/>
      <c r="F2858" s="40"/>
    </row>
    <row r="2859" spans="1:6" ht="12.75" x14ac:dyDescent="0.2">
      <c r="A2859" s="40"/>
      <c r="B2859" s="41" t="s">
        <v>398</v>
      </c>
      <c r="C2859" s="40"/>
      <c r="D2859" s="40"/>
      <c r="E2859" s="40"/>
      <c r="F2859" s="40"/>
    </row>
    <row r="2860" spans="1:6" ht="12.75" x14ac:dyDescent="0.2">
      <c r="A2860" s="40"/>
      <c r="B2860" s="41" t="s">
        <v>399</v>
      </c>
      <c r="C2860" s="40"/>
      <c r="D2860" s="40"/>
      <c r="E2860" s="40"/>
      <c r="F2860" s="40"/>
    </row>
    <row r="2861" spans="1:6" ht="12.75" x14ac:dyDescent="0.2">
      <c r="A2861" s="40"/>
      <c r="B2861" s="41" t="s">
        <v>400</v>
      </c>
      <c r="C2861" s="41" t="s">
        <v>2046</v>
      </c>
      <c r="D2861" s="40"/>
      <c r="E2861" s="40"/>
      <c r="F2861" s="40"/>
    </row>
    <row r="2862" spans="1:6" ht="12.75" x14ac:dyDescent="0.2">
      <c r="A2862" s="40"/>
      <c r="B2862" s="41" t="s">
        <v>401</v>
      </c>
      <c r="C2862" s="40"/>
      <c r="D2862" s="40"/>
      <c r="E2862" s="40"/>
      <c r="F2862" s="40"/>
    </row>
    <row r="2863" spans="1:6" ht="12.75" x14ac:dyDescent="0.2">
      <c r="A2863" s="41" t="s">
        <v>2047</v>
      </c>
      <c r="B2863" s="41" t="s">
        <v>402</v>
      </c>
      <c r="C2863" s="41" t="s">
        <v>2048</v>
      </c>
      <c r="D2863" s="40"/>
      <c r="E2863" s="40"/>
      <c r="F2863" s="40"/>
    </row>
    <row r="2864" spans="1:6" ht="12.75" x14ac:dyDescent="0.2">
      <c r="A2864" s="41" t="s">
        <v>2049</v>
      </c>
      <c r="B2864" s="40"/>
      <c r="C2864" s="40"/>
      <c r="D2864" s="40"/>
      <c r="E2864" s="40"/>
      <c r="F2864" s="40"/>
    </row>
    <row r="2865" spans="1:6" ht="12.75" x14ac:dyDescent="0.2">
      <c r="A2865" s="41" t="s">
        <v>2050</v>
      </c>
      <c r="B2865" s="40"/>
      <c r="C2865" s="40"/>
      <c r="D2865" s="40"/>
      <c r="E2865" s="40"/>
      <c r="F2865" s="40"/>
    </row>
    <row r="2866" spans="1:6" ht="12.75" x14ac:dyDescent="0.2">
      <c r="A2866" s="41" t="s">
        <v>2051</v>
      </c>
      <c r="B2866" s="40"/>
      <c r="C2866" s="40"/>
      <c r="D2866" s="40"/>
      <c r="E2866" s="40"/>
      <c r="F2866" s="40"/>
    </row>
    <row r="2867" spans="1:6" ht="12.75" x14ac:dyDescent="0.2">
      <c r="A2867" s="41" t="s">
        <v>2052</v>
      </c>
      <c r="B2867" s="40"/>
      <c r="C2867" s="40"/>
      <c r="D2867" s="40"/>
      <c r="E2867" s="40"/>
      <c r="F2867" s="40"/>
    </row>
    <row r="2868" spans="1:6" ht="12.75" x14ac:dyDescent="0.2">
      <c r="A2868" s="41" t="s">
        <v>2053</v>
      </c>
      <c r="B2868" s="40"/>
      <c r="C2868" s="40"/>
      <c r="D2868" s="40"/>
      <c r="E2868" s="40"/>
      <c r="F2868" s="40"/>
    </row>
    <row r="2869" spans="1:6" ht="12.75" x14ac:dyDescent="0.2">
      <c r="A2869" s="41" t="s">
        <v>2054</v>
      </c>
      <c r="B2869" s="40"/>
      <c r="C2869" s="40"/>
      <c r="D2869" s="40"/>
      <c r="E2869" s="40"/>
      <c r="F2869" s="40"/>
    </row>
    <row r="2870" spans="1:6" ht="12.75" x14ac:dyDescent="0.2">
      <c r="A2870" s="41" t="s">
        <v>2055</v>
      </c>
      <c r="B2870" s="40"/>
      <c r="C2870" s="40"/>
      <c r="D2870" s="40"/>
      <c r="E2870" s="40"/>
      <c r="F2870" s="40"/>
    </row>
    <row r="2871" spans="1:6" ht="12.75" x14ac:dyDescent="0.2">
      <c r="A2871" s="41" t="s">
        <v>2056</v>
      </c>
      <c r="B2871" s="40"/>
      <c r="C2871" s="40"/>
      <c r="D2871" s="40"/>
      <c r="E2871" s="40"/>
      <c r="F2871" s="40"/>
    </row>
    <row r="2872" spans="1:6" ht="12.75" x14ac:dyDescent="0.2">
      <c r="A2872" s="40"/>
      <c r="B2872" s="40"/>
      <c r="C2872" s="40"/>
      <c r="D2872" s="40"/>
      <c r="E2872" s="40"/>
      <c r="F2872" s="40"/>
    </row>
    <row r="2873" spans="1:6" ht="12.75" x14ac:dyDescent="0.2">
      <c r="A2873" s="41" t="s">
        <v>2057</v>
      </c>
      <c r="B2873" s="40"/>
      <c r="C2873" s="40"/>
      <c r="D2873" s="40"/>
      <c r="E2873" s="40"/>
      <c r="F2873" s="40"/>
    </row>
    <row r="2874" spans="1:6" ht="12.75" x14ac:dyDescent="0.2">
      <c r="A2874" s="40"/>
      <c r="B2874" s="41" t="s">
        <v>398</v>
      </c>
      <c r="C2874" s="40"/>
      <c r="D2874" s="40"/>
      <c r="E2874" s="40"/>
      <c r="F2874" s="40"/>
    </row>
    <row r="2875" spans="1:6" ht="12.75" x14ac:dyDescent="0.2">
      <c r="A2875" s="40"/>
      <c r="B2875" s="41" t="s">
        <v>399</v>
      </c>
      <c r="C2875" s="40"/>
      <c r="D2875" s="40"/>
      <c r="E2875" s="40"/>
      <c r="F2875" s="40"/>
    </row>
    <row r="2876" spans="1:6" ht="12.75" x14ac:dyDescent="0.2">
      <c r="A2876" s="40"/>
      <c r="B2876" s="41" t="s">
        <v>400</v>
      </c>
      <c r="C2876" s="41" t="s">
        <v>2057</v>
      </c>
      <c r="D2876" s="40"/>
      <c r="E2876" s="40"/>
      <c r="F2876" s="40"/>
    </row>
    <row r="2877" spans="1:6" ht="12.75" x14ac:dyDescent="0.2">
      <c r="A2877" s="40"/>
      <c r="B2877" s="41" t="s">
        <v>401</v>
      </c>
      <c r="C2877" s="40"/>
      <c r="D2877" s="40"/>
      <c r="E2877" s="40"/>
      <c r="F2877" s="40"/>
    </row>
    <row r="2878" spans="1:6" ht="12.75" x14ac:dyDescent="0.2">
      <c r="A2878" s="41" t="s">
        <v>2058</v>
      </c>
      <c r="B2878" s="41" t="s">
        <v>402</v>
      </c>
      <c r="C2878" s="41" t="s">
        <v>2059</v>
      </c>
      <c r="D2878" s="40"/>
      <c r="E2878" s="40"/>
      <c r="F2878" s="40"/>
    </row>
    <row r="2879" spans="1:6" ht="12.75" x14ac:dyDescent="0.2">
      <c r="A2879" s="41" t="s">
        <v>2060</v>
      </c>
      <c r="B2879" s="40"/>
      <c r="C2879" s="40"/>
      <c r="D2879" s="40"/>
      <c r="E2879" s="40"/>
      <c r="F2879" s="40"/>
    </row>
    <row r="2880" spans="1:6" ht="12.75" x14ac:dyDescent="0.2">
      <c r="A2880" s="40"/>
      <c r="B2880" s="40"/>
      <c r="C2880" s="40"/>
      <c r="D2880" s="40"/>
      <c r="E2880" s="40"/>
      <c r="F2880" s="40"/>
    </row>
    <row r="2881" spans="1:6" ht="12.75" x14ac:dyDescent="0.2">
      <c r="A2881" s="41" t="s">
        <v>2061</v>
      </c>
      <c r="B2881" s="40"/>
      <c r="C2881" s="40"/>
      <c r="D2881" s="40"/>
      <c r="E2881" s="40"/>
      <c r="F2881" s="40"/>
    </row>
    <row r="2882" spans="1:6" ht="12.75" x14ac:dyDescent="0.2">
      <c r="A2882" s="40"/>
      <c r="B2882" s="41" t="s">
        <v>398</v>
      </c>
      <c r="C2882" s="40"/>
      <c r="D2882" s="40"/>
      <c r="E2882" s="40"/>
      <c r="F2882" s="40"/>
    </row>
    <row r="2883" spans="1:6" ht="12.75" x14ac:dyDescent="0.2">
      <c r="A2883" s="40"/>
      <c r="B2883" s="41" t="s">
        <v>399</v>
      </c>
      <c r="C2883" s="40"/>
      <c r="D2883" s="40"/>
      <c r="E2883" s="40"/>
      <c r="F2883" s="40"/>
    </row>
    <row r="2884" spans="1:6" ht="12.75" x14ac:dyDescent="0.2">
      <c r="A2884" s="40"/>
      <c r="B2884" s="41" t="s">
        <v>400</v>
      </c>
      <c r="C2884" s="41" t="s">
        <v>2061</v>
      </c>
      <c r="D2884" s="40"/>
      <c r="E2884" s="40"/>
      <c r="F2884" s="40"/>
    </row>
    <row r="2885" spans="1:6" ht="12.75" x14ac:dyDescent="0.2">
      <c r="A2885" s="40"/>
      <c r="B2885" s="41" t="s">
        <v>401</v>
      </c>
      <c r="C2885" s="40"/>
      <c r="D2885" s="40"/>
      <c r="E2885" s="40"/>
      <c r="F2885" s="40"/>
    </row>
    <row r="2886" spans="1:6" ht="12.75" x14ac:dyDescent="0.2">
      <c r="A2886" s="41" t="s">
        <v>2062</v>
      </c>
      <c r="B2886" s="41" t="s">
        <v>402</v>
      </c>
      <c r="C2886" s="41" t="s">
        <v>2063</v>
      </c>
      <c r="D2886" s="40"/>
      <c r="E2886" s="40"/>
      <c r="F2886" s="40"/>
    </row>
    <row r="2887" spans="1:6" ht="12.75" x14ac:dyDescent="0.2">
      <c r="A2887" s="41" t="s">
        <v>2064</v>
      </c>
      <c r="B2887" s="40"/>
      <c r="C2887" s="40"/>
      <c r="D2887" s="40"/>
      <c r="E2887" s="40"/>
      <c r="F2887" s="40"/>
    </row>
    <row r="2888" spans="1:6" ht="12.75" x14ac:dyDescent="0.2">
      <c r="A2888" s="41" t="s">
        <v>2065</v>
      </c>
      <c r="B2888" s="40"/>
      <c r="C2888" s="40"/>
      <c r="D2888" s="40"/>
      <c r="E2888" s="40"/>
      <c r="F2888" s="40"/>
    </row>
    <row r="2889" spans="1:6" ht="12.75" x14ac:dyDescent="0.2">
      <c r="A2889" s="41" t="s">
        <v>2066</v>
      </c>
      <c r="B2889" s="40"/>
      <c r="C2889" s="40"/>
      <c r="D2889" s="40"/>
      <c r="E2889" s="40"/>
      <c r="F2889" s="40"/>
    </row>
    <row r="2890" spans="1:6" ht="12.75" x14ac:dyDescent="0.2">
      <c r="A2890" s="41" t="s">
        <v>2067</v>
      </c>
      <c r="B2890" s="40"/>
      <c r="C2890" s="40"/>
      <c r="D2890" s="40"/>
      <c r="E2890" s="40"/>
      <c r="F2890" s="40"/>
    </row>
    <row r="2891" spans="1:6" ht="12.75" x14ac:dyDescent="0.2">
      <c r="A2891" s="40"/>
      <c r="B2891" s="40"/>
      <c r="C2891" s="40"/>
      <c r="D2891" s="40"/>
      <c r="E2891" s="40"/>
      <c r="F2891" s="40"/>
    </row>
    <row r="2892" spans="1:6" ht="12.75" x14ac:dyDescent="0.2">
      <c r="A2892" s="41" t="s">
        <v>2068</v>
      </c>
      <c r="B2892" s="40"/>
      <c r="C2892" s="40"/>
      <c r="D2892" s="40"/>
      <c r="E2892" s="40"/>
      <c r="F2892" s="40"/>
    </row>
    <row r="2893" spans="1:6" ht="12.75" x14ac:dyDescent="0.2">
      <c r="A2893" s="40"/>
      <c r="B2893" s="41" t="s">
        <v>398</v>
      </c>
      <c r="C2893" s="40"/>
      <c r="D2893" s="40"/>
      <c r="E2893" s="40"/>
      <c r="F2893" s="40"/>
    </row>
    <row r="2894" spans="1:6" ht="12.75" x14ac:dyDescent="0.2">
      <c r="A2894" s="40"/>
      <c r="B2894" s="41" t="s">
        <v>399</v>
      </c>
      <c r="C2894" s="40"/>
      <c r="D2894" s="40"/>
      <c r="E2894" s="40"/>
      <c r="F2894" s="40"/>
    </row>
    <row r="2895" spans="1:6" ht="12.75" x14ac:dyDescent="0.2">
      <c r="A2895" s="40"/>
      <c r="B2895" s="41" t="s">
        <v>400</v>
      </c>
      <c r="C2895" s="41" t="s">
        <v>2068</v>
      </c>
      <c r="D2895" s="40"/>
      <c r="E2895" s="40"/>
      <c r="F2895" s="40"/>
    </row>
    <row r="2896" spans="1:6" ht="12.75" x14ac:dyDescent="0.2">
      <c r="A2896" s="40"/>
      <c r="B2896" s="41" t="s">
        <v>401</v>
      </c>
      <c r="C2896" s="40"/>
      <c r="D2896" s="40"/>
      <c r="E2896" s="40"/>
      <c r="F2896" s="40"/>
    </row>
    <row r="2897" spans="1:6" ht="12.75" x14ac:dyDescent="0.2">
      <c r="A2897" s="41" t="s">
        <v>2069</v>
      </c>
      <c r="B2897" s="41" t="s">
        <v>402</v>
      </c>
      <c r="C2897" s="41" t="s">
        <v>2070</v>
      </c>
      <c r="D2897" s="40"/>
      <c r="E2897" s="40"/>
      <c r="F2897" s="40"/>
    </row>
    <row r="2898" spans="1:6" ht="12.75" x14ac:dyDescent="0.2">
      <c r="A2898" s="41" t="s">
        <v>2071</v>
      </c>
      <c r="B2898" s="40"/>
      <c r="C2898" s="40"/>
      <c r="D2898" s="40"/>
      <c r="E2898" s="40"/>
      <c r="F2898" s="40"/>
    </row>
    <row r="2899" spans="1:6" ht="12.75" x14ac:dyDescent="0.2">
      <c r="A2899" s="41" t="s">
        <v>2072</v>
      </c>
      <c r="B2899" s="40"/>
      <c r="C2899" s="40"/>
      <c r="D2899" s="40"/>
      <c r="E2899" s="40"/>
      <c r="F2899" s="40"/>
    </row>
    <row r="2900" spans="1:6" ht="12.75" x14ac:dyDescent="0.2">
      <c r="A2900" s="41" t="s">
        <v>2073</v>
      </c>
      <c r="B2900" s="40"/>
      <c r="C2900" s="40"/>
      <c r="D2900" s="40"/>
      <c r="E2900" s="40"/>
      <c r="F2900" s="40"/>
    </row>
    <row r="2901" spans="1:6" ht="12.75" x14ac:dyDescent="0.2">
      <c r="A2901" s="41" t="s">
        <v>2074</v>
      </c>
      <c r="B2901" s="40"/>
      <c r="C2901" s="40"/>
      <c r="D2901" s="40"/>
      <c r="E2901" s="40"/>
      <c r="F2901" s="40"/>
    </row>
    <row r="2902" spans="1:6" ht="12.75" x14ac:dyDescent="0.2">
      <c r="A2902" s="41" t="s">
        <v>2075</v>
      </c>
      <c r="B2902" s="40"/>
      <c r="C2902" s="40"/>
      <c r="D2902" s="40"/>
      <c r="E2902" s="40"/>
      <c r="F2902" s="40"/>
    </row>
    <row r="2903" spans="1:6" ht="12.75" x14ac:dyDescent="0.2">
      <c r="A2903" s="41" t="s">
        <v>2076</v>
      </c>
      <c r="B2903" s="40"/>
      <c r="C2903" s="40"/>
      <c r="D2903" s="40"/>
      <c r="E2903" s="40"/>
      <c r="F2903" s="40"/>
    </row>
    <row r="2904" spans="1:6" ht="12.75" x14ac:dyDescent="0.2">
      <c r="A2904" s="41" t="s">
        <v>2077</v>
      </c>
      <c r="B2904" s="40"/>
      <c r="C2904" s="40"/>
      <c r="D2904" s="40"/>
      <c r="E2904" s="40"/>
      <c r="F2904" s="40"/>
    </row>
    <row r="2905" spans="1:6" ht="12.75" x14ac:dyDescent="0.2">
      <c r="A2905" s="40"/>
      <c r="B2905" s="40"/>
      <c r="C2905" s="40"/>
      <c r="D2905" s="40"/>
      <c r="E2905" s="40"/>
      <c r="F2905" s="40"/>
    </row>
    <row r="2906" spans="1:6" ht="12.75" x14ac:dyDescent="0.2">
      <c r="A2906" s="41" t="s">
        <v>2078</v>
      </c>
      <c r="B2906" s="40"/>
      <c r="C2906" s="40"/>
      <c r="D2906" s="40"/>
      <c r="E2906" s="40"/>
      <c r="F2906" s="40"/>
    </row>
    <row r="2907" spans="1:6" ht="12.75" x14ac:dyDescent="0.2">
      <c r="A2907" s="40"/>
      <c r="B2907" s="41" t="s">
        <v>398</v>
      </c>
      <c r="C2907" s="40"/>
      <c r="D2907" s="40"/>
      <c r="E2907" s="40"/>
      <c r="F2907" s="40"/>
    </row>
    <row r="2908" spans="1:6" ht="12.75" x14ac:dyDescent="0.2">
      <c r="A2908" s="40"/>
      <c r="B2908" s="41" t="s">
        <v>399</v>
      </c>
      <c r="C2908" s="40"/>
      <c r="D2908" s="40"/>
      <c r="E2908" s="40"/>
      <c r="F2908" s="40"/>
    </row>
    <row r="2909" spans="1:6" ht="12.75" x14ac:dyDescent="0.2">
      <c r="A2909" s="40"/>
      <c r="B2909" s="41" t="s">
        <v>400</v>
      </c>
      <c r="C2909" s="41" t="s">
        <v>2078</v>
      </c>
      <c r="D2909" s="40"/>
      <c r="E2909" s="40"/>
      <c r="F2909" s="40"/>
    </row>
    <row r="2910" spans="1:6" ht="12.75" x14ac:dyDescent="0.2">
      <c r="A2910" s="40"/>
      <c r="B2910" s="41" t="s">
        <v>401</v>
      </c>
      <c r="C2910" s="40"/>
      <c r="D2910" s="40"/>
      <c r="E2910" s="40"/>
      <c r="F2910" s="40"/>
    </row>
    <row r="2911" spans="1:6" ht="12.75" x14ac:dyDescent="0.2">
      <c r="A2911" s="41" t="s">
        <v>2079</v>
      </c>
      <c r="B2911" s="41" t="s">
        <v>402</v>
      </c>
      <c r="C2911" s="41" t="s">
        <v>2080</v>
      </c>
      <c r="D2911" s="40"/>
      <c r="E2911" s="40"/>
      <c r="F2911" s="40"/>
    </row>
    <row r="2912" spans="1:6" ht="12.75" x14ac:dyDescent="0.2">
      <c r="A2912" s="41" t="s">
        <v>2081</v>
      </c>
      <c r="B2912" s="40"/>
      <c r="C2912" s="40"/>
      <c r="D2912" s="40"/>
      <c r="E2912" s="40"/>
      <c r="F2912" s="40"/>
    </row>
    <row r="2913" spans="1:6" ht="12.75" x14ac:dyDescent="0.2">
      <c r="A2913" s="41" t="s">
        <v>2082</v>
      </c>
      <c r="B2913" s="40"/>
      <c r="C2913" s="40"/>
      <c r="D2913" s="40"/>
      <c r="E2913" s="40"/>
      <c r="F2913" s="40"/>
    </row>
    <row r="2914" spans="1:6" ht="12.75" x14ac:dyDescent="0.2">
      <c r="A2914" s="41" t="s">
        <v>2083</v>
      </c>
      <c r="B2914" s="40"/>
      <c r="C2914" s="40"/>
      <c r="D2914" s="40"/>
      <c r="E2914" s="40"/>
      <c r="F2914" s="40"/>
    </row>
    <row r="2915" spans="1:6" ht="12.75" x14ac:dyDescent="0.2">
      <c r="A2915" s="41" t="s">
        <v>2084</v>
      </c>
      <c r="B2915" s="40"/>
      <c r="C2915" s="40"/>
      <c r="D2915" s="40"/>
      <c r="E2915" s="40"/>
      <c r="F2915" s="40"/>
    </row>
    <row r="2916" spans="1:6" ht="12.75" x14ac:dyDescent="0.2">
      <c r="A2916" s="41" t="s">
        <v>2085</v>
      </c>
      <c r="B2916" s="40"/>
      <c r="C2916" s="40"/>
      <c r="D2916" s="40"/>
      <c r="E2916" s="40"/>
      <c r="F2916" s="40"/>
    </row>
    <row r="2917" spans="1:6" ht="12.75" x14ac:dyDescent="0.2">
      <c r="A2917" s="40"/>
      <c r="B2917" s="40"/>
      <c r="C2917" s="40"/>
      <c r="D2917" s="40"/>
      <c r="E2917" s="40"/>
      <c r="F2917" s="40"/>
    </row>
    <row r="2918" spans="1:6" ht="12.75" x14ac:dyDescent="0.2">
      <c r="A2918" s="41" t="s">
        <v>2086</v>
      </c>
      <c r="B2918" s="40"/>
      <c r="C2918" s="40"/>
      <c r="D2918" s="40"/>
      <c r="E2918" s="40"/>
      <c r="F2918" s="40"/>
    </row>
    <row r="2919" spans="1:6" ht="12.75" x14ac:dyDescent="0.2">
      <c r="A2919" s="40"/>
      <c r="B2919" s="41" t="s">
        <v>398</v>
      </c>
      <c r="C2919" s="40"/>
      <c r="D2919" s="40"/>
      <c r="E2919" s="40"/>
      <c r="F2919" s="40"/>
    </row>
    <row r="2920" spans="1:6" ht="12.75" x14ac:dyDescent="0.2">
      <c r="A2920" s="40"/>
      <c r="B2920" s="41" t="s">
        <v>399</v>
      </c>
      <c r="C2920" s="40"/>
      <c r="D2920" s="40"/>
      <c r="E2920" s="40"/>
      <c r="F2920" s="40"/>
    </row>
    <row r="2921" spans="1:6" ht="12.75" x14ac:dyDescent="0.2">
      <c r="A2921" s="40"/>
      <c r="B2921" s="41" t="s">
        <v>400</v>
      </c>
      <c r="C2921" s="41" t="s">
        <v>2086</v>
      </c>
      <c r="D2921" s="40"/>
      <c r="E2921" s="40"/>
      <c r="F2921" s="40"/>
    </row>
    <row r="2922" spans="1:6" ht="12.75" x14ac:dyDescent="0.2">
      <c r="A2922" s="40"/>
      <c r="B2922" s="41" t="s">
        <v>401</v>
      </c>
      <c r="C2922" s="40"/>
      <c r="D2922" s="40"/>
      <c r="E2922" s="40"/>
      <c r="F2922" s="40"/>
    </row>
    <row r="2923" spans="1:6" ht="12.75" x14ac:dyDescent="0.2">
      <c r="A2923" s="41" t="s">
        <v>2087</v>
      </c>
      <c r="B2923" s="41" t="s">
        <v>402</v>
      </c>
      <c r="C2923" s="41" t="s">
        <v>2088</v>
      </c>
      <c r="D2923" s="40"/>
      <c r="E2923" s="40"/>
      <c r="F2923" s="40"/>
    </row>
    <row r="2924" spans="1:6" ht="12.75" x14ac:dyDescent="0.2">
      <c r="A2924" s="41" t="s">
        <v>2089</v>
      </c>
      <c r="B2924" s="40"/>
      <c r="C2924" s="40"/>
      <c r="D2924" s="40"/>
      <c r="E2924" s="40"/>
      <c r="F2924" s="40"/>
    </row>
    <row r="2925" spans="1:6" ht="12.75" x14ac:dyDescent="0.2">
      <c r="A2925" s="41" t="s">
        <v>2090</v>
      </c>
      <c r="B2925" s="40"/>
      <c r="C2925" s="40"/>
      <c r="D2925" s="40"/>
      <c r="E2925" s="40"/>
      <c r="F2925" s="40"/>
    </row>
    <row r="2926" spans="1:6" ht="12.75" x14ac:dyDescent="0.2">
      <c r="A2926" s="41" t="s">
        <v>2091</v>
      </c>
      <c r="B2926" s="40"/>
      <c r="C2926" s="40"/>
      <c r="D2926" s="40"/>
      <c r="E2926" s="40"/>
      <c r="F2926" s="40"/>
    </row>
    <row r="2927" spans="1:6" ht="12.75" x14ac:dyDescent="0.2">
      <c r="A2927" s="41" t="s">
        <v>2092</v>
      </c>
      <c r="B2927" s="40"/>
      <c r="C2927" s="40"/>
      <c r="D2927" s="40"/>
      <c r="E2927" s="40"/>
      <c r="F2927" s="40"/>
    </row>
    <row r="2928" spans="1:6" ht="12.75" x14ac:dyDescent="0.2">
      <c r="A2928" s="40"/>
      <c r="B2928" s="41" t="s">
        <v>403</v>
      </c>
      <c r="C2928" s="41" t="s">
        <v>25</v>
      </c>
      <c r="D2928" s="41" t="s">
        <v>27</v>
      </c>
      <c r="E2928" s="40"/>
      <c r="F2928" s="40"/>
    </row>
    <row r="2929" spans="1:6" ht="12.75" x14ac:dyDescent="0.2">
      <c r="A2929" s="40"/>
      <c r="B2929" s="41" t="s">
        <v>403</v>
      </c>
      <c r="C2929" s="41" t="s">
        <v>30</v>
      </c>
      <c r="D2929" s="41" t="s">
        <v>31</v>
      </c>
      <c r="E2929" s="40"/>
      <c r="F2929" s="40"/>
    </row>
    <row r="2930" spans="1:6" ht="12.75" x14ac:dyDescent="0.2">
      <c r="A2930" s="40"/>
      <c r="B2930" s="41" t="s">
        <v>403</v>
      </c>
      <c r="C2930" s="41" t="s">
        <v>16</v>
      </c>
      <c r="D2930" s="41" t="s">
        <v>10</v>
      </c>
      <c r="E2930" s="40"/>
      <c r="F2930" s="40"/>
    </row>
    <row r="2931" spans="1:6" ht="12.75" x14ac:dyDescent="0.2">
      <c r="A2931" s="40"/>
      <c r="B2931" s="40"/>
      <c r="C2931" s="40"/>
      <c r="D2931" s="40"/>
      <c r="E2931" s="40"/>
      <c r="F2931" s="40"/>
    </row>
    <row r="2932" spans="1:6" ht="12.75" x14ac:dyDescent="0.2">
      <c r="A2932" s="41" t="s">
        <v>2093</v>
      </c>
      <c r="B2932" s="40"/>
      <c r="C2932" s="40"/>
      <c r="D2932" s="40"/>
      <c r="E2932" s="40"/>
      <c r="F2932" s="40"/>
    </row>
    <row r="2933" spans="1:6" ht="12.75" x14ac:dyDescent="0.2">
      <c r="A2933" s="40"/>
      <c r="B2933" s="41" t="s">
        <v>398</v>
      </c>
      <c r="C2933" s="40"/>
      <c r="D2933" s="40"/>
      <c r="E2933" s="40"/>
      <c r="F2933" s="40"/>
    </row>
    <row r="2934" spans="1:6" ht="12.75" x14ac:dyDescent="0.2">
      <c r="A2934" s="40"/>
      <c r="B2934" s="41" t="s">
        <v>399</v>
      </c>
      <c r="C2934" s="40"/>
      <c r="D2934" s="40"/>
      <c r="E2934" s="40"/>
      <c r="F2934" s="40"/>
    </row>
    <row r="2935" spans="1:6" ht="12.75" x14ac:dyDescent="0.2">
      <c r="A2935" s="40"/>
      <c r="B2935" s="41" t="s">
        <v>400</v>
      </c>
      <c r="C2935" s="41" t="s">
        <v>2093</v>
      </c>
      <c r="D2935" s="40"/>
      <c r="E2935" s="40"/>
      <c r="F2935" s="40"/>
    </row>
    <row r="2936" spans="1:6" ht="12.75" x14ac:dyDescent="0.2">
      <c r="A2936" s="40"/>
      <c r="B2936" s="41" t="s">
        <v>401</v>
      </c>
      <c r="C2936" s="40"/>
      <c r="D2936" s="40"/>
      <c r="E2936" s="40"/>
      <c r="F2936" s="40"/>
    </row>
    <row r="2937" spans="1:6" ht="12.75" x14ac:dyDescent="0.2">
      <c r="A2937" s="41" t="s">
        <v>2094</v>
      </c>
      <c r="B2937" s="41" t="s">
        <v>402</v>
      </c>
      <c r="C2937" s="41" t="s">
        <v>2095</v>
      </c>
      <c r="D2937" s="40"/>
      <c r="E2937" s="40"/>
      <c r="F2937" s="40"/>
    </row>
    <row r="2938" spans="1:6" ht="12.75" x14ac:dyDescent="0.2">
      <c r="A2938" s="41" t="s">
        <v>2096</v>
      </c>
      <c r="B2938" s="40"/>
      <c r="C2938" s="40"/>
      <c r="D2938" s="40"/>
      <c r="E2938" s="40"/>
      <c r="F2938" s="40"/>
    </row>
    <row r="2939" spans="1:6" ht="12.75" x14ac:dyDescent="0.2">
      <c r="A2939" s="41" t="s">
        <v>2097</v>
      </c>
      <c r="B2939" s="40"/>
      <c r="C2939" s="40"/>
      <c r="D2939" s="40"/>
      <c r="E2939" s="40"/>
      <c r="F2939" s="40"/>
    </row>
    <row r="2940" spans="1:6" ht="12.75" x14ac:dyDescent="0.2">
      <c r="A2940" s="41" t="s">
        <v>2098</v>
      </c>
      <c r="B2940" s="40"/>
      <c r="C2940" s="40"/>
      <c r="D2940" s="40"/>
      <c r="E2940" s="40"/>
      <c r="F2940" s="40"/>
    </row>
    <row r="2941" spans="1:6" ht="12.75" x14ac:dyDescent="0.2">
      <c r="A2941" s="40"/>
      <c r="B2941" s="40"/>
      <c r="C2941" s="40"/>
      <c r="D2941" s="40"/>
      <c r="E2941" s="40"/>
      <c r="F2941" s="40"/>
    </row>
    <row r="2942" spans="1:6" ht="12.75" x14ac:dyDescent="0.2">
      <c r="A2942" s="41" t="s">
        <v>2099</v>
      </c>
      <c r="B2942" s="40"/>
      <c r="C2942" s="40"/>
      <c r="D2942" s="40"/>
      <c r="E2942" s="40"/>
      <c r="F2942" s="40"/>
    </row>
    <row r="2943" spans="1:6" ht="12.75" x14ac:dyDescent="0.2">
      <c r="A2943" s="40"/>
      <c r="B2943" s="41" t="s">
        <v>398</v>
      </c>
      <c r="C2943" s="40"/>
      <c r="D2943" s="40"/>
      <c r="E2943" s="40"/>
      <c r="F2943" s="40"/>
    </row>
    <row r="2944" spans="1:6" ht="12.75" x14ac:dyDescent="0.2">
      <c r="A2944" s="40"/>
      <c r="B2944" s="41" t="s">
        <v>399</v>
      </c>
      <c r="C2944" s="40"/>
      <c r="D2944" s="40"/>
      <c r="E2944" s="40"/>
      <c r="F2944" s="40"/>
    </row>
    <row r="2945" spans="1:6" ht="12.75" x14ac:dyDescent="0.2">
      <c r="A2945" s="40"/>
      <c r="B2945" s="41" t="s">
        <v>400</v>
      </c>
      <c r="C2945" s="41" t="s">
        <v>2099</v>
      </c>
      <c r="D2945" s="40"/>
      <c r="E2945" s="40"/>
      <c r="F2945" s="40"/>
    </row>
    <row r="2946" spans="1:6" ht="12.75" x14ac:dyDescent="0.2">
      <c r="A2946" s="40"/>
      <c r="B2946" s="41" t="s">
        <v>401</v>
      </c>
      <c r="C2946" s="40"/>
      <c r="D2946" s="40"/>
      <c r="E2946" s="40"/>
      <c r="F2946" s="40"/>
    </row>
    <row r="2947" spans="1:6" ht="12.75" x14ac:dyDescent="0.2">
      <c r="A2947" s="41" t="s">
        <v>2100</v>
      </c>
      <c r="B2947" s="41" t="s">
        <v>402</v>
      </c>
      <c r="C2947" s="41" t="s">
        <v>2101</v>
      </c>
      <c r="D2947" s="40"/>
      <c r="E2947" s="40"/>
      <c r="F2947" s="40"/>
    </row>
    <row r="2948" spans="1:6" ht="12.75" x14ac:dyDescent="0.2">
      <c r="A2948" s="41" t="s">
        <v>2102</v>
      </c>
      <c r="B2948" s="40"/>
      <c r="C2948" s="40"/>
      <c r="D2948" s="40"/>
      <c r="E2948" s="40"/>
      <c r="F2948" s="40"/>
    </row>
    <row r="2949" spans="1:6" ht="12.75" x14ac:dyDescent="0.2">
      <c r="A2949" s="41" t="s">
        <v>2103</v>
      </c>
      <c r="B2949" s="40"/>
      <c r="C2949" s="40"/>
      <c r="D2949" s="40"/>
      <c r="E2949" s="40"/>
      <c r="F2949" s="40"/>
    </row>
    <row r="2950" spans="1:6" ht="12.75" x14ac:dyDescent="0.2">
      <c r="A2950" s="41" t="s">
        <v>2104</v>
      </c>
      <c r="B2950" s="40"/>
      <c r="C2950" s="40"/>
      <c r="D2950" s="40"/>
      <c r="E2950" s="40"/>
      <c r="F2950" s="40"/>
    </row>
    <row r="2951" spans="1:6" ht="12.75" x14ac:dyDescent="0.2">
      <c r="A2951" s="41" t="s">
        <v>2105</v>
      </c>
      <c r="B2951" s="40"/>
      <c r="C2951" s="40"/>
      <c r="D2951" s="40"/>
      <c r="E2951" s="40"/>
      <c r="F2951" s="40"/>
    </row>
    <row r="2952" spans="1:6" ht="12.75" x14ac:dyDescent="0.2">
      <c r="A2952" s="41" t="s">
        <v>1307</v>
      </c>
      <c r="B2952" s="40"/>
      <c r="C2952" s="40"/>
      <c r="D2952" s="40"/>
      <c r="E2952" s="40"/>
      <c r="F2952" s="40"/>
    </row>
    <row r="2953" spans="1:6" ht="12.75" x14ac:dyDescent="0.2">
      <c r="A2953" s="41" t="s">
        <v>2106</v>
      </c>
      <c r="B2953" s="40"/>
      <c r="C2953" s="40"/>
      <c r="D2953" s="40"/>
      <c r="E2953" s="40"/>
      <c r="F2953" s="40"/>
    </row>
    <row r="2954" spans="1:6" ht="12.75" x14ac:dyDescent="0.2">
      <c r="A2954" s="41" t="s">
        <v>2108</v>
      </c>
      <c r="B2954" s="40"/>
      <c r="C2954" s="40"/>
      <c r="D2954" s="40"/>
      <c r="E2954" s="40"/>
      <c r="F2954" s="40"/>
    </row>
    <row r="2955" spans="1:6" ht="12.75" x14ac:dyDescent="0.2">
      <c r="A2955" s="41" t="s">
        <v>2109</v>
      </c>
      <c r="B2955" s="40"/>
      <c r="C2955" s="40"/>
      <c r="D2955" s="40"/>
      <c r="E2955" s="40"/>
      <c r="F2955" s="40"/>
    </row>
    <row r="2956" spans="1:6" ht="12.75" x14ac:dyDescent="0.2">
      <c r="A2956" s="41" t="s">
        <v>2110</v>
      </c>
      <c r="B2956" s="40"/>
      <c r="C2956" s="40"/>
      <c r="D2956" s="40"/>
      <c r="E2956" s="40"/>
      <c r="F2956" s="40"/>
    </row>
    <row r="2957" spans="1:6" ht="12.75" x14ac:dyDescent="0.2">
      <c r="A2957" s="40"/>
      <c r="B2957" s="41" t="s">
        <v>403</v>
      </c>
      <c r="C2957" s="41" t="s">
        <v>25</v>
      </c>
      <c r="D2957" s="41" t="s">
        <v>27</v>
      </c>
      <c r="E2957" s="40"/>
      <c r="F2957" s="40"/>
    </row>
    <row r="2958" spans="1:6" ht="12.75" x14ac:dyDescent="0.2">
      <c r="A2958" s="40"/>
      <c r="B2958" s="41" t="s">
        <v>403</v>
      </c>
      <c r="C2958" s="41" t="s">
        <v>30</v>
      </c>
      <c r="D2958" s="41" t="s">
        <v>31</v>
      </c>
      <c r="E2958" s="40"/>
      <c r="F2958" s="40"/>
    </row>
    <row r="2959" spans="1:6" ht="12.75" x14ac:dyDescent="0.2">
      <c r="A2959" s="40"/>
      <c r="B2959" s="41" t="s">
        <v>403</v>
      </c>
      <c r="C2959" s="41" t="s">
        <v>16</v>
      </c>
      <c r="D2959" s="41" t="s">
        <v>10</v>
      </c>
      <c r="E2959" s="40"/>
      <c r="F2959" s="40"/>
    </row>
    <row r="2960" spans="1:6" ht="12.75" x14ac:dyDescent="0.2">
      <c r="A2960" s="40"/>
      <c r="B2960" s="40"/>
      <c r="C2960" s="40"/>
      <c r="D2960" s="40"/>
      <c r="E2960" s="40"/>
      <c r="F2960" s="40"/>
    </row>
    <row r="2961" spans="1:6" ht="12.75" x14ac:dyDescent="0.2">
      <c r="A2961" s="41" t="s">
        <v>2111</v>
      </c>
      <c r="B2961" s="40"/>
      <c r="C2961" s="40"/>
      <c r="D2961" s="40"/>
      <c r="E2961" s="40"/>
      <c r="F2961" s="40"/>
    </row>
    <row r="2962" spans="1:6" ht="12.75" x14ac:dyDescent="0.2">
      <c r="A2962" s="40"/>
      <c r="B2962" s="41" t="s">
        <v>398</v>
      </c>
      <c r="C2962" s="40"/>
      <c r="D2962" s="40"/>
      <c r="E2962" s="40"/>
      <c r="F2962" s="40"/>
    </row>
    <row r="2963" spans="1:6" ht="12.75" x14ac:dyDescent="0.2">
      <c r="A2963" s="40"/>
      <c r="B2963" s="41" t="s">
        <v>399</v>
      </c>
      <c r="C2963" s="40"/>
      <c r="D2963" s="40"/>
      <c r="E2963" s="40"/>
      <c r="F2963" s="40"/>
    </row>
    <row r="2964" spans="1:6" ht="12.75" x14ac:dyDescent="0.2">
      <c r="A2964" s="40"/>
      <c r="B2964" s="41" t="s">
        <v>400</v>
      </c>
      <c r="C2964" s="41" t="s">
        <v>2111</v>
      </c>
      <c r="D2964" s="40"/>
      <c r="E2964" s="40"/>
      <c r="F2964" s="40"/>
    </row>
    <row r="2965" spans="1:6" ht="12.75" x14ac:dyDescent="0.2">
      <c r="A2965" s="40"/>
      <c r="B2965" s="41" t="s">
        <v>401</v>
      </c>
      <c r="C2965" s="40"/>
      <c r="D2965" s="40"/>
      <c r="E2965" s="40"/>
      <c r="F2965" s="40"/>
    </row>
    <row r="2966" spans="1:6" ht="12.75" x14ac:dyDescent="0.2">
      <c r="A2966" s="41" t="s">
        <v>2112</v>
      </c>
      <c r="B2966" s="41" t="s">
        <v>402</v>
      </c>
      <c r="C2966" s="41" t="s">
        <v>2113</v>
      </c>
      <c r="D2966" s="40"/>
      <c r="E2966" s="40"/>
      <c r="F2966" s="40"/>
    </row>
    <row r="2967" spans="1:6" ht="12.75" x14ac:dyDescent="0.2">
      <c r="A2967" s="41" t="s">
        <v>2114</v>
      </c>
      <c r="B2967" s="40"/>
      <c r="C2967" s="40"/>
      <c r="D2967" s="40"/>
      <c r="E2967" s="40"/>
      <c r="F2967" s="40"/>
    </row>
    <row r="2968" spans="1:6" ht="12.75" x14ac:dyDescent="0.2">
      <c r="A2968" s="41" t="s">
        <v>2115</v>
      </c>
      <c r="B2968" s="40"/>
      <c r="C2968" s="40"/>
      <c r="D2968" s="40"/>
      <c r="E2968" s="40"/>
      <c r="F2968" s="40"/>
    </row>
    <row r="2969" spans="1:6" ht="12.75" x14ac:dyDescent="0.2">
      <c r="A2969" s="41" t="s">
        <v>2116</v>
      </c>
      <c r="B2969" s="40"/>
      <c r="C2969" s="40"/>
      <c r="D2969" s="40"/>
      <c r="E2969" s="40"/>
      <c r="F2969" s="40"/>
    </row>
    <row r="2970" spans="1:6" ht="12.75" x14ac:dyDescent="0.2">
      <c r="A2970" s="41" t="s">
        <v>2117</v>
      </c>
      <c r="B2970" s="40"/>
      <c r="C2970" s="40"/>
      <c r="D2970" s="40"/>
      <c r="E2970" s="40"/>
      <c r="F2970" s="40"/>
    </row>
    <row r="2971" spans="1:6" ht="12.75" x14ac:dyDescent="0.2">
      <c r="A2971" s="40"/>
      <c r="B2971" s="40"/>
      <c r="C2971" s="40"/>
      <c r="D2971" s="40"/>
      <c r="E2971" s="40"/>
      <c r="F2971" s="40"/>
    </row>
    <row r="2972" spans="1:6" ht="12.75" x14ac:dyDescent="0.2">
      <c r="A2972" s="41" t="s">
        <v>2118</v>
      </c>
      <c r="B2972" s="40"/>
      <c r="C2972" s="40"/>
      <c r="D2972" s="40"/>
      <c r="E2972" s="40"/>
      <c r="F2972" s="40"/>
    </row>
    <row r="2973" spans="1:6" ht="12.75" x14ac:dyDescent="0.2">
      <c r="A2973" s="40"/>
      <c r="B2973" s="41" t="s">
        <v>398</v>
      </c>
      <c r="C2973" s="40"/>
      <c r="D2973" s="40"/>
      <c r="E2973" s="40"/>
      <c r="F2973" s="40"/>
    </row>
    <row r="2974" spans="1:6" ht="12.75" x14ac:dyDescent="0.2">
      <c r="A2974" s="40"/>
      <c r="B2974" s="41" t="s">
        <v>399</v>
      </c>
      <c r="C2974" s="40"/>
      <c r="D2974" s="40"/>
      <c r="E2974" s="40"/>
      <c r="F2974" s="40"/>
    </row>
    <row r="2975" spans="1:6" ht="12.75" x14ac:dyDescent="0.2">
      <c r="A2975" s="40"/>
      <c r="B2975" s="41" t="s">
        <v>400</v>
      </c>
      <c r="C2975" s="41" t="s">
        <v>2118</v>
      </c>
      <c r="D2975" s="40"/>
      <c r="E2975" s="40"/>
      <c r="F2975" s="40"/>
    </row>
    <row r="2976" spans="1:6" ht="12.75" x14ac:dyDescent="0.2">
      <c r="A2976" s="40"/>
      <c r="B2976" s="41" t="s">
        <v>401</v>
      </c>
      <c r="C2976" s="40"/>
      <c r="D2976" s="40"/>
      <c r="E2976" s="40"/>
      <c r="F2976" s="40"/>
    </row>
    <row r="2977" spans="1:6" ht="12.75" x14ac:dyDescent="0.2">
      <c r="A2977" s="41" t="s">
        <v>2119</v>
      </c>
      <c r="B2977" s="41" t="s">
        <v>402</v>
      </c>
      <c r="C2977" s="41" t="s">
        <v>20</v>
      </c>
      <c r="D2977" s="40"/>
      <c r="E2977" s="40"/>
      <c r="F2977" s="40"/>
    </row>
    <row r="2978" spans="1:6" ht="12.75" x14ac:dyDescent="0.2">
      <c r="A2978" s="41" t="s">
        <v>2120</v>
      </c>
      <c r="B2978" s="40"/>
      <c r="C2978" s="40"/>
      <c r="D2978" s="40"/>
      <c r="E2978" s="40"/>
      <c r="F2978" s="40"/>
    </row>
    <row r="2979" spans="1:6" ht="12.75" x14ac:dyDescent="0.2">
      <c r="A2979" s="41" t="s">
        <v>2122</v>
      </c>
      <c r="B2979" s="40"/>
      <c r="C2979" s="40"/>
      <c r="D2979" s="40"/>
      <c r="E2979" s="40"/>
      <c r="F2979" s="40"/>
    </row>
    <row r="2980" spans="1:6" ht="12.75" x14ac:dyDescent="0.2">
      <c r="A2980" s="41" t="s">
        <v>2123</v>
      </c>
      <c r="B2980" s="40"/>
      <c r="C2980" s="40"/>
      <c r="D2980" s="40"/>
      <c r="E2980" s="40"/>
      <c r="F2980" s="40"/>
    </row>
    <row r="2981" spans="1:6" ht="12.75" x14ac:dyDescent="0.2">
      <c r="A2981" s="41" t="s">
        <v>2124</v>
      </c>
      <c r="B2981" s="40"/>
      <c r="C2981" s="40"/>
      <c r="D2981" s="40"/>
      <c r="E2981" s="40"/>
      <c r="F2981" s="40"/>
    </row>
    <row r="2982" spans="1:6" ht="12.75" x14ac:dyDescent="0.2">
      <c r="A2982" s="40"/>
      <c r="B2982" s="40"/>
      <c r="C2982" s="40"/>
      <c r="D2982" s="40"/>
      <c r="E2982" s="40"/>
      <c r="F2982" s="40"/>
    </row>
    <row r="2983" spans="1:6" ht="12.75" x14ac:dyDescent="0.2">
      <c r="A2983" s="41" t="s">
        <v>2125</v>
      </c>
      <c r="B2983" s="40"/>
      <c r="C2983" s="40"/>
      <c r="D2983" s="40"/>
      <c r="E2983" s="40"/>
      <c r="F2983" s="40"/>
    </row>
    <row r="2984" spans="1:6" ht="12.75" x14ac:dyDescent="0.2">
      <c r="A2984" s="40"/>
      <c r="B2984" s="41" t="s">
        <v>398</v>
      </c>
      <c r="C2984" s="41" t="s">
        <v>2198</v>
      </c>
      <c r="D2984" s="40"/>
      <c r="E2984" s="40"/>
      <c r="F2984" s="40"/>
    </row>
    <row r="2985" spans="1:6" ht="12.75" x14ac:dyDescent="0.2">
      <c r="A2985" s="40"/>
      <c r="B2985" s="41" t="s">
        <v>399</v>
      </c>
      <c r="C2985" s="41" t="s">
        <v>2198</v>
      </c>
      <c r="D2985" s="40"/>
      <c r="E2985" s="40"/>
      <c r="F2985" s="40"/>
    </row>
    <row r="2986" spans="1:6" ht="12.75" x14ac:dyDescent="0.2">
      <c r="A2986" s="40"/>
      <c r="B2986" s="41" t="s">
        <v>400</v>
      </c>
      <c r="C2986" s="41" t="s">
        <v>2244</v>
      </c>
      <c r="D2986" s="40"/>
      <c r="E2986" s="40"/>
      <c r="F2986" s="40"/>
    </row>
    <row r="2987" spans="1:6" ht="12.75" x14ac:dyDescent="0.2">
      <c r="A2987" s="40"/>
      <c r="B2987" s="41" t="s">
        <v>401</v>
      </c>
      <c r="C2987" s="40"/>
      <c r="D2987" s="40"/>
      <c r="E2987" s="40"/>
      <c r="F2987" s="40"/>
    </row>
    <row r="2988" spans="1:6" ht="12.75" x14ac:dyDescent="0.2">
      <c r="A2988" s="41" t="s">
        <v>1571</v>
      </c>
      <c r="B2988" s="40"/>
      <c r="C2988" s="40"/>
      <c r="D2988" s="40"/>
      <c r="E2988" s="40"/>
      <c r="F2988" s="40"/>
    </row>
    <row r="2989" spans="1:6" ht="12.75" x14ac:dyDescent="0.2">
      <c r="A2989" s="41" t="s">
        <v>2126</v>
      </c>
      <c r="B2989" s="40"/>
      <c r="C2989" s="40"/>
      <c r="D2989" s="40"/>
      <c r="E2989" s="40"/>
      <c r="F2989" s="40"/>
    </row>
    <row r="2990" spans="1:6" ht="12.75" x14ac:dyDescent="0.2">
      <c r="A2990" s="41" t="s">
        <v>2127</v>
      </c>
      <c r="B2990" s="40"/>
      <c r="C2990" s="40"/>
      <c r="D2990" s="40"/>
      <c r="E2990" s="40"/>
      <c r="F2990" s="40"/>
    </row>
    <row r="2991" spans="1:6" ht="12.75" x14ac:dyDescent="0.2">
      <c r="A2991" s="40"/>
      <c r="B2991" s="41" t="s">
        <v>422</v>
      </c>
      <c r="C2991" s="41" t="s">
        <v>2128</v>
      </c>
      <c r="D2991" s="41" t="s">
        <v>2129</v>
      </c>
      <c r="E2991" s="40"/>
      <c r="F2991" s="40"/>
    </row>
    <row r="2992" spans="1:6" ht="12.75" x14ac:dyDescent="0.2">
      <c r="A2992" s="40"/>
      <c r="B2992" s="40"/>
      <c r="C2992" s="40"/>
      <c r="D2992" s="40"/>
      <c r="E2992" s="40"/>
      <c r="F2992" s="40"/>
    </row>
    <row r="2993" spans="1:6" ht="25.5" x14ac:dyDescent="0.2">
      <c r="A2993" s="41" t="s">
        <v>2130</v>
      </c>
      <c r="B2993" s="40"/>
      <c r="C2993" s="40"/>
      <c r="D2993" s="40"/>
      <c r="E2993" s="40"/>
      <c r="F2993" s="40"/>
    </row>
    <row r="2994" spans="1:6" ht="12.75" x14ac:dyDescent="0.2">
      <c r="A2994" s="40"/>
      <c r="B2994" s="41" t="s">
        <v>398</v>
      </c>
      <c r="C2994" s="41" t="s">
        <v>2198</v>
      </c>
      <c r="D2994" s="40"/>
      <c r="E2994" s="40"/>
      <c r="F2994" s="40"/>
    </row>
    <row r="2995" spans="1:6" ht="12.75" x14ac:dyDescent="0.2">
      <c r="A2995" s="40"/>
      <c r="B2995" s="41" t="s">
        <v>399</v>
      </c>
      <c r="C2995" s="41" t="s">
        <v>2198</v>
      </c>
      <c r="D2995" s="40"/>
      <c r="E2995" s="40"/>
      <c r="F2995" s="40"/>
    </row>
    <row r="2996" spans="1:6" ht="12.75" x14ac:dyDescent="0.2">
      <c r="A2996" s="40"/>
      <c r="B2996" s="41" t="s">
        <v>400</v>
      </c>
      <c r="C2996" s="41" t="s">
        <v>2244</v>
      </c>
      <c r="D2996" s="40"/>
      <c r="E2996" s="40"/>
      <c r="F2996" s="40"/>
    </row>
    <row r="2997" spans="1:6" ht="12.75" x14ac:dyDescent="0.2">
      <c r="A2997" s="40"/>
      <c r="B2997" s="41" t="s">
        <v>401</v>
      </c>
      <c r="C2997" s="40"/>
      <c r="D2997" s="40"/>
      <c r="E2997" s="40"/>
      <c r="F2997" s="40"/>
    </row>
    <row r="2998" spans="1:6" ht="12.75" x14ac:dyDescent="0.2">
      <c r="A2998" s="41" t="s">
        <v>2131</v>
      </c>
      <c r="B2998" s="40"/>
      <c r="C2998" s="40"/>
      <c r="D2998" s="40"/>
      <c r="E2998" s="40"/>
      <c r="F2998" s="40"/>
    </row>
    <row r="2999" spans="1:6" ht="12.75" x14ac:dyDescent="0.2">
      <c r="A2999" s="41" t="s">
        <v>2132</v>
      </c>
      <c r="B2999" s="40"/>
      <c r="C2999" s="40"/>
      <c r="D2999" s="40"/>
      <c r="E2999" s="40"/>
      <c r="F2999" s="40"/>
    </row>
    <row r="3000" spans="1:6" ht="12.75" x14ac:dyDescent="0.2">
      <c r="A3000" s="41" t="s">
        <v>2133</v>
      </c>
      <c r="B3000" s="40"/>
      <c r="C3000" s="40"/>
      <c r="D3000" s="40"/>
      <c r="E3000" s="40"/>
      <c r="F3000" s="40"/>
    </row>
    <row r="3001" spans="1:6" ht="12.75" x14ac:dyDescent="0.2">
      <c r="A3001" s="41" t="s">
        <v>2134</v>
      </c>
      <c r="B3001" s="40"/>
      <c r="C3001" s="40"/>
      <c r="D3001" s="40"/>
      <c r="E3001" s="40"/>
      <c r="F3001" s="40"/>
    </row>
    <row r="3002" spans="1:6" ht="12.75" x14ac:dyDescent="0.2">
      <c r="A3002" s="40"/>
      <c r="B3002" s="41" t="s">
        <v>422</v>
      </c>
      <c r="C3002" s="41" t="s">
        <v>2135</v>
      </c>
      <c r="D3002" s="41" t="s">
        <v>808</v>
      </c>
      <c r="E3002" s="40"/>
      <c r="F3002" s="40"/>
    </row>
    <row r="3003" spans="1:6" ht="12.75" x14ac:dyDescent="0.2">
      <c r="A3003" s="40"/>
      <c r="B3003" s="41" t="s">
        <v>422</v>
      </c>
      <c r="C3003" s="41" t="s">
        <v>2136</v>
      </c>
      <c r="D3003" s="41" t="s">
        <v>2137</v>
      </c>
      <c r="E3003" s="40"/>
      <c r="F3003" s="40"/>
    </row>
    <row r="3004" spans="1:6" ht="12.75" x14ac:dyDescent="0.2">
      <c r="A3004" s="40"/>
      <c r="B3004" s="40"/>
      <c r="C3004" s="40"/>
      <c r="D3004" s="40"/>
      <c r="E3004" s="40"/>
      <c r="F3004" s="40"/>
    </row>
    <row r="3005" spans="1:6" ht="12.75" x14ac:dyDescent="0.2">
      <c r="A3005" s="41" t="s">
        <v>2138</v>
      </c>
      <c r="B3005" s="40"/>
      <c r="C3005" s="40"/>
      <c r="D3005" s="40"/>
      <c r="E3005" s="40"/>
      <c r="F3005" s="40"/>
    </row>
    <row r="3006" spans="1:6" ht="12.75" x14ac:dyDescent="0.2">
      <c r="A3006" s="40"/>
      <c r="B3006" s="41" t="s">
        <v>398</v>
      </c>
      <c r="C3006" s="41" t="s">
        <v>2198</v>
      </c>
      <c r="D3006" s="40"/>
      <c r="E3006" s="40"/>
      <c r="F3006" s="40"/>
    </row>
    <row r="3007" spans="1:6" ht="12.75" x14ac:dyDescent="0.2">
      <c r="A3007" s="40"/>
      <c r="B3007" s="41" t="s">
        <v>399</v>
      </c>
      <c r="C3007" s="41" t="s">
        <v>2198</v>
      </c>
      <c r="D3007" s="40"/>
      <c r="E3007" s="40"/>
      <c r="F3007" s="40"/>
    </row>
    <row r="3008" spans="1:6" ht="12.75" x14ac:dyDescent="0.2">
      <c r="A3008" s="40"/>
      <c r="B3008" s="41" t="s">
        <v>400</v>
      </c>
      <c r="C3008" s="41" t="s">
        <v>2244</v>
      </c>
      <c r="D3008" s="40"/>
      <c r="E3008" s="40"/>
      <c r="F3008" s="40"/>
    </row>
    <row r="3009" spans="1:6" ht="12.75" x14ac:dyDescent="0.2">
      <c r="A3009" s="40"/>
      <c r="B3009" s="41" t="s">
        <v>401</v>
      </c>
      <c r="C3009" s="40"/>
      <c r="D3009" s="40"/>
      <c r="E3009" s="40"/>
      <c r="F3009" s="40"/>
    </row>
    <row r="3010" spans="1:6" ht="12.75" x14ac:dyDescent="0.2">
      <c r="A3010" s="41" t="s">
        <v>2139</v>
      </c>
      <c r="B3010" s="40"/>
      <c r="C3010" s="40"/>
      <c r="D3010" s="40"/>
      <c r="E3010" s="40"/>
      <c r="F3010" s="40"/>
    </row>
    <row r="3011" spans="1:6" ht="12.75" x14ac:dyDescent="0.2">
      <c r="A3011" s="41" t="s">
        <v>2140</v>
      </c>
      <c r="B3011" s="40"/>
      <c r="C3011" s="40"/>
      <c r="D3011" s="40"/>
      <c r="E3011" s="40"/>
      <c r="F3011" s="40"/>
    </row>
    <row r="3012" spans="1:6" ht="12.75" x14ac:dyDescent="0.2">
      <c r="A3012" s="41" t="s">
        <v>2141</v>
      </c>
      <c r="B3012" s="40"/>
      <c r="C3012" s="40"/>
      <c r="D3012" s="40"/>
      <c r="E3012" s="40"/>
      <c r="F3012" s="40"/>
    </row>
    <row r="3013" spans="1:6" ht="12.75" x14ac:dyDescent="0.2">
      <c r="A3013" s="41" t="s">
        <v>2142</v>
      </c>
      <c r="B3013" s="40"/>
      <c r="C3013" s="40"/>
      <c r="D3013" s="40"/>
      <c r="E3013" s="40"/>
      <c r="F3013" s="40"/>
    </row>
    <row r="3014" spans="1:6" ht="12.75" x14ac:dyDescent="0.2">
      <c r="A3014" s="41" t="s">
        <v>2143</v>
      </c>
      <c r="B3014" s="40"/>
      <c r="C3014" s="40"/>
      <c r="D3014" s="40"/>
      <c r="E3014" s="40"/>
      <c r="F3014" s="40"/>
    </row>
    <row r="3015" spans="1:6" ht="12.75" x14ac:dyDescent="0.2">
      <c r="A3015" s="41" t="s">
        <v>2144</v>
      </c>
      <c r="B3015" s="40"/>
      <c r="C3015" s="40"/>
      <c r="D3015" s="40"/>
      <c r="E3015" s="40"/>
      <c r="F3015" s="40"/>
    </row>
    <row r="3016" spans="1:6" ht="12.75" x14ac:dyDescent="0.2">
      <c r="A3016" s="41" t="s">
        <v>2145</v>
      </c>
      <c r="B3016" s="40"/>
      <c r="C3016" s="40"/>
      <c r="D3016" s="40"/>
      <c r="E3016" s="40"/>
      <c r="F3016" s="40"/>
    </row>
    <row r="3017" spans="1:6" ht="12.75" x14ac:dyDescent="0.2">
      <c r="A3017" s="41" t="s">
        <v>2146</v>
      </c>
      <c r="B3017" s="40"/>
      <c r="C3017" s="40"/>
      <c r="D3017" s="40"/>
      <c r="E3017" s="40"/>
      <c r="F3017" s="40"/>
    </row>
    <row r="3018" spans="1:6" ht="12.75" x14ac:dyDescent="0.2">
      <c r="A3018" s="40"/>
      <c r="B3018" s="41" t="s">
        <v>422</v>
      </c>
      <c r="C3018" s="41" t="s">
        <v>2135</v>
      </c>
      <c r="D3018" s="41" t="s">
        <v>808</v>
      </c>
      <c r="E3018" s="40"/>
      <c r="F3018" s="40"/>
    </row>
    <row r="3019" spans="1:6" ht="12.75" x14ac:dyDescent="0.2">
      <c r="A3019" s="40"/>
      <c r="B3019" s="40"/>
      <c r="C3019" s="40"/>
      <c r="D3019" s="40"/>
      <c r="E3019" s="40"/>
      <c r="F3019" s="40"/>
    </row>
    <row r="3020" spans="1:6" ht="12.75" x14ac:dyDescent="0.2">
      <c r="A3020" s="41" t="s">
        <v>2147</v>
      </c>
      <c r="B3020" s="40"/>
      <c r="C3020" s="40"/>
      <c r="D3020" s="40"/>
      <c r="E3020" s="40"/>
      <c r="F3020" s="40"/>
    </row>
    <row r="3021" spans="1:6" ht="12.75" x14ac:dyDescent="0.2">
      <c r="A3021" s="40"/>
      <c r="B3021" s="41" t="s">
        <v>398</v>
      </c>
      <c r="C3021" s="41" t="s">
        <v>2198</v>
      </c>
      <c r="D3021" s="40"/>
      <c r="E3021" s="40"/>
      <c r="F3021" s="40"/>
    </row>
    <row r="3022" spans="1:6" ht="12.75" x14ac:dyDescent="0.2">
      <c r="A3022" s="40"/>
      <c r="B3022" s="41" t="s">
        <v>399</v>
      </c>
      <c r="C3022" s="41" t="s">
        <v>2198</v>
      </c>
      <c r="D3022" s="40"/>
      <c r="E3022" s="40"/>
      <c r="F3022" s="40"/>
    </row>
    <row r="3023" spans="1:6" ht="12.75" x14ac:dyDescent="0.2">
      <c r="A3023" s="40"/>
      <c r="B3023" s="41" t="s">
        <v>400</v>
      </c>
      <c r="C3023" s="41" t="s">
        <v>2244</v>
      </c>
      <c r="D3023" s="40"/>
      <c r="E3023" s="40"/>
      <c r="F3023" s="40"/>
    </row>
    <row r="3024" spans="1:6" ht="12.75" x14ac:dyDescent="0.2">
      <c r="A3024" s="40"/>
      <c r="B3024" s="41" t="s">
        <v>401</v>
      </c>
      <c r="C3024" s="40"/>
      <c r="D3024" s="40"/>
      <c r="E3024" s="40"/>
      <c r="F3024" s="40"/>
    </row>
    <row r="3025" spans="1:6" ht="12.75" x14ac:dyDescent="0.2">
      <c r="A3025" s="41" t="s">
        <v>2148</v>
      </c>
      <c r="B3025" s="40"/>
      <c r="C3025" s="40"/>
      <c r="D3025" s="40"/>
      <c r="E3025" s="40"/>
      <c r="F3025" s="40"/>
    </row>
    <row r="3026" spans="1:6" ht="12.75" x14ac:dyDescent="0.2">
      <c r="A3026" s="41" t="s">
        <v>2149</v>
      </c>
      <c r="B3026" s="40"/>
      <c r="C3026" s="40"/>
      <c r="D3026" s="40"/>
      <c r="E3026" s="40"/>
      <c r="F3026" s="40"/>
    </row>
    <row r="3027" spans="1:6" ht="12.75" x14ac:dyDescent="0.2">
      <c r="A3027" s="40"/>
      <c r="B3027" s="41" t="s">
        <v>422</v>
      </c>
      <c r="C3027" s="41" t="s">
        <v>2150</v>
      </c>
      <c r="D3027" s="41" t="s">
        <v>2151</v>
      </c>
      <c r="E3027" s="40"/>
      <c r="F3027" s="40"/>
    </row>
    <row r="3028" spans="1:6" ht="12.75" x14ac:dyDescent="0.2">
      <c r="A3028" s="40"/>
      <c r="B3028" s="40"/>
      <c r="C3028" s="40"/>
      <c r="D3028" s="40"/>
      <c r="E3028" s="40"/>
      <c r="F3028" s="40"/>
    </row>
    <row r="3029" spans="1:6" ht="12.75" x14ac:dyDescent="0.2">
      <c r="A3029" s="41" t="s">
        <v>2152</v>
      </c>
      <c r="B3029" s="40"/>
      <c r="C3029" s="40"/>
      <c r="D3029" s="40"/>
      <c r="E3029" s="40"/>
      <c r="F3029" s="40"/>
    </row>
    <row r="3030" spans="1:6" ht="12.75" x14ac:dyDescent="0.2">
      <c r="A3030" s="40"/>
      <c r="B3030" s="41" t="s">
        <v>398</v>
      </c>
      <c r="C3030" s="41" t="s">
        <v>2198</v>
      </c>
      <c r="D3030" s="40"/>
      <c r="E3030" s="40"/>
      <c r="F3030" s="40"/>
    </row>
    <row r="3031" spans="1:6" ht="12.75" x14ac:dyDescent="0.2">
      <c r="A3031" s="40"/>
      <c r="B3031" s="41" t="s">
        <v>399</v>
      </c>
      <c r="C3031" s="41" t="s">
        <v>2198</v>
      </c>
      <c r="D3031" s="40"/>
      <c r="E3031" s="40"/>
      <c r="F3031" s="40"/>
    </row>
    <row r="3032" spans="1:6" ht="12.75" x14ac:dyDescent="0.2">
      <c r="A3032" s="40"/>
      <c r="B3032" s="41" t="s">
        <v>400</v>
      </c>
      <c r="C3032" s="41" t="s">
        <v>2244</v>
      </c>
      <c r="D3032" s="40"/>
      <c r="E3032" s="40"/>
      <c r="F3032" s="40"/>
    </row>
    <row r="3033" spans="1:6" ht="12.75" x14ac:dyDescent="0.2">
      <c r="A3033" s="40"/>
      <c r="B3033" s="41" t="s">
        <v>401</v>
      </c>
      <c r="C3033" s="40"/>
      <c r="D3033" s="40"/>
      <c r="E3033" s="40"/>
      <c r="F3033" s="40"/>
    </row>
    <row r="3034" spans="1:6" ht="12.75" x14ac:dyDescent="0.2">
      <c r="A3034" s="41" t="s">
        <v>2153</v>
      </c>
      <c r="B3034" s="40"/>
      <c r="C3034" s="40"/>
      <c r="D3034" s="40"/>
      <c r="E3034" s="40"/>
      <c r="F3034" s="40"/>
    </row>
    <row r="3035" spans="1:6" ht="12.75" x14ac:dyDescent="0.2">
      <c r="A3035" s="41" t="s">
        <v>2154</v>
      </c>
      <c r="B3035" s="40"/>
      <c r="C3035" s="40"/>
      <c r="D3035" s="40"/>
      <c r="E3035" s="40"/>
      <c r="F3035" s="40"/>
    </row>
    <row r="3036" spans="1:6" ht="12.75" x14ac:dyDescent="0.2">
      <c r="A3036" s="41" t="s">
        <v>2155</v>
      </c>
      <c r="B3036" s="40"/>
      <c r="C3036" s="40"/>
      <c r="D3036" s="40"/>
      <c r="E3036" s="40"/>
      <c r="F3036" s="40"/>
    </row>
    <row r="3037" spans="1:6" ht="12.75" x14ac:dyDescent="0.2">
      <c r="A3037" s="41" t="s">
        <v>2156</v>
      </c>
      <c r="B3037" s="40"/>
      <c r="C3037" s="40"/>
      <c r="D3037" s="40"/>
      <c r="E3037" s="40"/>
      <c r="F3037" s="40"/>
    </row>
    <row r="3038" spans="1:6" ht="12.75" x14ac:dyDescent="0.2">
      <c r="A3038" s="41" t="s">
        <v>2157</v>
      </c>
      <c r="B3038" s="40"/>
      <c r="C3038" s="40"/>
      <c r="D3038" s="40"/>
      <c r="E3038" s="40"/>
      <c r="F3038" s="40"/>
    </row>
    <row r="3039" spans="1:6" ht="12.75" x14ac:dyDescent="0.2">
      <c r="A3039" s="41" t="s">
        <v>2158</v>
      </c>
      <c r="B3039" s="40"/>
      <c r="C3039" s="40"/>
      <c r="D3039" s="40"/>
      <c r="E3039" s="40"/>
      <c r="F3039" s="40"/>
    </row>
    <row r="3040" spans="1:6" ht="12.75" x14ac:dyDescent="0.2">
      <c r="A3040" s="41" t="s">
        <v>2159</v>
      </c>
      <c r="B3040" s="40"/>
      <c r="C3040" s="40"/>
      <c r="D3040" s="40"/>
      <c r="E3040" s="40"/>
      <c r="F3040" s="40"/>
    </row>
    <row r="3041" spans="1:6" ht="12.75" x14ac:dyDescent="0.2">
      <c r="A3041" s="41" t="s">
        <v>2160</v>
      </c>
      <c r="B3041" s="40"/>
      <c r="C3041" s="40"/>
      <c r="D3041" s="40"/>
      <c r="E3041" s="40"/>
      <c r="F3041" s="40"/>
    </row>
    <row r="3042" spans="1:6" ht="12.75" x14ac:dyDescent="0.2">
      <c r="A3042" s="41" t="s">
        <v>2161</v>
      </c>
      <c r="B3042" s="40"/>
      <c r="C3042" s="40"/>
      <c r="D3042" s="40"/>
      <c r="E3042" s="40"/>
      <c r="F3042" s="40"/>
    </row>
    <row r="3043" spans="1:6" ht="12.75" x14ac:dyDescent="0.2">
      <c r="A3043" s="41" t="s">
        <v>2162</v>
      </c>
      <c r="B3043" s="40"/>
      <c r="C3043" s="40"/>
      <c r="D3043" s="40"/>
      <c r="E3043" s="40"/>
      <c r="F3043" s="40"/>
    </row>
    <row r="3044" spans="1:6" ht="12.75" x14ac:dyDescent="0.2">
      <c r="A3044" s="40"/>
      <c r="B3044" s="41" t="s">
        <v>422</v>
      </c>
      <c r="C3044" s="41" t="s">
        <v>2136</v>
      </c>
      <c r="D3044" s="41" t="s">
        <v>2137</v>
      </c>
      <c r="E3044" s="40"/>
      <c r="F3044" s="40"/>
    </row>
    <row r="3045" spans="1:6" ht="12.75" x14ac:dyDescent="0.2">
      <c r="A3045" s="40"/>
      <c r="B3045" s="40"/>
      <c r="C3045" s="40"/>
      <c r="D3045" s="40"/>
      <c r="E3045" s="40"/>
      <c r="F3045" s="40"/>
    </row>
    <row r="3046" spans="1:6" ht="12.75" x14ac:dyDescent="0.2">
      <c r="A3046" s="41" t="s">
        <v>2163</v>
      </c>
      <c r="B3046" s="40"/>
      <c r="C3046" s="40"/>
      <c r="D3046" s="40"/>
      <c r="E3046" s="40"/>
      <c r="F3046" s="40"/>
    </row>
    <row r="3047" spans="1:6" ht="12.75" x14ac:dyDescent="0.2">
      <c r="A3047" s="40"/>
      <c r="B3047" s="41" t="s">
        <v>398</v>
      </c>
      <c r="C3047" s="41" t="s">
        <v>2198</v>
      </c>
      <c r="D3047" s="40"/>
      <c r="E3047" s="40"/>
      <c r="F3047" s="40"/>
    </row>
    <row r="3048" spans="1:6" ht="12.75" x14ac:dyDescent="0.2">
      <c r="A3048" s="40"/>
      <c r="B3048" s="41" t="s">
        <v>399</v>
      </c>
      <c r="C3048" s="41" t="s">
        <v>2198</v>
      </c>
      <c r="D3048" s="40"/>
      <c r="E3048" s="40"/>
      <c r="F3048" s="40"/>
    </row>
    <row r="3049" spans="1:6" ht="12.75" x14ac:dyDescent="0.2">
      <c r="A3049" s="40"/>
      <c r="B3049" s="41" t="s">
        <v>400</v>
      </c>
      <c r="C3049" s="41" t="s">
        <v>2244</v>
      </c>
      <c r="D3049" s="40"/>
      <c r="E3049" s="40"/>
      <c r="F3049" s="40"/>
    </row>
    <row r="3050" spans="1:6" ht="12.75" x14ac:dyDescent="0.2">
      <c r="A3050" s="40"/>
      <c r="B3050" s="41" t="s">
        <v>401</v>
      </c>
      <c r="C3050" s="40"/>
      <c r="D3050" s="40"/>
      <c r="E3050" s="40"/>
      <c r="F3050" s="40"/>
    </row>
    <row r="3051" spans="1:6" ht="12.75" x14ac:dyDescent="0.2">
      <c r="A3051" s="41" t="s">
        <v>2164</v>
      </c>
      <c r="B3051" s="40"/>
      <c r="C3051" s="40"/>
      <c r="D3051" s="40"/>
      <c r="E3051" s="40"/>
      <c r="F3051" s="40"/>
    </row>
    <row r="3052" spans="1:6" ht="12.75" x14ac:dyDescent="0.2">
      <c r="A3052" s="41" t="s">
        <v>2165</v>
      </c>
      <c r="B3052" s="40"/>
      <c r="C3052" s="40"/>
      <c r="D3052" s="40"/>
      <c r="E3052" s="40"/>
      <c r="F3052" s="40"/>
    </row>
    <row r="3053" spans="1:6" ht="12.75" x14ac:dyDescent="0.2">
      <c r="A3053" s="41" t="s">
        <v>2166</v>
      </c>
      <c r="B3053" s="40"/>
      <c r="C3053" s="40"/>
      <c r="D3053" s="40"/>
      <c r="E3053" s="40"/>
      <c r="F3053" s="40"/>
    </row>
    <row r="3054" spans="1:6" ht="12.75" x14ac:dyDescent="0.2">
      <c r="A3054" s="41" t="s">
        <v>2167</v>
      </c>
      <c r="B3054" s="40"/>
      <c r="C3054" s="40"/>
      <c r="D3054" s="40"/>
      <c r="E3054" s="40"/>
      <c r="F3054" s="40"/>
    </row>
    <row r="3055" spans="1:6" ht="12.75" x14ac:dyDescent="0.2">
      <c r="A3055" s="41" t="s">
        <v>2168</v>
      </c>
      <c r="B3055" s="40"/>
      <c r="C3055" s="40"/>
      <c r="D3055" s="40"/>
      <c r="E3055" s="40"/>
      <c r="F3055" s="40"/>
    </row>
    <row r="3056" spans="1:6" ht="12.75" x14ac:dyDescent="0.2">
      <c r="A3056" s="41" t="s">
        <v>2169</v>
      </c>
      <c r="B3056" s="40"/>
      <c r="C3056" s="40"/>
      <c r="D3056" s="40"/>
      <c r="E3056" s="40"/>
      <c r="F3056" s="40"/>
    </row>
    <row r="3057" spans="1:6" ht="12.75" x14ac:dyDescent="0.2">
      <c r="A3057" s="41" t="s">
        <v>2170</v>
      </c>
      <c r="B3057" s="40"/>
      <c r="C3057" s="40"/>
      <c r="D3057" s="40"/>
      <c r="E3057" s="40"/>
      <c r="F3057" s="40"/>
    </row>
    <row r="3058" spans="1:6" ht="12.75" x14ac:dyDescent="0.2">
      <c r="A3058" s="40"/>
      <c r="B3058" s="41" t="s">
        <v>422</v>
      </c>
      <c r="C3058" s="41" t="s">
        <v>2171</v>
      </c>
      <c r="D3058" s="41" t="s">
        <v>2172</v>
      </c>
      <c r="E3058" s="40"/>
      <c r="F3058" s="40"/>
    </row>
    <row r="3059" spans="1:6" ht="12.75" x14ac:dyDescent="0.2">
      <c r="A3059" s="40"/>
      <c r="B3059" s="40"/>
      <c r="C3059" s="40"/>
      <c r="D3059" s="40"/>
      <c r="E3059" s="40"/>
      <c r="F3059" s="40"/>
    </row>
    <row r="3060" spans="1:6" ht="12.75" x14ac:dyDescent="0.2">
      <c r="A3060" s="41" t="s">
        <v>2173</v>
      </c>
      <c r="B3060" s="40"/>
      <c r="C3060" s="40"/>
      <c r="D3060" s="40"/>
      <c r="E3060" s="40"/>
      <c r="F3060" s="40"/>
    </row>
    <row r="3061" spans="1:6" ht="12.75" x14ac:dyDescent="0.2">
      <c r="A3061" s="40"/>
      <c r="B3061" s="41" t="s">
        <v>398</v>
      </c>
      <c r="C3061" s="40"/>
      <c r="D3061" s="40"/>
      <c r="E3061" s="40"/>
      <c r="F3061" s="40"/>
    </row>
    <row r="3062" spans="1:6" ht="12.75" x14ac:dyDescent="0.2">
      <c r="A3062" s="40"/>
      <c r="B3062" s="41" t="s">
        <v>399</v>
      </c>
      <c r="C3062" s="41" t="s">
        <v>2198</v>
      </c>
      <c r="D3062" s="40"/>
      <c r="E3062" s="40"/>
      <c r="F3062" s="40"/>
    </row>
    <row r="3063" spans="1:6" ht="12.75" x14ac:dyDescent="0.2">
      <c r="A3063" s="40"/>
      <c r="B3063" s="41" t="s">
        <v>400</v>
      </c>
      <c r="C3063" s="41" t="s">
        <v>2173</v>
      </c>
      <c r="D3063" s="40"/>
      <c r="E3063" s="40"/>
      <c r="F3063" s="40"/>
    </row>
    <row r="3064" spans="1:6" ht="12.75" x14ac:dyDescent="0.2">
      <c r="A3064" s="40"/>
      <c r="B3064" s="41" t="s">
        <v>401</v>
      </c>
      <c r="C3064" s="40"/>
      <c r="D3064" s="40"/>
      <c r="E3064" s="40"/>
      <c r="F3064" s="40"/>
    </row>
    <row r="3065" spans="1:6" ht="12.75" x14ac:dyDescent="0.2">
      <c r="A3065" s="41" t="s">
        <v>2174</v>
      </c>
      <c r="B3065" s="40"/>
      <c r="C3065" s="40"/>
      <c r="D3065" s="40"/>
      <c r="E3065" s="40"/>
      <c r="F3065" s="40"/>
    </row>
    <row r="3066" spans="1:6" ht="12.75" x14ac:dyDescent="0.2">
      <c r="A3066" s="41" t="s">
        <v>2175</v>
      </c>
      <c r="B3066" s="40"/>
      <c r="C3066" s="40"/>
      <c r="D3066" s="40"/>
      <c r="E3066" s="40"/>
      <c r="F3066" s="40"/>
    </row>
    <row r="3067" spans="1:6" ht="12.75" x14ac:dyDescent="0.2">
      <c r="A3067" s="41" t="s">
        <v>2176</v>
      </c>
      <c r="B3067" s="40"/>
      <c r="C3067" s="40"/>
      <c r="D3067" s="40"/>
      <c r="E3067" s="40"/>
      <c r="F3067" s="40"/>
    </row>
    <row r="3068" spans="1:6" ht="12.75" x14ac:dyDescent="0.2">
      <c r="A3068" s="41" t="s">
        <v>2177</v>
      </c>
      <c r="B3068" s="40"/>
      <c r="C3068" s="40"/>
      <c r="D3068" s="40"/>
      <c r="E3068" s="40"/>
      <c r="F3068" s="40"/>
    </row>
    <row r="3069" spans="1:6" ht="12.75" x14ac:dyDescent="0.2">
      <c r="A3069" s="41" t="s">
        <v>2178</v>
      </c>
      <c r="B3069" s="40"/>
      <c r="C3069" s="40"/>
      <c r="D3069" s="40"/>
      <c r="E3069" s="40"/>
      <c r="F3069" s="40"/>
    </row>
    <row r="3070" spans="1:6" ht="12.75" x14ac:dyDescent="0.2">
      <c r="A3070" s="41" t="s">
        <v>2179</v>
      </c>
      <c r="B3070" s="40"/>
      <c r="C3070" s="40"/>
      <c r="D3070" s="40"/>
      <c r="E3070" s="40"/>
      <c r="F3070" s="40"/>
    </row>
    <row r="3071" spans="1:6" ht="12.75" x14ac:dyDescent="0.2">
      <c r="A3071" s="41" t="s">
        <v>2180</v>
      </c>
      <c r="B3071" s="40"/>
      <c r="C3071" s="40"/>
      <c r="D3071" s="40"/>
      <c r="E3071" s="40"/>
      <c r="F3071" s="40"/>
    </row>
    <row r="3072" spans="1:6" ht="12.75" x14ac:dyDescent="0.2">
      <c r="A3072" s="41" t="s">
        <v>2181</v>
      </c>
      <c r="B3072" s="40"/>
      <c r="C3072" s="40"/>
      <c r="D3072" s="40"/>
      <c r="E3072" s="40"/>
      <c r="F3072" s="40"/>
    </row>
    <row r="3073" spans="1:6" ht="12.75" x14ac:dyDescent="0.2">
      <c r="A3073" s="41" t="s">
        <v>2182</v>
      </c>
      <c r="B3073" s="40"/>
      <c r="C3073" s="40"/>
      <c r="D3073" s="40"/>
      <c r="E3073" s="40"/>
      <c r="F3073" s="40"/>
    </row>
    <row r="3074" spans="1:6" ht="12.75" x14ac:dyDescent="0.2">
      <c r="A3074" s="41" t="s">
        <v>2183</v>
      </c>
      <c r="B3074" s="40"/>
      <c r="C3074" s="40"/>
      <c r="D3074" s="40"/>
      <c r="E3074" s="40"/>
      <c r="F3074" s="40"/>
    </row>
    <row r="3075" spans="1:6" ht="12.75" x14ac:dyDescent="0.2">
      <c r="A3075" s="40"/>
      <c r="B3075" s="41" t="s">
        <v>422</v>
      </c>
      <c r="C3075" s="41" t="s">
        <v>2128</v>
      </c>
      <c r="D3075" s="41" t="s">
        <v>2129</v>
      </c>
      <c r="E3075" s="40"/>
      <c r="F3075" s="40"/>
    </row>
    <row r="3076" spans="1:6" ht="12.75" x14ac:dyDescent="0.2">
      <c r="A3076" s="40"/>
      <c r="B3076" s="41" t="s">
        <v>422</v>
      </c>
      <c r="C3076" s="41" t="s">
        <v>2136</v>
      </c>
      <c r="D3076" s="41" t="s">
        <v>2137</v>
      </c>
      <c r="E3076" s="40"/>
      <c r="F3076" s="40"/>
    </row>
    <row r="3077" spans="1:6" ht="12.75" x14ac:dyDescent="0.2">
      <c r="A3077" s="40"/>
      <c r="B3077" s="41" t="s">
        <v>422</v>
      </c>
      <c r="C3077" s="41" t="s">
        <v>2135</v>
      </c>
      <c r="D3077" s="41" t="s">
        <v>808</v>
      </c>
      <c r="E3077" s="40"/>
      <c r="F3077" s="40"/>
    </row>
    <row r="3078" spans="1:6" ht="12.75" x14ac:dyDescent="0.2">
      <c r="A3078" s="40"/>
      <c r="B3078" s="40"/>
      <c r="C3078" s="40"/>
      <c r="D3078" s="40"/>
      <c r="E3078" s="40"/>
      <c r="F3078" s="40"/>
    </row>
    <row r="3079" spans="1:6" ht="12.75" x14ac:dyDescent="0.2">
      <c r="A3079" s="41" t="s">
        <v>2184</v>
      </c>
      <c r="B3079" s="40"/>
      <c r="C3079" s="40"/>
      <c r="D3079" s="40"/>
      <c r="E3079" s="40"/>
      <c r="F3079" s="40"/>
    </row>
    <row r="3080" spans="1:6" ht="12.75" x14ac:dyDescent="0.2">
      <c r="A3080" s="40"/>
      <c r="B3080" s="41" t="s">
        <v>398</v>
      </c>
      <c r="C3080" s="40"/>
      <c r="D3080" s="40"/>
      <c r="E3080" s="40"/>
      <c r="F3080" s="40"/>
    </row>
    <row r="3081" spans="1:6" ht="12.75" x14ac:dyDescent="0.2">
      <c r="A3081" s="40"/>
      <c r="B3081" s="41" t="s">
        <v>399</v>
      </c>
      <c r="C3081" s="41" t="s">
        <v>2198</v>
      </c>
      <c r="D3081" s="40"/>
      <c r="E3081" s="40"/>
      <c r="F3081" s="40"/>
    </row>
    <row r="3082" spans="1:6" ht="12.75" x14ac:dyDescent="0.2">
      <c r="A3082" s="40"/>
      <c r="B3082" s="41" t="s">
        <v>400</v>
      </c>
      <c r="C3082" s="41" t="s">
        <v>2184</v>
      </c>
      <c r="D3082" s="40"/>
      <c r="E3082" s="40"/>
      <c r="F3082" s="40"/>
    </row>
    <row r="3083" spans="1:6" ht="12.75" x14ac:dyDescent="0.2">
      <c r="A3083" s="40"/>
      <c r="B3083" s="41" t="s">
        <v>401</v>
      </c>
      <c r="C3083" s="40"/>
      <c r="D3083" s="40"/>
      <c r="E3083" s="40"/>
      <c r="F3083" s="40"/>
    </row>
    <row r="3084" spans="1:6" ht="12.75" x14ac:dyDescent="0.2">
      <c r="A3084" s="41" t="s">
        <v>2185</v>
      </c>
      <c r="B3084" s="40"/>
      <c r="C3084" s="40"/>
      <c r="D3084" s="40"/>
      <c r="E3084" s="40"/>
      <c r="F3084" s="40"/>
    </row>
    <row r="3085" spans="1:6" ht="12.75" x14ac:dyDescent="0.2">
      <c r="A3085" s="41" t="s">
        <v>2186</v>
      </c>
      <c r="B3085" s="40"/>
      <c r="C3085" s="40"/>
      <c r="D3085" s="40"/>
      <c r="E3085" s="40"/>
      <c r="F3085" s="40"/>
    </row>
    <row r="3086" spans="1:6" ht="12.75" x14ac:dyDescent="0.2">
      <c r="A3086" s="41" t="s">
        <v>2187</v>
      </c>
      <c r="B3086" s="40"/>
      <c r="C3086" s="40"/>
      <c r="D3086" s="40"/>
      <c r="E3086" s="40"/>
      <c r="F3086" s="40"/>
    </row>
    <row r="3087" spans="1:6" ht="12.75" x14ac:dyDescent="0.2">
      <c r="A3087" s="41" t="s">
        <v>2188</v>
      </c>
      <c r="B3087" s="40"/>
      <c r="C3087" s="40"/>
      <c r="D3087" s="40"/>
      <c r="E3087" s="40"/>
      <c r="F3087" s="40"/>
    </row>
    <row r="3088" spans="1:6" ht="12.75" x14ac:dyDescent="0.2">
      <c r="A3088" s="41" t="s">
        <v>2189</v>
      </c>
      <c r="B3088" s="40"/>
      <c r="C3088" s="40"/>
      <c r="D3088" s="40"/>
      <c r="E3088" s="40"/>
      <c r="F3088" s="40"/>
    </row>
    <row r="3089" spans="1:6" ht="12.75" x14ac:dyDescent="0.2">
      <c r="A3089" s="41" t="s">
        <v>2190</v>
      </c>
      <c r="B3089" s="40"/>
      <c r="C3089" s="40"/>
      <c r="D3089" s="40"/>
      <c r="E3089" s="40"/>
      <c r="F3089" s="40"/>
    </row>
    <row r="3090" spans="1:6" ht="12.75" x14ac:dyDescent="0.2">
      <c r="A3090" s="41" t="s">
        <v>2191</v>
      </c>
      <c r="B3090" s="40"/>
      <c r="C3090" s="40"/>
      <c r="D3090" s="40"/>
      <c r="E3090" s="40"/>
      <c r="F3090" s="40"/>
    </row>
    <row r="3091" spans="1:6" ht="12.75" x14ac:dyDescent="0.2">
      <c r="A3091" s="41" t="s">
        <v>2192</v>
      </c>
      <c r="B3091" s="40"/>
      <c r="C3091" s="40"/>
      <c r="D3091" s="40"/>
      <c r="E3091" s="40"/>
      <c r="F3091" s="40"/>
    </row>
    <row r="3092" spans="1:6" ht="12.75" x14ac:dyDescent="0.2">
      <c r="A3092" s="41" t="s">
        <v>2193</v>
      </c>
      <c r="B3092" s="40"/>
      <c r="C3092" s="40"/>
      <c r="D3092" s="40"/>
      <c r="E3092" s="40"/>
      <c r="F3092" s="40"/>
    </row>
    <row r="3093" spans="1:6" ht="12.75" x14ac:dyDescent="0.2">
      <c r="A3093" s="41" t="s">
        <v>2194</v>
      </c>
      <c r="B3093" s="40"/>
      <c r="C3093" s="40"/>
      <c r="D3093" s="40"/>
      <c r="E3093" s="40"/>
      <c r="F3093" s="40"/>
    </row>
    <row r="3094" spans="1:6" ht="12.75" x14ac:dyDescent="0.2">
      <c r="A3094" s="41" t="s">
        <v>2195</v>
      </c>
      <c r="B3094" s="40"/>
      <c r="C3094" s="40"/>
      <c r="D3094" s="40"/>
      <c r="E3094" s="40"/>
      <c r="F3094" s="40"/>
    </row>
    <row r="3095" spans="1:6" ht="12.75" x14ac:dyDescent="0.2">
      <c r="A3095" s="41" t="s">
        <v>2196</v>
      </c>
      <c r="B3095" s="40"/>
      <c r="C3095" s="40"/>
      <c r="D3095" s="40"/>
      <c r="E3095" s="40"/>
      <c r="F3095" s="40"/>
    </row>
    <row r="3096" spans="1:6" ht="12.75" x14ac:dyDescent="0.2">
      <c r="A3096" s="40"/>
      <c r="B3096" s="41" t="s">
        <v>422</v>
      </c>
      <c r="C3096" s="41" t="s">
        <v>2136</v>
      </c>
      <c r="D3096" s="41" t="s">
        <v>2137</v>
      </c>
      <c r="E3096" s="40"/>
      <c r="F3096" s="40"/>
    </row>
    <row r="3097" spans="1:6" ht="12.75" x14ac:dyDescent="0.2">
      <c r="A3097" s="40"/>
      <c r="B3097" s="41" t="s">
        <v>422</v>
      </c>
      <c r="C3097" s="41" t="s">
        <v>2197</v>
      </c>
      <c r="D3097" s="41" t="s">
        <v>2151</v>
      </c>
      <c r="E3097" s="40"/>
      <c r="F3097" s="40"/>
    </row>
    <row r="3098" spans="1:6" ht="12.75" x14ac:dyDescent="0.2">
      <c r="A3098" s="40"/>
      <c r="B3098" s="41" t="s">
        <v>422</v>
      </c>
      <c r="C3098" s="41" t="s">
        <v>2135</v>
      </c>
      <c r="D3098" s="41" t="s">
        <v>808</v>
      </c>
      <c r="E3098" s="40"/>
      <c r="F3098" s="40"/>
    </row>
    <row r="3099" spans="1:6" ht="12.75" x14ac:dyDescent="0.2">
      <c r="A3099" s="40"/>
      <c r="B3099" s="40"/>
      <c r="C3099" s="40"/>
      <c r="D3099" s="40"/>
      <c r="E3099" s="40"/>
      <c r="F3099" s="40"/>
    </row>
    <row r="3100" spans="1:6" ht="12.75" x14ac:dyDescent="0.2">
      <c r="A3100" s="41" t="s">
        <v>2198</v>
      </c>
      <c r="B3100" s="40"/>
      <c r="C3100" s="40"/>
      <c r="D3100" s="40"/>
      <c r="E3100" s="40"/>
      <c r="F3100" s="40"/>
    </row>
    <row r="3101" spans="1:6" ht="12.75" x14ac:dyDescent="0.2">
      <c r="A3101" s="40"/>
      <c r="B3101" s="41" t="s">
        <v>398</v>
      </c>
      <c r="C3101" s="40"/>
      <c r="D3101" s="40"/>
      <c r="E3101" s="40"/>
      <c r="F3101" s="40"/>
    </row>
    <row r="3102" spans="1:6" ht="12.75" x14ac:dyDescent="0.2">
      <c r="A3102" s="40"/>
      <c r="B3102" s="41" t="s">
        <v>399</v>
      </c>
      <c r="C3102" s="41" t="s">
        <v>2198</v>
      </c>
      <c r="D3102" s="40"/>
      <c r="E3102" s="40"/>
      <c r="F3102" s="40"/>
    </row>
    <row r="3103" spans="1:6" ht="12.75" x14ac:dyDescent="0.2">
      <c r="A3103" s="40"/>
      <c r="B3103" s="41" t="s">
        <v>400</v>
      </c>
      <c r="C3103" s="41" t="s">
        <v>2198</v>
      </c>
      <c r="D3103" s="40"/>
      <c r="E3103" s="40"/>
      <c r="F3103" s="40"/>
    </row>
    <row r="3104" spans="1:6" ht="12.75" x14ac:dyDescent="0.2">
      <c r="A3104" s="40"/>
      <c r="B3104" s="41" t="s">
        <v>401</v>
      </c>
      <c r="C3104" s="40"/>
      <c r="D3104" s="40"/>
      <c r="E3104" s="40"/>
      <c r="F3104" s="40"/>
    </row>
    <row r="3105" spans="1:6" ht="12.75" x14ac:dyDescent="0.2">
      <c r="A3105" s="41" t="s">
        <v>2199</v>
      </c>
      <c r="B3105" s="40"/>
      <c r="C3105" s="40"/>
      <c r="D3105" s="40"/>
      <c r="E3105" s="40"/>
      <c r="F3105" s="40"/>
    </row>
    <row r="3106" spans="1:6" ht="12.75" x14ac:dyDescent="0.2">
      <c r="A3106" s="41" t="s">
        <v>2200</v>
      </c>
      <c r="B3106" s="40"/>
      <c r="C3106" s="40"/>
      <c r="D3106" s="40"/>
      <c r="E3106" s="40"/>
      <c r="F3106" s="40"/>
    </row>
    <row r="3107" spans="1:6" ht="12.75" x14ac:dyDescent="0.2">
      <c r="A3107" s="41" t="s">
        <v>2201</v>
      </c>
      <c r="B3107" s="40"/>
      <c r="C3107" s="40"/>
      <c r="D3107" s="40"/>
      <c r="E3107" s="40"/>
      <c r="F3107" s="40"/>
    </row>
    <row r="3108" spans="1:6" ht="12.75" x14ac:dyDescent="0.2">
      <c r="A3108" s="41" t="s">
        <v>2202</v>
      </c>
      <c r="B3108" s="40"/>
      <c r="C3108" s="40"/>
      <c r="D3108" s="40"/>
      <c r="E3108" s="40"/>
      <c r="F3108" s="40"/>
    </row>
    <row r="3109" spans="1:6" ht="12.75" x14ac:dyDescent="0.2">
      <c r="A3109" s="41" t="s">
        <v>2203</v>
      </c>
      <c r="B3109" s="40"/>
      <c r="C3109" s="40"/>
      <c r="D3109" s="40"/>
      <c r="E3109" s="40"/>
      <c r="F3109" s="40"/>
    </row>
    <row r="3110" spans="1:6" ht="12.75" x14ac:dyDescent="0.2">
      <c r="A3110" s="41" t="s">
        <v>2204</v>
      </c>
      <c r="B3110" s="40"/>
      <c r="C3110" s="40"/>
      <c r="D3110" s="40"/>
      <c r="E3110" s="40"/>
      <c r="F3110" s="40"/>
    </row>
    <row r="3111" spans="1:6" ht="12.75" x14ac:dyDescent="0.2">
      <c r="A3111" s="41" t="s">
        <v>2205</v>
      </c>
      <c r="B3111" s="40"/>
      <c r="C3111" s="40"/>
      <c r="D3111" s="40"/>
      <c r="E3111" s="40"/>
      <c r="F3111" s="40"/>
    </row>
    <row r="3112" spans="1:6" ht="12.75" x14ac:dyDescent="0.2">
      <c r="A3112" s="41" t="s">
        <v>2206</v>
      </c>
      <c r="B3112" s="40"/>
      <c r="C3112" s="40"/>
      <c r="D3112" s="40"/>
      <c r="E3112" s="40"/>
      <c r="F3112" s="40"/>
    </row>
    <row r="3113" spans="1:6" ht="12.75" x14ac:dyDescent="0.2">
      <c r="A3113" s="41" t="s">
        <v>2207</v>
      </c>
      <c r="B3113" s="40"/>
      <c r="C3113" s="40"/>
      <c r="D3113" s="40"/>
      <c r="E3113" s="40"/>
      <c r="F3113" s="40"/>
    </row>
    <row r="3114" spans="1:6" ht="12.75" x14ac:dyDescent="0.2">
      <c r="A3114" s="41" t="s">
        <v>2208</v>
      </c>
      <c r="B3114" s="40"/>
      <c r="C3114" s="40"/>
      <c r="D3114" s="40"/>
      <c r="E3114" s="40"/>
      <c r="F3114" s="40"/>
    </row>
    <row r="3115" spans="1:6" ht="12.75" x14ac:dyDescent="0.2">
      <c r="A3115" s="41" t="s">
        <v>2209</v>
      </c>
      <c r="B3115" s="40"/>
      <c r="C3115" s="40"/>
      <c r="D3115" s="40"/>
      <c r="E3115" s="40"/>
      <c r="F3115" s="40"/>
    </row>
    <row r="3116" spans="1:6" ht="12.75" x14ac:dyDescent="0.2">
      <c r="A3116" s="41" t="s">
        <v>2210</v>
      </c>
      <c r="B3116" s="40"/>
      <c r="C3116" s="40"/>
      <c r="D3116" s="40"/>
      <c r="E3116" s="40"/>
      <c r="F3116" s="40"/>
    </row>
    <row r="3117" spans="1:6" ht="12.75" x14ac:dyDescent="0.2">
      <c r="A3117" s="41" t="s">
        <v>2211</v>
      </c>
      <c r="B3117" s="40"/>
      <c r="C3117" s="40"/>
      <c r="D3117" s="40"/>
      <c r="E3117" s="40"/>
      <c r="F3117" s="40"/>
    </row>
    <row r="3118" spans="1:6" ht="12.75" x14ac:dyDescent="0.2">
      <c r="A3118" s="41" t="s">
        <v>2212</v>
      </c>
      <c r="B3118" s="40"/>
      <c r="C3118" s="40"/>
      <c r="D3118" s="40"/>
      <c r="E3118" s="40"/>
      <c r="F3118" s="40"/>
    </row>
    <row r="3119" spans="1:6" ht="12.75" x14ac:dyDescent="0.2">
      <c r="A3119" s="41" t="s">
        <v>2213</v>
      </c>
      <c r="B3119" s="40"/>
      <c r="C3119" s="40"/>
      <c r="D3119" s="40"/>
      <c r="E3119" s="40"/>
      <c r="F3119" s="40"/>
    </row>
    <row r="3120" spans="1:6" ht="12.75" x14ac:dyDescent="0.2">
      <c r="A3120" s="41" t="s">
        <v>2214</v>
      </c>
      <c r="B3120" s="40"/>
      <c r="C3120" s="40"/>
      <c r="D3120" s="40"/>
      <c r="E3120" s="40"/>
      <c r="F3120" s="40"/>
    </row>
    <row r="3121" spans="1:6" ht="12.75" x14ac:dyDescent="0.2">
      <c r="A3121" s="41" t="s">
        <v>2215</v>
      </c>
      <c r="B3121" s="40"/>
      <c r="C3121" s="40"/>
      <c r="D3121" s="40"/>
      <c r="E3121" s="40"/>
      <c r="F3121" s="40"/>
    </row>
    <row r="3122" spans="1:6" ht="12.75" x14ac:dyDescent="0.2">
      <c r="A3122" s="41" t="s">
        <v>2216</v>
      </c>
      <c r="B3122" s="40"/>
      <c r="C3122" s="40"/>
      <c r="D3122" s="40"/>
      <c r="E3122" s="40"/>
      <c r="F3122" s="40"/>
    </row>
    <row r="3123" spans="1:6" ht="12.75" x14ac:dyDescent="0.2">
      <c r="A3123" s="40"/>
      <c r="B3123" s="41" t="s">
        <v>422</v>
      </c>
      <c r="C3123" s="41" t="s">
        <v>2136</v>
      </c>
      <c r="D3123" s="41" t="s">
        <v>2137</v>
      </c>
      <c r="E3123" s="40"/>
      <c r="F3123" s="40"/>
    </row>
    <row r="3124" spans="1:6" ht="12.75" x14ac:dyDescent="0.2">
      <c r="A3124" s="40"/>
      <c r="B3124" s="41" t="s">
        <v>422</v>
      </c>
      <c r="C3124" s="41" t="s">
        <v>2217</v>
      </c>
      <c r="D3124" s="41" t="s">
        <v>2218</v>
      </c>
      <c r="E3124" s="40"/>
      <c r="F3124" s="40"/>
    </row>
    <row r="3125" spans="1:6" ht="12.75" x14ac:dyDescent="0.2">
      <c r="A3125" s="40"/>
      <c r="B3125" s="41" t="s">
        <v>422</v>
      </c>
      <c r="C3125" s="41" t="s">
        <v>2135</v>
      </c>
      <c r="D3125" s="41" t="s">
        <v>808</v>
      </c>
      <c r="E3125" s="40"/>
      <c r="F3125" s="40"/>
    </row>
    <row r="3126" spans="1:6" ht="12.75" x14ac:dyDescent="0.2">
      <c r="A3126" s="40"/>
      <c r="B3126" s="40"/>
      <c r="C3126" s="40"/>
      <c r="D3126" s="40"/>
      <c r="E3126" s="40"/>
      <c r="F3126" s="40"/>
    </row>
    <row r="3127" spans="1:6" ht="12.75" x14ac:dyDescent="0.2">
      <c r="A3127" s="41" t="s">
        <v>2219</v>
      </c>
      <c r="B3127" s="40"/>
      <c r="C3127" s="40"/>
      <c r="D3127" s="40"/>
      <c r="E3127" s="40"/>
      <c r="F3127" s="40"/>
    </row>
    <row r="3128" spans="1:6" ht="12.75" x14ac:dyDescent="0.2">
      <c r="A3128" s="40"/>
      <c r="B3128" s="41" t="s">
        <v>398</v>
      </c>
      <c r="C3128" s="40"/>
      <c r="D3128" s="40"/>
      <c r="E3128" s="40"/>
      <c r="F3128" s="40"/>
    </row>
    <row r="3129" spans="1:6" ht="12.75" x14ac:dyDescent="0.2">
      <c r="A3129" s="40"/>
      <c r="B3129" s="41" t="s">
        <v>399</v>
      </c>
      <c r="C3129" s="41" t="s">
        <v>2198</v>
      </c>
      <c r="D3129" s="40"/>
      <c r="E3129" s="40"/>
      <c r="F3129" s="40"/>
    </row>
    <row r="3130" spans="1:6" ht="12.75" x14ac:dyDescent="0.2">
      <c r="A3130" s="40"/>
      <c r="B3130" s="41" t="s">
        <v>400</v>
      </c>
      <c r="C3130" s="41" t="s">
        <v>2219</v>
      </c>
      <c r="D3130" s="40"/>
      <c r="E3130" s="40"/>
      <c r="F3130" s="40"/>
    </row>
    <row r="3131" spans="1:6" ht="12.75" x14ac:dyDescent="0.2">
      <c r="A3131" s="40"/>
      <c r="B3131" s="41" t="s">
        <v>401</v>
      </c>
      <c r="C3131" s="40"/>
      <c r="D3131" s="40"/>
      <c r="E3131" s="40"/>
      <c r="F3131" s="40"/>
    </row>
    <row r="3132" spans="1:6" ht="12.75" x14ac:dyDescent="0.2">
      <c r="A3132" s="41" t="s">
        <v>2220</v>
      </c>
      <c r="B3132" s="40"/>
      <c r="C3132" s="40"/>
      <c r="D3132" s="40"/>
      <c r="E3132" s="40"/>
      <c r="F3132" s="40"/>
    </row>
    <row r="3133" spans="1:6" ht="12.75" x14ac:dyDescent="0.2">
      <c r="A3133" s="41" t="s">
        <v>2221</v>
      </c>
      <c r="B3133" s="40"/>
      <c r="C3133" s="40"/>
      <c r="D3133" s="40"/>
      <c r="E3133" s="40"/>
      <c r="F3133" s="40"/>
    </row>
    <row r="3134" spans="1:6" ht="12.75" x14ac:dyDescent="0.2">
      <c r="A3134" s="41" t="s">
        <v>2222</v>
      </c>
      <c r="B3134" s="40"/>
      <c r="C3134" s="40"/>
      <c r="D3134" s="40"/>
      <c r="E3134" s="40"/>
      <c r="F3134" s="40"/>
    </row>
    <row r="3135" spans="1:6" ht="12.75" x14ac:dyDescent="0.2">
      <c r="A3135" s="41" t="s">
        <v>2223</v>
      </c>
      <c r="B3135" s="40"/>
      <c r="C3135" s="40"/>
      <c r="D3135" s="40"/>
      <c r="E3135" s="40"/>
      <c r="F3135" s="40"/>
    </row>
    <row r="3136" spans="1:6" ht="12.75" x14ac:dyDescent="0.2">
      <c r="A3136" s="41" t="s">
        <v>2224</v>
      </c>
      <c r="B3136" s="40"/>
      <c r="C3136" s="40"/>
      <c r="D3136" s="40"/>
      <c r="E3136" s="40"/>
      <c r="F3136" s="40"/>
    </row>
    <row r="3137" spans="1:6" ht="12.75" x14ac:dyDescent="0.2">
      <c r="A3137" s="41" t="s">
        <v>2225</v>
      </c>
      <c r="B3137" s="40"/>
      <c r="C3137" s="40"/>
      <c r="D3137" s="40"/>
      <c r="E3137" s="40"/>
      <c r="F3137" s="40"/>
    </row>
    <row r="3138" spans="1:6" ht="12.75" x14ac:dyDescent="0.2">
      <c r="A3138" s="41" t="s">
        <v>2226</v>
      </c>
      <c r="B3138" s="40"/>
      <c r="C3138" s="40"/>
      <c r="D3138" s="40"/>
      <c r="E3138" s="40"/>
      <c r="F3138" s="40"/>
    </row>
    <row r="3139" spans="1:6" ht="12.75" x14ac:dyDescent="0.2">
      <c r="A3139" s="41" t="s">
        <v>2227</v>
      </c>
      <c r="B3139" s="40"/>
      <c r="C3139" s="40"/>
      <c r="D3139" s="40"/>
      <c r="E3139" s="40"/>
      <c r="F3139" s="40"/>
    </row>
    <row r="3140" spans="1:6" ht="12.75" x14ac:dyDescent="0.2">
      <c r="A3140" s="41" t="s">
        <v>2228</v>
      </c>
      <c r="B3140" s="40"/>
      <c r="C3140" s="40"/>
      <c r="D3140" s="40"/>
      <c r="E3140" s="40"/>
      <c r="F3140" s="40"/>
    </row>
    <row r="3141" spans="1:6" ht="12.75" x14ac:dyDescent="0.2">
      <c r="A3141" s="41" t="s">
        <v>2229</v>
      </c>
      <c r="B3141" s="40"/>
      <c r="C3141" s="40"/>
      <c r="D3141" s="40"/>
      <c r="E3141" s="40"/>
      <c r="F3141" s="40"/>
    </row>
    <row r="3142" spans="1:6" ht="12.75" x14ac:dyDescent="0.2">
      <c r="A3142" s="41" t="s">
        <v>2230</v>
      </c>
      <c r="B3142" s="40"/>
      <c r="C3142" s="40"/>
      <c r="D3142" s="40"/>
      <c r="E3142" s="40"/>
      <c r="F3142" s="40"/>
    </row>
    <row r="3143" spans="1:6" ht="12.75" x14ac:dyDescent="0.2">
      <c r="A3143" s="40"/>
      <c r="B3143" s="41" t="s">
        <v>422</v>
      </c>
      <c r="C3143" s="41" t="s">
        <v>2171</v>
      </c>
      <c r="D3143" s="41" t="s">
        <v>2172</v>
      </c>
      <c r="E3143" s="40"/>
      <c r="F3143" s="40"/>
    </row>
    <row r="3144" spans="1:6" ht="12.75" x14ac:dyDescent="0.2">
      <c r="A3144" s="40"/>
      <c r="B3144" s="41" t="s">
        <v>422</v>
      </c>
      <c r="C3144" s="41" t="s">
        <v>2135</v>
      </c>
      <c r="D3144" s="41" t="s">
        <v>808</v>
      </c>
      <c r="E3144" s="40"/>
      <c r="F3144" s="40"/>
    </row>
    <row r="3145" spans="1:6" ht="12.75" x14ac:dyDescent="0.2">
      <c r="A3145" s="40"/>
      <c r="B3145" s="41" t="s">
        <v>422</v>
      </c>
      <c r="C3145" s="41" t="s">
        <v>2136</v>
      </c>
      <c r="D3145" s="41" t="s">
        <v>2137</v>
      </c>
      <c r="E3145" s="40"/>
      <c r="F3145" s="40"/>
    </row>
    <row r="3146" spans="1:6" ht="12.75" x14ac:dyDescent="0.2">
      <c r="A3146" s="40"/>
      <c r="B3146" s="40"/>
      <c r="C3146" s="40"/>
      <c r="D3146" s="40"/>
      <c r="E3146" s="40"/>
      <c r="F3146" s="40"/>
    </row>
    <row r="3147" spans="1:6" ht="12.75" x14ac:dyDescent="0.2">
      <c r="A3147" s="41" t="s">
        <v>2231</v>
      </c>
      <c r="B3147" s="40"/>
      <c r="C3147" s="40"/>
      <c r="D3147" s="40"/>
      <c r="E3147" s="40"/>
      <c r="F3147" s="40"/>
    </row>
    <row r="3148" spans="1:6" ht="12.75" x14ac:dyDescent="0.2">
      <c r="A3148" s="40"/>
      <c r="B3148" s="41" t="s">
        <v>398</v>
      </c>
      <c r="C3148" s="40"/>
      <c r="D3148" s="40"/>
      <c r="E3148" s="40"/>
      <c r="F3148" s="40"/>
    </row>
    <row r="3149" spans="1:6" ht="12.75" x14ac:dyDescent="0.2">
      <c r="A3149" s="40"/>
      <c r="B3149" s="41" t="s">
        <v>399</v>
      </c>
      <c r="C3149" s="41" t="s">
        <v>2198</v>
      </c>
      <c r="D3149" s="40"/>
      <c r="E3149" s="40"/>
      <c r="F3149" s="40"/>
    </row>
    <row r="3150" spans="1:6" ht="12.75" x14ac:dyDescent="0.2">
      <c r="A3150" s="40"/>
      <c r="B3150" s="41" t="s">
        <v>400</v>
      </c>
      <c r="C3150" s="41" t="s">
        <v>2231</v>
      </c>
      <c r="D3150" s="40"/>
      <c r="E3150" s="40"/>
      <c r="F3150" s="40"/>
    </row>
    <row r="3151" spans="1:6" ht="12.75" x14ac:dyDescent="0.2">
      <c r="A3151" s="40"/>
      <c r="B3151" s="41" t="s">
        <v>401</v>
      </c>
      <c r="C3151" s="40"/>
      <c r="D3151" s="40"/>
      <c r="E3151" s="40"/>
      <c r="F3151" s="40"/>
    </row>
    <row r="3152" spans="1:6" ht="12.75" x14ac:dyDescent="0.2">
      <c r="A3152" s="41" t="s">
        <v>2232</v>
      </c>
      <c r="B3152" s="40"/>
      <c r="C3152" s="40"/>
      <c r="D3152" s="40"/>
      <c r="E3152" s="40"/>
      <c r="F3152" s="40"/>
    </row>
    <row r="3153" spans="1:6" ht="12.75" x14ac:dyDescent="0.2">
      <c r="A3153" s="41" t="s">
        <v>2233</v>
      </c>
      <c r="B3153" s="40"/>
      <c r="C3153" s="40"/>
      <c r="D3153" s="40"/>
      <c r="E3153" s="40"/>
      <c r="F3153" s="40"/>
    </row>
    <row r="3154" spans="1:6" ht="12.75" x14ac:dyDescent="0.2">
      <c r="A3154" s="41" t="s">
        <v>2234</v>
      </c>
      <c r="B3154" s="40"/>
      <c r="C3154" s="40"/>
      <c r="D3154" s="40"/>
      <c r="E3154" s="40"/>
      <c r="F3154" s="40"/>
    </row>
    <row r="3155" spans="1:6" ht="12.75" x14ac:dyDescent="0.2">
      <c r="A3155" s="41" t="s">
        <v>2235</v>
      </c>
      <c r="B3155" s="40"/>
      <c r="C3155" s="40"/>
      <c r="D3155" s="40"/>
      <c r="E3155" s="40"/>
      <c r="F3155" s="40"/>
    </row>
    <row r="3156" spans="1:6" ht="12.75" x14ac:dyDescent="0.2">
      <c r="A3156" s="41" t="s">
        <v>2236</v>
      </c>
      <c r="B3156" s="40"/>
      <c r="C3156" s="40"/>
      <c r="D3156" s="40"/>
      <c r="E3156" s="40"/>
      <c r="F3156" s="40"/>
    </row>
    <row r="3157" spans="1:6" ht="12.75" x14ac:dyDescent="0.2">
      <c r="A3157" s="41" t="s">
        <v>2237</v>
      </c>
      <c r="B3157" s="40"/>
      <c r="C3157" s="40"/>
      <c r="D3157" s="40"/>
      <c r="E3157" s="40"/>
      <c r="F3157" s="40"/>
    </row>
    <row r="3158" spans="1:6" ht="12.75" x14ac:dyDescent="0.2">
      <c r="A3158" s="41" t="s">
        <v>2238</v>
      </c>
      <c r="B3158" s="40"/>
      <c r="C3158" s="40"/>
      <c r="D3158" s="40"/>
      <c r="E3158" s="40"/>
      <c r="F3158" s="40"/>
    </row>
    <row r="3159" spans="1:6" ht="12.75" x14ac:dyDescent="0.2">
      <c r="A3159" s="41" t="s">
        <v>2239</v>
      </c>
      <c r="B3159" s="40"/>
      <c r="C3159" s="40"/>
      <c r="D3159" s="40"/>
      <c r="E3159" s="40"/>
      <c r="F3159" s="40"/>
    </row>
    <row r="3160" spans="1:6" ht="12.75" x14ac:dyDescent="0.2">
      <c r="A3160" s="41" t="s">
        <v>2240</v>
      </c>
      <c r="B3160" s="40"/>
      <c r="C3160" s="40"/>
      <c r="D3160" s="40"/>
      <c r="E3160" s="40"/>
      <c r="F3160" s="40"/>
    </row>
    <row r="3161" spans="1:6" ht="12.75" x14ac:dyDescent="0.2">
      <c r="A3161" s="41" t="s">
        <v>2241</v>
      </c>
      <c r="B3161" s="40"/>
      <c r="C3161" s="40"/>
      <c r="D3161" s="40"/>
      <c r="E3161" s="40"/>
      <c r="F3161" s="40"/>
    </row>
    <row r="3162" spans="1:6" ht="12.75" x14ac:dyDescent="0.2">
      <c r="A3162" s="41" t="s">
        <v>2242</v>
      </c>
      <c r="B3162" s="40"/>
      <c r="C3162" s="40"/>
      <c r="D3162" s="40"/>
      <c r="E3162" s="40"/>
      <c r="F3162" s="40"/>
    </row>
    <row r="3163" spans="1:6" ht="12.75" x14ac:dyDescent="0.2">
      <c r="A3163" s="41" t="s">
        <v>2243</v>
      </c>
      <c r="B3163" s="40"/>
      <c r="C3163" s="40"/>
      <c r="D3163" s="40"/>
      <c r="E3163" s="40"/>
      <c r="F3163" s="40"/>
    </row>
    <row r="3164" spans="1:6" ht="12.75" x14ac:dyDescent="0.2">
      <c r="A3164" s="40"/>
      <c r="B3164" s="41" t="s">
        <v>422</v>
      </c>
      <c r="C3164" s="41" t="s">
        <v>2135</v>
      </c>
      <c r="D3164" s="41" t="s">
        <v>808</v>
      </c>
      <c r="E3164" s="40"/>
      <c r="F3164" s="40"/>
    </row>
    <row r="3165" spans="1:6" ht="12.75" x14ac:dyDescent="0.2">
      <c r="A3165" s="40"/>
      <c r="B3165" s="41" t="s">
        <v>422</v>
      </c>
      <c r="C3165" s="41" t="s">
        <v>836</v>
      </c>
      <c r="D3165" s="41" t="s">
        <v>837</v>
      </c>
      <c r="E3165" s="40"/>
      <c r="F3165" s="40"/>
    </row>
    <row r="3166" spans="1:6" ht="12.75" x14ac:dyDescent="0.2">
      <c r="A3166" s="40"/>
      <c r="B3166" s="41" t="s">
        <v>422</v>
      </c>
      <c r="C3166" s="41" t="s">
        <v>2136</v>
      </c>
      <c r="D3166" s="41" t="s">
        <v>2137</v>
      </c>
      <c r="E3166" s="40"/>
      <c r="F3166" s="40"/>
    </row>
    <row r="3167" spans="1:6" ht="12.75" x14ac:dyDescent="0.2">
      <c r="A3167" s="40"/>
      <c r="B3167" s="41" t="s">
        <v>422</v>
      </c>
      <c r="C3167" s="41" t="s">
        <v>2217</v>
      </c>
      <c r="D3167" s="41" t="s">
        <v>2218</v>
      </c>
      <c r="E3167" s="40"/>
      <c r="F3167" s="40"/>
    </row>
    <row r="3168" spans="1:6" ht="12.75" x14ac:dyDescent="0.2">
      <c r="A3168" s="40"/>
      <c r="B3168" s="40"/>
      <c r="C3168" s="40"/>
      <c r="D3168" s="40"/>
      <c r="E3168" s="40"/>
      <c r="F3168" s="40"/>
    </row>
    <row r="3169" spans="1:6" ht="12.75" x14ac:dyDescent="0.2">
      <c r="A3169" s="40"/>
      <c r="B3169" s="40"/>
      <c r="C3169" s="40"/>
      <c r="D3169" s="40"/>
      <c r="E3169" s="40"/>
      <c r="F3169" s="40"/>
    </row>
  </sheetData>
  <conditionalFormatting sqref="A1:A15 A17:A18 A21 B1:F3169 A23:A3169">
    <cfRule type="expression" dxfId="7" priority="1">
      <formula>(FIND("-",$A1,1)&gt;0)</formula>
    </cfRule>
  </conditionalFormatting>
  <conditionalFormatting sqref="A1:A15 A17:A18 A21 B1:F3169 A23:A3169">
    <cfRule type="expression" dxfId="6" priority="2">
      <formula>(FIND("smalltalk",$A1,1)&gt;0)</formula>
    </cfRule>
  </conditionalFormatting>
  <conditionalFormatting sqref="A1:A15 A17:A18 A21 B1:F3169 A23:A3169">
    <cfRule type="expression" dxfId="5" priority="3">
      <formula>(FIND("weather",$A1,1)&gt;0)</formula>
    </cfRule>
  </conditionalFormatting>
  <conditionalFormatting sqref="A1:A15 A17:A18 A21 B1:F3169 A23:A3169">
    <cfRule type="cellIs" dxfId="4" priority="4" operator="equal">
      <formula>"not yet"</formula>
    </cfRule>
  </conditionalFormatting>
  <conditionalFormatting sqref="A1:A15 A17:A18 A21 B1:F3169 A23:A3169">
    <cfRule type="cellIs" dxfId="3" priority="5" operator="equal">
      <formula>"parameter"</formula>
    </cfRule>
  </conditionalFormatting>
  <conditionalFormatting sqref="A1:A15 A17:A18 A21 B1:F3169 A23:A3169">
    <cfRule type="cellIs" dxfId="2" priority="6" operator="equal">
      <formula>"quick_reply"</formula>
    </cfRule>
  </conditionalFormatting>
  <conditionalFormatting sqref="A1:A15 A17:A18 A21 B1:F3169 A23:A3169">
    <cfRule type="cellIs" dxfId="1" priority="7" operator="equal">
      <formula>"payload_action"</formula>
    </cfRule>
  </conditionalFormatting>
  <conditionalFormatting sqref="A1:A15 A17:A18 A21 B1:F3169 A23:A3169">
    <cfRule type="containsText" dxfId="0" priority="8" operator="containsText" text="{{">
      <formula>NOT(ISERROR(SEARCH(("{{"),(A1))))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139"/>
  <sheetViews>
    <sheetView workbookViewId="0"/>
  </sheetViews>
  <sheetFormatPr defaultColWidth="14.42578125" defaultRowHeight="15.75" customHeight="1" x14ac:dyDescent="0.2"/>
  <cols>
    <col min="1" max="1" width="22.140625" customWidth="1"/>
    <col min="2" max="2" width="18.85546875" customWidth="1"/>
    <col min="3" max="3" width="92.140625" customWidth="1"/>
  </cols>
  <sheetData>
    <row r="1" spans="1:4" ht="15.75" customHeight="1" x14ac:dyDescent="0.2">
      <c r="A1" s="80" t="s">
        <v>1527</v>
      </c>
      <c r="B1" s="81"/>
      <c r="C1" s="81"/>
      <c r="D1" s="81"/>
    </row>
    <row r="2" spans="1:4" ht="15.75" customHeight="1" x14ac:dyDescent="0.2">
      <c r="A2" s="40"/>
      <c r="B2" s="41" t="s">
        <v>1543</v>
      </c>
      <c r="C2" s="41" t="s">
        <v>1548</v>
      </c>
      <c r="D2" s="40"/>
    </row>
    <row r="3" spans="1:4" ht="15.75" customHeight="1" x14ac:dyDescent="0.2">
      <c r="A3" s="40"/>
      <c r="B3" s="41" t="s">
        <v>1543</v>
      </c>
      <c r="C3" s="41" t="s">
        <v>1543</v>
      </c>
      <c r="D3" s="40"/>
    </row>
    <row r="4" spans="1:4" ht="15.75" customHeight="1" x14ac:dyDescent="0.2">
      <c r="A4" s="40"/>
      <c r="B4" s="40"/>
      <c r="C4" s="40"/>
      <c r="D4" s="40"/>
    </row>
    <row r="5" spans="1:4" ht="15.75" customHeight="1" x14ac:dyDescent="0.2">
      <c r="A5" s="80" t="s">
        <v>1550</v>
      </c>
      <c r="B5" s="81"/>
      <c r="C5" s="81"/>
      <c r="D5" s="81"/>
    </row>
    <row r="6" spans="1:4" ht="15.75" customHeight="1" x14ac:dyDescent="0.2">
      <c r="A6" s="40"/>
      <c r="B6" s="41" t="s">
        <v>1552</v>
      </c>
      <c r="C6" s="41" t="s">
        <v>1553</v>
      </c>
      <c r="D6" s="40"/>
    </row>
    <row r="7" spans="1:4" ht="15.75" customHeight="1" x14ac:dyDescent="0.2">
      <c r="A7" s="40"/>
      <c r="B7" s="41" t="s">
        <v>1552</v>
      </c>
      <c r="C7" s="41" t="s">
        <v>1552</v>
      </c>
      <c r="D7" s="40"/>
    </row>
    <row r="8" spans="1:4" ht="15.75" customHeight="1" x14ac:dyDescent="0.2">
      <c r="A8" s="40"/>
      <c r="B8" s="40"/>
      <c r="C8" s="40"/>
      <c r="D8" s="40"/>
    </row>
    <row r="9" spans="1:4" ht="15.75" customHeight="1" x14ac:dyDescent="0.2">
      <c r="A9" s="80" t="s">
        <v>1554</v>
      </c>
      <c r="B9" s="81"/>
      <c r="C9" s="81"/>
      <c r="D9" s="81"/>
    </row>
    <row r="10" spans="1:4" ht="15.75" customHeight="1" x14ac:dyDescent="0.2">
      <c r="A10" s="40"/>
      <c r="B10" s="41" t="s">
        <v>1555</v>
      </c>
      <c r="C10" s="41" t="s">
        <v>1556</v>
      </c>
      <c r="D10" s="40"/>
    </row>
    <row r="11" spans="1:4" ht="15.75" customHeight="1" x14ac:dyDescent="0.2">
      <c r="A11" s="40"/>
      <c r="B11" s="41" t="s">
        <v>1555</v>
      </c>
      <c r="C11" s="41" t="s">
        <v>1555</v>
      </c>
      <c r="D11" s="40"/>
    </row>
    <row r="12" spans="1:4" ht="15.75" customHeight="1" x14ac:dyDescent="0.2">
      <c r="A12" s="40"/>
      <c r="B12" s="41" t="s">
        <v>1557</v>
      </c>
      <c r="C12" s="41" t="s">
        <v>1557</v>
      </c>
      <c r="D12" s="40"/>
    </row>
    <row r="13" spans="1:4" ht="15.75" customHeight="1" x14ac:dyDescent="0.2">
      <c r="A13" s="40"/>
      <c r="B13" s="41" t="s">
        <v>1558</v>
      </c>
      <c r="C13" s="41" t="s">
        <v>1558</v>
      </c>
      <c r="D13" s="40"/>
    </row>
    <row r="14" spans="1:4" ht="15.75" customHeight="1" x14ac:dyDescent="0.2">
      <c r="A14" s="40"/>
      <c r="B14" s="41" t="s">
        <v>1559</v>
      </c>
      <c r="C14" s="41" t="s">
        <v>1559</v>
      </c>
      <c r="D14" s="40"/>
    </row>
    <row r="15" spans="1:4" ht="15.75" customHeight="1" x14ac:dyDescent="0.2">
      <c r="A15" s="40"/>
      <c r="B15" s="40"/>
      <c r="C15" s="40"/>
      <c r="D15" s="40"/>
    </row>
    <row r="16" spans="1:4" ht="15.75" customHeight="1" x14ac:dyDescent="0.2">
      <c r="A16" s="80" t="s">
        <v>1560</v>
      </c>
      <c r="B16" s="81"/>
      <c r="C16" s="81"/>
      <c r="D16" s="81"/>
    </row>
    <row r="17" spans="1:4" ht="15.75" customHeight="1" x14ac:dyDescent="0.2">
      <c r="A17" s="40"/>
      <c r="B17" s="41" t="s">
        <v>1561</v>
      </c>
      <c r="C17" s="41" t="s">
        <v>1562</v>
      </c>
      <c r="D17" s="40"/>
    </row>
    <row r="18" spans="1:4" ht="15.75" customHeight="1" x14ac:dyDescent="0.2">
      <c r="A18" s="40"/>
      <c r="B18" s="41" t="s">
        <v>1561</v>
      </c>
      <c r="C18" s="41" t="s">
        <v>1561</v>
      </c>
      <c r="D18" s="40"/>
    </row>
    <row r="19" spans="1:4" ht="15.75" customHeight="1" x14ac:dyDescent="0.2">
      <c r="A19" s="40"/>
      <c r="B19" s="40"/>
      <c r="C19" s="40"/>
      <c r="D19" s="40"/>
    </row>
    <row r="20" spans="1:4" ht="15.75" customHeight="1" x14ac:dyDescent="0.2">
      <c r="A20" s="80" t="s">
        <v>1563</v>
      </c>
      <c r="B20" s="81"/>
      <c r="C20" s="81"/>
      <c r="D20" s="81"/>
    </row>
    <row r="21" spans="1:4" ht="15.75" customHeight="1" x14ac:dyDescent="0.2">
      <c r="A21" s="40"/>
      <c r="B21" s="41" t="s">
        <v>1564</v>
      </c>
      <c r="C21" s="41" t="s">
        <v>1565</v>
      </c>
      <c r="D21" s="40"/>
    </row>
    <row r="22" spans="1:4" ht="15.75" customHeight="1" x14ac:dyDescent="0.2">
      <c r="A22" s="40"/>
      <c r="B22" s="41" t="s">
        <v>1566</v>
      </c>
      <c r="C22" s="41" t="s">
        <v>1567</v>
      </c>
      <c r="D22" s="40"/>
    </row>
    <row r="23" spans="1:4" ht="15.75" customHeight="1" x14ac:dyDescent="0.2">
      <c r="A23" s="40"/>
      <c r="B23" s="41" t="s">
        <v>1568</v>
      </c>
      <c r="C23" s="41" t="s">
        <v>1569</v>
      </c>
      <c r="D23" s="40"/>
    </row>
    <row r="24" spans="1:4" ht="15.75" customHeight="1" x14ac:dyDescent="0.2">
      <c r="A24" s="40"/>
      <c r="B24" s="41" t="s">
        <v>1570</v>
      </c>
      <c r="C24" s="41" t="s">
        <v>1571</v>
      </c>
      <c r="D24" s="40"/>
    </row>
    <row r="25" spans="1:4" ht="15.75" customHeight="1" x14ac:dyDescent="0.2">
      <c r="A25" s="40"/>
      <c r="B25" s="41" t="s">
        <v>1572</v>
      </c>
      <c r="C25" s="41" t="s">
        <v>1573</v>
      </c>
      <c r="D25" s="40"/>
    </row>
    <row r="26" spans="1:4" ht="15.75" customHeight="1" x14ac:dyDescent="0.2">
      <c r="A26" s="40"/>
      <c r="B26" s="41" t="s">
        <v>1574</v>
      </c>
      <c r="C26" s="41" t="s">
        <v>1575</v>
      </c>
      <c r="D26" s="40"/>
    </row>
    <row r="27" spans="1:4" ht="15.75" customHeight="1" x14ac:dyDescent="0.2">
      <c r="A27" s="40"/>
      <c r="B27" s="41" t="s">
        <v>1576</v>
      </c>
      <c r="C27" s="41" t="s">
        <v>1577</v>
      </c>
      <c r="D27" s="40"/>
    </row>
    <row r="28" spans="1:4" ht="15.75" customHeight="1" x14ac:dyDescent="0.2">
      <c r="A28" s="40"/>
      <c r="B28" s="41" t="s">
        <v>1578</v>
      </c>
      <c r="C28" s="41" t="s">
        <v>1579</v>
      </c>
      <c r="D28" s="40"/>
    </row>
    <row r="29" spans="1:4" ht="15.75" customHeight="1" x14ac:dyDescent="0.2">
      <c r="A29" s="40"/>
      <c r="B29" s="41" t="s">
        <v>1580</v>
      </c>
      <c r="C29" s="41" t="s">
        <v>1581</v>
      </c>
      <c r="D29" s="40"/>
    </row>
    <row r="30" spans="1:4" ht="12.75" x14ac:dyDescent="0.2">
      <c r="A30" s="40"/>
      <c r="B30" s="41" t="s">
        <v>1582</v>
      </c>
      <c r="C30" s="41" t="s">
        <v>1583</v>
      </c>
      <c r="D30" s="40"/>
    </row>
    <row r="31" spans="1:4" ht="12.75" x14ac:dyDescent="0.2">
      <c r="A31" s="40"/>
      <c r="B31" s="41" t="s">
        <v>1584</v>
      </c>
      <c r="C31" s="41" t="s">
        <v>1585</v>
      </c>
      <c r="D31" s="40"/>
    </row>
    <row r="32" spans="1:4" ht="12.75" x14ac:dyDescent="0.2">
      <c r="A32" s="40"/>
      <c r="B32" s="41" t="s">
        <v>1586</v>
      </c>
      <c r="C32" s="41" t="s">
        <v>1587</v>
      </c>
      <c r="D32" s="40"/>
    </row>
    <row r="33" spans="1:4" ht="12.75" x14ac:dyDescent="0.2">
      <c r="A33" s="40"/>
      <c r="B33" s="41" t="s">
        <v>1588</v>
      </c>
      <c r="C33" s="41" t="s">
        <v>1589</v>
      </c>
      <c r="D33" s="40"/>
    </row>
    <row r="34" spans="1:4" ht="12.75" x14ac:dyDescent="0.2">
      <c r="A34" s="40"/>
      <c r="B34" s="41" t="s">
        <v>1590</v>
      </c>
      <c r="C34" s="41" t="s">
        <v>1591</v>
      </c>
      <c r="D34" s="40"/>
    </row>
    <row r="35" spans="1:4" ht="12.75" x14ac:dyDescent="0.2">
      <c r="A35" s="40"/>
      <c r="B35" s="41" t="s">
        <v>1592</v>
      </c>
      <c r="C35" s="41" t="s">
        <v>1593</v>
      </c>
      <c r="D35" s="40"/>
    </row>
    <row r="36" spans="1:4" ht="12.75" x14ac:dyDescent="0.2">
      <c r="A36" s="40"/>
      <c r="B36" s="41" t="s">
        <v>1594</v>
      </c>
      <c r="C36" s="41" t="s">
        <v>1595</v>
      </c>
      <c r="D36" s="40"/>
    </row>
    <row r="37" spans="1:4" ht="12.75" x14ac:dyDescent="0.2">
      <c r="A37" s="40"/>
      <c r="B37" s="41" t="s">
        <v>1596</v>
      </c>
      <c r="C37" s="41" t="s">
        <v>1597</v>
      </c>
      <c r="D37" s="40"/>
    </row>
    <row r="38" spans="1:4" ht="12.75" x14ac:dyDescent="0.2">
      <c r="A38" s="40"/>
      <c r="B38" s="41" t="s">
        <v>1598</v>
      </c>
      <c r="C38" s="41" t="s">
        <v>1599</v>
      </c>
      <c r="D38" s="40"/>
    </row>
    <row r="39" spans="1:4" ht="12.75" x14ac:dyDescent="0.2">
      <c r="A39" s="40"/>
      <c r="B39" s="41" t="s">
        <v>1600</v>
      </c>
      <c r="C39" s="41" t="s">
        <v>1601</v>
      </c>
      <c r="D39" s="40"/>
    </row>
    <row r="40" spans="1:4" ht="12.75" x14ac:dyDescent="0.2">
      <c r="A40" s="40"/>
      <c r="B40" s="41" t="s">
        <v>1602</v>
      </c>
      <c r="C40" s="41" t="s">
        <v>1603</v>
      </c>
      <c r="D40" s="40"/>
    </row>
    <row r="41" spans="1:4" ht="12.75" x14ac:dyDescent="0.2">
      <c r="A41" s="40"/>
      <c r="B41" s="41" t="s">
        <v>1604</v>
      </c>
      <c r="C41" s="41" t="s">
        <v>1605</v>
      </c>
      <c r="D41" s="40"/>
    </row>
    <row r="42" spans="1:4" ht="12.75" x14ac:dyDescent="0.2">
      <c r="A42" s="40"/>
      <c r="B42" s="41" t="s">
        <v>1606</v>
      </c>
      <c r="C42" s="41" t="s">
        <v>1607</v>
      </c>
      <c r="D42" s="40"/>
    </row>
    <row r="43" spans="1:4" ht="12.75" x14ac:dyDescent="0.2">
      <c r="A43" s="40"/>
      <c r="B43" s="40"/>
      <c r="C43" s="40"/>
      <c r="D43" s="40"/>
    </row>
    <row r="44" spans="1:4" ht="12.75" x14ac:dyDescent="0.2">
      <c r="A44" s="80" t="s">
        <v>1609</v>
      </c>
      <c r="B44" s="81"/>
      <c r="C44" s="81"/>
      <c r="D44" s="81"/>
    </row>
    <row r="45" spans="1:4" ht="12.75" x14ac:dyDescent="0.2">
      <c r="A45" s="40"/>
      <c r="B45" s="41" t="s">
        <v>1610</v>
      </c>
      <c r="C45" s="41" t="s">
        <v>1612</v>
      </c>
      <c r="D45" s="40"/>
    </row>
    <row r="46" spans="1:4" ht="25.5" x14ac:dyDescent="0.2">
      <c r="A46" s="40"/>
      <c r="B46" s="41" t="s">
        <v>1614</v>
      </c>
      <c r="C46" s="41" t="s">
        <v>1614</v>
      </c>
      <c r="D46" s="40"/>
    </row>
    <row r="47" spans="1:4" ht="12.75" x14ac:dyDescent="0.2">
      <c r="A47" s="40"/>
      <c r="B47" s="41" t="s">
        <v>1610</v>
      </c>
      <c r="C47" s="41" t="s">
        <v>1610</v>
      </c>
      <c r="D47" s="40"/>
    </row>
    <row r="48" spans="1:4" ht="12.75" x14ac:dyDescent="0.2">
      <c r="A48" s="40"/>
      <c r="B48" s="41" t="s">
        <v>1617</v>
      </c>
      <c r="C48" s="41" t="s">
        <v>1617</v>
      </c>
      <c r="D48" s="40"/>
    </row>
    <row r="49" spans="1:4" ht="12.75" x14ac:dyDescent="0.2">
      <c r="A49" s="40"/>
      <c r="B49" s="40"/>
      <c r="C49" s="40"/>
      <c r="D49" s="40"/>
    </row>
    <row r="50" spans="1:4" ht="12.75" x14ac:dyDescent="0.2">
      <c r="A50" s="80" t="s">
        <v>1619</v>
      </c>
      <c r="B50" s="81"/>
      <c r="C50" s="81"/>
      <c r="D50" s="81"/>
    </row>
    <row r="51" spans="1:4" ht="12.75" x14ac:dyDescent="0.2">
      <c r="A51" s="40"/>
      <c r="B51" s="41" t="s">
        <v>1622</v>
      </c>
      <c r="C51" s="41" t="s">
        <v>1624</v>
      </c>
      <c r="D51" s="40"/>
    </row>
    <row r="52" spans="1:4" ht="12.75" x14ac:dyDescent="0.2">
      <c r="A52" s="40"/>
      <c r="B52" s="40"/>
      <c r="C52" s="40"/>
      <c r="D52" s="40"/>
    </row>
    <row r="53" spans="1:4" ht="12.75" x14ac:dyDescent="0.2">
      <c r="A53" s="80" t="s">
        <v>1969</v>
      </c>
      <c r="B53" s="81"/>
      <c r="C53" s="81"/>
      <c r="D53" s="81"/>
    </row>
    <row r="54" spans="1:4" ht="25.5" x14ac:dyDescent="0.2">
      <c r="A54" s="40"/>
      <c r="B54" s="41" t="s">
        <v>1971</v>
      </c>
      <c r="C54" s="41" t="s">
        <v>1971</v>
      </c>
      <c r="D54" s="40"/>
    </row>
    <row r="55" spans="1:4" ht="12.75" x14ac:dyDescent="0.2">
      <c r="A55" s="40"/>
      <c r="B55" s="40"/>
      <c r="C55" s="40"/>
      <c r="D55" s="40"/>
    </row>
    <row r="56" spans="1:4" ht="12.75" x14ac:dyDescent="0.2">
      <c r="A56" s="80" t="s">
        <v>1625</v>
      </c>
      <c r="B56" s="81"/>
      <c r="C56" s="81"/>
      <c r="D56" s="81"/>
    </row>
    <row r="57" spans="1:4" ht="12.75" x14ac:dyDescent="0.2">
      <c r="A57" s="40"/>
      <c r="B57" s="41" t="s">
        <v>1632</v>
      </c>
      <c r="C57" s="41" t="s">
        <v>1634</v>
      </c>
      <c r="D57" s="40"/>
    </row>
    <row r="58" spans="1:4" ht="12.75" x14ac:dyDescent="0.2">
      <c r="A58" s="40"/>
      <c r="B58" s="41" t="s">
        <v>1635</v>
      </c>
      <c r="C58" s="41" t="s">
        <v>1636</v>
      </c>
      <c r="D58" s="40"/>
    </row>
    <row r="59" spans="1:4" ht="12.75" x14ac:dyDescent="0.2">
      <c r="A59" s="40"/>
      <c r="B59" s="41" t="s">
        <v>1637</v>
      </c>
      <c r="C59" s="41" t="s">
        <v>1639</v>
      </c>
      <c r="D59" s="40"/>
    </row>
    <row r="60" spans="1:4" ht="12.75" x14ac:dyDescent="0.2">
      <c r="A60" s="40"/>
      <c r="B60" s="41" t="s">
        <v>1640</v>
      </c>
      <c r="C60" s="41" t="s">
        <v>1641</v>
      </c>
      <c r="D60" s="40"/>
    </row>
    <row r="61" spans="1:4" ht="12.75" x14ac:dyDescent="0.2">
      <c r="A61" s="40"/>
      <c r="B61" s="41" t="s">
        <v>1642</v>
      </c>
      <c r="C61" s="41" t="s">
        <v>1643</v>
      </c>
      <c r="D61" s="40"/>
    </row>
    <row r="62" spans="1:4" ht="12.75" x14ac:dyDescent="0.2">
      <c r="A62" s="40"/>
      <c r="B62" s="41" t="s">
        <v>1645</v>
      </c>
      <c r="C62" s="41" t="s">
        <v>1646</v>
      </c>
      <c r="D62" s="40"/>
    </row>
    <row r="63" spans="1:4" ht="12.75" x14ac:dyDescent="0.2">
      <c r="A63" s="40"/>
      <c r="B63" s="41" t="s">
        <v>1647</v>
      </c>
      <c r="C63" s="41" t="s">
        <v>1649</v>
      </c>
      <c r="D63" s="40"/>
    </row>
    <row r="64" spans="1:4" ht="12.75" x14ac:dyDescent="0.2">
      <c r="A64" s="40"/>
      <c r="B64" s="41" t="s">
        <v>1650</v>
      </c>
      <c r="C64" s="41" t="s">
        <v>1651</v>
      </c>
      <c r="D64" s="40"/>
    </row>
    <row r="65" spans="1:4" ht="12.75" x14ac:dyDescent="0.2">
      <c r="A65" s="40"/>
      <c r="B65" s="41" t="s">
        <v>1653</v>
      </c>
      <c r="C65" s="41" t="s">
        <v>1654</v>
      </c>
      <c r="D65" s="40"/>
    </row>
    <row r="66" spans="1:4" ht="12.75" x14ac:dyDescent="0.2">
      <c r="A66" s="40"/>
      <c r="B66" s="41" t="s">
        <v>1655</v>
      </c>
      <c r="C66" s="41" t="s">
        <v>1656</v>
      </c>
      <c r="D66" s="40"/>
    </row>
    <row r="67" spans="1:4" ht="12.75" x14ac:dyDescent="0.2">
      <c r="A67" s="40"/>
      <c r="B67" s="41" t="s">
        <v>1658</v>
      </c>
      <c r="C67" s="41" t="s">
        <v>1659</v>
      </c>
      <c r="D67" s="40"/>
    </row>
    <row r="68" spans="1:4" ht="12.75" x14ac:dyDescent="0.2">
      <c r="A68" s="40"/>
      <c r="B68" s="41" t="s">
        <v>1660</v>
      </c>
      <c r="C68" s="41" t="s">
        <v>1661</v>
      </c>
      <c r="D68" s="40"/>
    </row>
    <row r="69" spans="1:4" ht="12.75" x14ac:dyDescent="0.2">
      <c r="A69" s="40"/>
      <c r="B69" s="41" t="s">
        <v>1662</v>
      </c>
      <c r="C69" s="41" t="s">
        <v>1664</v>
      </c>
      <c r="D69" s="40"/>
    </row>
    <row r="70" spans="1:4" ht="12.75" x14ac:dyDescent="0.2">
      <c r="A70" s="40"/>
      <c r="B70" s="41" t="s">
        <v>1665</v>
      </c>
      <c r="C70" s="41" t="s">
        <v>1666</v>
      </c>
      <c r="D70" s="40"/>
    </row>
    <row r="71" spans="1:4" ht="12.75" x14ac:dyDescent="0.2">
      <c r="A71" s="40"/>
      <c r="B71" s="41" t="s">
        <v>1668</v>
      </c>
      <c r="C71" s="41" t="s">
        <v>1669</v>
      </c>
      <c r="D71" s="40"/>
    </row>
    <row r="72" spans="1:4" ht="12.75" x14ac:dyDescent="0.2">
      <c r="A72" s="40"/>
      <c r="B72" s="41" t="s">
        <v>1670</v>
      </c>
      <c r="C72" s="41" t="s">
        <v>1672</v>
      </c>
      <c r="D72" s="40"/>
    </row>
    <row r="73" spans="1:4" ht="12.75" x14ac:dyDescent="0.2">
      <c r="A73" s="40"/>
      <c r="B73" s="41" t="s">
        <v>1673</v>
      </c>
      <c r="C73" s="41" t="s">
        <v>1674</v>
      </c>
      <c r="D73" s="40"/>
    </row>
    <row r="74" spans="1:4" ht="12.75" x14ac:dyDescent="0.2">
      <c r="A74" s="40"/>
      <c r="B74" s="41" t="s">
        <v>1675</v>
      </c>
      <c r="C74" s="41" t="s">
        <v>1676</v>
      </c>
      <c r="D74" s="40"/>
    </row>
    <row r="75" spans="1:4" ht="12.75" x14ac:dyDescent="0.2">
      <c r="A75" s="40"/>
      <c r="B75" s="41" t="s">
        <v>1678</v>
      </c>
      <c r="C75" s="41" t="s">
        <v>1679</v>
      </c>
      <c r="D75" s="40"/>
    </row>
    <row r="76" spans="1:4" ht="12.75" x14ac:dyDescent="0.2">
      <c r="A76" s="40"/>
      <c r="B76" s="41" t="s">
        <v>1681</v>
      </c>
      <c r="C76" s="41" t="s">
        <v>1682</v>
      </c>
      <c r="D76" s="40"/>
    </row>
    <row r="77" spans="1:4" ht="12.75" x14ac:dyDescent="0.2">
      <c r="A77" s="40"/>
      <c r="B77" s="41" t="s">
        <v>1693</v>
      </c>
      <c r="C77" s="41" t="s">
        <v>1694</v>
      </c>
      <c r="D77" s="40"/>
    </row>
    <row r="78" spans="1:4" ht="12.75" x14ac:dyDescent="0.2">
      <c r="A78" s="40"/>
      <c r="B78" s="41" t="s">
        <v>1695</v>
      </c>
      <c r="C78" s="41" t="s">
        <v>1697</v>
      </c>
      <c r="D78" s="40"/>
    </row>
    <row r="79" spans="1:4" ht="12.75" x14ac:dyDescent="0.2">
      <c r="A79" s="40"/>
      <c r="B79" s="41" t="s">
        <v>1699</v>
      </c>
      <c r="C79" s="41" t="s">
        <v>1700</v>
      </c>
      <c r="D79" s="40"/>
    </row>
    <row r="80" spans="1:4" ht="12.75" x14ac:dyDescent="0.2">
      <c r="A80" s="40"/>
      <c r="B80" s="41" t="s">
        <v>1702</v>
      </c>
      <c r="C80" s="41" t="s">
        <v>1703</v>
      </c>
      <c r="D80" s="40"/>
    </row>
    <row r="81" spans="1:4" ht="12.75" x14ac:dyDescent="0.2">
      <c r="A81" s="40"/>
      <c r="B81" s="41" t="s">
        <v>1705</v>
      </c>
      <c r="C81" s="41" t="s">
        <v>1706</v>
      </c>
      <c r="D81" s="40"/>
    </row>
    <row r="82" spans="1:4" ht="12.75" x14ac:dyDescent="0.2">
      <c r="A82" s="40"/>
      <c r="B82" s="41" t="s">
        <v>1708</v>
      </c>
      <c r="C82" s="41" t="s">
        <v>1709</v>
      </c>
      <c r="D82" s="40"/>
    </row>
    <row r="83" spans="1:4" ht="12.75" x14ac:dyDescent="0.2">
      <c r="A83" s="40"/>
      <c r="B83" s="41" t="s">
        <v>1711</v>
      </c>
      <c r="C83" s="41" t="s">
        <v>1713</v>
      </c>
      <c r="D83" s="40"/>
    </row>
    <row r="84" spans="1:4" ht="12.75" x14ac:dyDescent="0.2">
      <c r="A84" s="40"/>
      <c r="B84" s="41" t="s">
        <v>1714</v>
      </c>
      <c r="C84" s="41" t="s">
        <v>1715</v>
      </c>
      <c r="D84" s="40"/>
    </row>
    <row r="85" spans="1:4" ht="12.75" x14ac:dyDescent="0.2">
      <c r="A85" s="40"/>
      <c r="B85" s="41" t="s">
        <v>1717</v>
      </c>
      <c r="C85" s="41" t="s">
        <v>1718</v>
      </c>
      <c r="D85" s="40"/>
    </row>
    <row r="86" spans="1:4" ht="12.75" x14ac:dyDescent="0.2">
      <c r="A86" s="40"/>
      <c r="B86" s="41" t="s">
        <v>1719</v>
      </c>
      <c r="C86" s="41" t="s">
        <v>1720</v>
      </c>
      <c r="D86" s="40"/>
    </row>
    <row r="87" spans="1:4" ht="12.75" x14ac:dyDescent="0.2">
      <c r="A87" s="40"/>
      <c r="B87" s="41" t="s">
        <v>1723</v>
      </c>
      <c r="C87" s="41" t="s">
        <v>1725</v>
      </c>
      <c r="D87" s="40"/>
    </row>
    <row r="88" spans="1:4" ht="12.75" x14ac:dyDescent="0.2">
      <c r="A88" s="40"/>
      <c r="B88" s="41" t="s">
        <v>1726</v>
      </c>
      <c r="C88" s="41" t="s">
        <v>1727</v>
      </c>
      <c r="D88" s="40"/>
    </row>
    <row r="89" spans="1:4" ht="12.75" x14ac:dyDescent="0.2">
      <c r="A89" s="40"/>
      <c r="B89" s="41" t="s">
        <v>1729</v>
      </c>
      <c r="C89" s="41" t="s">
        <v>1730</v>
      </c>
      <c r="D89" s="40"/>
    </row>
    <row r="90" spans="1:4" ht="12.75" x14ac:dyDescent="0.2">
      <c r="A90" s="40"/>
      <c r="B90" s="41" t="s">
        <v>1732</v>
      </c>
      <c r="C90" s="41" t="s">
        <v>1733</v>
      </c>
      <c r="D90" s="40"/>
    </row>
    <row r="91" spans="1:4" ht="12.75" x14ac:dyDescent="0.2">
      <c r="A91" s="40"/>
      <c r="B91" s="41" t="s">
        <v>1734</v>
      </c>
      <c r="C91" s="41" t="s">
        <v>1735</v>
      </c>
      <c r="D91" s="40"/>
    </row>
    <row r="92" spans="1:4" ht="12.75" x14ac:dyDescent="0.2">
      <c r="A92" s="40"/>
      <c r="B92" s="41" t="s">
        <v>1736</v>
      </c>
      <c r="C92" s="41" t="s">
        <v>1737</v>
      </c>
      <c r="D92" s="40"/>
    </row>
    <row r="93" spans="1:4" ht="12.75" x14ac:dyDescent="0.2">
      <c r="A93" s="40"/>
      <c r="B93" s="41" t="s">
        <v>1738</v>
      </c>
      <c r="C93" s="41" t="s">
        <v>1739</v>
      </c>
      <c r="D93" s="40"/>
    </row>
    <row r="94" spans="1:4" ht="12.75" x14ac:dyDescent="0.2">
      <c r="A94" s="40"/>
      <c r="B94" s="41" t="s">
        <v>1740</v>
      </c>
      <c r="C94" s="41" t="s">
        <v>1741</v>
      </c>
      <c r="D94" s="40"/>
    </row>
    <row r="95" spans="1:4" ht="12.75" x14ac:dyDescent="0.2">
      <c r="A95" s="40"/>
      <c r="B95" s="41" t="s">
        <v>1742</v>
      </c>
      <c r="C95" s="41" t="s">
        <v>1743</v>
      </c>
      <c r="D95" s="40"/>
    </row>
    <row r="96" spans="1:4" ht="12.75" x14ac:dyDescent="0.2">
      <c r="A96" s="40"/>
      <c r="B96" s="41" t="s">
        <v>1744</v>
      </c>
      <c r="C96" s="41" t="s">
        <v>1745</v>
      </c>
      <c r="D96" s="40"/>
    </row>
    <row r="97" spans="1:4" ht="12.75" x14ac:dyDescent="0.2">
      <c r="A97" s="40"/>
      <c r="B97" s="41" t="s">
        <v>1747</v>
      </c>
      <c r="C97" s="41" t="s">
        <v>1748</v>
      </c>
      <c r="D97" s="40"/>
    </row>
    <row r="98" spans="1:4" ht="12.75" x14ac:dyDescent="0.2">
      <c r="A98" s="40"/>
      <c r="B98" s="41" t="s">
        <v>1749</v>
      </c>
      <c r="C98" s="41" t="s">
        <v>1750</v>
      </c>
      <c r="D98" s="40"/>
    </row>
    <row r="99" spans="1:4" ht="12.75" x14ac:dyDescent="0.2">
      <c r="A99" s="40"/>
      <c r="B99" s="41" t="s">
        <v>1751</v>
      </c>
      <c r="C99" s="41" t="s">
        <v>1753</v>
      </c>
      <c r="D99" s="40"/>
    </row>
    <row r="100" spans="1:4" ht="12.75" x14ac:dyDescent="0.2">
      <c r="A100" s="40"/>
      <c r="B100" s="41" t="s">
        <v>1755</v>
      </c>
      <c r="C100" s="41" t="s">
        <v>1756</v>
      </c>
      <c r="D100" s="40"/>
    </row>
    <row r="101" spans="1:4" ht="12.75" x14ac:dyDescent="0.2">
      <c r="A101" s="40"/>
      <c r="B101" s="41" t="s">
        <v>1758</v>
      </c>
      <c r="C101" s="41" t="s">
        <v>1759</v>
      </c>
      <c r="D101" s="40"/>
    </row>
    <row r="102" spans="1:4" ht="12.75" x14ac:dyDescent="0.2">
      <c r="A102" s="40"/>
      <c r="B102" s="40"/>
      <c r="C102" s="40"/>
      <c r="D102" s="40"/>
    </row>
    <row r="103" spans="1:4" ht="12.75" x14ac:dyDescent="0.2">
      <c r="A103" s="80" t="s">
        <v>1761</v>
      </c>
      <c r="B103" s="81"/>
      <c r="C103" s="81"/>
      <c r="D103" s="81"/>
    </row>
    <row r="104" spans="1:4" ht="12.75" x14ac:dyDescent="0.2">
      <c r="A104" s="40"/>
      <c r="B104" s="41" t="s">
        <v>1763</v>
      </c>
      <c r="C104" s="41" t="s">
        <v>1765</v>
      </c>
      <c r="D104" s="40"/>
    </row>
    <row r="105" spans="1:4" ht="12.75" x14ac:dyDescent="0.2">
      <c r="A105" s="40"/>
      <c r="B105" s="41" t="s">
        <v>833</v>
      </c>
      <c r="C105" s="41" t="s">
        <v>1767</v>
      </c>
      <c r="D105" s="40"/>
    </row>
    <row r="106" spans="1:4" ht="12.75" x14ac:dyDescent="0.2">
      <c r="A106" s="40"/>
      <c r="B106" s="41" t="s">
        <v>1769</v>
      </c>
      <c r="C106" s="41" t="s">
        <v>1770</v>
      </c>
      <c r="D106" s="40"/>
    </row>
    <row r="107" spans="1:4" ht="12.75" x14ac:dyDescent="0.2">
      <c r="A107" s="40"/>
      <c r="B107" s="41" t="s">
        <v>1771</v>
      </c>
      <c r="C107" s="41" t="s">
        <v>1772</v>
      </c>
      <c r="D107" s="40"/>
    </row>
    <row r="108" spans="1:4" ht="12.75" x14ac:dyDescent="0.2">
      <c r="A108" s="40"/>
      <c r="B108" s="41" t="s">
        <v>1774</v>
      </c>
      <c r="C108" s="41" t="s">
        <v>1774</v>
      </c>
      <c r="D108" s="40"/>
    </row>
    <row r="109" spans="1:4" ht="12.75" x14ac:dyDescent="0.2">
      <c r="A109" s="40"/>
      <c r="B109" s="41" t="s">
        <v>1775</v>
      </c>
      <c r="C109" s="41" t="s">
        <v>1775</v>
      </c>
      <c r="D109" s="40"/>
    </row>
    <row r="110" spans="1:4" ht="12.75" x14ac:dyDescent="0.2">
      <c r="A110" s="40"/>
      <c r="B110" s="41" t="s">
        <v>1778</v>
      </c>
      <c r="C110" s="41" t="s">
        <v>1778</v>
      </c>
      <c r="D110" s="40"/>
    </row>
    <row r="111" spans="1:4" ht="12.75" x14ac:dyDescent="0.2">
      <c r="A111" s="40"/>
      <c r="B111" s="41" t="s">
        <v>1780</v>
      </c>
      <c r="C111" s="41" t="s">
        <v>1780</v>
      </c>
      <c r="D111" s="40"/>
    </row>
    <row r="112" spans="1:4" ht="12.75" x14ac:dyDescent="0.2">
      <c r="A112" s="40"/>
      <c r="B112" s="40"/>
      <c r="C112" s="40"/>
      <c r="D112" s="40"/>
    </row>
    <row r="113" spans="1:4" ht="12.75" x14ac:dyDescent="0.2">
      <c r="A113" s="80" t="s">
        <v>1783</v>
      </c>
      <c r="B113" s="81"/>
      <c r="C113" s="81"/>
      <c r="D113" s="81"/>
    </row>
    <row r="114" spans="1:4" ht="12.75" x14ac:dyDescent="0.2">
      <c r="A114" s="40"/>
      <c r="B114" s="41" t="s">
        <v>1785</v>
      </c>
      <c r="C114" s="41" t="s">
        <v>1786</v>
      </c>
      <c r="D114" s="40"/>
    </row>
    <row r="115" spans="1:4" ht="25.5" x14ac:dyDescent="0.2">
      <c r="A115" s="40"/>
      <c r="B115" s="41" t="s">
        <v>1788</v>
      </c>
      <c r="C115" s="41" t="s">
        <v>1790</v>
      </c>
      <c r="D115" s="40"/>
    </row>
    <row r="116" spans="1:4" ht="25.5" x14ac:dyDescent="0.2">
      <c r="A116" s="40"/>
      <c r="B116" s="41" t="s">
        <v>1792</v>
      </c>
      <c r="C116" s="41" t="s">
        <v>1793</v>
      </c>
      <c r="D116" s="40"/>
    </row>
    <row r="117" spans="1:4" ht="12.75" x14ac:dyDescent="0.2">
      <c r="A117" s="40"/>
      <c r="B117" s="41" t="s">
        <v>1794</v>
      </c>
      <c r="C117" s="41" t="s">
        <v>1795</v>
      </c>
      <c r="D117" s="40"/>
    </row>
    <row r="118" spans="1:4" ht="12.75" x14ac:dyDescent="0.2">
      <c r="A118" s="40"/>
      <c r="B118" s="40"/>
      <c r="C118" s="40"/>
      <c r="D118" s="40"/>
    </row>
    <row r="119" spans="1:4" ht="12.75" x14ac:dyDescent="0.2">
      <c r="A119" s="80" t="s">
        <v>1796</v>
      </c>
      <c r="B119" s="81"/>
      <c r="C119" s="81"/>
      <c r="D119" s="81"/>
    </row>
    <row r="120" spans="1:4" ht="12.75" x14ac:dyDescent="0.2">
      <c r="A120" s="40"/>
      <c r="B120" s="41" t="s">
        <v>1797</v>
      </c>
      <c r="C120" s="41" t="s">
        <v>1798</v>
      </c>
      <c r="D120" s="40"/>
    </row>
    <row r="121" spans="1:4" ht="12.75" x14ac:dyDescent="0.2">
      <c r="A121" s="40"/>
      <c r="B121" s="41" t="s">
        <v>1799</v>
      </c>
      <c r="C121" s="41" t="s">
        <v>1800</v>
      </c>
      <c r="D121" s="40"/>
    </row>
    <row r="122" spans="1:4" ht="12.75" x14ac:dyDescent="0.2">
      <c r="A122" s="40"/>
      <c r="B122" s="41" t="s">
        <v>1801</v>
      </c>
      <c r="C122" s="41" t="s">
        <v>1802</v>
      </c>
      <c r="D122" s="40"/>
    </row>
    <row r="123" spans="1:4" ht="12.75" x14ac:dyDescent="0.2">
      <c r="A123" s="40"/>
      <c r="B123" s="41" t="s">
        <v>1803</v>
      </c>
      <c r="C123" s="41" t="s">
        <v>1804</v>
      </c>
      <c r="D123" s="40"/>
    </row>
    <row r="124" spans="1:4" ht="12.75" x14ac:dyDescent="0.2">
      <c r="A124" s="40"/>
      <c r="B124" s="41" t="s">
        <v>1805</v>
      </c>
      <c r="C124" s="41" t="s">
        <v>1807</v>
      </c>
      <c r="D124" s="40"/>
    </row>
    <row r="125" spans="1:4" ht="12.75" x14ac:dyDescent="0.2">
      <c r="A125" s="40"/>
      <c r="B125" s="41" t="s">
        <v>1808</v>
      </c>
      <c r="C125" s="41" t="s">
        <v>1810</v>
      </c>
      <c r="D125" s="40"/>
    </row>
    <row r="126" spans="1:4" ht="12.75" x14ac:dyDescent="0.2">
      <c r="A126" s="40"/>
      <c r="B126" s="41" t="s">
        <v>1811</v>
      </c>
      <c r="C126" s="41" t="s">
        <v>1813</v>
      </c>
      <c r="D126" s="40"/>
    </row>
    <row r="127" spans="1:4" ht="12.75" x14ac:dyDescent="0.2">
      <c r="A127" s="40"/>
      <c r="B127" s="41" t="s">
        <v>1815</v>
      </c>
      <c r="C127" s="41" t="s">
        <v>1817</v>
      </c>
      <c r="D127" s="40"/>
    </row>
    <row r="128" spans="1:4" ht="12.75" x14ac:dyDescent="0.2">
      <c r="A128" s="40"/>
      <c r="B128" s="41" t="s">
        <v>1818</v>
      </c>
      <c r="C128" s="41" t="s">
        <v>1820</v>
      </c>
      <c r="D128" s="40"/>
    </row>
    <row r="129" spans="1:4" ht="12.75" x14ac:dyDescent="0.2">
      <c r="A129" s="40"/>
      <c r="B129" s="41" t="s">
        <v>1823</v>
      </c>
      <c r="C129" s="41" t="s">
        <v>1825</v>
      </c>
      <c r="D129" s="40"/>
    </row>
    <row r="130" spans="1:4" ht="12.75" x14ac:dyDescent="0.2">
      <c r="A130" s="40"/>
      <c r="B130" s="41" t="s">
        <v>1827</v>
      </c>
      <c r="C130" s="41" t="s">
        <v>1829</v>
      </c>
      <c r="D130" s="40"/>
    </row>
    <row r="131" spans="1:4" ht="12.75" x14ac:dyDescent="0.2">
      <c r="A131" s="40"/>
      <c r="B131" s="41" t="s">
        <v>1830</v>
      </c>
      <c r="C131" s="41" t="s">
        <v>1831</v>
      </c>
      <c r="D131" s="40"/>
    </row>
    <row r="132" spans="1:4" ht="12.75" x14ac:dyDescent="0.2">
      <c r="A132" s="40"/>
      <c r="B132" s="41" t="s">
        <v>1833</v>
      </c>
      <c r="C132" s="41" t="s">
        <v>1835</v>
      </c>
      <c r="D132" s="40"/>
    </row>
    <row r="133" spans="1:4" ht="12.75" x14ac:dyDescent="0.2">
      <c r="A133" s="40"/>
      <c r="B133" s="41" t="s">
        <v>1837</v>
      </c>
      <c r="C133" s="41" t="s">
        <v>1839</v>
      </c>
      <c r="D133" s="40"/>
    </row>
    <row r="134" spans="1:4" ht="12.75" x14ac:dyDescent="0.2">
      <c r="A134" s="40"/>
      <c r="B134" s="41" t="s">
        <v>1841</v>
      </c>
      <c r="C134" s="41" t="s">
        <v>1843</v>
      </c>
      <c r="D134" s="40"/>
    </row>
    <row r="135" spans="1:4" ht="12.75" x14ac:dyDescent="0.2">
      <c r="A135" s="40"/>
      <c r="B135" s="41" t="s">
        <v>1845</v>
      </c>
      <c r="C135" s="41" t="s">
        <v>1847</v>
      </c>
      <c r="D135" s="40"/>
    </row>
    <row r="136" spans="1:4" ht="12.75" x14ac:dyDescent="0.2">
      <c r="A136" s="40"/>
      <c r="B136" s="41" t="s">
        <v>1849</v>
      </c>
      <c r="C136" s="41" t="s">
        <v>1850</v>
      </c>
      <c r="D136" s="40"/>
    </row>
    <row r="137" spans="1:4" ht="12.75" x14ac:dyDescent="0.2">
      <c r="A137" s="40"/>
      <c r="B137" s="41" t="s">
        <v>1852</v>
      </c>
      <c r="C137" s="41" t="s">
        <v>1854</v>
      </c>
      <c r="D137" s="40"/>
    </row>
    <row r="138" spans="1:4" ht="12.75" x14ac:dyDescent="0.2">
      <c r="A138" s="40"/>
      <c r="B138" s="41" t="s">
        <v>1855</v>
      </c>
      <c r="C138" s="41" t="s">
        <v>1857</v>
      </c>
      <c r="D138" s="40"/>
    </row>
    <row r="139" spans="1:4" ht="12.75" x14ac:dyDescent="0.2">
      <c r="A139" s="40"/>
      <c r="B139" s="40"/>
      <c r="C139" s="40"/>
      <c r="D139"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41.140625" customWidth="1"/>
    <col min="2" max="2" width="51.85546875" customWidth="1"/>
    <col min="3" max="3" width="14.5703125" customWidth="1"/>
    <col min="4" max="4" width="29.140625" customWidth="1"/>
    <col min="5" max="5" width="41.28515625" customWidth="1"/>
    <col min="6" max="6" width="13.28515625" customWidth="1"/>
    <col min="7" max="7" width="64.710937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10</v>
      </c>
      <c r="B3" s="85"/>
      <c r="C3" s="86"/>
      <c r="D3" s="2"/>
      <c r="E3" s="2"/>
      <c r="F3" s="3" t="s">
        <v>12</v>
      </c>
      <c r="G3" s="6"/>
    </row>
    <row r="4" spans="1:7" ht="15.75" customHeight="1" x14ac:dyDescent="0.2">
      <c r="A4" s="5" t="s">
        <v>16</v>
      </c>
      <c r="B4" s="5" t="s">
        <v>17</v>
      </c>
      <c r="C4" s="5"/>
      <c r="D4" s="5" t="str">
        <f t="shared" ref="D4:E4" ca="1" si="0">IFERROR(__xludf.DUMMYFUNCTION("If (A4&lt;&gt;"""", GOOGLETRANSLATE(A4, ""auto"", ""en""), """")"),"ask a question")</f>
        <v>ask a question</v>
      </c>
      <c r="E4" s="5" t="str">
        <f t="shared" ca="1" si="0"/>
        <v>ask a question</v>
      </c>
      <c r="F4" s="3" t="s">
        <v>12</v>
      </c>
      <c r="G4" s="7"/>
    </row>
    <row r="5" spans="1:7" ht="15.75" customHeight="1" x14ac:dyDescent="0.2">
      <c r="A5" s="8" t="s">
        <v>21</v>
      </c>
      <c r="B5" s="9" t="s">
        <v>23</v>
      </c>
      <c r="C5" s="9" t="s">
        <v>26</v>
      </c>
      <c r="D5" s="8" t="str">
        <f t="shared" ref="D5:E5" ca="1" si="1">IFERROR(__xludf.DUMMYFUNCTION("If (A5&lt;&gt;"""", GOOGLETRANSLATE(A5, ""auto"", ""en""), """")"),"Quick Replies")</f>
        <v>Quick Replies</v>
      </c>
      <c r="E5" s="9" t="str">
        <f t="shared" ca="1" si="1"/>
        <v>Quick Replies</v>
      </c>
      <c r="F5" s="3" t="s">
        <v>12</v>
      </c>
      <c r="G5" s="12" t="str">
        <f t="shared" ref="G5:G6" si="2">"{""text"":"""&amp;B5&amp;""",""postback"":"""&amp;C5&amp;"""},"</f>
        <v>{"text":"ゲストとして","postback":"FAQ-Guest-First"},</v>
      </c>
    </row>
    <row r="6" spans="1:7" ht="15.75" customHeight="1" x14ac:dyDescent="0.2">
      <c r="A6" s="9"/>
      <c r="B6" s="9" t="s">
        <v>28</v>
      </c>
      <c r="C6" s="9" t="s">
        <v>29</v>
      </c>
      <c r="D6" s="9" t="str">
        <f t="shared" ref="D6:E6" ca="1" si="3">IFERROR(__xludf.DUMMYFUNCTION("If (A6&lt;&gt;"""", GOOGLETRANSLATE(A6, ""auto"", ""en""), """")"),"")</f>
        <v/>
      </c>
      <c r="E6" s="9" t="str">
        <f t="shared" ca="1" si="3"/>
        <v/>
      </c>
      <c r="F6" s="3" t="s">
        <v>12</v>
      </c>
      <c r="G6" s="12" t="str">
        <f t="shared" si="2"/>
        <v>{"text":"ホストとして","postback":"FAQ-Host-First"},</v>
      </c>
    </row>
    <row r="7" spans="1:7" ht="15.75" customHeight="1" x14ac:dyDescent="0.2">
      <c r="A7" s="84" t="s">
        <v>26</v>
      </c>
      <c r="B7" s="85"/>
      <c r="C7" s="86"/>
      <c r="D7" s="2"/>
      <c r="E7" s="2"/>
      <c r="F7" s="3" t="s">
        <v>12</v>
      </c>
      <c r="G7" s="6"/>
    </row>
    <row r="8" spans="1:7" ht="15.75" customHeight="1" x14ac:dyDescent="0.2">
      <c r="A8" s="5" t="s">
        <v>23</v>
      </c>
      <c r="B8" s="5" t="s">
        <v>34</v>
      </c>
      <c r="C8" s="5"/>
      <c r="D8" s="5" t="str">
        <f t="shared" ref="D8:E8" ca="1" si="4">IFERROR(__xludf.DUMMYFUNCTION("If (A8&lt;&gt;"""", GOOGLETRANSLATE(A8, ""auto"", ""en""), """")"),"As a guest")</f>
        <v>As a guest</v>
      </c>
      <c r="E8" s="5" t="str">
        <f t="shared" ca="1" si="4"/>
        <v>As a guest</v>
      </c>
      <c r="F8" s="3" t="s">
        <v>12</v>
      </c>
      <c r="G8" s="7"/>
    </row>
    <row r="9" spans="1:7" ht="15.75" customHeight="1" x14ac:dyDescent="0.2">
      <c r="A9" s="5" t="s">
        <v>24</v>
      </c>
      <c r="B9" s="5"/>
      <c r="C9" s="5"/>
      <c r="D9" s="5" t="str">
        <f t="shared" ref="D9:E9" ca="1" si="5">IFERROR(__xludf.DUMMYFUNCTION("If (A9&lt;&gt;"""", GOOGLETRANSLATE(A9, ""auto"", ""en""), """")"),"Other questions (guest)")</f>
        <v>Other questions (guest)</v>
      </c>
      <c r="E9" s="5" t="str">
        <f t="shared" ca="1" si="5"/>
        <v>Other questions (guest)</v>
      </c>
      <c r="F9" s="3" t="s">
        <v>12</v>
      </c>
      <c r="G9" s="13"/>
    </row>
    <row r="10" spans="1:7" ht="15.75" customHeight="1" x14ac:dyDescent="0.2">
      <c r="A10" s="5" t="s">
        <v>38</v>
      </c>
      <c r="B10" s="5"/>
      <c r="C10" s="5"/>
      <c r="D10" s="5" t="str">
        <f t="shared" ref="D10:E10" ca="1" si="6">IFERROR(__xludf.DUMMYFUNCTION("If (A10&lt;&gt;"""", GOOGLETRANSLATE(A10, ""auto"", ""en""), """")"),"Want to question as a guest (travelers)")</f>
        <v>Want to question as a guest (travelers)</v>
      </c>
      <c r="E10" s="5" t="str">
        <f t="shared" ca="1" si="6"/>
        <v>Want to question as a guest (travelers)</v>
      </c>
      <c r="F10" s="3" t="s">
        <v>12</v>
      </c>
      <c r="G10" s="13"/>
    </row>
    <row r="11" spans="1:7" ht="15.75" customHeight="1" x14ac:dyDescent="0.2">
      <c r="A11" s="8" t="s">
        <v>21</v>
      </c>
      <c r="B11" s="9" t="s">
        <v>40</v>
      </c>
      <c r="C11" s="11" t="str">
        <f t="shared" ref="C11:C15" ca="1" si="7">INDIRECT("A"&amp;(MATCH(B11,A:A,0)-1))</f>
        <v>FAQ-Guest1</v>
      </c>
      <c r="D11" s="8" t="str">
        <f t="shared" ref="D11:E11" ca="1" si="8">IFERROR(__xludf.DUMMYFUNCTION("If (A11&lt;&gt;"""", GOOGLETRANSLATE(A11, ""auto"", ""en""), """")"),"Quick Replies")</f>
        <v>Quick Replies</v>
      </c>
      <c r="E11" s="9" t="str">
        <f t="shared" ca="1" si="8"/>
        <v>Quick Replies</v>
      </c>
      <c r="F11" s="3" t="s">
        <v>12</v>
      </c>
      <c r="G11" s="12" t="str">
        <f t="shared" ref="G11:G16" ca="1" si="9">"{""text"":"""&amp;B11&amp;""",""postback"":"""&amp;C11&amp;"""},"</f>
        <v>{"text":"ゲストの登録について","postback":"FAQ-Guest1"},</v>
      </c>
    </row>
    <row r="12" spans="1:7" ht="15.75" customHeight="1" x14ac:dyDescent="0.2">
      <c r="A12" s="9"/>
      <c r="B12" s="11" t="s">
        <v>44</v>
      </c>
      <c r="C12" s="11" t="str">
        <f t="shared" ca="1" si="7"/>
        <v>FAQ-Guest2</v>
      </c>
      <c r="D12" s="9" t="str">
        <f t="shared" ref="D12:E12" ca="1" si="10">IFERROR(__xludf.DUMMYFUNCTION("If (A12&lt;&gt;"""", GOOGLETRANSLATE(A12, ""auto"", ""en""), """")"),"")</f>
        <v/>
      </c>
      <c r="E12" s="9" t="str">
        <f t="shared" ca="1" si="10"/>
        <v/>
      </c>
      <c r="F12" s="3" t="s">
        <v>12</v>
      </c>
      <c r="G12" s="12" t="str">
        <f t="shared" ca="1" si="9"/>
        <v>{"text":"プロフィールについて","postback":"FAQ-Guest2"},</v>
      </c>
    </row>
    <row r="13" spans="1:7" ht="15.75" customHeight="1" x14ac:dyDescent="0.2">
      <c r="A13" s="9"/>
      <c r="B13" s="11" t="s">
        <v>48</v>
      </c>
      <c r="C13" s="11" t="str">
        <f t="shared" ca="1" si="7"/>
        <v>FAQ-Guest3</v>
      </c>
      <c r="D13" s="9" t="str">
        <f t="shared" ref="D13:E13" ca="1" si="11">IFERROR(__xludf.DUMMYFUNCTION("If (A13&lt;&gt;"""", GOOGLETRANSLATE(A13, ""auto"", ""en""), """")"),"")</f>
        <v/>
      </c>
      <c r="E13" s="9" t="str">
        <f t="shared" ca="1" si="11"/>
        <v/>
      </c>
      <c r="F13" s="3" t="s">
        <v>12</v>
      </c>
      <c r="G13" s="12" t="str">
        <f t="shared" ca="1" si="9"/>
        <v>{"text":"物件の予約について","postback":"FAQ-Guest3"},</v>
      </c>
    </row>
    <row r="14" spans="1:7" ht="15.75" customHeight="1" x14ac:dyDescent="0.2">
      <c r="A14" s="9"/>
      <c r="B14" s="11" t="s">
        <v>51</v>
      </c>
      <c r="C14" s="11" t="str">
        <f t="shared" ca="1" si="7"/>
        <v>FAQ-Guest4</v>
      </c>
      <c r="D14" s="9" t="str">
        <f t="shared" ref="D14:E14" ca="1" si="12">IFERROR(__xludf.DUMMYFUNCTION("If (A14&lt;&gt;"""", GOOGLETRANSLATE(A14, ""auto"", ""en""), """")"),"")</f>
        <v/>
      </c>
      <c r="E14" s="9" t="str">
        <f t="shared" ca="1" si="12"/>
        <v/>
      </c>
      <c r="F14" s="3" t="s">
        <v>12</v>
      </c>
      <c r="G14" s="12" t="str">
        <f t="shared" ca="1" si="9"/>
        <v>{"text":"宿泊方法について","postback":"FAQ-Guest4"},</v>
      </c>
    </row>
    <row r="15" spans="1:7" ht="15.75" customHeight="1" x14ac:dyDescent="0.2">
      <c r="A15" s="9"/>
      <c r="B15" s="11" t="s">
        <v>53</v>
      </c>
      <c r="C15" s="11" t="str">
        <f t="shared" ca="1" si="7"/>
        <v>FAQ-Guest6</v>
      </c>
      <c r="D15" s="9" t="str">
        <f t="shared" ref="D15:E15" ca="1" si="13">IFERROR(__xludf.DUMMYFUNCTION("If (A15&lt;&gt;"""", GOOGLETRANSLATE(A15, ""auto"", ""en""), """")"),"")</f>
        <v/>
      </c>
      <c r="E15" s="9" t="str">
        <f t="shared" ca="1" si="13"/>
        <v/>
      </c>
      <c r="F15" s="3" t="s">
        <v>12</v>
      </c>
      <c r="G15" s="12" t="str">
        <f t="shared" ca="1" si="9"/>
        <v>{"text":"アカウントについて","postback":"FAQ-Guest6"},</v>
      </c>
    </row>
    <row r="16" spans="1:7" ht="15.75" customHeight="1" x14ac:dyDescent="0.2">
      <c r="A16" s="9"/>
      <c r="B16" s="11" t="s">
        <v>56</v>
      </c>
      <c r="C16" s="9" t="s">
        <v>29</v>
      </c>
      <c r="D16" s="9" t="str">
        <f t="shared" ref="D16:E16" ca="1" si="14">IFERROR(__xludf.DUMMYFUNCTION("If (A16&lt;&gt;"""", GOOGLETRANSLATE(A16, ""auto"", ""en""), """")"),"")</f>
        <v/>
      </c>
      <c r="E16" s="9" t="str">
        <f t="shared" ca="1" si="14"/>
        <v/>
      </c>
      <c r="F16" s="3" t="s">
        <v>12</v>
      </c>
      <c r="G16" s="12" t="str">
        <f t="shared" si="9"/>
        <v>{"text":"ホスト（宿主）として質問をしたい","postback":"FAQ-Host-First"},</v>
      </c>
    </row>
    <row r="17" spans="1:7" ht="15.75" customHeight="1" x14ac:dyDescent="0.2">
      <c r="A17" s="84" t="s">
        <v>60</v>
      </c>
      <c r="B17" s="85"/>
      <c r="C17" s="86"/>
      <c r="D17" s="2"/>
      <c r="E17" s="2"/>
      <c r="F17" s="3" t="s">
        <v>12</v>
      </c>
      <c r="G17" s="6"/>
    </row>
    <row r="18" spans="1:7" ht="15.75" customHeight="1" x14ac:dyDescent="0.2">
      <c r="A18" s="5" t="s">
        <v>40</v>
      </c>
      <c r="B18" s="5" t="s">
        <v>62</v>
      </c>
      <c r="C18" s="5"/>
      <c r="D18" s="5" t="str">
        <f t="shared" ref="D18:E18" ca="1" si="15">IFERROR(__xludf.DUMMYFUNCTION("If (A18&lt;&gt;"""", GOOGLETRANSLATE(A18, ""auto"", ""en""), """")"),"For guest of registration")</f>
        <v>For guest of registration</v>
      </c>
      <c r="E18" s="5" t="str">
        <f t="shared" ca="1" si="15"/>
        <v>For guest of registration</v>
      </c>
      <c r="F18" s="3" t="s">
        <v>12</v>
      </c>
      <c r="G18" s="7"/>
    </row>
    <row r="19" spans="1:7" ht="15.75" customHeight="1" x14ac:dyDescent="0.2">
      <c r="A19" s="8" t="s">
        <v>21</v>
      </c>
      <c r="B19" s="9" t="s">
        <v>13</v>
      </c>
      <c r="C19" s="11" t="s">
        <v>11</v>
      </c>
      <c r="D19" s="8" t="str">
        <f t="shared" ref="D19:E19" ca="1" si="16">IFERROR(__xludf.DUMMYFUNCTION("If (A19&lt;&gt;"""", GOOGLETRANSLATE(A19, ""auto"", ""en""), """")"),"Quick Replies")</f>
        <v>Quick Replies</v>
      </c>
      <c r="E19" s="9" t="str">
        <f t="shared" ca="1" si="16"/>
        <v>Quick Replies</v>
      </c>
      <c r="F19" s="3" t="s">
        <v>12</v>
      </c>
      <c r="G19" s="12" t="str">
        <f t="shared" ref="G19:G22" si="17">"{""text"":"""&amp;B19&amp;""",""postback"":"""&amp;C19&amp;"""},"</f>
        <v>{"text":"身分証明書について","postback":"FAQ-Guest1-1"},</v>
      </c>
    </row>
    <row r="20" spans="1:7" ht="15.75" customHeight="1" x14ac:dyDescent="0.2">
      <c r="A20" s="9"/>
      <c r="B20" s="11" t="s">
        <v>37</v>
      </c>
      <c r="C20" s="11" t="s">
        <v>36</v>
      </c>
      <c r="D20" s="9" t="str">
        <f t="shared" ref="D20:E20" ca="1" si="18">IFERROR(__xludf.DUMMYFUNCTION("If (A20&lt;&gt;"""", GOOGLETRANSLATE(A20, ""auto"", ""en""), """")"),"")</f>
        <v/>
      </c>
      <c r="E20" s="9" t="str">
        <f t="shared" ca="1" si="18"/>
        <v/>
      </c>
      <c r="F20" s="3" t="s">
        <v>12</v>
      </c>
      <c r="G20" s="12" t="str">
        <f t="shared" si="17"/>
        <v>{"text":"パスポートについて","postback":"FAQ-Guest1-2"},</v>
      </c>
    </row>
    <row r="21" spans="1:7" ht="15.75" customHeight="1" x14ac:dyDescent="0.2">
      <c r="A21" s="9"/>
      <c r="B21" s="11" t="s">
        <v>58</v>
      </c>
      <c r="C21" s="11" t="s">
        <v>55</v>
      </c>
      <c r="D21" s="9" t="str">
        <f t="shared" ref="D21:E21" ca="1" si="19">IFERROR(__xludf.DUMMYFUNCTION("If (A21&lt;&gt;"""", GOOGLETRANSLATE(A21, ""auto"", ""en""), """")"),"")</f>
        <v/>
      </c>
      <c r="E21" s="9" t="str">
        <f t="shared" ca="1" si="19"/>
        <v/>
      </c>
      <c r="F21" s="3" t="s">
        <v>12</v>
      </c>
      <c r="G21" s="12" t="str">
        <f t="shared" si="17"/>
        <v>{"text":"個人情報について","postback":"FAQ-Guest1-3"},</v>
      </c>
    </row>
    <row r="22" spans="1:7" ht="15.75" customHeight="1" x14ac:dyDescent="0.2">
      <c r="A22" s="18"/>
      <c r="B22" s="11" t="s">
        <v>24</v>
      </c>
      <c r="C22" s="11" t="s">
        <v>26</v>
      </c>
      <c r="D22" s="9" t="str">
        <f t="shared" ref="D22:E22" ca="1" si="20">IFERROR(__xludf.DUMMYFUNCTION("If (A22&lt;&gt;"""", GOOGLETRANSLATE(A22, ""auto"", ""en""), """")"),"")</f>
        <v/>
      </c>
      <c r="E22" s="9" t="str">
        <f t="shared" ca="1" si="20"/>
        <v/>
      </c>
      <c r="F22" s="3" t="s">
        <v>12</v>
      </c>
      <c r="G22" s="12" t="str">
        <f t="shared" si="17"/>
        <v>{"text":"その他の質問（ゲスト）","postback":"FAQ-Guest-First"},</v>
      </c>
    </row>
    <row r="23" spans="1:7" ht="15.75" customHeight="1" x14ac:dyDescent="0.2">
      <c r="A23" s="84" t="s">
        <v>75</v>
      </c>
      <c r="B23" s="85"/>
      <c r="C23" s="86"/>
      <c r="D23" s="2"/>
      <c r="E23" s="2"/>
      <c r="F23" s="3" t="s">
        <v>12</v>
      </c>
      <c r="G23" s="6"/>
    </row>
    <row r="24" spans="1:7" ht="15.75" customHeight="1" x14ac:dyDescent="0.2">
      <c r="A24" s="5" t="s">
        <v>44</v>
      </c>
      <c r="B24" s="5" t="s">
        <v>76</v>
      </c>
      <c r="C24" s="5"/>
      <c r="D24" s="5" t="str">
        <f t="shared" ref="D24:E24" ca="1" si="21">IFERROR(__xludf.DUMMYFUNCTION("If (A24&lt;&gt;"""", GOOGLETRANSLATE(A24, ""auto"", ""en""), """")"),"Profile")</f>
        <v>Profile</v>
      </c>
      <c r="E24" s="5" t="str">
        <f t="shared" ca="1" si="21"/>
        <v>Profile</v>
      </c>
      <c r="F24" s="3" t="s">
        <v>12</v>
      </c>
      <c r="G24" s="7"/>
    </row>
    <row r="25" spans="1:7" ht="15.75" customHeight="1" x14ac:dyDescent="0.2">
      <c r="A25" s="8" t="s">
        <v>21</v>
      </c>
      <c r="B25" s="9" t="s">
        <v>72</v>
      </c>
      <c r="C25" s="11" t="s">
        <v>71</v>
      </c>
      <c r="D25" s="8" t="str">
        <f t="shared" ref="D25:E25" ca="1" si="22">IFERROR(__xludf.DUMMYFUNCTION("If (A25&lt;&gt;"""", GOOGLETRANSLATE(A25, ""auto"", ""en""), """")"),"Quick Replies")</f>
        <v>Quick Replies</v>
      </c>
      <c r="E25" s="9" t="str">
        <f t="shared" ca="1" si="22"/>
        <v>Quick Replies</v>
      </c>
      <c r="F25" s="3" t="s">
        <v>12</v>
      </c>
      <c r="G25" s="12" t="str">
        <f t="shared" ref="G25:G27" si="23">"{""text"":"""&amp;B25&amp;""",""postback"":"""&amp;C25&amp;"""},"</f>
        <v>{"text":"プロフィールの編集について","postback":"FAQ-Guest2-1"},</v>
      </c>
    </row>
    <row r="26" spans="1:7" ht="15.75" customHeight="1" x14ac:dyDescent="0.2">
      <c r="A26" s="9"/>
      <c r="B26" s="11" t="s">
        <v>83</v>
      </c>
      <c r="C26" s="11" t="s">
        <v>84</v>
      </c>
      <c r="D26" s="9" t="str">
        <f t="shared" ref="D26:E26" ca="1" si="24">IFERROR(__xludf.DUMMYFUNCTION("If (A26&lt;&gt;"""", GOOGLETRANSLATE(A26, ""auto"", ""en""), """")"),"")</f>
        <v/>
      </c>
      <c r="E26" s="9" t="str">
        <f t="shared" ca="1" si="24"/>
        <v/>
      </c>
      <c r="F26" s="3" t="s">
        <v>12</v>
      </c>
      <c r="G26" s="12" t="str">
        <f t="shared" si="23"/>
        <v>{"text":"顔写真について","postback":"FAQ-Guest2-2"},</v>
      </c>
    </row>
    <row r="27" spans="1:7" ht="15.75" customHeight="1" x14ac:dyDescent="0.2">
      <c r="A27" s="18"/>
      <c r="B27" s="11" t="s">
        <v>24</v>
      </c>
      <c r="C27" s="11" t="s">
        <v>26</v>
      </c>
      <c r="D27" s="9" t="str">
        <f t="shared" ref="D27:E27" ca="1" si="25">IFERROR(__xludf.DUMMYFUNCTION("If (A27&lt;&gt;"""", GOOGLETRANSLATE(A27, ""auto"", ""en""), """")"),"")</f>
        <v/>
      </c>
      <c r="E27" s="9" t="str">
        <f t="shared" ca="1" si="25"/>
        <v/>
      </c>
      <c r="F27" s="3" t="s">
        <v>12</v>
      </c>
      <c r="G27" s="12" t="str">
        <f t="shared" si="23"/>
        <v>{"text":"その他の質問（ゲスト）","postback":"FAQ-Guest-First"},</v>
      </c>
    </row>
    <row r="28" spans="1:7" ht="15.75" customHeight="1" x14ac:dyDescent="0.2">
      <c r="A28" s="84" t="s">
        <v>87</v>
      </c>
      <c r="B28" s="85"/>
      <c r="C28" s="86"/>
      <c r="D28" s="2"/>
      <c r="E28" s="2"/>
      <c r="F28" s="3" t="s">
        <v>12</v>
      </c>
      <c r="G28" s="6"/>
    </row>
    <row r="29" spans="1:7" ht="15.75" customHeight="1" x14ac:dyDescent="0.2">
      <c r="A29" s="5" t="s">
        <v>48</v>
      </c>
      <c r="B29" s="5" t="s">
        <v>88</v>
      </c>
      <c r="C29" s="5"/>
      <c r="D29" s="5" t="str">
        <f t="shared" ref="D29:E29" ca="1" si="26">IFERROR(__xludf.DUMMYFUNCTION("If (A29&lt;&gt;"""", GOOGLETRANSLATE(A29, ""auto"", ""en""), """")"),"For properties of the reservation")</f>
        <v>For properties of the reservation</v>
      </c>
      <c r="E29" s="5" t="str">
        <f t="shared" ca="1" si="26"/>
        <v>For properties of the reservation</v>
      </c>
      <c r="F29" s="3" t="s">
        <v>12</v>
      </c>
      <c r="G29" s="7"/>
    </row>
    <row r="30" spans="1:7" ht="15.75" customHeight="1" x14ac:dyDescent="0.2">
      <c r="A30" s="8" t="s">
        <v>21</v>
      </c>
      <c r="B30" s="9" t="s">
        <v>90</v>
      </c>
      <c r="C30" s="11" t="s">
        <v>91</v>
      </c>
      <c r="D30" s="8" t="str">
        <f t="shared" ref="D30:E30" ca="1" si="27">IFERROR(__xludf.DUMMYFUNCTION("If (A30&lt;&gt;"""", GOOGLETRANSLATE(A30, ""auto"", ""en""), """")"),"Quick Replies")</f>
        <v>Quick Replies</v>
      </c>
      <c r="E30" s="9" t="str">
        <f t="shared" ca="1" si="27"/>
        <v>Quick Replies</v>
      </c>
      <c r="F30" s="3" t="s">
        <v>12</v>
      </c>
      <c r="G30" s="12" t="str">
        <f t="shared" ref="G30:G38" si="28">"{""text"":"""&amp;B30&amp;""",""postback"":"""&amp;C30&amp;"""},"</f>
        <v>{"text":"予約申し込みの期限について","postback":"FAQ-Guest3-1"},</v>
      </c>
    </row>
    <row r="31" spans="1:7" ht="15.75" customHeight="1" x14ac:dyDescent="0.2">
      <c r="A31" s="9"/>
      <c r="B31" s="11" t="s">
        <v>97</v>
      </c>
      <c r="C31" s="11" t="s">
        <v>98</v>
      </c>
      <c r="D31" s="9" t="str">
        <f t="shared" ref="D31:E31" ca="1" si="29">IFERROR(__xludf.DUMMYFUNCTION("If (A31&lt;&gt;"""", GOOGLETRANSLATE(A31, ""auto"", ""en""), """")"),"")</f>
        <v/>
      </c>
      <c r="E31" s="9" t="str">
        <f t="shared" ca="1" si="29"/>
        <v/>
      </c>
      <c r="F31" s="3" t="s">
        <v>12</v>
      </c>
      <c r="G31" s="12" t="str">
        <f t="shared" si="28"/>
        <v>{"text":"予約の成立について","postback":"FAQ-Guest3-2"},</v>
      </c>
    </row>
    <row r="32" spans="1:7" ht="15.75" customHeight="1" x14ac:dyDescent="0.2">
      <c r="A32" s="9"/>
      <c r="B32" s="9" t="s">
        <v>100</v>
      </c>
      <c r="C32" s="11" t="s">
        <v>101</v>
      </c>
      <c r="D32" s="9" t="str">
        <f t="shared" ref="D32:E32" ca="1" si="30">IFERROR(__xludf.DUMMYFUNCTION("If (A32&lt;&gt;"""", GOOGLETRANSLATE(A32, ""auto"", ""en""), """")"),"")</f>
        <v/>
      </c>
      <c r="E32" s="9" t="str">
        <f t="shared" ca="1" si="30"/>
        <v/>
      </c>
      <c r="F32" s="3" t="s">
        <v>12</v>
      </c>
      <c r="G32" s="12" t="str">
        <f t="shared" si="28"/>
        <v>{"text":"承認メールについて","postback":"FAQ-Guest3-3"},</v>
      </c>
    </row>
    <row r="33" spans="1:7" ht="12.75" x14ac:dyDescent="0.2">
      <c r="A33" s="9"/>
      <c r="B33" s="9" t="s">
        <v>102</v>
      </c>
      <c r="C33" s="11" t="s">
        <v>103</v>
      </c>
      <c r="D33" s="9" t="str">
        <f t="shared" ref="D33:E33" ca="1" si="31">IFERROR(__xludf.DUMMYFUNCTION("If (A33&lt;&gt;"""", GOOGLETRANSLATE(A33, ""auto"", ""en""), """")"),"")</f>
        <v/>
      </c>
      <c r="E33" s="9" t="str">
        <f t="shared" ca="1" si="31"/>
        <v/>
      </c>
      <c r="F33" s="3" t="s">
        <v>12</v>
      </c>
      <c r="G33" s="12" t="str">
        <f t="shared" si="28"/>
        <v>{"text":"ペットについて","postback":"FAQ-Guest3-4"},</v>
      </c>
    </row>
    <row r="34" spans="1:7" ht="12.75" x14ac:dyDescent="0.2">
      <c r="A34" s="9"/>
      <c r="B34" s="9" t="s">
        <v>105</v>
      </c>
      <c r="C34" s="11" t="s">
        <v>106</v>
      </c>
      <c r="D34" s="9" t="str">
        <f t="shared" ref="D34:E34" ca="1" si="32">IFERROR(__xludf.DUMMYFUNCTION("If (A34&lt;&gt;"""", GOOGLETRANSLATE(A34, ""auto"", ""en""), """")"),"")</f>
        <v/>
      </c>
      <c r="E34" s="9" t="str">
        <f t="shared" ca="1" si="32"/>
        <v/>
      </c>
      <c r="F34" s="3" t="s">
        <v>12</v>
      </c>
      <c r="G34" s="12" t="str">
        <f t="shared" si="28"/>
        <v>{"text":"同行の同伴者について","postback":"FAQ-Guest3-5"},</v>
      </c>
    </row>
    <row r="35" spans="1:7" ht="12.75" x14ac:dyDescent="0.2">
      <c r="A35" s="9"/>
      <c r="B35" s="9" t="s">
        <v>108</v>
      </c>
      <c r="C35" s="11" t="s">
        <v>109</v>
      </c>
      <c r="D35" s="9" t="str">
        <f t="shared" ref="D35:E35" ca="1" si="33">IFERROR(__xludf.DUMMYFUNCTION("If (A35&lt;&gt;"""", GOOGLETRANSLATE(A35, ""auto"", ""en""), """")"),"")</f>
        <v/>
      </c>
      <c r="E35" s="9" t="str">
        <f t="shared" ca="1" si="33"/>
        <v/>
      </c>
      <c r="F35" s="3" t="s">
        <v>12</v>
      </c>
      <c r="G35" s="12" t="str">
        <f t="shared" si="28"/>
        <v>{"text":"延長について","postback":"FAQ-Guest3-6"},</v>
      </c>
    </row>
    <row r="36" spans="1:7" ht="12.75" x14ac:dyDescent="0.2">
      <c r="A36" s="9"/>
      <c r="B36" s="9" t="s">
        <v>110</v>
      </c>
      <c r="C36" s="11" t="s">
        <v>111</v>
      </c>
      <c r="D36" s="9" t="str">
        <f t="shared" ref="D36:E36" ca="1" si="34">IFERROR(__xludf.DUMMYFUNCTION("If (A36&lt;&gt;"""", GOOGLETRANSLATE(A36, ""auto"", ""en""), """")"),"")</f>
        <v/>
      </c>
      <c r="E36" s="9" t="str">
        <f t="shared" ca="1" si="34"/>
        <v/>
      </c>
      <c r="F36" s="3" t="s">
        <v>12</v>
      </c>
      <c r="G36" s="12" t="str">
        <f t="shared" si="28"/>
        <v>{"text":"増員について","postback":"FAQ-Guest3-7"},</v>
      </c>
    </row>
    <row r="37" spans="1:7" ht="12.75" x14ac:dyDescent="0.2">
      <c r="A37" s="9"/>
      <c r="B37" s="9" t="s">
        <v>112</v>
      </c>
      <c r="C37" s="11" t="s">
        <v>114</v>
      </c>
      <c r="D37" s="9" t="str">
        <f t="shared" ref="D37:E37" ca="1" si="35">IFERROR(__xludf.DUMMYFUNCTION("If (A37&lt;&gt;"""", GOOGLETRANSLATE(A37, ""auto"", ""en""), """")"),"")</f>
        <v/>
      </c>
      <c r="E37" s="9" t="str">
        <f t="shared" ca="1" si="35"/>
        <v/>
      </c>
      <c r="F37" s="3" t="s">
        <v>12</v>
      </c>
      <c r="G37" s="12" t="str">
        <f t="shared" si="28"/>
        <v>{"text":"ホストの連絡先について","postback":"FAQ-Guest3-8"},</v>
      </c>
    </row>
    <row r="38" spans="1:7" ht="25.5" x14ac:dyDescent="0.2">
      <c r="A38" s="18"/>
      <c r="B38" s="11" t="s">
        <v>24</v>
      </c>
      <c r="C38" s="11" t="s">
        <v>26</v>
      </c>
      <c r="D38" s="9" t="str">
        <f t="shared" ref="D38:E38" ca="1" si="36">IFERROR(__xludf.DUMMYFUNCTION("If (A38&lt;&gt;"""", GOOGLETRANSLATE(A38, ""auto"", ""en""), """")"),"")</f>
        <v/>
      </c>
      <c r="E38" s="9" t="str">
        <f t="shared" ca="1" si="36"/>
        <v/>
      </c>
      <c r="F38" s="3" t="s">
        <v>12</v>
      </c>
      <c r="G38" s="12" t="str">
        <f t="shared" si="28"/>
        <v>{"text":"その他の質問（ゲスト）","postback":"FAQ-Guest-First"},</v>
      </c>
    </row>
    <row r="39" spans="1:7" ht="12.75" x14ac:dyDescent="0.2">
      <c r="A39" s="84" t="s">
        <v>115</v>
      </c>
      <c r="B39" s="85"/>
      <c r="C39" s="86"/>
      <c r="D39" s="2"/>
      <c r="E39" s="2"/>
      <c r="F39" s="3" t="s">
        <v>12</v>
      </c>
      <c r="G39" s="6"/>
    </row>
    <row r="40" spans="1:7" ht="12.75" x14ac:dyDescent="0.2">
      <c r="A40" s="5" t="s">
        <v>51</v>
      </c>
      <c r="B40" s="5" t="s">
        <v>117</v>
      </c>
      <c r="C40" s="5"/>
      <c r="D40" s="5" t="str">
        <f t="shared" ref="D40:E40" ca="1" si="37">IFERROR(__xludf.DUMMYFUNCTION("If (A40&lt;&gt;"""", GOOGLETRANSLATE(A40, ""auto"", ""en""), """")"),"The type of accommodation")</f>
        <v>The type of accommodation</v>
      </c>
      <c r="E40" s="5" t="str">
        <f t="shared" ca="1" si="37"/>
        <v>The type of accommodation</v>
      </c>
      <c r="F40" s="3" t="s">
        <v>12</v>
      </c>
      <c r="G40" s="7"/>
    </row>
    <row r="41" spans="1:7" ht="12.75" x14ac:dyDescent="0.2">
      <c r="A41" s="8" t="s">
        <v>21</v>
      </c>
      <c r="B41" s="9" t="s">
        <v>119</v>
      </c>
      <c r="C41" s="11" t="s">
        <v>120</v>
      </c>
      <c r="D41" s="8" t="str">
        <f t="shared" ref="D41:E41" ca="1" si="38">IFERROR(__xludf.DUMMYFUNCTION("If (A41&lt;&gt;"""", GOOGLETRANSLATE(A41, ""auto"", ""en""), """")"),"Quick Replies")</f>
        <v>Quick Replies</v>
      </c>
      <c r="E41" s="9" t="str">
        <f t="shared" ca="1" si="38"/>
        <v>Quick Replies</v>
      </c>
      <c r="F41" s="3" t="s">
        <v>12</v>
      </c>
      <c r="G41" s="12" t="str">
        <f t="shared" ref="G41:G47" si="39">"{""text"":"""&amp;B41&amp;""",""postback"":"""&amp;C41&amp;"""},"</f>
        <v>{"text":"鍵の受け渡しについて","postback":"FAQ-Guest4-1"},</v>
      </c>
    </row>
    <row r="42" spans="1:7" ht="25.5" x14ac:dyDescent="0.2">
      <c r="A42" s="9"/>
      <c r="B42" s="11" t="s">
        <v>126</v>
      </c>
      <c r="C42" s="11" t="s">
        <v>127</v>
      </c>
      <c r="D42" s="9" t="str">
        <f t="shared" ref="D42:E42" ca="1" si="40">IFERROR(__xludf.DUMMYFUNCTION("If (A42&lt;&gt;"""", GOOGLETRANSLATE(A42, ""auto"", ""en""), """")"),"")</f>
        <v/>
      </c>
      <c r="E42" s="9" t="str">
        <f t="shared" ca="1" si="40"/>
        <v/>
      </c>
      <c r="F42" s="3" t="s">
        <v>12</v>
      </c>
      <c r="G42" s="12" t="str">
        <f t="shared" si="39"/>
        <v>{"text":"チェックイン・チェックアウトの時間について","postback":"FAQ-Guest4-2"},</v>
      </c>
    </row>
    <row r="43" spans="1:7" ht="25.5" x14ac:dyDescent="0.2">
      <c r="A43" s="9"/>
      <c r="B43" s="9" t="s">
        <v>130</v>
      </c>
      <c r="C43" s="11" t="s">
        <v>131</v>
      </c>
      <c r="D43" s="9" t="str">
        <f t="shared" ref="D43:E43" ca="1" si="41">IFERROR(__xludf.DUMMYFUNCTION("If (A43&lt;&gt;"""", GOOGLETRANSLATE(A43, ""auto"", ""en""), """")"),"")</f>
        <v/>
      </c>
      <c r="E43" s="9" t="str">
        <f t="shared" ca="1" si="41"/>
        <v/>
      </c>
      <c r="F43" s="3" t="s">
        <v>12</v>
      </c>
      <c r="G43" s="12" t="str">
        <f t="shared" si="39"/>
        <v>{"text":"チェックイン・チェックアウトの方法について","postback":"FAQ-Guest4-3"},</v>
      </c>
    </row>
    <row r="44" spans="1:7" ht="12.75" x14ac:dyDescent="0.2">
      <c r="A44" s="9"/>
      <c r="B44" s="9" t="s">
        <v>132</v>
      </c>
      <c r="C44" s="11" t="s">
        <v>134</v>
      </c>
      <c r="D44" s="9" t="str">
        <f t="shared" ref="D44:E44" ca="1" si="42">IFERROR(__xludf.DUMMYFUNCTION("If (A44&lt;&gt;"""", GOOGLETRANSLATE(A44, ""auto"", ""en""), """")"),"")</f>
        <v/>
      </c>
      <c r="E44" s="9" t="str">
        <f t="shared" ca="1" si="42"/>
        <v/>
      </c>
      <c r="F44" s="3" t="s">
        <v>12</v>
      </c>
      <c r="G44" s="12" t="str">
        <f t="shared" si="39"/>
        <v>{"text":"案内地図について","postback":"FAQ-Guest4-4"},</v>
      </c>
    </row>
    <row r="45" spans="1:7" ht="12.75" x14ac:dyDescent="0.2">
      <c r="A45" s="9"/>
      <c r="B45" s="9" t="s">
        <v>136</v>
      </c>
      <c r="C45" s="11" t="s">
        <v>137</v>
      </c>
      <c r="D45" s="9" t="str">
        <f t="shared" ref="D45:E45" ca="1" si="43">IFERROR(__xludf.DUMMYFUNCTION("If (A45&lt;&gt;"""", GOOGLETRANSLATE(A45, ""auto"", ""en""), """")"),"")</f>
        <v/>
      </c>
      <c r="E45" s="9" t="str">
        <f t="shared" ca="1" si="43"/>
        <v/>
      </c>
      <c r="F45" s="3" t="s">
        <v>12</v>
      </c>
      <c r="G45" s="12" t="str">
        <f t="shared" si="39"/>
        <v>{"text":"アメニティーについて","postback":"FAQ-Guest4-5"},</v>
      </c>
    </row>
    <row r="46" spans="1:7" ht="12.75" x14ac:dyDescent="0.2">
      <c r="A46" s="9"/>
      <c r="B46" s="9" t="s">
        <v>138</v>
      </c>
      <c r="C46" s="11" t="s">
        <v>140</v>
      </c>
      <c r="D46" s="9" t="str">
        <f t="shared" ref="D46:E46" ca="1" si="44">IFERROR(__xludf.DUMMYFUNCTION("If (A46&lt;&gt;"""", GOOGLETRANSLATE(A46, ""auto"", ""en""), """")"),"")</f>
        <v/>
      </c>
      <c r="E46" s="9" t="str">
        <f t="shared" ca="1" si="44"/>
        <v/>
      </c>
      <c r="F46" s="3" t="s">
        <v>12</v>
      </c>
      <c r="G46" s="12" t="str">
        <f t="shared" si="39"/>
        <v>{"text":"宿泊先でのトラブルについて","postback":"FAQ-Guest4-6"},</v>
      </c>
    </row>
    <row r="47" spans="1:7" ht="25.5" x14ac:dyDescent="0.2">
      <c r="A47" s="18"/>
      <c r="B47" s="11" t="s">
        <v>24</v>
      </c>
      <c r="C47" s="11" t="s">
        <v>26</v>
      </c>
      <c r="D47" s="9" t="str">
        <f t="shared" ref="D47:E47" ca="1" si="45">IFERROR(__xludf.DUMMYFUNCTION("If (A47&lt;&gt;"""", GOOGLETRANSLATE(A47, ""auto"", ""en""), """")"),"")</f>
        <v/>
      </c>
      <c r="E47" s="9" t="str">
        <f t="shared" ca="1" si="45"/>
        <v/>
      </c>
      <c r="F47" s="3" t="s">
        <v>12</v>
      </c>
      <c r="G47" s="12" t="str">
        <f t="shared" si="39"/>
        <v>{"text":"その他の質問（ゲスト）","postback":"FAQ-Guest-First"},</v>
      </c>
    </row>
    <row r="48" spans="1:7" ht="12.75" x14ac:dyDescent="0.2">
      <c r="A48" s="84" t="s">
        <v>142</v>
      </c>
      <c r="B48" s="85"/>
      <c r="C48" s="86"/>
      <c r="D48" s="2"/>
      <c r="E48" s="2"/>
      <c r="F48" s="3" t="s">
        <v>12</v>
      </c>
      <c r="G48" s="6"/>
    </row>
    <row r="49" spans="1:7" ht="12.75" x14ac:dyDescent="0.2">
      <c r="A49" s="5" t="s">
        <v>143</v>
      </c>
      <c r="B49" s="5" t="s">
        <v>144</v>
      </c>
      <c r="C49" s="5"/>
      <c r="D49" s="5" t="str">
        <f t="shared" ref="D49:E49" ca="1" si="46">IFERROR(__xludf.DUMMYFUNCTION("If (A49&lt;&gt;"""", GOOGLETRANSLATE(A49, ""auto"", ""en""), """")"),"About Rates")</f>
        <v>About Rates</v>
      </c>
      <c r="E49" s="5" t="str">
        <f t="shared" ca="1" si="46"/>
        <v>About Rates</v>
      </c>
      <c r="F49" s="3" t="s">
        <v>12</v>
      </c>
      <c r="G49" s="7"/>
    </row>
    <row r="50" spans="1:7" ht="12.75" x14ac:dyDescent="0.2">
      <c r="A50" s="8" t="s">
        <v>21</v>
      </c>
      <c r="B50" s="9" t="s">
        <v>145</v>
      </c>
      <c r="C50" s="11" t="s">
        <v>146</v>
      </c>
      <c r="D50" s="8" t="str">
        <f t="shared" ref="D50:E50" ca="1" si="47">IFERROR(__xludf.DUMMYFUNCTION("If (A50&lt;&gt;"""", GOOGLETRANSLATE(A50, ""auto"", ""en""), """")"),"Quick Replies")</f>
        <v>Quick Replies</v>
      </c>
      <c r="E50" s="9" t="str">
        <f t="shared" ca="1" si="47"/>
        <v>Quick Replies</v>
      </c>
      <c r="F50" s="3" t="s">
        <v>12</v>
      </c>
      <c r="G50" s="12" t="str">
        <f t="shared" ref="G50:G54" si="48">"{""text"":"""&amp;B50&amp;""",""postback"":"""&amp;C50&amp;"""},"</f>
        <v>{"text":"予約の決済方法について","postback":"FAQ-Guest5-1"},</v>
      </c>
    </row>
    <row r="51" spans="1:7" ht="12.75" x14ac:dyDescent="0.2">
      <c r="A51" s="9"/>
      <c r="B51" s="11" t="s">
        <v>152</v>
      </c>
      <c r="C51" s="11" t="s">
        <v>153</v>
      </c>
      <c r="D51" s="9" t="str">
        <f t="shared" ref="D51:E51" ca="1" si="49">IFERROR(__xludf.DUMMYFUNCTION("If (A51&lt;&gt;"""", GOOGLETRANSLATE(A51, ""auto"", ""en""), """")"),"")</f>
        <v/>
      </c>
      <c r="E51" s="9" t="str">
        <f t="shared" ca="1" si="49"/>
        <v/>
      </c>
      <c r="F51" s="3" t="s">
        <v>12</v>
      </c>
      <c r="G51" s="12" t="str">
        <f t="shared" si="48"/>
        <v>{"text":"料金の引き落としについて","postback":"FAQ-Guest5-2"},</v>
      </c>
    </row>
    <row r="52" spans="1:7" ht="25.5" x14ac:dyDescent="0.2">
      <c r="A52" s="9"/>
      <c r="B52" s="9" t="s">
        <v>155</v>
      </c>
      <c r="C52" s="11" t="s">
        <v>156</v>
      </c>
      <c r="D52" s="9" t="str">
        <f t="shared" ref="D52:E52" ca="1" si="50">IFERROR(__xludf.DUMMYFUNCTION("If (A52&lt;&gt;"""", GOOGLETRANSLATE(A52, ""auto"", ""en""), """")"),"")</f>
        <v/>
      </c>
      <c r="E52" s="9" t="str">
        <f t="shared" ca="1" si="50"/>
        <v/>
      </c>
      <c r="F52" s="3" t="s">
        <v>12</v>
      </c>
      <c r="G52" s="12" t="str">
        <f t="shared" si="48"/>
        <v>{"text":"予約承認されなかった場合の返金について","postback":"FAQ-Guest5-3"},</v>
      </c>
    </row>
    <row r="53" spans="1:7" ht="12.75" x14ac:dyDescent="0.2">
      <c r="A53" s="9"/>
      <c r="B53" s="9" t="s">
        <v>158</v>
      </c>
      <c r="C53" s="11" t="s">
        <v>159</v>
      </c>
      <c r="D53" s="9" t="str">
        <f t="shared" ref="D53:E53" ca="1" si="51">IFERROR(__xludf.DUMMYFUNCTION("If (A53&lt;&gt;"""", GOOGLETRANSLATE(A53, ""auto"", ""en""), """")"),"")</f>
        <v/>
      </c>
      <c r="E53" s="9" t="str">
        <f t="shared" ca="1" si="51"/>
        <v/>
      </c>
      <c r="F53" s="3" t="s">
        <v>12</v>
      </c>
      <c r="G53" s="12" t="str">
        <f t="shared" si="48"/>
        <v>{"text":"領収書の発行について","postback":"FAQ-Guest5-4"},</v>
      </c>
    </row>
    <row r="54" spans="1:7" ht="25.5" x14ac:dyDescent="0.2">
      <c r="A54" s="18"/>
      <c r="B54" s="11" t="s">
        <v>24</v>
      </c>
      <c r="C54" s="11" t="s">
        <v>26</v>
      </c>
      <c r="D54" s="9" t="str">
        <f t="shared" ref="D54:E54" ca="1" si="52">IFERROR(__xludf.DUMMYFUNCTION("If (A54&lt;&gt;"""", GOOGLETRANSLATE(A54, ""auto"", ""en""), """")"),"")</f>
        <v/>
      </c>
      <c r="E54" s="9" t="str">
        <f t="shared" ca="1" si="52"/>
        <v/>
      </c>
      <c r="F54" s="3" t="s">
        <v>12</v>
      </c>
      <c r="G54" s="12" t="str">
        <f t="shared" si="48"/>
        <v>{"text":"その他の質問（ゲスト）","postback":"FAQ-Guest-First"},</v>
      </c>
    </row>
    <row r="55" spans="1:7" ht="12.75" x14ac:dyDescent="0.2">
      <c r="A55" s="84" t="s">
        <v>164</v>
      </c>
      <c r="B55" s="85"/>
      <c r="C55" s="86"/>
      <c r="D55" s="2"/>
      <c r="E55" s="2"/>
      <c r="F55" s="3" t="s">
        <v>12</v>
      </c>
      <c r="G55" s="6"/>
    </row>
    <row r="56" spans="1:7" ht="12.75" x14ac:dyDescent="0.2">
      <c r="A56" s="5" t="s">
        <v>53</v>
      </c>
      <c r="B56" s="5" t="s">
        <v>165</v>
      </c>
      <c r="C56" s="5"/>
      <c r="D56" s="5" t="str">
        <f t="shared" ref="D56:E56" ca="1" si="53">IFERROR(__xludf.DUMMYFUNCTION("If (A56&lt;&gt;"""", GOOGLETRANSLATE(A56, ""auto"", ""en""), """")"),"About account")</f>
        <v>About account</v>
      </c>
      <c r="E56" s="5" t="str">
        <f t="shared" ca="1" si="53"/>
        <v>About account</v>
      </c>
      <c r="F56" s="3" t="s">
        <v>12</v>
      </c>
      <c r="G56" s="7"/>
    </row>
    <row r="57" spans="1:7" ht="12.75" x14ac:dyDescent="0.2">
      <c r="A57" s="8" t="s">
        <v>21</v>
      </c>
      <c r="B57" s="9" t="s">
        <v>166</v>
      </c>
      <c r="C57" s="11" t="s">
        <v>167</v>
      </c>
      <c r="D57" s="8" t="str">
        <f t="shared" ref="D57:E57" ca="1" si="54">IFERROR(__xludf.DUMMYFUNCTION("If (A57&lt;&gt;"""", GOOGLETRANSLATE(A57, ""auto"", ""en""), """")"),"Quick Replies")</f>
        <v>Quick Replies</v>
      </c>
      <c r="E57" s="9" t="str">
        <f t="shared" ca="1" si="54"/>
        <v>Quick Replies</v>
      </c>
      <c r="F57" s="3" t="s">
        <v>12</v>
      </c>
      <c r="G57" s="12" t="str">
        <f t="shared" ref="G57:G61" si="55">"{""text"":"""&amp;B57&amp;""",""postback"":"""&amp;C57&amp;"""},"</f>
        <v>{"text":"ログインができない","postback":"FAQ-Guest6-1"},</v>
      </c>
    </row>
    <row r="58" spans="1:7" ht="12.75" x14ac:dyDescent="0.2">
      <c r="A58" s="9"/>
      <c r="B58" s="11" t="s">
        <v>173</v>
      </c>
      <c r="C58" s="11" t="s">
        <v>174</v>
      </c>
      <c r="D58" s="9" t="str">
        <f t="shared" ref="D58:E58" ca="1" si="56">IFERROR(__xludf.DUMMYFUNCTION("If (A58&lt;&gt;"""", GOOGLETRANSLATE(A58, ""auto"", ""en""), """")"),"")</f>
        <v/>
      </c>
      <c r="E58" s="9" t="str">
        <f t="shared" ca="1" si="56"/>
        <v/>
      </c>
      <c r="F58" s="3" t="s">
        <v>12</v>
      </c>
      <c r="G58" s="12" t="str">
        <f t="shared" si="55"/>
        <v>{"text":"パスワードを忘れた","postback":"FAQ-Guest6-2"},</v>
      </c>
    </row>
    <row r="59" spans="1:7" ht="12.75" x14ac:dyDescent="0.2">
      <c r="A59" s="9"/>
      <c r="B59" s="9" t="s">
        <v>177</v>
      </c>
      <c r="C59" s="11" t="s">
        <v>178</v>
      </c>
      <c r="D59" s="9" t="str">
        <f t="shared" ref="D59:E59" ca="1" si="57">IFERROR(__xludf.DUMMYFUNCTION("If (A59&lt;&gt;"""", GOOGLETRANSLATE(A59, ""auto"", ""en""), """")"),"")</f>
        <v/>
      </c>
      <c r="E59" s="9" t="str">
        <f t="shared" ca="1" si="57"/>
        <v/>
      </c>
      <c r="F59" s="3" t="s">
        <v>12</v>
      </c>
      <c r="G59" s="12" t="str">
        <f t="shared" si="55"/>
        <v>{"text":"退会をしたい","postback":"FAQ-Guest6-3"},</v>
      </c>
    </row>
    <row r="60" spans="1:7" ht="25.5" x14ac:dyDescent="0.2">
      <c r="A60" s="18"/>
      <c r="B60" s="11" t="s">
        <v>24</v>
      </c>
      <c r="C60" s="11" t="s">
        <v>26</v>
      </c>
      <c r="D60" s="9" t="str">
        <f t="shared" ref="D60:E60" ca="1" si="58">IFERROR(__xludf.DUMMYFUNCTION("If (A60&lt;&gt;"""", GOOGLETRANSLATE(A60, ""auto"", ""en""), """")"),"")</f>
        <v/>
      </c>
      <c r="E60" s="9" t="str">
        <f t="shared" ca="1" si="58"/>
        <v/>
      </c>
      <c r="F60" s="3" t="s">
        <v>12</v>
      </c>
      <c r="G60" s="12" t="str">
        <f t="shared" si="55"/>
        <v>{"text":"その他の質問（ゲスト）","postback":"FAQ-Guest-First"},</v>
      </c>
    </row>
    <row r="61" spans="1:7" ht="12.75" x14ac:dyDescent="0.2">
      <c r="A61" s="18"/>
      <c r="B61" s="11" t="s">
        <v>32</v>
      </c>
      <c r="C61" s="11" t="s">
        <v>29</v>
      </c>
      <c r="D61" s="9" t="str">
        <f t="shared" ref="D61:E61" ca="1" si="59">IFERROR(__xludf.DUMMYFUNCTION("If (A61&lt;&gt;"""", GOOGLETRANSLATE(A61, ""auto"", ""en""), """")"),"")</f>
        <v/>
      </c>
      <c r="E61" s="9" t="str">
        <f t="shared" ca="1" si="59"/>
        <v/>
      </c>
      <c r="F61" s="3" t="s">
        <v>12</v>
      </c>
      <c r="G61" s="12" t="str">
        <f t="shared" si="55"/>
        <v>{"text":"その他の質問（ホスト）","postback":"FAQ-Host-First"},</v>
      </c>
    </row>
    <row r="62" spans="1:7" x14ac:dyDescent="0.2">
      <c r="A62" s="84"/>
      <c r="B62" s="85"/>
      <c r="C62" s="86"/>
      <c r="D62" s="2"/>
      <c r="E62" s="2"/>
      <c r="F62" s="4"/>
      <c r="G62" s="6"/>
    </row>
    <row r="63" spans="1:7" ht="12.75" x14ac:dyDescent="0.2">
      <c r="A63" s="5"/>
      <c r="B63" s="5"/>
      <c r="C63" s="5"/>
      <c r="D63" s="5"/>
      <c r="E63" s="5"/>
      <c r="F63" s="3"/>
      <c r="G63" s="7"/>
    </row>
    <row r="64" spans="1:7" ht="12.75" x14ac:dyDescent="0.2">
      <c r="A64" s="5"/>
      <c r="B64" s="5"/>
      <c r="C64" s="5"/>
      <c r="D64" s="5"/>
      <c r="E64" s="5"/>
      <c r="F64" s="3"/>
      <c r="G64" s="7"/>
    </row>
    <row r="65" spans="1:7" ht="12.75" x14ac:dyDescent="0.2">
      <c r="A65" s="5"/>
      <c r="B65" s="5"/>
      <c r="C65" s="5"/>
      <c r="D65" s="5"/>
      <c r="E65" s="5"/>
      <c r="F65" s="3"/>
      <c r="G65" s="7"/>
    </row>
    <row r="66" spans="1:7" ht="12.75" x14ac:dyDescent="0.2">
      <c r="A66" s="5"/>
      <c r="B66" s="5"/>
      <c r="C66" s="5"/>
      <c r="D66" s="5"/>
      <c r="E66" s="5"/>
      <c r="F66" s="3"/>
      <c r="G66" s="7"/>
    </row>
    <row r="67" spans="1:7" ht="12.75" x14ac:dyDescent="0.2">
      <c r="A67" s="5"/>
      <c r="B67" s="5"/>
      <c r="C67" s="5"/>
      <c r="D67" s="5"/>
      <c r="E67" s="5"/>
      <c r="F67" s="3"/>
      <c r="G67" s="7"/>
    </row>
    <row r="68" spans="1:7" x14ac:dyDescent="0.2">
      <c r="A68" s="84"/>
      <c r="B68" s="85"/>
      <c r="C68" s="86"/>
      <c r="D68" s="2"/>
      <c r="E68" s="2"/>
      <c r="F68" s="4"/>
      <c r="G68" s="6"/>
    </row>
    <row r="69" spans="1:7" ht="12.75" x14ac:dyDescent="0.2">
      <c r="A69" s="14"/>
      <c r="B69" s="15"/>
      <c r="C69" s="15"/>
      <c r="D69" s="5"/>
      <c r="E69" s="5"/>
      <c r="F69" s="16"/>
      <c r="G69" s="22"/>
    </row>
    <row r="70" spans="1:7" ht="12.75" x14ac:dyDescent="0.2">
      <c r="A70" s="14"/>
      <c r="B70" s="17"/>
      <c r="C70" s="17"/>
      <c r="D70" s="5"/>
      <c r="E70" s="5"/>
      <c r="F70" s="16"/>
      <c r="G70" s="22"/>
    </row>
    <row r="71" spans="1:7" ht="12.75" x14ac:dyDescent="0.2">
      <c r="A71" s="14"/>
      <c r="B71" s="17"/>
      <c r="C71" s="17"/>
      <c r="D71" s="5"/>
      <c r="E71" s="5"/>
      <c r="F71" s="16"/>
      <c r="G71" s="22"/>
    </row>
    <row r="72" spans="1:7" ht="12.75" x14ac:dyDescent="0.2">
      <c r="A72" s="14"/>
      <c r="B72" s="17"/>
      <c r="C72" s="17"/>
      <c r="D72" s="5"/>
      <c r="E72" s="5"/>
      <c r="F72" s="16"/>
      <c r="G72" s="22"/>
    </row>
    <row r="73" spans="1:7" ht="12.75" x14ac:dyDescent="0.2">
      <c r="A73" s="14"/>
      <c r="B73" s="17"/>
      <c r="C73" s="17"/>
      <c r="D73" s="5"/>
      <c r="E73" s="5"/>
      <c r="F73" s="16"/>
      <c r="G73" s="22"/>
    </row>
    <row r="74" spans="1:7" x14ac:dyDescent="0.2">
      <c r="A74" s="84"/>
      <c r="B74" s="85"/>
      <c r="C74" s="86"/>
      <c r="D74" s="2"/>
      <c r="E74" s="2"/>
      <c r="F74" s="4"/>
      <c r="G74" s="6"/>
    </row>
    <row r="75" spans="1:7" ht="12.75" x14ac:dyDescent="0.2">
      <c r="A75" s="14"/>
      <c r="B75" s="5"/>
      <c r="C75" s="5"/>
      <c r="D75" s="5"/>
      <c r="E75" s="5"/>
      <c r="F75" s="3"/>
      <c r="G75" s="7"/>
    </row>
    <row r="76" spans="1:7" ht="12.75" x14ac:dyDescent="0.2">
      <c r="A76" s="14"/>
      <c r="B76" s="17"/>
      <c r="C76" s="17"/>
      <c r="D76" s="5"/>
      <c r="E76" s="5"/>
      <c r="F76" s="3"/>
      <c r="G76" s="7"/>
    </row>
    <row r="77" spans="1:7" ht="12.75" x14ac:dyDescent="0.2">
      <c r="A77" s="14"/>
      <c r="B77" s="17"/>
      <c r="C77" s="17"/>
      <c r="D77" s="5"/>
      <c r="E77" s="5"/>
      <c r="F77" s="3"/>
      <c r="G77" s="7"/>
    </row>
    <row r="78" spans="1:7" ht="12.75" x14ac:dyDescent="0.2">
      <c r="A78" s="14"/>
      <c r="B78" s="17"/>
      <c r="C78" s="17"/>
      <c r="D78" s="5"/>
      <c r="E78" s="5"/>
      <c r="F78" s="3"/>
      <c r="G78" s="7"/>
    </row>
    <row r="79" spans="1:7" ht="12.75" x14ac:dyDescent="0.2">
      <c r="A79" s="14"/>
      <c r="B79" s="17"/>
      <c r="C79" s="17"/>
      <c r="D79" s="5"/>
      <c r="E79" s="5"/>
      <c r="F79" s="3"/>
      <c r="G79" s="7"/>
    </row>
    <row r="80" spans="1:7" x14ac:dyDescent="0.2">
      <c r="A80" s="84"/>
      <c r="B80" s="85"/>
      <c r="C80" s="86"/>
      <c r="D80" s="2"/>
      <c r="E80" s="2"/>
      <c r="F80" s="4"/>
      <c r="G80" s="6"/>
    </row>
    <row r="81" spans="1:7" ht="12.75" x14ac:dyDescent="0.2">
      <c r="A81" s="14"/>
      <c r="B81" s="15"/>
      <c r="C81" s="15"/>
      <c r="D81" s="5"/>
      <c r="E81" s="5"/>
      <c r="F81" s="16"/>
      <c r="G81" s="22"/>
    </row>
    <row r="82" spans="1:7" ht="12.75" x14ac:dyDescent="0.2">
      <c r="A82" s="14"/>
      <c r="B82" s="17"/>
      <c r="C82" s="17"/>
      <c r="D82" s="5"/>
      <c r="E82" s="5"/>
      <c r="F82" s="16"/>
      <c r="G82" s="22"/>
    </row>
    <row r="83" spans="1:7" ht="12.75" x14ac:dyDescent="0.2">
      <c r="A83" s="14"/>
      <c r="B83" s="17"/>
      <c r="C83" s="17"/>
      <c r="D83" s="5"/>
      <c r="E83" s="5"/>
      <c r="F83" s="16"/>
      <c r="G83" s="22"/>
    </row>
    <row r="84" spans="1:7" ht="12.75" x14ac:dyDescent="0.2">
      <c r="A84" s="14"/>
      <c r="B84" s="17"/>
      <c r="C84" s="17"/>
      <c r="D84" s="5"/>
      <c r="E84" s="5"/>
      <c r="F84" s="16"/>
      <c r="G84" s="22"/>
    </row>
    <row r="85" spans="1:7" ht="12.75" x14ac:dyDescent="0.2">
      <c r="A85" s="14"/>
      <c r="B85" s="17"/>
      <c r="C85" s="17"/>
      <c r="D85" s="5"/>
      <c r="E85" s="5"/>
      <c r="F85" s="16"/>
      <c r="G85" s="22"/>
    </row>
    <row r="86" spans="1:7" x14ac:dyDescent="0.2">
      <c r="A86" s="84"/>
      <c r="B86" s="85"/>
      <c r="C86" s="86"/>
      <c r="D86" s="2"/>
      <c r="E86" s="2"/>
      <c r="F86" s="4"/>
      <c r="G86" s="6"/>
    </row>
    <row r="87" spans="1:7" ht="12.75" x14ac:dyDescent="0.2">
      <c r="A87" s="14"/>
      <c r="B87" s="15"/>
      <c r="C87" s="15"/>
      <c r="D87" s="5"/>
      <c r="E87" s="5"/>
      <c r="F87" s="16"/>
      <c r="G87" s="22"/>
    </row>
    <row r="88" spans="1:7" ht="12.75" x14ac:dyDescent="0.2">
      <c r="A88" s="14"/>
      <c r="B88" s="17"/>
      <c r="C88" s="17"/>
      <c r="D88" s="5"/>
      <c r="E88" s="5"/>
      <c r="F88" s="16"/>
      <c r="G88" s="22"/>
    </row>
    <row r="89" spans="1:7" ht="12.75" x14ac:dyDescent="0.2">
      <c r="A89" s="14"/>
      <c r="B89" s="17"/>
      <c r="C89" s="17"/>
      <c r="D89" s="5"/>
      <c r="E89" s="5"/>
      <c r="F89" s="16"/>
      <c r="G89" s="22"/>
    </row>
    <row r="90" spans="1:7" ht="12.75" x14ac:dyDescent="0.2">
      <c r="A90" s="14"/>
      <c r="B90" s="17"/>
      <c r="C90" s="17"/>
      <c r="D90" s="5"/>
      <c r="E90" s="5"/>
      <c r="F90" s="16"/>
      <c r="G90" s="22"/>
    </row>
    <row r="91" spans="1:7" ht="12.75" x14ac:dyDescent="0.2">
      <c r="A91" s="14"/>
      <c r="B91" s="17"/>
      <c r="C91" s="17"/>
      <c r="D91" s="5"/>
      <c r="E91" s="5"/>
      <c r="F91" s="16"/>
      <c r="G91" s="22"/>
    </row>
    <row r="92" spans="1:7" x14ac:dyDescent="0.2">
      <c r="A92" s="84"/>
      <c r="B92" s="85"/>
      <c r="C92" s="86"/>
      <c r="D92" s="2"/>
      <c r="E92" s="2"/>
      <c r="F92" s="4"/>
      <c r="G92" s="6"/>
    </row>
    <row r="93" spans="1:7" ht="12.75" x14ac:dyDescent="0.2">
      <c r="A93" s="14"/>
      <c r="B93" s="14"/>
      <c r="C93" s="14"/>
      <c r="D93" s="5"/>
      <c r="E93" s="5"/>
      <c r="F93" s="16"/>
      <c r="G93" s="22"/>
    </row>
    <row r="94" spans="1:7" ht="12.75" x14ac:dyDescent="0.2">
      <c r="A94" s="14"/>
      <c r="B94" s="14"/>
      <c r="C94" s="14"/>
      <c r="D94" s="5"/>
      <c r="E94" s="5"/>
      <c r="F94" s="16"/>
      <c r="G94" s="22"/>
    </row>
    <row r="95" spans="1:7" ht="12.75" x14ac:dyDescent="0.2">
      <c r="A95" s="14"/>
      <c r="B95" s="14"/>
      <c r="C95" s="14"/>
      <c r="D95" s="5"/>
      <c r="E95" s="5"/>
      <c r="F95" s="16"/>
      <c r="G95" s="22"/>
    </row>
    <row r="96" spans="1:7" ht="12.75" x14ac:dyDescent="0.2">
      <c r="A96" s="14"/>
      <c r="B96" s="23"/>
      <c r="C96" s="23"/>
      <c r="D96" s="5"/>
      <c r="E96" s="5"/>
      <c r="F96" s="16"/>
      <c r="G96" s="22"/>
    </row>
    <row r="97" spans="1:7" ht="12.75" x14ac:dyDescent="0.2">
      <c r="A97" s="14"/>
      <c r="B97" s="23"/>
      <c r="C97" s="23"/>
      <c r="D97" s="5"/>
      <c r="E97" s="5"/>
      <c r="F97" s="16"/>
      <c r="G97" s="22"/>
    </row>
    <row r="98" spans="1:7" x14ac:dyDescent="0.2">
      <c r="A98" s="84"/>
      <c r="B98" s="85"/>
      <c r="C98" s="86"/>
      <c r="D98" s="2"/>
      <c r="E98" s="2"/>
      <c r="F98" s="4"/>
      <c r="G98" s="6"/>
    </row>
    <row r="99" spans="1:7" ht="12.75" x14ac:dyDescent="0.2">
      <c r="A99" s="14"/>
      <c r="B99" s="14"/>
      <c r="C99" s="14"/>
      <c r="D99" s="5"/>
      <c r="E99" s="5"/>
      <c r="F99" s="16"/>
      <c r="G99" s="22"/>
    </row>
    <row r="100" spans="1:7" ht="12.75" x14ac:dyDescent="0.2">
      <c r="A100" s="14"/>
      <c r="B100" s="14"/>
      <c r="C100" s="14"/>
      <c r="D100" s="5"/>
      <c r="E100" s="5"/>
      <c r="F100" s="16"/>
      <c r="G100" s="22"/>
    </row>
    <row r="101" spans="1:7" ht="12.75" x14ac:dyDescent="0.2">
      <c r="A101" s="14"/>
      <c r="B101" s="14"/>
      <c r="C101" s="14"/>
      <c r="D101" s="5"/>
      <c r="E101" s="5"/>
      <c r="F101" s="16"/>
      <c r="G101" s="22"/>
    </row>
    <row r="102" spans="1:7" ht="12.75" x14ac:dyDescent="0.2">
      <c r="A102" s="14"/>
      <c r="B102" s="23"/>
      <c r="C102" s="23"/>
      <c r="D102" s="5"/>
      <c r="E102" s="5"/>
      <c r="F102" s="16"/>
      <c r="G102" s="22"/>
    </row>
    <row r="103" spans="1:7" ht="12.75" x14ac:dyDescent="0.2">
      <c r="A103" s="14"/>
      <c r="B103" s="23"/>
      <c r="C103" s="23"/>
      <c r="D103" s="5"/>
      <c r="E103" s="5"/>
      <c r="F103" s="16"/>
      <c r="G103" s="22"/>
    </row>
    <row r="104" spans="1:7" x14ac:dyDescent="0.2">
      <c r="A104" s="84"/>
      <c r="B104" s="85"/>
      <c r="C104" s="86"/>
      <c r="D104" s="2"/>
      <c r="E104" s="2"/>
      <c r="F104" s="4"/>
      <c r="G104" s="6"/>
    </row>
    <row r="105" spans="1:7" ht="12.75" x14ac:dyDescent="0.2">
      <c r="A105" s="20"/>
      <c r="B105" s="20"/>
      <c r="C105" s="20"/>
      <c r="D105" s="5" t="str">
        <f t="shared" ref="D105:E105" ca="1" si="60">IFERROR(__xludf.DUMMYFUNCTION("If (A105&lt;&gt;"""", GOOGLETRANSLATE(A105, ""auto"", ""en""), """")"),"")</f>
        <v/>
      </c>
      <c r="E105" s="5" t="str">
        <f t="shared" ca="1" si="60"/>
        <v/>
      </c>
      <c r="F105" s="21"/>
      <c r="G105" s="24"/>
    </row>
    <row r="106" spans="1:7" ht="12.75" x14ac:dyDescent="0.2">
      <c r="A106" s="20"/>
      <c r="B106" s="20"/>
      <c r="C106" s="20"/>
      <c r="D106" s="5" t="str">
        <f t="shared" ref="D106:E106" ca="1" si="61">IFERROR(__xludf.DUMMYFUNCTION("If (A106&lt;&gt;"""", GOOGLETRANSLATE(A106, ""auto"", ""en""), """")"),"")</f>
        <v/>
      </c>
      <c r="E106" s="5" t="str">
        <f t="shared" ca="1" si="61"/>
        <v/>
      </c>
      <c r="F106" s="21"/>
      <c r="G106" s="24"/>
    </row>
  </sheetData>
  <mergeCells count="18">
    <mergeCell ref="A48:C48"/>
    <mergeCell ref="A55:C55"/>
    <mergeCell ref="A39:C39"/>
    <mergeCell ref="A68:C68"/>
    <mergeCell ref="A80:C80"/>
    <mergeCell ref="A74:C74"/>
    <mergeCell ref="A86:C86"/>
    <mergeCell ref="A98:C98"/>
    <mergeCell ref="A104:C104"/>
    <mergeCell ref="A92:C92"/>
    <mergeCell ref="A62:C62"/>
    <mergeCell ref="A28:C28"/>
    <mergeCell ref="A23:C23"/>
    <mergeCell ref="A17:C17"/>
    <mergeCell ref="D1:G1"/>
    <mergeCell ref="A3:C3"/>
    <mergeCell ref="A7:C7"/>
    <mergeCell ref="A1:C1"/>
  </mergeCells>
  <conditionalFormatting sqref="F2:G106">
    <cfRule type="cellIs" dxfId="30" priority="1" operator="equal">
      <formula>"done"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5"/>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33" customWidth="1"/>
    <col min="2" max="2" width="52" customWidth="1"/>
    <col min="3" max="3" width="16.28515625" customWidth="1"/>
    <col min="4" max="4" width="35.42578125" customWidth="1"/>
    <col min="5" max="5" width="45.140625" customWidth="1"/>
    <col min="6" max="6" width="13.28515625" customWidth="1"/>
    <col min="7" max="7" width="66.8554687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11</v>
      </c>
      <c r="B3" s="85"/>
      <c r="C3" s="86"/>
      <c r="D3" s="2"/>
      <c r="E3" s="2"/>
      <c r="F3" s="3" t="s">
        <v>12</v>
      </c>
      <c r="G3" s="4"/>
    </row>
    <row r="4" spans="1:7" ht="15.75" customHeight="1" x14ac:dyDescent="0.2">
      <c r="A4" s="5" t="s">
        <v>13</v>
      </c>
      <c r="B4" s="5" t="s">
        <v>14</v>
      </c>
      <c r="C4" s="5"/>
      <c r="D4" s="5" t="str">
        <f t="shared" ref="D4:E4" ca="1" si="0">IFERROR(__xludf.DUMMYFUNCTION("If (A4&lt;&gt;"""", GOOGLETRANSLATE(A4, ""auto"", ""en""), """")"),"For identification")</f>
        <v>For identification</v>
      </c>
      <c r="E4" s="5" t="str">
        <f t="shared" ca="1" si="0"/>
        <v>For identification</v>
      </c>
      <c r="F4" s="3" t="s">
        <v>12</v>
      </c>
      <c r="G4" s="3"/>
    </row>
    <row r="5" spans="1:7" ht="15.75" customHeight="1" x14ac:dyDescent="0.2">
      <c r="A5" s="5"/>
      <c r="B5" s="5" t="s">
        <v>19</v>
      </c>
      <c r="C5" s="5"/>
      <c r="D5" s="5" t="str">
        <f t="shared" ref="D5:E5" ca="1" si="1">IFERROR(__xludf.DUMMYFUNCTION("If (A5&lt;&gt;"""", GOOGLETRANSLATE(A5, ""auto"", ""en""), """")"),"")</f>
        <v/>
      </c>
      <c r="E5" s="5" t="str">
        <f t="shared" ca="1" si="1"/>
        <v/>
      </c>
      <c r="F5" s="3" t="s">
        <v>12</v>
      </c>
      <c r="G5" s="3"/>
    </row>
    <row r="6" spans="1:7" ht="15.75" customHeight="1" x14ac:dyDescent="0.2">
      <c r="A6" s="8" t="s">
        <v>21</v>
      </c>
      <c r="B6" s="10" t="s">
        <v>24</v>
      </c>
      <c r="C6" s="11" t="s">
        <v>26</v>
      </c>
      <c r="D6" s="8" t="str">
        <f t="shared" ref="D6:E6" ca="1" si="2">IFERROR(__xludf.DUMMYFUNCTION("If (A6&lt;&gt;"""", GOOGLETRANSLATE(A6, ""auto"", ""en""), """")"),"Quick Replies")</f>
        <v>Quick Replies</v>
      </c>
      <c r="E6" s="9" t="str">
        <f t="shared" ca="1" si="2"/>
        <v>Quick Replies</v>
      </c>
      <c r="F6" s="3" t="s">
        <v>12</v>
      </c>
      <c r="G6" s="12" t="str">
        <f t="shared" ref="G6:G9" si="3">"{""text"":"""&amp;B6&amp;""",""postback"":"""&amp;C6&amp;"""},"</f>
        <v>{"text":"その他の質問（ゲスト）","postback":"FAQ-Guest-First"},</v>
      </c>
    </row>
    <row r="7" spans="1:7" ht="15.75" customHeight="1" x14ac:dyDescent="0.2">
      <c r="A7" s="9"/>
      <c r="B7" s="10" t="s">
        <v>32</v>
      </c>
      <c r="C7" s="11" t="s">
        <v>29</v>
      </c>
      <c r="D7" s="9" t="str">
        <f t="shared" ref="D7:E7" ca="1" si="4">IFERROR(__xludf.DUMMYFUNCTION("If (A7&lt;&gt;"""", GOOGLETRANSLATE(A7, ""auto"", ""en""), """")"),"")</f>
        <v/>
      </c>
      <c r="E7" s="9" t="str">
        <f t="shared" ca="1" si="4"/>
        <v/>
      </c>
      <c r="F7" s="3" t="s">
        <v>12</v>
      </c>
      <c r="G7" s="12" t="str">
        <f t="shared" si="3"/>
        <v>{"text":"その他の質問（ホスト）","postback":"FAQ-Host-First"},</v>
      </c>
    </row>
    <row r="8" spans="1:7" ht="15.75" customHeight="1" x14ac:dyDescent="0.2">
      <c r="A8" s="9"/>
      <c r="B8" s="9" t="s">
        <v>25</v>
      </c>
      <c r="C8" s="11" t="s">
        <v>27</v>
      </c>
      <c r="D8" s="9" t="str">
        <f t="shared" ref="D8:E8" ca="1" si="5">IFERROR(__xludf.DUMMYFUNCTION("If (A8&lt;&gt;"""", GOOGLETRANSLATE(A8, ""auto"", ""en""), """")"),"")</f>
        <v/>
      </c>
      <c r="E8" s="9" t="str">
        <f t="shared" ca="1" si="5"/>
        <v/>
      </c>
      <c r="F8" s="3" t="s">
        <v>12</v>
      </c>
      <c r="G8" s="12" t="str">
        <f t="shared" si="3"/>
        <v>{"text":"宿泊先を探す","postback":"Search-House"},</v>
      </c>
    </row>
    <row r="9" spans="1:7" ht="15.75" customHeight="1" x14ac:dyDescent="0.2">
      <c r="A9" s="9"/>
      <c r="B9" s="9" t="s">
        <v>30</v>
      </c>
      <c r="C9" s="11" t="s">
        <v>31</v>
      </c>
      <c r="D9" s="9" t="str">
        <f t="shared" ref="D9:E9" ca="1" si="6">IFERROR(__xludf.DUMMYFUNCTION("If (A9&lt;&gt;"""", GOOGLETRANSLATE(A9, ""auto"", ""en""), """")"),"")</f>
        <v/>
      </c>
      <c r="E9" s="9" t="str">
        <f t="shared" ca="1" si="6"/>
        <v/>
      </c>
      <c r="F9" s="3" t="s">
        <v>12</v>
      </c>
      <c r="G9" s="12" t="str">
        <f t="shared" si="3"/>
        <v>{"text":"物件の登録をする","postback":"Register-House"},</v>
      </c>
    </row>
    <row r="10" spans="1:7" ht="15.75" customHeight="1" x14ac:dyDescent="0.2">
      <c r="A10" s="84" t="s">
        <v>36</v>
      </c>
      <c r="B10" s="85"/>
      <c r="C10" s="86"/>
      <c r="D10" s="2"/>
      <c r="E10" s="2"/>
      <c r="F10" s="3" t="s">
        <v>12</v>
      </c>
      <c r="G10" s="4"/>
    </row>
    <row r="11" spans="1:7" ht="15.75" customHeight="1" x14ac:dyDescent="0.2">
      <c r="A11" s="14" t="s">
        <v>37</v>
      </c>
      <c r="B11" s="15" t="s">
        <v>39</v>
      </c>
      <c r="C11" s="15"/>
      <c r="D11" s="5" t="str">
        <f t="shared" ref="D11:E11" ca="1" si="7">IFERROR(__xludf.DUMMYFUNCTION("If (A11&lt;&gt;"""", GOOGLETRANSLATE(A11, ""auto"", ""en""), """")"),"For passport")</f>
        <v>For passport</v>
      </c>
      <c r="E11" s="5" t="str">
        <f t="shared" ca="1" si="7"/>
        <v>For passport</v>
      </c>
      <c r="F11" s="3" t="s">
        <v>12</v>
      </c>
      <c r="G11" s="16"/>
    </row>
    <row r="12" spans="1:7" ht="15.75" customHeight="1" x14ac:dyDescent="0.2">
      <c r="A12" s="5"/>
      <c r="B12" s="5" t="s">
        <v>19</v>
      </c>
      <c r="C12" s="5"/>
      <c r="D12" s="5" t="str">
        <f t="shared" ref="D12:E12" ca="1" si="8">IFERROR(__xludf.DUMMYFUNCTION("If (A12&lt;&gt;"""", GOOGLETRANSLATE(A12, ""auto"", ""en""), """")"),"")</f>
        <v/>
      </c>
      <c r="E12" s="5" t="str">
        <f t="shared" ca="1" si="8"/>
        <v/>
      </c>
      <c r="F12" s="3" t="s">
        <v>12</v>
      </c>
      <c r="G12" s="3"/>
    </row>
    <row r="13" spans="1:7" ht="15.75" customHeight="1" x14ac:dyDescent="0.2">
      <c r="A13" s="8" t="s">
        <v>21</v>
      </c>
      <c r="B13" s="10" t="s">
        <v>24</v>
      </c>
      <c r="C13" s="11" t="s">
        <v>26</v>
      </c>
      <c r="D13" s="8" t="str">
        <f t="shared" ref="D13:E13" ca="1" si="9">IFERROR(__xludf.DUMMYFUNCTION("If (A13&lt;&gt;"""", GOOGLETRANSLATE(A13, ""auto"", ""en""), """")"),"Quick Replies")</f>
        <v>Quick Replies</v>
      </c>
      <c r="E13" s="9" t="str">
        <f t="shared" ca="1" si="9"/>
        <v>Quick Replies</v>
      </c>
      <c r="F13" s="3" t="s">
        <v>12</v>
      </c>
      <c r="G13" s="12" t="str">
        <f t="shared" ref="G13:G16" si="10">"{""text"":"""&amp;B13&amp;""",""postback"":"""&amp;C13&amp;"""},"</f>
        <v>{"text":"その他の質問（ゲスト）","postback":"FAQ-Guest-First"},</v>
      </c>
    </row>
    <row r="14" spans="1:7" ht="15.75" customHeight="1" x14ac:dyDescent="0.2">
      <c r="A14" s="9"/>
      <c r="B14" s="10" t="s">
        <v>32</v>
      </c>
      <c r="C14" s="11" t="s">
        <v>29</v>
      </c>
      <c r="D14" s="9" t="str">
        <f t="shared" ref="D14:E14" ca="1" si="11">IFERROR(__xludf.DUMMYFUNCTION("If (A14&lt;&gt;"""", GOOGLETRANSLATE(A14, ""auto"", ""en""), """")"),"")</f>
        <v/>
      </c>
      <c r="E14" s="9" t="str">
        <f t="shared" ca="1" si="11"/>
        <v/>
      </c>
      <c r="F14" s="3" t="s">
        <v>12</v>
      </c>
      <c r="G14" s="12" t="str">
        <f t="shared" si="10"/>
        <v>{"text":"その他の質問（ホスト）","postback":"FAQ-Host-First"},</v>
      </c>
    </row>
    <row r="15" spans="1:7" ht="15.75" customHeight="1" x14ac:dyDescent="0.2">
      <c r="A15" s="9"/>
      <c r="B15" s="9" t="s">
        <v>25</v>
      </c>
      <c r="C15" s="11" t="s">
        <v>27</v>
      </c>
      <c r="D15" s="9" t="str">
        <f t="shared" ref="D15:E15" ca="1" si="12">IFERROR(__xludf.DUMMYFUNCTION("If (A15&lt;&gt;"""", GOOGLETRANSLATE(A15, ""auto"", ""en""), """")"),"")</f>
        <v/>
      </c>
      <c r="E15" s="9" t="str">
        <f t="shared" ca="1" si="12"/>
        <v/>
      </c>
      <c r="F15" s="3" t="s">
        <v>12</v>
      </c>
      <c r="G15" s="12" t="str">
        <f t="shared" si="10"/>
        <v>{"text":"宿泊先を探す","postback":"Search-House"},</v>
      </c>
    </row>
    <row r="16" spans="1:7" ht="15.75" customHeight="1" x14ac:dyDescent="0.2">
      <c r="A16" s="9"/>
      <c r="B16" s="9" t="s">
        <v>30</v>
      </c>
      <c r="C16" s="11" t="s">
        <v>31</v>
      </c>
      <c r="D16" s="9" t="str">
        <f t="shared" ref="D16:E16" ca="1" si="13">IFERROR(__xludf.DUMMYFUNCTION("If (A16&lt;&gt;"""", GOOGLETRANSLATE(A16, ""auto"", ""en""), """")"),"")</f>
        <v/>
      </c>
      <c r="E16" s="9" t="str">
        <f t="shared" ca="1" si="13"/>
        <v/>
      </c>
      <c r="F16" s="3" t="s">
        <v>12</v>
      </c>
      <c r="G16" s="12" t="str">
        <f t="shared" si="10"/>
        <v>{"text":"物件の登録をする","postback":"Register-House"},</v>
      </c>
    </row>
    <row r="17" spans="1:7" ht="15.75" customHeight="1" x14ac:dyDescent="0.2">
      <c r="A17" s="84" t="s">
        <v>55</v>
      </c>
      <c r="B17" s="85"/>
      <c r="C17" s="86"/>
      <c r="D17" s="2"/>
      <c r="E17" s="2"/>
      <c r="F17" s="3" t="s">
        <v>12</v>
      </c>
      <c r="G17" s="4"/>
    </row>
    <row r="18" spans="1:7" ht="15.75" customHeight="1" x14ac:dyDescent="0.2">
      <c r="A18" s="14" t="s">
        <v>58</v>
      </c>
      <c r="B18" s="5" t="s">
        <v>59</v>
      </c>
      <c r="C18" s="5"/>
      <c r="D18" s="5" t="str">
        <f t="shared" ref="D18:E18" ca="1" si="14">IFERROR(__xludf.DUMMYFUNCTION("If (A18&lt;&gt;"""", GOOGLETRANSLATE(A18, ""auto"", ""en""), """")"),"Personal Information")</f>
        <v>Personal Information</v>
      </c>
      <c r="E18" s="5" t="str">
        <f t="shared" ca="1" si="14"/>
        <v>Personal Information</v>
      </c>
      <c r="F18" s="3" t="s">
        <v>12</v>
      </c>
      <c r="G18" s="3"/>
    </row>
    <row r="19" spans="1:7" ht="15.75" customHeight="1" x14ac:dyDescent="0.2">
      <c r="A19" s="5"/>
      <c r="B19" s="5" t="s">
        <v>19</v>
      </c>
      <c r="C19" s="5"/>
      <c r="D19" s="5" t="str">
        <f t="shared" ref="D19:E19" ca="1" si="15">IFERROR(__xludf.DUMMYFUNCTION("If (A19&lt;&gt;"""", GOOGLETRANSLATE(A19, ""auto"", ""en""), """")"),"")</f>
        <v/>
      </c>
      <c r="E19" s="5" t="str">
        <f t="shared" ca="1" si="15"/>
        <v/>
      </c>
      <c r="F19" s="3" t="s">
        <v>12</v>
      </c>
      <c r="G19" s="3"/>
    </row>
    <row r="20" spans="1:7" ht="15.75" customHeight="1" x14ac:dyDescent="0.2">
      <c r="A20" s="8" t="s">
        <v>21</v>
      </c>
      <c r="B20" s="10" t="s">
        <v>24</v>
      </c>
      <c r="C20" s="11" t="s">
        <v>26</v>
      </c>
      <c r="D20" s="8" t="str">
        <f t="shared" ref="D20:E20" ca="1" si="16">IFERROR(__xludf.DUMMYFUNCTION("If (A20&lt;&gt;"""", GOOGLETRANSLATE(A20, ""auto"", ""en""), """")"),"Quick Replies")</f>
        <v>Quick Replies</v>
      </c>
      <c r="E20" s="9" t="str">
        <f t="shared" ca="1" si="16"/>
        <v>Quick Replies</v>
      </c>
      <c r="F20" s="3" t="s">
        <v>12</v>
      </c>
      <c r="G20" s="12" t="str">
        <f t="shared" ref="G20:G23" si="17">"{""text"":"""&amp;B20&amp;""",""postback"":"""&amp;C20&amp;"""},"</f>
        <v>{"text":"その他の質問（ゲスト）","postback":"FAQ-Guest-First"},</v>
      </c>
    </row>
    <row r="21" spans="1:7" ht="15.75" customHeight="1" x14ac:dyDescent="0.2">
      <c r="A21" s="9"/>
      <c r="B21" s="10" t="s">
        <v>32</v>
      </c>
      <c r="C21" s="11" t="s">
        <v>29</v>
      </c>
      <c r="D21" s="9" t="str">
        <f t="shared" ref="D21:E21" ca="1" si="18">IFERROR(__xludf.DUMMYFUNCTION("If (A21&lt;&gt;"""", GOOGLETRANSLATE(A21, ""auto"", ""en""), """")"),"")</f>
        <v/>
      </c>
      <c r="E21" s="9" t="str">
        <f t="shared" ca="1" si="18"/>
        <v/>
      </c>
      <c r="F21" s="3" t="s">
        <v>12</v>
      </c>
      <c r="G21" s="12" t="str">
        <f t="shared" si="17"/>
        <v>{"text":"その他の質問（ホスト）","postback":"FAQ-Host-First"},</v>
      </c>
    </row>
    <row r="22" spans="1:7" ht="15.75" customHeight="1" x14ac:dyDescent="0.2">
      <c r="A22" s="9"/>
      <c r="B22" s="9" t="s">
        <v>25</v>
      </c>
      <c r="C22" s="11" t="s">
        <v>27</v>
      </c>
      <c r="D22" s="9" t="str">
        <f t="shared" ref="D22:E22" ca="1" si="19">IFERROR(__xludf.DUMMYFUNCTION("If (A22&lt;&gt;"""", GOOGLETRANSLATE(A22, ""auto"", ""en""), """")"),"")</f>
        <v/>
      </c>
      <c r="E22" s="9" t="str">
        <f t="shared" ca="1" si="19"/>
        <v/>
      </c>
      <c r="F22" s="3" t="s">
        <v>12</v>
      </c>
      <c r="G22" s="12" t="str">
        <f t="shared" si="17"/>
        <v>{"text":"宿泊先を探す","postback":"Search-House"},</v>
      </c>
    </row>
    <row r="23" spans="1:7" ht="15.75" customHeight="1" x14ac:dyDescent="0.2">
      <c r="A23" s="9"/>
      <c r="B23" s="9" t="s">
        <v>30</v>
      </c>
      <c r="C23" s="11" t="s">
        <v>31</v>
      </c>
      <c r="D23" s="9" t="str">
        <f t="shared" ref="D23:E23" ca="1" si="20">IFERROR(__xludf.DUMMYFUNCTION("If (A23&lt;&gt;"""", GOOGLETRANSLATE(A23, ""auto"", ""en""), """")"),"")</f>
        <v/>
      </c>
      <c r="E23" s="9" t="str">
        <f t="shared" ca="1" si="20"/>
        <v/>
      </c>
      <c r="F23" s="3" t="s">
        <v>12</v>
      </c>
      <c r="G23" s="12" t="str">
        <f t="shared" si="17"/>
        <v>{"text":"物件の登録をする","postback":"Register-House"},</v>
      </c>
    </row>
    <row r="24" spans="1:7" ht="15.75" customHeight="1" x14ac:dyDescent="0.2">
      <c r="A24" s="84" t="s">
        <v>71</v>
      </c>
      <c r="B24" s="85"/>
      <c r="C24" s="86"/>
      <c r="D24" s="2"/>
      <c r="E24" s="2"/>
      <c r="F24" s="3" t="s">
        <v>12</v>
      </c>
      <c r="G24" s="4"/>
    </row>
    <row r="25" spans="1:7" ht="15.75" customHeight="1" x14ac:dyDescent="0.2">
      <c r="A25" s="14" t="s">
        <v>72</v>
      </c>
      <c r="B25" s="15" t="s">
        <v>73</v>
      </c>
      <c r="C25" s="15"/>
      <c r="D25" s="5" t="str">
        <f t="shared" ref="D25:E25" ca="1" si="21">IFERROR(__xludf.DUMMYFUNCTION("If (A25&lt;&gt;"""", GOOGLETRANSLATE(A25, ""auto"", ""en""), """")"),"About editing profile")</f>
        <v>About editing profile</v>
      </c>
      <c r="E25" s="5" t="str">
        <f t="shared" ca="1" si="21"/>
        <v>About editing profile</v>
      </c>
      <c r="F25" s="3" t="s">
        <v>12</v>
      </c>
      <c r="G25" s="16"/>
    </row>
    <row r="26" spans="1:7" ht="15.75" customHeight="1" x14ac:dyDescent="0.2">
      <c r="A26" s="5"/>
      <c r="B26" s="5" t="s">
        <v>19</v>
      </c>
      <c r="C26" s="5"/>
      <c r="D26" s="5" t="str">
        <f t="shared" ref="D26:E26" ca="1" si="22">IFERROR(__xludf.DUMMYFUNCTION("If (A26&lt;&gt;"""", GOOGLETRANSLATE(A26, ""auto"", ""en""), """")"),"")</f>
        <v/>
      </c>
      <c r="E26" s="5" t="str">
        <f t="shared" ca="1" si="22"/>
        <v/>
      </c>
      <c r="F26" s="3" t="s">
        <v>12</v>
      </c>
      <c r="G26" s="3"/>
    </row>
    <row r="27" spans="1:7" ht="15.75" customHeight="1" x14ac:dyDescent="0.2">
      <c r="A27" s="8" t="s">
        <v>21</v>
      </c>
      <c r="B27" s="10" t="s">
        <v>24</v>
      </c>
      <c r="C27" s="11" t="s">
        <v>26</v>
      </c>
      <c r="D27" s="8" t="str">
        <f t="shared" ref="D27:E27" ca="1" si="23">IFERROR(__xludf.DUMMYFUNCTION("If (A27&lt;&gt;"""", GOOGLETRANSLATE(A27, ""auto"", ""en""), """")"),"Quick Replies")</f>
        <v>Quick Replies</v>
      </c>
      <c r="E27" s="9" t="str">
        <f t="shared" ca="1" si="23"/>
        <v>Quick Replies</v>
      </c>
      <c r="F27" s="3" t="s">
        <v>12</v>
      </c>
      <c r="G27" s="12" t="str">
        <f t="shared" ref="G27:G30" si="24">"{""text"":"""&amp;B27&amp;""",""postback"":"""&amp;C27&amp;"""},"</f>
        <v>{"text":"その他の質問（ゲスト）","postback":"FAQ-Guest-First"},</v>
      </c>
    </row>
    <row r="28" spans="1:7" ht="15.75" customHeight="1" x14ac:dyDescent="0.2">
      <c r="A28" s="9"/>
      <c r="B28" s="10" t="s">
        <v>32</v>
      </c>
      <c r="C28" s="11" t="s">
        <v>29</v>
      </c>
      <c r="D28" s="9" t="str">
        <f t="shared" ref="D28:E28" ca="1" si="25">IFERROR(__xludf.DUMMYFUNCTION("If (A28&lt;&gt;"""", GOOGLETRANSLATE(A28, ""auto"", ""en""), """")"),"")</f>
        <v/>
      </c>
      <c r="E28" s="9" t="str">
        <f t="shared" ca="1" si="25"/>
        <v/>
      </c>
      <c r="F28" s="3" t="s">
        <v>12</v>
      </c>
      <c r="G28" s="12" t="str">
        <f t="shared" si="24"/>
        <v>{"text":"その他の質問（ホスト）","postback":"FAQ-Host-First"},</v>
      </c>
    </row>
    <row r="29" spans="1:7" ht="15.75" customHeight="1" x14ac:dyDescent="0.2">
      <c r="A29" s="9"/>
      <c r="B29" s="9" t="s">
        <v>25</v>
      </c>
      <c r="C29" s="11" t="s">
        <v>27</v>
      </c>
      <c r="D29" s="9" t="str">
        <f t="shared" ref="D29:E29" ca="1" si="26">IFERROR(__xludf.DUMMYFUNCTION("If (A29&lt;&gt;"""", GOOGLETRANSLATE(A29, ""auto"", ""en""), """")"),"")</f>
        <v/>
      </c>
      <c r="E29" s="9" t="str">
        <f t="shared" ca="1" si="26"/>
        <v/>
      </c>
      <c r="F29" s="3" t="s">
        <v>12</v>
      </c>
      <c r="G29" s="12" t="str">
        <f t="shared" si="24"/>
        <v>{"text":"宿泊先を探す","postback":"Search-House"},</v>
      </c>
    </row>
    <row r="30" spans="1:7" ht="15.75" customHeight="1" x14ac:dyDescent="0.2">
      <c r="A30" s="9"/>
      <c r="B30" s="9" t="s">
        <v>30</v>
      </c>
      <c r="C30" s="11" t="s">
        <v>31</v>
      </c>
      <c r="D30" s="9" t="str">
        <f t="shared" ref="D30:E30" ca="1" si="27">IFERROR(__xludf.DUMMYFUNCTION("If (A30&lt;&gt;"""", GOOGLETRANSLATE(A30, ""auto"", ""en""), """")"),"")</f>
        <v/>
      </c>
      <c r="E30" s="9" t="str">
        <f t="shared" ca="1" si="27"/>
        <v/>
      </c>
      <c r="F30" s="3" t="s">
        <v>12</v>
      </c>
      <c r="G30" s="12" t="str">
        <f t="shared" si="24"/>
        <v>{"text":"物件の登録をする","postback":"Register-House"},</v>
      </c>
    </row>
    <row r="31" spans="1:7" ht="15.75" customHeight="1" x14ac:dyDescent="0.2">
      <c r="A31" s="84" t="s">
        <v>84</v>
      </c>
      <c r="B31" s="85"/>
      <c r="C31" s="86"/>
      <c r="D31" s="2"/>
      <c r="E31" s="2"/>
      <c r="F31" s="3" t="s">
        <v>12</v>
      </c>
      <c r="G31" s="4"/>
    </row>
    <row r="32" spans="1:7" ht="15.75" customHeight="1" x14ac:dyDescent="0.2">
      <c r="A32" s="14" t="s">
        <v>83</v>
      </c>
      <c r="B32" s="15" t="s">
        <v>95</v>
      </c>
      <c r="C32" s="15"/>
      <c r="D32" s="5" t="str">
        <f t="shared" ref="D32:E32" ca="1" si="28">IFERROR(__xludf.DUMMYFUNCTION("If (A32&lt;&gt;"""", GOOGLETRANSLATE(A32, ""auto"", ""en""), """")"),"About face photo")</f>
        <v>About face photo</v>
      </c>
      <c r="E32" s="5" t="str">
        <f t="shared" ca="1" si="28"/>
        <v>About face photo</v>
      </c>
      <c r="F32" s="3" t="s">
        <v>12</v>
      </c>
      <c r="G32" s="16"/>
    </row>
    <row r="33" spans="1:7" ht="12.75" x14ac:dyDescent="0.2">
      <c r="A33" s="5"/>
      <c r="B33" s="5" t="s">
        <v>19</v>
      </c>
      <c r="C33" s="5"/>
      <c r="D33" s="5" t="str">
        <f t="shared" ref="D33:E33" ca="1" si="29">IFERROR(__xludf.DUMMYFUNCTION("If (A33&lt;&gt;"""", GOOGLETRANSLATE(A33, ""auto"", ""en""), """")"),"")</f>
        <v/>
      </c>
      <c r="E33" s="5" t="str">
        <f t="shared" ca="1" si="29"/>
        <v/>
      </c>
      <c r="F33" s="3" t="s">
        <v>12</v>
      </c>
      <c r="G33" s="3"/>
    </row>
    <row r="34" spans="1:7" ht="12.75" x14ac:dyDescent="0.2">
      <c r="A34" s="8" t="s">
        <v>21</v>
      </c>
      <c r="B34" s="10" t="s">
        <v>24</v>
      </c>
      <c r="C34" s="11" t="s">
        <v>26</v>
      </c>
      <c r="D34" s="8" t="str">
        <f t="shared" ref="D34:E34" ca="1" si="30">IFERROR(__xludf.DUMMYFUNCTION("If (A34&lt;&gt;"""", GOOGLETRANSLATE(A34, ""auto"", ""en""), """")"),"Quick Replies")</f>
        <v>Quick Replies</v>
      </c>
      <c r="E34" s="9" t="str">
        <f t="shared" ca="1" si="30"/>
        <v>Quick Replies</v>
      </c>
      <c r="F34" s="3" t="s">
        <v>12</v>
      </c>
      <c r="G34" s="12" t="str">
        <f t="shared" ref="G34:G37" si="31">"{""text"":"""&amp;B34&amp;""",""postback"":"""&amp;C34&amp;"""},"</f>
        <v>{"text":"その他の質問（ゲスト）","postback":"FAQ-Guest-First"},</v>
      </c>
    </row>
    <row r="35" spans="1:7" ht="12.75" x14ac:dyDescent="0.2">
      <c r="A35" s="9"/>
      <c r="B35" s="10" t="s">
        <v>32</v>
      </c>
      <c r="C35" s="11" t="s">
        <v>29</v>
      </c>
      <c r="D35" s="9" t="str">
        <f t="shared" ref="D35:E35" ca="1" si="32">IFERROR(__xludf.DUMMYFUNCTION("If (A35&lt;&gt;"""", GOOGLETRANSLATE(A35, ""auto"", ""en""), """")"),"")</f>
        <v/>
      </c>
      <c r="E35" s="9" t="str">
        <f t="shared" ca="1" si="32"/>
        <v/>
      </c>
      <c r="F35" s="3" t="s">
        <v>12</v>
      </c>
      <c r="G35" s="12" t="str">
        <f t="shared" si="31"/>
        <v>{"text":"その他の質問（ホスト）","postback":"FAQ-Host-First"},</v>
      </c>
    </row>
    <row r="36" spans="1:7" ht="12.75" x14ac:dyDescent="0.2">
      <c r="A36" s="9"/>
      <c r="B36" s="9" t="s">
        <v>25</v>
      </c>
      <c r="C36" s="11" t="s">
        <v>27</v>
      </c>
      <c r="D36" s="9" t="str">
        <f t="shared" ref="D36:E36" ca="1" si="33">IFERROR(__xludf.DUMMYFUNCTION("If (A36&lt;&gt;"""", GOOGLETRANSLATE(A36, ""auto"", ""en""), """")"),"")</f>
        <v/>
      </c>
      <c r="E36" s="9" t="str">
        <f t="shared" ca="1" si="33"/>
        <v/>
      </c>
      <c r="F36" s="3" t="s">
        <v>12</v>
      </c>
      <c r="G36" s="12" t="str">
        <f t="shared" si="31"/>
        <v>{"text":"宿泊先を探す","postback":"Search-House"},</v>
      </c>
    </row>
    <row r="37" spans="1:7" ht="12.75" x14ac:dyDescent="0.2">
      <c r="A37" s="9"/>
      <c r="B37" s="9" t="s">
        <v>30</v>
      </c>
      <c r="C37" s="11" t="s">
        <v>31</v>
      </c>
      <c r="D37" s="9" t="str">
        <f t="shared" ref="D37:E37" ca="1" si="34">IFERROR(__xludf.DUMMYFUNCTION("If (A37&lt;&gt;"""", GOOGLETRANSLATE(A37, ""auto"", ""en""), """")"),"")</f>
        <v/>
      </c>
      <c r="E37" s="9" t="str">
        <f t="shared" ca="1" si="34"/>
        <v/>
      </c>
      <c r="F37" s="3" t="s">
        <v>12</v>
      </c>
      <c r="G37" s="12" t="str">
        <f t="shared" si="31"/>
        <v>{"text":"物件の登録をする","postback":"Register-House"},</v>
      </c>
    </row>
    <row r="38" spans="1:7" ht="12.75" x14ac:dyDescent="0.2">
      <c r="A38" s="84" t="s">
        <v>91</v>
      </c>
      <c r="B38" s="85"/>
      <c r="C38" s="86"/>
      <c r="D38" s="2"/>
      <c r="E38" s="2"/>
      <c r="F38" s="3" t="s">
        <v>12</v>
      </c>
      <c r="G38" s="4"/>
    </row>
    <row r="39" spans="1:7" ht="38.25" x14ac:dyDescent="0.2">
      <c r="A39" s="14" t="s">
        <v>90</v>
      </c>
      <c r="B39" s="14" t="s">
        <v>125</v>
      </c>
      <c r="C39" s="14"/>
      <c r="D39" s="5" t="str">
        <f t="shared" ref="D39:E39" ca="1" si="35">IFERROR(__xludf.DUMMYFUNCTION("If (A39&lt;&gt;"""", GOOGLETRANSLATE(A39, ""auto"", ""en""), """")"),"The deadline for subscription")</f>
        <v>The deadline for subscription</v>
      </c>
      <c r="E39" s="5" t="str">
        <f t="shared" ca="1" si="35"/>
        <v>The deadline for subscription</v>
      </c>
      <c r="F39" s="3" t="s">
        <v>12</v>
      </c>
      <c r="G39" s="16"/>
    </row>
    <row r="40" spans="1:7" ht="12.75" x14ac:dyDescent="0.2">
      <c r="A40" s="5"/>
      <c r="B40" s="5" t="s">
        <v>19</v>
      </c>
      <c r="C40" s="5"/>
      <c r="D40" s="5" t="str">
        <f t="shared" ref="D40:E40" ca="1" si="36">IFERROR(__xludf.DUMMYFUNCTION("If (A40&lt;&gt;"""", GOOGLETRANSLATE(A40, ""auto"", ""en""), """")"),"")</f>
        <v/>
      </c>
      <c r="E40" s="5" t="str">
        <f t="shared" ca="1" si="36"/>
        <v/>
      </c>
      <c r="F40" s="3" t="s">
        <v>12</v>
      </c>
      <c r="G40" s="3"/>
    </row>
    <row r="41" spans="1:7" ht="12.75" x14ac:dyDescent="0.2">
      <c r="A41" s="8" t="s">
        <v>21</v>
      </c>
      <c r="B41" s="10" t="s">
        <v>24</v>
      </c>
      <c r="C41" s="11" t="s">
        <v>26</v>
      </c>
      <c r="D41" s="8" t="str">
        <f t="shared" ref="D41:E41" ca="1" si="37">IFERROR(__xludf.DUMMYFUNCTION("If (A41&lt;&gt;"""", GOOGLETRANSLATE(A41, ""auto"", ""en""), """")"),"Quick Replies")</f>
        <v>Quick Replies</v>
      </c>
      <c r="E41" s="9" t="str">
        <f t="shared" ca="1" si="37"/>
        <v>Quick Replies</v>
      </c>
      <c r="F41" s="3" t="s">
        <v>12</v>
      </c>
      <c r="G41" s="12" t="str">
        <f t="shared" ref="G41:G44" si="38">"{""text"":"""&amp;B41&amp;""",""postback"":"""&amp;C41&amp;"""},"</f>
        <v>{"text":"その他の質問（ゲスト）","postback":"FAQ-Guest-First"},</v>
      </c>
    </row>
    <row r="42" spans="1:7" ht="12.75" x14ac:dyDescent="0.2">
      <c r="A42" s="9"/>
      <c r="B42" s="10" t="s">
        <v>32</v>
      </c>
      <c r="C42" s="11" t="s">
        <v>29</v>
      </c>
      <c r="D42" s="9" t="str">
        <f t="shared" ref="D42:E42" ca="1" si="39">IFERROR(__xludf.DUMMYFUNCTION("If (A42&lt;&gt;"""", GOOGLETRANSLATE(A42, ""auto"", ""en""), """")"),"")</f>
        <v/>
      </c>
      <c r="E42" s="9" t="str">
        <f t="shared" ca="1" si="39"/>
        <v/>
      </c>
      <c r="F42" s="3" t="s">
        <v>12</v>
      </c>
      <c r="G42" s="12" t="str">
        <f t="shared" si="38"/>
        <v>{"text":"その他の質問（ホスト）","postback":"FAQ-Host-First"},</v>
      </c>
    </row>
    <row r="43" spans="1:7" ht="12.75" x14ac:dyDescent="0.2">
      <c r="A43" s="9"/>
      <c r="B43" s="9" t="s">
        <v>25</v>
      </c>
      <c r="C43" s="11" t="s">
        <v>27</v>
      </c>
      <c r="D43" s="9" t="str">
        <f t="shared" ref="D43:E43" ca="1" si="40">IFERROR(__xludf.DUMMYFUNCTION("If (A43&lt;&gt;"""", GOOGLETRANSLATE(A43, ""auto"", ""en""), """")"),"")</f>
        <v/>
      </c>
      <c r="E43" s="9" t="str">
        <f t="shared" ca="1" si="40"/>
        <v/>
      </c>
      <c r="F43" s="3" t="s">
        <v>12</v>
      </c>
      <c r="G43" s="12" t="str">
        <f t="shared" si="38"/>
        <v>{"text":"宿泊先を探す","postback":"Search-House"},</v>
      </c>
    </row>
    <row r="44" spans="1:7" ht="12.75" x14ac:dyDescent="0.2">
      <c r="A44" s="9"/>
      <c r="B44" s="9" t="s">
        <v>30</v>
      </c>
      <c r="C44" s="11" t="s">
        <v>31</v>
      </c>
      <c r="D44" s="9" t="str">
        <f t="shared" ref="D44:E44" ca="1" si="41">IFERROR(__xludf.DUMMYFUNCTION("If (A44&lt;&gt;"""", GOOGLETRANSLATE(A44, ""auto"", ""en""), """")"),"")</f>
        <v/>
      </c>
      <c r="E44" s="9" t="str">
        <f t="shared" ca="1" si="41"/>
        <v/>
      </c>
      <c r="F44" s="3" t="s">
        <v>12</v>
      </c>
      <c r="G44" s="12" t="str">
        <f t="shared" si="38"/>
        <v>{"text":"物件の登録をする","postback":"Register-House"},</v>
      </c>
    </row>
    <row r="45" spans="1:7" ht="12.75" x14ac:dyDescent="0.2">
      <c r="A45" s="84" t="s">
        <v>98</v>
      </c>
      <c r="B45" s="85"/>
      <c r="C45" s="86"/>
      <c r="D45" s="2"/>
      <c r="E45" s="2"/>
      <c r="F45" s="3" t="s">
        <v>12</v>
      </c>
      <c r="G45" s="4"/>
    </row>
    <row r="46" spans="1:7" ht="38.25" x14ac:dyDescent="0.2">
      <c r="A46" s="14" t="s">
        <v>97</v>
      </c>
      <c r="B46" s="14" t="s">
        <v>149</v>
      </c>
      <c r="C46" s="14"/>
      <c r="D46" s="5" t="str">
        <f t="shared" ref="D46:E46" ca="1" si="42">IFERROR(__xludf.DUMMYFUNCTION("If (A46&lt;&gt;"""", GOOGLETRANSLATE(A46, ""auto"", ""en""), """")"),"The establishment of the reservation")</f>
        <v>The establishment of the reservation</v>
      </c>
      <c r="E46" s="5" t="str">
        <f t="shared" ca="1" si="42"/>
        <v>The establishment of the reservation</v>
      </c>
      <c r="F46" s="3" t="s">
        <v>12</v>
      </c>
      <c r="G46" s="16"/>
    </row>
    <row r="47" spans="1:7" ht="12.75" x14ac:dyDescent="0.2">
      <c r="A47" s="5"/>
      <c r="B47" s="5" t="s">
        <v>19</v>
      </c>
      <c r="C47" s="5"/>
      <c r="D47" s="5" t="str">
        <f t="shared" ref="D47:E47" ca="1" si="43">IFERROR(__xludf.DUMMYFUNCTION("If (A47&lt;&gt;"""", GOOGLETRANSLATE(A47, ""auto"", ""en""), """")"),"")</f>
        <v/>
      </c>
      <c r="E47" s="5" t="str">
        <f t="shared" ca="1" si="43"/>
        <v/>
      </c>
      <c r="F47" s="3" t="s">
        <v>12</v>
      </c>
      <c r="G47" s="3"/>
    </row>
    <row r="48" spans="1:7" ht="12.75" x14ac:dyDescent="0.2">
      <c r="A48" s="8" t="s">
        <v>21</v>
      </c>
      <c r="B48" s="10" t="s">
        <v>24</v>
      </c>
      <c r="C48" s="11" t="s">
        <v>26</v>
      </c>
      <c r="D48" s="8" t="str">
        <f t="shared" ref="D48:E48" ca="1" si="44">IFERROR(__xludf.DUMMYFUNCTION("If (A48&lt;&gt;"""", GOOGLETRANSLATE(A48, ""auto"", ""en""), """")"),"Quick Replies")</f>
        <v>Quick Replies</v>
      </c>
      <c r="E48" s="9" t="str">
        <f t="shared" ca="1" si="44"/>
        <v>Quick Replies</v>
      </c>
      <c r="F48" s="3" t="s">
        <v>12</v>
      </c>
      <c r="G48" s="12" t="str">
        <f t="shared" ref="G48:G51" si="45">"{""text"":"""&amp;B48&amp;""",""postback"":"""&amp;C48&amp;"""},"</f>
        <v>{"text":"その他の質問（ゲスト）","postback":"FAQ-Guest-First"},</v>
      </c>
    </row>
    <row r="49" spans="1:7" ht="12.75" x14ac:dyDescent="0.2">
      <c r="A49" s="9"/>
      <c r="B49" s="10" t="s">
        <v>32</v>
      </c>
      <c r="C49" s="11" t="s">
        <v>29</v>
      </c>
      <c r="D49" s="9" t="str">
        <f t="shared" ref="D49:E49" ca="1" si="46">IFERROR(__xludf.DUMMYFUNCTION("If (A49&lt;&gt;"""", GOOGLETRANSLATE(A49, ""auto"", ""en""), """")"),"")</f>
        <v/>
      </c>
      <c r="E49" s="9" t="str">
        <f t="shared" ca="1" si="46"/>
        <v/>
      </c>
      <c r="F49" s="3" t="s">
        <v>12</v>
      </c>
      <c r="G49" s="12" t="str">
        <f t="shared" si="45"/>
        <v>{"text":"その他の質問（ホスト）","postback":"FAQ-Host-First"},</v>
      </c>
    </row>
    <row r="50" spans="1:7" ht="12.75" x14ac:dyDescent="0.2">
      <c r="A50" s="9"/>
      <c r="B50" s="9" t="s">
        <v>25</v>
      </c>
      <c r="C50" s="11" t="s">
        <v>27</v>
      </c>
      <c r="D50" s="9" t="str">
        <f t="shared" ref="D50:E50" ca="1" si="47">IFERROR(__xludf.DUMMYFUNCTION("If (A50&lt;&gt;"""", GOOGLETRANSLATE(A50, ""auto"", ""en""), """")"),"")</f>
        <v/>
      </c>
      <c r="E50" s="9" t="str">
        <f t="shared" ca="1" si="47"/>
        <v/>
      </c>
      <c r="F50" s="3" t="s">
        <v>12</v>
      </c>
      <c r="G50" s="12" t="str">
        <f t="shared" si="45"/>
        <v>{"text":"宿泊先を探す","postback":"Search-House"},</v>
      </c>
    </row>
    <row r="51" spans="1:7" ht="12.75" x14ac:dyDescent="0.2">
      <c r="A51" s="9"/>
      <c r="B51" s="9" t="s">
        <v>30</v>
      </c>
      <c r="C51" s="11" t="s">
        <v>31</v>
      </c>
      <c r="D51" s="9" t="str">
        <f t="shared" ref="D51:E51" ca="1" si="48">IFERROR(__xludf.DUMMYFUNCTION("If (A51&lt;&gt;"""", GOOGLETRANSLATE(A51, ""auto"", ""en""), """")"),"")</f>
        <v/>
      </c>
      <c r="E51" s="9" t="str">
        <f t="shared" ca="1" si="48"/>
        <v/>
      </c>
      <c r="F51" s="3" t="s">
        <v>12</v>
      </c>
      <c r="G51" s="12" t="str">
        <f t="shared" si="45"/>
        <v>{"text":"物件の登録をする","postback":"Register-House"},</v>
      </c>
    </row>
    <row r="52" spans="1:7" ht="12.75" x14ac:dyDescent="0.2">
      <c r="A52" s="84" t="s">
        <v>101</v>
      </c>
      <c r="B52" s="85"/>
      <c r="C52" s="86"/>
      <c r="D52" s="2"/>
      <c r="E52" s="2"/>
      <c r="F52" s="3" t="s">
        <v>12</v>
      </c>
      <c r="G52" s="4"/>
    </row>
    <row r="53" spans="1:7" ht="51" x14ac:dyDescent="0.2">
      <c r="A53" s="20" t="s">
        <v>100</v>
      </c>
      <c r="B53" s="20" t="s">
        <v>170</v>
      </c>
      <c r="C53" s="20"/>
      <c r="D53" s="5" t="str">
        <f t="shared" ref="D53:E53" ca="1" si="49">IFERROR(__xludf.DUMMYFUNCTION("If (A53&lt;&gt;"""", GOOGLETRANSLATE(A53, ""auto"", ""en""), """")"),"About approval email")</f>
        <v>About approval email</v>
      </c>
      <c r="E53" s="5" t="str">
        <f t="shared" ca="1" si="49"/>
        <v>About approval email</v>
      </c>
      <c r="F53" s="3" t="s">
        <v>12</v>
      </c>
      <c r="G53" s="21"/>
    </row>
    <row r="54" spans="1:7" ht="12.75" x14ac:dyDescent="0.2">
      <c r="A54" s="5"/>
      <c r="B54" s="5" t="s">
        <v>19</v>
      </c>
      <c r="C54" s="5"/>
      <c r="D54" s="5" t="str">
        <f t="shared" ref="D54:E54" ca="1" si="50">IFERROR(__xludf.DUMMYFUNCTION("If (A54&lt;&gt;"""", GOOGLETRANSLATE(A54, ""auto"", ""en""), """")"),"")</f>
        <v/>
      </c>
      <c r="E54" s="5" t="str">
        <f t="shared" ca="1" si="50"/>
        <v/>
      </c>
      <c r="F54" s="3" t="s">
        <v>12</v>
      </c>
      <c r="G54" s="3"/>
    </row>
    <row r="55" spans="1:7" ht="12.75" x14ac:dyDescent="0.2">
      <c r="A55" s="8" t="s">
        <v>21</v>
      </c>
      <c r="B55" s="10" t="s">
        <v>24</v>
      </c>
      <c r="C55" s="11" t="s">
        <v>26</v>
      </c>
      <c r="D55" s="8" t="str">
        <f t="shared" ref="D55:E55" ca="1" si="51">IFERROR(__xludf.DUMMYFUNCTION("If (A55&lt;&gt;"""", GOOGLETRANSLATE(A55, ""auto"", ""en""), """")"),"Quick Replies")</f>
        <v>Quick Replies</v>
      </c>
      <c r="E55" s="9" t="str">
        <f t="shared" ca="1" si="51"/>
        <v>Quick Replies</v>
      </c>
      <c r="F55" s="3" t="s">
        <v>12</v>
      </c>
      <c r="G55" s="12" t="str">
        <f t="shared" ref="G55:G58" si="52">"{""text"":"""&amp;B55&amp;""",""postback"":"""&amp;C55&amp;"""},"</f>
        <v>{"text":"その他の質問（ゲスト）","postback":"FAQ-Guest-First"},</v>
      </c>
    </row>
    <row r="56" spans="1:7" ht="12.75" x14ac:dyDescent="0.2">
      <c r="A56" s="9"/>
      <c r="B56" s="10" t="s">
        <v>32</v>
      </c>
      <c r="C56" s="11" t="s">
        <v>29</v>
      </c>
      <c r="D56" s="9" t="str">
        <f t="shared" ref="D56:E56" ca="1" si="53">IFERROR(__xludf.DUMMYFUNCTION("If (A56&lt;&gt;"""", GOOGLETRANSLATE(A56, ""auto"", ""en""), """")"),"")</f>
        <v/>
      </c>
      <c r="E56" s="9" t="str">
        <f t="shared" ca="1" si="53"/>
        <v/>
      </c>
      <c r="F56" s="3" t="s">
        <v>12</v>
      </c>
      <c r="G56" s="12" t="str">
        <f t="shared" si="52"/>
        <v>{"text":"その他の質問（ホスト）","postback":"FAQ-Host-First"},</v>
      </c>
    </row>
    <row r="57" spans="1:7" ht="12.75" x14ac:dyDescent="0.2">
      <c r="A57" s="9"/>
      <c r="B57" s="9" t="s">
        <v>25</v>
      </c>
      <c r="C57" s="11" t="s">
        <v>27</v>
      </c>
      <c r="D57" s="9" t="str">
        <f t="shared" ref="D57:E57" ca="1" si="54">IFERROR(__xludf.DUMMYFUNCTION("If (A57&lt;&gt;"""", GOOGLETRANSLATE(A57, ""auto"", ""en""), """")"),"")</f>
        <v/>
      </c>
      <c r="E57" s="9" t="str">
        <f t="shared" ca="1" si="54"/>
        <v/>
      </c>
      <c r="F57" s="3" t="s">
        <v>12</v>
      </c>
      <c r="G57" s="12" t="str">
        <f t="shared" si="52"/>
        <v>{"text":"宿泊先を探す","postback":"Search-House"},</v>
      </c>
    </row>
    <row r="58" spans="1:7" ht="12.75" x14ac:dyDescent="0.2">
      <c r="A58" s="9"/>
      <c r="B58" s="9" t="s">
        <v>30</v>
      </c>
      <c r="C58" s="11" t="s">
        <v>31</v>
      </c>
      <c r="D58" s="9" t="str">
        <f t="shared" ref="D58:E58" ca="1" si="55">IFERROR(__xludf.DUMMYFUNCTION("If (A58&lt;&gt;"""", GOOGLETRANSLATE(A58, ""auto"", ""en""), """")"),"")</f>
        <v/>
      </c>
      <c r="E58" s="9" t="str">
        <f t="shared" ca="1" si="55"/>
        <v/>
      </c>
      <c r="F58" s="3" t="s">
        <v>12</v>
      </c>
      <c r="G58" s="12" t="str">
        <f t="shared" si="52"/>
        <v>{"text":"物件の登録をする","postback":"Register-House"},</v>
      </c>
    </row>
    <row r="59" spans="1:7" ht="12.75" x14ac:dyDescent="0.2">
      <c r="A59" s="84" t="s">
        <v>103</v>
      </c>
      <c r="B59" s="85"/>
      <c r="C59" s="86"/>
      <c r="D59" s="2"/>
      <c r="E59" s="2"/>
      <c r="F59" s="3" t="s">
        <v>12</v>
      </c>
      <c r="G59" s="4"/>
    </row>
    <row r="60" spans="1:7" ht="38.25" x14ac:dyDescent="0.2">
      <c r="A60" s="20" t="s">
        <v>102</v>
      </c>
      <c r="B60" s="20" t="s">
        <v>189</v>
      </c>
      <c r="C60" s="20"/>
      <c r="D60" s="5" t="str">
        <f t="shared" ref="D60:E60" ca="1" si="56">IFERROR(__xludf.DUMMYFUNCTION("If (A60&lt;&gt;"""", GOOGLETRANSLATE(A60, ""auto"", ""en""), """")"),"For Pets")</f>
        <v>For Pets</v>
      </c>
      <c r="E60" s="5" t="str">
        <f t="shared" ca="1" si="56"/>
        <v>For Pets</v>
      </c>
      <c r="F60" s="3" t="s">
        <v>12</v>
      </c>
      <c r="G60" s="21"/>
    </row>
    <row r="61" spans="1:7" ht="12.75" x14ac:dyDescent="0.2">
      <c r="A61" s="5"/>
      <c r="B61" s="5" t="s">
        <v>19</v>
      </c>
      <c r="C61" s="5"/>
      <c r="D61" s="5" t="str">
        <f t="shared" ref="D61:E61" ca="1" si="57">IFERROR(__xludf.DUMMYFUNCTION("If (A61&lt;&gt;"""", GOOGLETRANSLATE(A61, ""auto"", ""en""), """")"),"")</f>
        <v/>
      </c>
      <c r="E61" s="5" t="str">
        <f t="shared" ca="1" si="57"/>
        <v/>
      </c>
      <c r="F61" s="3" t="s">
        <v>12</v>
      </c>
      <c r="G61" s="3"/>
    </row>
    <row r="62" spans="1:7" ht="12.75" x14ac:dyDescent="0.2">
      <c r="A62" s="8" t="s">
        <v>21</v>
      </c>
      <c r="B62" s="10" t="s">
        <v>24</v>
      </c>
      <c r="C62" s="11" t="s">
        <v>26</v>
      </c>
      <c r="D62" s="8" t="str">
        <f t="shared" ref="D62:E62" ca="1" si="58">IFERROR(__xludf.DUMMYFUNCTION("If (A62&lt;&gt;"""", GOOGLETRANSLATE(A62, ""auto"", ""en""), """")"),"Quick Replies")</f>
        <v>Quick Replies</v>
      </c>
      <c r="E62" s="9" t="str">
        <f t="shared" ca="1" si="58"/>
        <v>Quick Replies</v>
      </c>
      <c r="F62" s="3" t="s">
        <v>12</v>
      </c>
      <c r="G62" s="12" t="str">
        <f t="shared" ref="G62:G65" si="59">"{""text"":"""&amp;B62&amp;""",""postback"":"""&amp;C62&amp;"""},"</f>
        <v>{"text":"その他の質問（ゲスト）","postback":"FAQ-Guest-First"},</v>
      </c>
    </row>
    <row r="63" spans="1:7" ht="12.75" x14ac:dyDescent="0.2">
      <c r="A63" s="9"/>
      <c r="B63" s="10" t="s">
        <v>32</v>
      </c>
      <c r="C63" s="11" t="s">
        <v>29</v>
      </c>
      <c r="D63" s="9" t="str">
        <f t="shared" ref="D63:E63" ca="1" si="60">IFERROR(__xludf.DUMMYFUNCTION("If (A63&lt;&gt;"""", GOOGLETRANSLATE(A63, ""auto"", ""en""), """")"),"")</f>
        <v/>
      </c>
      <c r="E63" s="9" t="str">
        <f t="shared" ca="1" si="60"/>
        <v/>
      </c>
      <c r="F63" s="3" t="s">
        <v>12</v>
      </c>
      <c r="G63" s="12" t="str">
        <f t="shared" si="59"/>
        <v>{"text":"その他の質問（ホスト）","postback":"FAQ-Host-First"},</v>
      </c>
    </row>
    <row r="64" spans="1:7" ht="12.75" x14ac:dyDescent="0.2">
      <c r="A64" s="9"/>
      <c r="B64" s="9" t="s">
        <v>25</v>
      </c>
      <c r="C64" s="11" t="s">
        <v>27</v>
      </c>
      <c r="D64" s="9" t="str">
        <f t="shared" ref="D64:E64" ca="1" si="61">IFERROR(__xludf.DUMMYFUNCTION("If (A64&lt;&gt;"""", GOOGLETRANSLATE(A64, ""auto"", ""en""), """")"),"")</f>
        <v/>
      </c>
      <c r="E64" s="9" t="str">
        <f t="shared" ca="1" si="61"/>
        <v/>
      </c>
      <c r="F64" s="3" t="s">
        <v>12</v>
      </c>
      <c r="G64" s="12" t="str">
        <f t="shared" si="59"/>
        <v>{"text":"宿泊先を探す","postback":"Search-House"},</v>
      </c>
    </row>
    <row r="65" spans="1:7" ht="12.75" x14ac:dyDescent="0.2">
      <c r="A65" s="9"/>
      <c r="B65" s="9" t="s">
        <v>30</v>
      </c>
      <c r="C65" s="11" t="s">
        <v>31</v>
      </c>
      <c r="D65" s="9" t="str">
        <f t="shared" ref="D65:E65" ca="1" si="62">IFERROR(__xludf.DUMMYFUNCTION("If (A65&lt;&gt;"""", GOOGLETRANSLATE(A65, ""auto"", ""en""), """")"),"")</f>
        <v/>
      </c>
      <c r="E65" s="9" t="str">
        <f t="shared" ca="1" si="62"/>
        <v/>
      </c>
      <c r="F65" s="3" t="s">
        <v>12</v>
      </c>
      <c r="G65" s="12" t="str">
        <f t="shared" si="59"/>
        <v>{"text":"物件の登録をする","postback":"Register-House"},</v>
      </c>
    </row>
    <row r="66" spans="1:7" ht="12.75" x14ac:dyDescent="0.2">
      <c r="A66" s="84" t="s">
        <v>106</v>
      </c>
      <c r="B66" s="85"/>
      <c r="C66" s="86"/>
      <c r="D66" s="2"/>
      <c r="E66" s="2"/>
      <c r="F66" s="3" t="s">
        <v>12</v>
      </c>
      <c r="G66" s="4"/>
    </row>
    <row r="67" spans="1:7" ht="38.25" x14ac:dyDescent="0.2">
      <c r="A67" s="20" t="s">
        <v>105</v>
      </c>
      <c r="B67" s="20" t="s">
        <v>202</v>
      </c>
      <c r="C67" s="20"/>
      <c r="D67" s="5" t="str">
        <f t="shared" ref="D67:E67" ca="1" si="63">IFERROR(__xludf.DUMMYFUNCTION("If (A67&lt;&gt;"""", GOOGLETRANSLATE(A67, ""auto"", ""en""), """")"),"For the bank's companion")</f>
        <v>For the bank's companion</v>
      </c>
      <c r="E67" s="5" t="str">
        <f t="shared" ca="1" si="63"/>
        <v>For the bank's companion</v>
      </c>
      <c r="F67" s="3" t="s">
        <v>12</v>
      </c>
      <c r="G67" s="21"/>
    </row>
    <row r="68" spans="1:7" ht="12.75" x14ac:dyDescent="0.2">
      <c r="A68" s="5"/>
      <c r="B68" s="5" t="s">
        <v>19</v>
      </c>
      <c r="C68" s="5"/>
      <c r="D68" s="5" t="str">
        <f t="shared" ref="D68:E68" ca="1" si="64">IFERROR(__xludf.DUMMYFUNCTION("If (A68&lt;&gt;"""", GOOGLETRANSLATE(A68, ""auto"", ""en""), """")"),"")</f>
        <v/>
      </c>
      <c r="E68" s="5" t="str">
        <f t="shared" ca="1" si="64"/>
        <v/>
      </c>
      <c r="F68" s="3" t="s">
        <v>12</v>
      </c>
      <c r="G68" s="3"/>
    </row>
    <row r="69" spans="1:7" ht="12.75" x14ac:dyDescent="0.2">
      <c r="A69" s="8" t="s">
        <v>21</v>
      </c>
      <c r="B69" s="10" t="s">
        <v>24</v>
      </c>
      <c r="C69" s="11" t="s">
        <v>26</v>
      </c>
      <c r="D69" s="8" t="str">
        <f t="shared" ref="D69:E69" ca="1" si="65">IFERROR(__xludf.DUMMYFUNCTION("If (A69&lt;&gt;"""", GOOGLETRANSLATE(A69, ""auto"", ""en""), """")"),"Quick Replies")</f>
        <v>Quick Replies</v>
      </c>
      <c r="E69" s="9" t="str">
        <f t="shared" ca="1" si="65"/>
        <v>Quick Replies</v>
      </c>
      <c r="F69" s="3" t="s">
        <v>12</v>
      </c>
      <c r="G69" s="12" t="str">
        <f t="shared" ref="G69:G72" si="66">"{""text"":"""&amp;B69&amp;""",""postback"":"""&amp;C69&amp;"""},"</f>
        <v>{"text":"その他の質問（ゲスト）","postback":"FAQ-Guest-First"},</v>
      </c>
    </row>
    <row r="70" spans="1:7" ht="12.75" x14ac:dyDescent="0.2">
      <c r="A70" s="9"/>
      <c r="B70" s="10" t="s">
        <v>32</v>
      </c>
      <c r="C70" s="11" t="s">
        <v>29</v>
      </c>
      <c r="D70" s="9" t="str">
        <f t="shared" ref="D70:E70" ca="1" si="67">IFERROR(__xludf.DUMMYFUNCTION("If (A70&lt;&gt;"""", GOOGLETRANSLATE(A70, ""auto"", ""en""), """")"),"")</f>
        <v/>
      </c>
      <c r="E70" s="9" t="str">
        <f t="shared" ca="1" si="67"/>
        <v/>
      </c>
      <c r="F70" s="3" t="s">
        <v>12</v>
      </c>
      <c r="G70" s="12" t="str">
        <f t="shared" si="66"/>
        <v>{"text":"その他の質問（ホスト）","postback":"FAQ-Host-First"},</v>
      </c>
    </row>
    <row r="71" spans="1:7" ht="12.75" x14ac:dyDescent="0.2">
      <c r="A71" s="9"/>
      <c r="B71" s="9" t="s">
        <v>25</v>
      </c>
      <c r="C71" s="11" t="s">
        <v>27</v>
      </c>
      <c r="D71" s="9" t="str">
        <f t="shared" ref="D71:E71" ca="1" si="68">IFERROR(__xludf.DUMMYFUNCTION("If (A71&lt;&gt;"""", GOOGLETRANSLATE(A71, ""auto"", ""en""), """")"),"")</f>
        <v/>
      </c>
      <c r="E71" s="9" t="str">
        <f t="shared" ca="1" si="68"/>
        <v/>
      </c>
      <c r="F71" s="3" t="s">
        <v>12</v>
      </c>
      <c r="G71" s="12" t="str">
        <f t="shared" si="66"/>
        <v>{"text":"宿泊先を探す","postback":"Search-House"},</v>
      </c>
    </row>
    <row r="72" spans="1:7" ht="12.75" x14ac:dyDescent="0.2">
      <c r="A72" s="9"/>
      <c r="B72" s="9" t="s">
        <v>30</v>
      </c>
      <c r="C72" s="11" t="s">
        <v>31</v>
      </c>
      <c r="D72" s="9" t="str">
        <f t="shared" ref="D72:E72" ca="1" si="69">IFERROR(__xludf.DUMMYFUNCTION("If (A72&lt;&gt;"""", GOOGLETRANSLATE(A72, ""auto"", ""en""), """")"),"")</f>
        <v/>
      </c>
      <c r="E72" s="9" t="str">
        <f t="shared" ca="1" si="69"/>
        <v/>
      </c>
      <c r="F72" s="3" t="s">
        <v>12</v>
      </c>
      <c r="G72" s="12" t="str">
        <f t="shared" si="66"/>
        <v>{"text":"物件の登録をする","postback":"Register-House"},</v>
      </c>
    </row>
    <row r="73" spans="1:7" ht="12.75" x14ac:dyDescent="0.2">
      <c r="A73" s="84" t="s">
        <v>109</v>
      </c>
      <c r="B73" s="85"/>
      <c r="C73" s="86"/>
      <c r="D73" s="2"/>
      <c r="E73" s="2"/>
      <c r="F73" s="3" t="s">
        <v>12</v>
      </c>
      <c r="G73" s="4"/>
    </row>
    <row r="74" spans="1:7" ht="38.25" x14ac:dyDescent="0.2">
      <c r="A74" s="20" t="s">
        <v>108</v>
      </c>
      <c r="B74" s="20" t="s">
        <v>218</v>
      </c>
      <c r="C74" s="20"/>
      <c r="D74" s="5" t="str">
        <f t="shared" ref="D74:E74" ca="1" si="70">IFERROR(__xludf.DUMMYFUNCTION("If (A74&lt;&gt;"""", GOOGLETRANSLATE(A74, ""auto"", ""en""), """")"),"For extension")</f>
        <v>For extension</v>
      </c>
      <c r="E74" s="5" t="str">
        <f t="shared" ca="1" si="70"/>
        <v>For extension</v>
      </c>
      <c r="F74" s="3" t="s">
        <v>12</v>
      </c>
      <c r="G74" s="21"/>
    </row>
    <row r="75" spans="1:7" ht="12.75" x14ac:dyDescent="0.2">
      <c r="A75" s="5"/>
      <c r="B75" s="5" t="s">
        <v>19</v>
      </c>
      <c r="C75" s="5"/>
      <c r="D75" s="5" t="str">
        <f t="shared" ref="D75:E75" ca="1" si="71">IFERROR(__xludf.DUMMYFUNCTION("If (A75&lt;&gt;"""", GOOGLETRANSLATE(A75, ""auto"", ""en""), """")"),"")</f>
        <v/>
      </c>
      <c r="E75" s="5" t="str">
        <f t="shared" ca="1" si="71"/>
        <v/>
      </c>
      <c r="F75" s="3" t="s">
        <v>12</v>
      </c>
      <c r="G75" s="3"/>
    </row>
    <row r="76" spans="1:7" ht="12.75" x14ac:dyDescent="0.2">
      <c r="A76" s="8" t="s">
        <v>21</v>
      </c>
      <c r="B76" s="10" t="s">
        <v>24</v>
      </c>
      <c r="C76" s="11" t="s">
        <v>26</v>
      </c>
      <c r="D76" s="8" t="str">
        <f t="shared" ref="D76:E76" ca="1" si="72">IFERROR(__xludf.DUMMYFUNCTION("If (A76&lt;&gt;"""", GOOGLETRANSLATE(A76, ""auto"", ""en""), """")"),"Quick Replies")</f>
        <v>Quick Replies</v>
      </c>
      <c r="E76" s="9" t="str">
        <f t="shared" ca="1" si="72"/>
        <v>Quick Replies</v>
      </c>
      <c r="F76" s="3" t="s">
        <v>12</v>
      </c>
      <c r="G76" s="12" t="str">
        <f t="shared" ref="G76:G79" si="73">"{""text"":"""&amp;B76&amp;""",""postback"":"""&amp;C76&amp;"""},"</f>
        <v>{"text":"その他の質問（ゲスト）","postback":"FAQ-Guest-First"},</v>
      </c>
    </row>
    <row r="77" spans="1:7" ht="12.75" x14ac:dyDescent="0.2">
      <c r="A77" s="9"/>
      <c r="B77" s="10" t="s">
        <v>32</v>
      </c>
      <c r="C77" s="11" t="s">
        <v>29</v>
      </c>
      <c r="D77" s="9" t="str">
        <f t="shared" ref="D77:E77" ca="1" si="74">IFERROR(__xludf.DUMMYFUNCTION("If (A77&lt;&gt;"""", GOOGLETRANSLATE(A77, ""auto"", ""en""), """")"),"")</f>
        <v/>
      </c>
      <c r="E77" s="9" t="str">
        <f t="shared" ca="1" si="74"/>
        <v/>
      </c>
      <c r="F77" s="3" t="s">
        <v>12</v>
      </c>
      <c r="G77" s="12" t="str">
        <f t="shared" si="73"/>
        <v>{"text":"その他の質問（ホスト）","postback":"FAQ-Host-First"},</v>
      </c>
    </row>
    <row r="78" spans="1:7" ht="12.75" x14ac:dyDescent="0.2">
      <c r="A78" s="9"/>
      <c r="B78" s="9" t="s">
        <v>25</v>
      </c>
      <c r="C78" s="11" t="s">
        <v>27</v>
      </c>
      <c r="D78" s="9" t="str">
        <f t="shared" ref="D78:E78" ca="1" si="75">IFERROR(__xludf.DUMMYFUNCTION("If (A78&lt;&gt;"""", GOOGLETRANSLATE(A78, ""auto"", ""en""), """")"),"")</f>
        <v/>
      </c>
      <c r="E78" s="9" t="str">
        <f t="shared" ca="1" si="75"/>
        <v/>
      </c>
      <c r="F78" s="3" t="s">
        <v>12</v>
      </c>
      <c r="G78" s="12" t="str">
        <f t="shared" si="73"/>
        <v>{"text":"宿泊先を探す","postback":"Search-House"},</v>
      </c>
    </row>
    <row r="79" spans="1:7" ht="12.75" x14ac:dyDescent="0.2">
      <c r="A79" s="9"/>
      <c r="B79" s="9" t="s">
        <v>30</v>
      </c>
      <c r="C79" s="11" t="s">
        <v>31</v>
      </c>
      <c r="D79" s="9" t="str">
        <f t="shared" ref="D79:E79" ca="1" si="76">IFERROR(__xludf.DUMMYFUNCTION("If (A79&lt;&gt;"""", GOOGLETRANSLATE(A79, ""auto"", ""en""), """")"),"")</f>
        <v/>
      </c>
      <c r="E79" s="9" t="str">
        <f t="shared" ca="1" si="76"/>
        <v/>
      </c>
      <c r="F79" s="3" t="s">
        <v>12</v>
      </c>
      <c r="G79" s="12" t="str">
        <f t="shared" si="73"/>
        <v>{"text":"物件の登録をする","postback":"Register-House"},</v>
      </c>
    </row>
    <row r="80" spans="1:7" ht="12.75" x14ac:dyDescent="0.2">
      <c r="A80" s="84" t="s">
        <v>111</v>
      </c>
      <c r="B80" s="85"/>
      <c r="C80" s="86"/>
      <c r="D80" s="2"/>
      <c r="E80" s="2"/>
      <c r="F80" s="3" t="s">
        <v>12</v>
      </c>
      <c r="G80" s="4"/>
    </row>
    <row r="81" spans="1:7" ht="38.25" x14ac:dyDescent="0.2">
      <c r="A81" s="20" t="s">
        <v>110</v>
      </c>
      <c r="B81" s="20" t="s">
        <v>233</v>
      </c>
      <c r="C81" s="20"/>
      <c r="D81" s="5" t="str">
        <f t="shared" ref="D81:E81" ca="1" si="77">IFERROR(__xludf.DUMMYFUNCTION("If (A81&lt;&gt;"""", GOOGLETRANSLATE(A81, ""auto"", ""en""), """")"),"The increase in the number")</f>
        <v>The increase in the number</v>
      </c>
      <c r="E81" s="5" t="str">
        <f t="shared" ca="1" si="77"/>
        <v>The increase in the number</v>
      </c>
      <c r="F81" s="3" t="s">
        <v>12</v>
      </c>
      <c r="G81" s="21"/>
    </row>
    <row r="82" spans="1:7" ht="12.75" x14ac:dyDescent="0.2">
      <c r="A82" s="5"/>
      <c r="B82" s="5" t="s">
        <v>19</v>
      </c>
      <c r="C82" s="5"/>
      <c r="D82" s="5" t="str">
        <f t="shared" ref="D82:E82" ca="1" si="78">IFERROR(__xludf.DUMMYFUNCTION("If (A82&lt;&gt;"""", GOOGLETRANSLATE(A82, ""auto"", ""en""), """")"),"")</f>
        <v/>
      </c>
      <c r="E82" s="5" t="str">
        <f t="shared" ca="1" si="78"/>
        <v/>
      </c>
      <c r="F82" s="3" t="s">
        <v>12</v>
      </c>
      <c r="G82" s="3"/>
    </row>
    <row r="83" spans="1:7" ht="12.75" x14ac:dyDescent="0.2">
      <c r="A83" s="8" t="s">
        <v>21</v>
      </c>
      <c r="B83" s="10" t="s">
        <v>24</v>
      </c>
      <c r="C83" s="11" t="s">
        <v>26</v>
      </c>
      <c r="D83" s="8" t="str">
        <f t="shared" ref="D83:E83" ca="1" si="79">IFERROR(__xludf.DUMMYFUNCTION("If (A83&lt;&gt;"""", GOOGLETRANSLATE(A83, ""auto"", ""en""), """")"),"Quick Replies")</f>
        <v>Quick Replies</v>
      </c>
      <c r="E83" s="9" t="str">
        <f t="shared" ca="1" si="79"/>
        <v>Quick Replies</v>
      </c>
      <c r="F83" s="3" t="s">
        <v>12</v>
      </c>
      <c r="G83" s="12" t="str">
        <f t="shared" ref="G83:G86" si="80">"{""text"":"""&amp;B83&amp;""",""postback"":"""&amp;C83&amp;"""},"</f>
        <v>{"text":"その他の質問（ゲスト）","postback":"FAQ-Guest-First"},</v>
      </c>
    </row>
    <row r="84" spans="1:7" ht="12.75" x14ac:dyDescent="0.2">
      <c r="A84" s="9"/>
      <c r="B84" s="10" t="s">
        <v>32</v>
      </c>
      <c r="C84" s="11" t="s">
        <v>29</v>
      </c>
      <c r="D84" s="9" t="str">
        <f t="shared" ref="D84:E84" ca="1" si="81">IFERROR(__xludf.DUMMYFUNCTION("If (A84&lt;&gt;"""", GOOGLETRANSLATE(A84, ""auto"", ""en""), """")"),"")</f>
        <v/>
      </c>
      <c r="E84" s="9" t="str">
        <f t="shared" ca="1" si="81"/>
        <v/>
      </c>
      <c r="F84" s="3" t="s">
        <v>12</v>
      </c>
      <c r="G84" s="12" t="str">
        <f t="shared" si="80"/>
        <v>{"text":"その他の質問（ホスト）","postback":"FAQ-Host-First"},</v>
      </c>
    </row>
    <row r="85" spans="1:7" ht="12.75" x14ac:dyDescent="0.2">
      <c r="A85" s="9"/>
      <c r="B85" s="9" t="s">
        <v>25</v>
      </c>
      <c r="C85" s="11" t="s">
        <v>27</v>
      </c>
      <c r="D85" s="9" t="str">
        <f t="shared" ref="D85:E85" ca="1" si="82">IFERROR(__xludf.DUMMYFUNCTION("If (A85&lt;&gt;"""", GOOGLETRANSLATE(A85, ""auto"", ""en""), """")"),"")</f>
        <v/>
      </c>
      <c r="E85" s="9" t="str">
        <f t="shared" ca="1" si="82"/>
        <v/>
      </c>
      <c r="F85" s="3" t="s">
        <v>12</v>
      </c>
      <c r="G85" s="12" t="str">
        <f t="shared" si="80"/>
        <v>{"text":"宿泊先を探す","postback":"Search-House"},</v>
      </c>
    </row>
    <row r="86" spans="1:7" ht="12.75" x14ac:dyDescent="0.2">
      <c r="A86" s="9"/>
      <c r="B86" s="9" t="s">
        <v>30</v>
      </c>
      <c r="C86" s="11" t="s">
        <v>31</v>
      </c>
      <c r="D86" s="9" t="str">
        <f t="shared" ref="D86:E86" ca="1" si="83">IFERROR(__xludf.DUMMYFUNCTION("If (A86&lt;&gt;"""", GOOGLETRANSLATE(A86, ""auto"", ""en""), """")"),"")</f>
        <v/>
      </c>
      <c r="E86" s="9" t="str">
        <f t="shared" ca="1" si="83"/>
        <v/>
      </c>
      <c r="F86" s="3" t="s">
        <v>12</v>
      </c>
      <c r="G86" s="12" t="str">
        <f t="shared" si="80"/>
        <v>{"text":"物件の登録をする","postback":"Register-House"},</v>
      </c>
    </row>
    <row r="87" spans="1:7" ht="12.75" x14ac:dyDescent="0.2">
      <c r="A87" s="84" t="s">
        <v>114</v>
      </c>
      <c r="B87" s="85"/>
      <c r="C87" s="86"/>
      <c r="D87" s="2"/>
      <c r="E87" s="2"/>
      <c r="F87" s="3" t="s">
        <v>12</v>
      </c>
      <c r="G87" s="4"/>
    </row>
    <row r="88" spans="1:7" ht="51" x14ac:dyDescent="0.2">
      <c r="A88" s="20" t="s">
        <v>112</v>
      </c>
      <c r="B88" s="20" t="s">
        <v>249</v>
      </c>
      <c r="C88" s="20"/>
      <c r="D88" s="5" t="str">
        <f t="shared" ref="D88:E88" ca="1" si="84">IFERROR(__xludf.DUMMYFUNCTION("If (A88&lt;&gt;"""", GOOGLETRANSLATE(A88, ""auto"", ""en""), """")"),"For contact information of the host")</f>
        <v>For contact information of the host</v>
      </c>
      <c r="E88" s="5" t="str">
        <f t="shared" ca="1" si="84"/>
        <v>For contact information of the host</v>
      </c>
      <c r="F88" s="3" t="s">
        <v>12</v>
      </c>
      <c r="G88" s="21"/>
    </row>
    <row r="89" spans="1:7" ht="12.75" x14ac:dyDescent="0.2">
      <c r="A89" s="5"/>
      <c r="B89" s="5" t="s">
        <v>19</v>
      </c>
      <c r="C89" s="5"/>
      <c r="D89" s="5" t="str">
        <f t="shared" ref="D89:E89" ca="1" si="85">IFERROR(__xludf.DUMMYFUNCTION("If (A89&lt;&gt;"""", GOOGLETRANSLATE(A89, ""auto"", ""en""), """")"),"")</f>
        <v/>
      </c>
      <c r="E89" s="5" t="str">
        <f t="shared" ca="1" si="85"/>
        <v/>
      </c>
      <c r="F89" s="3" t="s">
        <v>12</v>
      </c>
      <c r="G89" s="3"/>
    </row>
    <row r="90" spans="1:7" ht="12.75" x14ac:dyDescent="0.2">
      <c r="A90" s="8" t="s">
        <v>21</v>
      </c>
      <c r="B90" s="10" t="s">
        <v>24</v>
      </c>
      <c r="C90" s="11" t="s">
        <v>26</v>
      </c>
      <c r="D90" s="8" t="str">
        <f t="shared" ref="D90:E90" ca="1" si="86">IFERROR(__xludf.DUMMYFUNCTION("If (A90&lt;&gt;"""", GOOGLETRANSLATE(A90, ""auto"", ""en""), """")"),"Quick Replies")</f>
        <v>Quick Replies</v>
      </c>
      <c r="E90" s="9" t="str">
        <f t="shared" ca="1" si="86"/>
        <v>Quick Replies</v>
      </c>
      <c r="F90" s="3" t="s">
        <v>12</v>
      </c>
      <c r="G90" s="12" t="str">
        <f t="shared" ref="G90:G93" si="87">"{""text"":"""&amp;B90&amp;""",""postback"":"""&amp;C90&amp;"""},"</f>
        <v>{"text":"その他の質問（ゲスト）","postback":"FAQ-Guest-First"},</v>
      </c>
    </row>
    <row r="91" spans="1:7" ht="12.75" x14ac:dyDescent="0.2">
      <c r="A91" s="9"/>
      <c r="B91" s="10" t="s">
        <v>32</v>
      </c>
      <c r="C91" s="11" t="s">
        <v>29</v>
      </c>
      <c r="D91" s="9" t="str">
        <f t="shared" ref="D91:E91" ca="1" si="88">IFERROR(__xludf.DUMMYFUNCTION("If (A91&lt;&gt;"""", GOOGLETRANSLATE(A91, ""auto"", ""en""), """")"),"")</f>
        <v/>
      </c>
      <c r="E91" s="9" t="str">
        <f t="shared" ca="1" si="88"/>
        <v/>
      </c>
      <c r="F91" s="3" t="s">
        <v>12</v>
      </c>
      <c r="G91" s="12" t="str">
        <f t="shared" si="87"/>
        <v>{"text":"その他の質問（ホスト）","postback":"FAQ-Host-First"},</v>
      </c>
    </row>
    <row r="92" spans="1:7" ht="12.75" x14ac:dyDescent="0.2">
      <c r="A92" s="9"/>
      <c r="B92" s="9" t="s">
        <v>25</v>
      </c>
      <c r="C92" s="11" t="s">
        <v>27</v>
      </c>
      <c r="D92" s="9" t="str">
        <f t="shared" ref="D92:E92" ca="1" si="89">IFERROR(__xludf.DUMMYFUNCTION("If (A92&lt;&gt;"""", GOOGLETRANSLATE(A92, ""auto"", ""en""), """")"),"")</f>
        <v/>
      </c>
      <c r="E92" s="9" t="str">
        <f t="shared" ca="1" si="89"/>
        <v/>
      </c>
      <c r="F92" s="3" t="s">
        <v>12</v>
      </c>
      <c r="G92" s="12" t="str">
        <f t="shared" si="87"/>
        <v>{"text":"宿泊先を探す","postback":"Search-House"},</v>
      </c>
    </row>
    <row r="93" spans="1:7" ht="12.75" x14ac:dyDescent="0.2">
      <c r="A93" s="9"/>
      <c r="B93" s="9" t="s">
        <v>30</v>
      </c>
      <c r="C93" s="11" t="s">
        <v>31</v>
      </c>
      <c r="D93" s="9" t="str">
        <f t="shared" ref="D93:E93" ca="1" si="90">IFERROR(__xludf.DUMMYFUNCTION("If (A93&lt;&gt;"""", GOOGLETRANSLATE(A93, ""auto"", ""en""), """")"),"")</f>
        <v/>
      </c>
      <c r="E93" s="9" t="str">
        <f t="shared" ca="1" si="90"/>
        <v/>
      </c>
      <c r="F93" s="3" t="s">
        <v>12</v>
      </c>
      <c r="G93" s="12" t="str">
        <f t="shared" si="87"/>
        <v>{"text":"物件の登録をする","postback":"Register-House"},</v>
      </c>
    </row>
    <row r="94" spans="1:7" ht="12.75" x14ac:dyDescent="0.2">
      <c r="A94" s="84" t="s">
        <v>120</v>
      </c>
      <c r="B94" s="85"/>
      <c r="C94" s="86"/>
      <c r="D94" s="2"/>
      <c r="E94" s="2"/>
      <c r="F94" s="3" t="s">
        <v>12</v>
      </c>
      <c r="G94" s="4"/>
    </row>
    <row r="95" spans="1:7" ht="25.5" x14ac:dyDescent="0.2">
      <c r="A95" s="20" t="s">
        <v>119</v>
      </c>
      <c r="B95" s="20" t="s">
        <v>266</v>
      </c>
      <c r="C95" s="20"/>
      <c r="D95" s="5" t="str">
        <f t="shared" ref="D95:E95" ca="1" si="91">IFERROR(__xludf.DUMMYFUNCTION("If (A95&lt;&gt;"""", GOOGLETRANSLATE(A95, ""auto"", ""en""), """")"),"For delivery of key")</f>
        <v>For delivery of key</v>
      </c>
      <c r="E95" s="5" t="str">
        <f t="shared" ca="1" si="91"/>
        <v>For delivery of key</v>
      </c>
      <c r="F95" s="3" t="s">
        <v>12</v>
      </c>
      <c r="G95" s="21"/>
    </row>
    <row r="96" spans="1:7" ht="12.75" x14ac:dyDescent="0.2">
      <c r="A96" s="5"/>
      <c r="B96" s="5" t="s">
        <v>19</v>
      </c>
      <c r="C96" s="5"/>
      <c r="D96" s="5" t="str">
        <f t="shared" ref="D96:E96" ca="1" si="92">IFERROR(__xludf.DUMMYFUNCTION("If (A96&lt;&gt;"""", GOOGLETRANSLATE(A96, ""auto"", ""en""), """")"),"")</f>
        <v/>
      </c>
      <c r="E96" s="5" t="str">
        <f t="shared" ca="1" si="92"/>
        <v/>
      </c>
      <c r="F96" s="3" t="s">
        <v>12</v>
      </c>
      <c r="G96" s="3"/>
    </row>
    <row r="97" spans="1:7" ht="12.75" x14ac:dyDescent="0.2">
      <c r="A97" s="8" t="s">
        <v>21</v>
      </c>
      <c r="B97" s="10" t="s">
        <v>24</v>
      </c>
      <c r="C97" s="11" t="s">
        <v>26</v>
      </c>
      <c r="D97" s="8" t="str">
        <f t="shared" ref="D97:E97" ca="1" si="93">IFERROR(__xludf.DUMMYFUNCTION("If (A97&lt;&gt;"""", GOOGLETRANSLATE(A97, ""auto"", ""en""), """")"),"Quick Replies")</f>
        <v>Quick Replies</v>
      </c>
      <c r="E97" s="9" t="str">
        <f t="shared" ca="1" si="93"/>
        <v>Quick Replies</v>
      </c>
      <c r="F97" s="3" t="s">
        <v>12</v>
      </c>
      <c r="G97" s="12" t="str">
        <f t="shared" ref="G97:G100" si="94">"{""text"":"""&amp;B97&amp;""",""postback"":"""&amp;C97&amp;"""},"</f>
        <v>{"text":"その他の質問（ゲスト）","postback":"FAQ-Guest-First"},</v>
      </c>
    </row>
    <row r="98" spans="1:7" ht="12.75" x14ac:dyDescent="0.2">
      <c r="A98" s="9"/>
      <c r="B98" s="10" t="s">
        <v>32</v>
      </c>
      <c r="C98" s="11" t="s">
        <v>29</v>
      </c>
      <c r="D98" s="9" t="str">
        <f t="shared" ref="D98:E98" ca="1" si="95">IFERROR(__xludf.DUMMYFUNCTION("If (A98&lt;&gt;"""", GOOGLETRANSLATE(A98, ""auto"", ""en""), """")"),"")</f>
        <v/>
      </c>
      <c r="E98" s="9" t="str">
        <f t="shared" ca="1" si="95"/>
        <v/>
      </c>
      <c r="F98" s="3" t="s">
        <v>12</v>
      </c>
      <c r="G98" s="12" t="str">
        <f t="shared" si="94"/>
        <v>{"text":"その他の質問（ホスト）","postback":"FAQ-Host-First"},</v>
      </c>
    </row>
    <row r="99" spans="1:7" ht="12.75" x14ac:dyDescent="0.2">
      <c r="A99" s="9"/>
      <c r="B99" s="9" t="s">
        <v>25</v>
      </c>
      <c r="C99" s="11" t="s">
        <v>27</v>
      </c>
      <c r="D99" s="9" t="str">
        <f t="shared" ref="D99:E99" ca="1" si="96">IFERROR(__xludf.DUMMYFUNCTION("If (A99&lt;&gt;"""", GOOGLETRANSLATE(A99, ""auto"", ""en""), """")"),"")</f>
        <v/>
      </c>
      <c r="E99" s="9" t="str">
        <f t="shared" ca="1" si="96"/>
        <v/>
      </c>
      <c r="F99" s="3" t="s">
        <v>12</v>
      </c>
      <c r="G99" s="12" t="str">
        <f t="shared" si="94"/>
        <v>{"text":"宿泊先を探す","postback":"Search-House"},</v>
      </c>
    </row>
    <row r="100" spans="1:7" ht="12.75" x14ac:dyDescent="0.2">
      <c r="A100" s="9"/>
      <c r="B100" s="9" t="s">
        <v>30</v>
      </c>
      <c r="C100" s="11" t="s">
        <v>31</v>
      </c>
      <c r="D100" s="9" t="str">
        <f t="shared" ref="D100:E100" ca="1" si="97">IFERROR(__xludf.DUMMYFUNCTION("If (A100&lt;&gt;"""", GOOGLETRANSLATE(A100, ""auto"", ""en""), """")"),"")</f>
        <v/>
      </c>
      <c r="E100" s="9" t="str">
        <f t="shared" ca="1" si="97"/>
        <v/>
      </c>
      <c r="F100" s="3" t="s">
        <v>12</v>
      </c>
      <c r="G100" s="12" t="str">
        <f t="shared" si="94"/>
        <v>{"text":"物件の登録をする","postback":"Register-House"},</v>
      </c>
    </row>
    <row r="101" spans="1:7" ht="12.75" x14ac:dyDescent="0.2">
      <c r="A101" s="84" t="s">
        <v>127</v>
      </c>
      <c r="B101" s="85"/>
      <c r="C101" s="86"/>
      <c r="D101" s="2"/>
      <c r="E101" s="2"/>
      <c r="F101" s="3" t="s">
        <v>12</v>
      </c>
      <c r="G101" s="4"/>
    </row>
    <row r="102" spans="1:7" ht="51" x14ac:dyDescent="0.2">
      <c r="A102" s="20" t="s">
        <v>126</v>
      </c>
      <c r="B102" s="20" t="s">
        <v>292</v>
      </c>
      <c r="C102" s="20"/>
      <c r="D102" s="5" t="str">
        <f t="shared" ref="D102:E102" ca="1" si="98">IFERROR(__xludf.DUMMYFUNCTION("If (A102&lt;&gt;"""", GOOGLETRANSLATE(A102, ""auto"", ""en""), """")"),"For check-in and check-out of time")</f>
        <v>For check-in and check-out of time</v>
      </c>
      <c r="E102" s="5" t="str">
        <f t="shared" ca="1" si="98"/>
        <v>For check-in and check-out of time</v>
      </c>
      <c r="F102" s="3" t="s">
        <v>12</v>
      </c>
      <c r="G102" s="21"/>
    </row>
    <row r="103" spans="1:7" ht="12.75" x14ac:dyDescent="0.2">
      <c r="A103" s="5"/>
      <c r="B103" s="5" t="s">
        <v>19</v>
      </c>
      <c r="C103" s="5"/>
      <c r="D103" s="5" t="str">
        <f t="shared" ref="D103:E103" ca="1" si="99">IFERROR(__xludf.DUMMYFUNCTION("If (A103&lt;&gt;"""", GOOGLETRANSLATE(A103, ""auto"", ""en""), """")"),"")</f>
        <v/>
      </c>
      <c r="E103" s="5" t="str">
        <f t="shared" ca="1" si="99"/>
        <v/>
      </c>
      <c r="F103" s="3" t="s">
        <v>12</v>
      </c>
      <c r="G103" s="3"/>
    </row>
    <row r="104" spans="1:7" ht="12.75" x14ac:dyDescent="0.2">
      <c r="A104" s="8" t="s">
        <v>21</v>
      </c>
      <c r="B104" s="10" t="s">
        <v>24</v>
      </c>
      <c r="C104" s="11" t="s">
        <v>26</v>
      </c>
      <c r="D104" s="8" t="str">
        <f t="shared" ref="D104:E104" ca="1" si="100">IFERROR(__xludf.DUMMYFUNCTION("If (A104&lt;&gt;"""", GOOGLETRANSLATE(A104, ""auto"", ""en""), """")"),"Quick Replies")</f>
        <v>Quick Replies</v>
      </c>
      <c r="E104" s="9" t="str">
        <f t="shared" ca="1" si="100"/>
        <v>Quick Replies</v>
      </c>
      <c r="F104" s="3" t="s">
        <v>12</v>
      </c>
      <c r="G104" s="12" t="str">
        <f t="shared" ref="G104:G107" si="101">"{""text"":"""&amp;B104&amp;""",""postback"":"""&amp;C104&amp;"""},"</f>
        <v>{"text":"その他の質問（ゲスト）","postback":"FAQ-Guest-First"},</v>
      </c>
    </row>
    <row r="105" spans="1:7" ht="12.75" x14ac:dyDescent="0.2">
      <c r="A105" s="9"/>
      <c r="B105" s="10" t="s">
        <v>32</v>
      </c>
      <c r="C105" s="11" t="s">
        <v>29</v>
      </c>
      <c r="D105" s="9" t="str">
        <f t="shared" ref="D105:E105" ca="1" si="102">IFERROR(__xludf.DUMMYFUNCTION("If (A105&lt;&gt;"""", GOOGLETRANSLATE(A105, ""auto"", ""en""), """")"),"")</f>
        <v/>
      </c>
      <c r="E105" s="9" t="str">
        <f t="shared" ca="1" si="102"/>
        <v/>
      </c>
      <c r="F105" s="3" t="s">
        <v>12</v>
      </c>
      <c r="G105" s="12" t="str">
        <f t="shared" si="101"/>
        <v>{"text":"その他の質問（ホスト）","postback":"FAQ-Host-First"},</v>
      </c>
    </row>
    <row r="106" spans="1:7" ht="12.75" x14ac:dyDescent="0.2">
      <c r="A106" s="9"/>
      <c r="B106" s="9" t="s">
        <v>25</v>
      </c>
      <c r="C106" s="11" t="s">
        <v>27</v>
      </c>
      <c r="D106" s="9" t="str">
        <f t="shared" ref="D106:E106" ca="1" si="103">IFERROR(__xludf.DUMMYFUNCTION("If (A106&lt;&gt;"""", GOOGLETRANSLATE(A106, ""auto"", ""en""), """")"),"")</f>
        <v/>
      </c>
      <c r="E106" s="9" t="str">
        <f t="shared" ca="1" si="103"/>
        <v/>
      </c>
      <c r="F106" s="3" t="s">
        <v>12</v>
      </c>
      <c r="G106" s="12" t="str">
        <f t="shared" si="101"/>
        <v>{"text":"宿泊先を探す","postback":"Search-House"},</v>
      </c>
    </row>
    <row r="107" spans="1:7" ht="12.75" x14ac:dyDescent="0.2">
      <c r="A107" s="9"/>
      <c r="B107" s="9" t="s">
        <v>30</v>
      </c>
      <c r="C107" s="11" t="s">
        <v>31</v>
      </c>
      <c r="D107" s="9" t="str">
        <f t="shared" ref="D107:E107" ca="1" si="104">IFERROR(__xludf.DUMMYFUNCTION("If (A107&lt;&gt;"""", GOOGLETRANSLATE(A107, ""auto"", ""en""), """")"),"")</f>
        <v/>
      </c>
      <c r="E107" s="9" t="str">
        <f t="shared" ca="1" si="104"/>
        <v/>
      </c>
      <c r="F107" s="3" t="s">
        <v>12</v>
      </c>
      <c r="G107" s="12" t="str">
        <f t="shared" si="101"/>
        <v>{"text":"物件の登録をする","postback":"Register-House"},</v>
      </c>
    </row>
    <row r="108" spans="1:7" ht="12.75" x14ac:dyDescent="0.2">
      <c r="A108" s="84" t="s">
        <v>131</v>
      </c>
      <c r="B108" s="85"/>
      <c r="C108" s="86"/>
      <c r="D108" s="2"/>
      <c r="E108" s="2"/>
      <c r="F108" s="3" t="s">
        <v>12</v>
      </c>
      <c r="G108" s="4"/>
    </row>
    <row r="109" spans="1:7" ht="38.25" x14ac:dyDescent="0.2">
      <c r="A109" s="20" t="s">
        <v>130</v>
      </c>
      <c r="B109" s="20" t="s">
        <v>309</v>
      </c>
      <c r="C109" s="20"/>
      <c r="D109" s="5" t="str">
        <f t="shared" ref="D109:E109" ca="1" si="105">IFERROR(__xludf.DUMMYFUNCTION("If (A109&lt;&gt;"""", GOOGLETRANSLATE(A109, ""auto"", ""en""), """")"),"For check-in and check-out of the way")</f>
        <v>For check-in and check-out of the way</v>
      </c>
      <c r="E109" s="5" t="str">
        <f t="shared" ca="1" si="105"/>
        <v>For check-in and check-out of the way</v>
      </c>
      <c r="F109" s="3" t="s">
        <v>12</v>
      </c>
      <c r="G109" s="21"/>
    </row>
    <row r="110" spans="1:7" ht="12.75" x14ac:dyDescent="0.2">
      <c r="A110" s="5"/>
      <c r="B110" s="5" t="s">
        <v>19</v>
      </c>
      <c r="C110" s="5"/>
      <c r="D110" s="5" t="str">
        <f t="shared" ref="D110:E110" ca="1" si="106">IFERROR(__xludf.DUMMYFUNCTION("If (A110&lt;&gt;"""", GOOGLETRANSLATE(A110, ""auto"", ""en""), """")"),"")</f>
        <v/>
      </c>
      <c r="E110" s="5" t="str">
        <f t="shared" ca="1" si="106"/>
        <v/>
      </c>
      <c r="F110" s="3" t="s">
        <v>12</v>
      </c>
      <c r="G110" s="3"/>
    </row>
    <row r="111" spans="1:7" ht="12.75" x14ac:dyDescent="0.2">
      <c r="A111" s="8" t="s">
        <v>21</v>
      </c>
      <c r="B111" s="10" t="s">
        <v>24</v>
      </c>
      <c r="C111" s="11" t="s">
        <v>26</v>
      </c>
      <c r="D111" s="8" t="str">
        <f t="shared" ref="D111:E111" ca="1" si="107">IFERROR(__xludf.DUMMYFUNCTION("If (A111&lt;&gt;"""", GOOGLETRANSLATE(A111, ""auto"", ""en""), """")"),"Quick Replies")</f>
        <v>Quick Replies</v>
      </c>
      <c r="E111" s="9" t="str">
        <f t="shared" ca="1" si="107"/>
        <v>Quick Replies</v>
      </c>
      <c r="F111" s="3" t="s">
        <v>12</v>
      </c>
      <c r="G111" s="12" t="str">
        <f t="shared" ref="G111:G114" si="108">"{""text"":"""&amp;B111&amp;""",""postback"":"""&amp;C111&amp;"""},"</f>
        <v>{"text":"その他の質問（ゲスト）","postback":"FAQ-Guest-First"},</v>
      </c>
    </row>
    <row r="112" spans="1:7" ht="12.75" x14ac:dyDescent="0.2">
      <c r="A112" s="9"/>
      <c r="B112" s="10" t="s">
        <v>32</v>
      </c>
      <c r="C112" s="11" t="s">
        <v>29</v>
      </c>
      <c r="D112" s="9" t="str">
        <f t="shared" ref="D112:E112" ca="1" si="109">IFERROR(__xludf.DUMMYFUNCTION("If (A112&lt;&gt;"""", GOOGLETRANSLATE(A112, ""auto"", ""en""), """")"),"")</f>
        <v/>
      </c>
      <c r="E112" s="9" t="str">
        <f t="shared" ca="1" si="109"/>
        <v/>
      </c>
      <c r="F112" s="3" t="s">
        <v>12</v>
      </c>
      <c r="G112" s="12" t="str">
        <f t="shared" si="108"/>
        <v>{"text":"その他の質問（ホスト）","postback":"FAQ-Host-First"},</v>
      </c>
    </row>
    <row r="113" spans="1:7" ht="12.75" x14ac:dyDescent="0.2">
      <c r="A113" s="9"/>
      <c r="B113" s="9" t="s">
        <v>25</v>
      </c>
      <c r="C113" s="11" t="s">
        <v>27</v>
      </c>
      <c r="D113" s="9" t="str">
        <f t="shared" ref="D113:E113" ca="1" si="110">IFERROR(__xludf.DUMMYFUNCTION("If (A113&lt;&gt;"""", GOOGLETRANSLATE(A113, ""auto"", ""en""), """")"),"")</f>
        <v/>
      </c>
      <c r="E113" s="9" t="str">
        <f t="shared" ca="1" si="110"/>
        <v/>
      </c>
      <c r="F113" s="3" t="s">
        <v>12</v>
      </c>
      <c r="G113" s="12" t="str">
        <f t="shared" si="108"/>
        <v>{"text":"宿泊先を探す","postback":"Search-House"},</v>
      </c>
    </row>
    <row r="114" spans="1:7" ht="12.75" x14ac:dyDescent="0.2">
      <c r="A114" s="9"/>
      <c r="B114" s="9" t="s">
        <v>30</v>
      </c>
      <c r="C114" s="11" t="s">
        <v>31</v>
      </c>
      <c r="D114" s="9" t="str">
        <f t="shared" ref="D114:E114" ca="1" si="111">IFERROR(__xludf.DUMMYFUNCTION("If (A114&lt;&gt;"""", GOOGLETRANSLATE(A114, ""auto"", ""en""), """")"),"")</f>
        <v/>
      </c>
      <c r="E114" s="9" t="str">
        <f t="shared" ca="1" si="111"/>
        <v/>
      </c>
      <c r="F114" s="3" t="s">
        <v>12</v>
      </c>
      <c r="G114" s="12" t="str">
        <f t="shared" si="108"/>
        <v>{"text":"物件の登録をする","postback":"Register-House"},</v>
      </c>
    </row>
    <row r="115" spans="1:7" ht="12.75" x14ac:dyDescent="0.2">
      <c r="A115" s="84" t="s">
        <v>134</v>
      </c>
      <c r="B115" s="85"/>
      <c r="C115" s="86"/>
      <c r="D115" s="2"/>
      <c r="E115" s="2"/>
      <c r="F115" s="3" t="s">
        <v>12</v>
      </c>
      <c r="G115" s="4"/>
    </row>
    <row r="116" spans="1:7" ht="38.25" x14ac:dyDescent="0.2">
      <c r="A116" s="20" t="s">
        <v>132</v>
      </c>
      <c r="B116" s="20" t="s">
        <v>332</v>
      </c>
      <c r="C116" s="20"/>
      <c r="D116" s="5" t="str">
        <f t="shared" ref="D116:E116" ca="1" si="112">IFERROR(__xludf.DUMMYFUNCTION("If (A116&lt;&gt;"""", GOOGLETRANSLATE(A116, ""auto"", ""en""), """")"),"The guide map")</f>
        <v>The guide map</v>
      </c>
      <c r="E116" s="5" t="str">
        <f t="shared" ca="1" si="112"/>
        <v>The guide map</v>
      </c>
      <c r="F116" s="3" t="s">
        <v>12</v>
      </c>
      <c r="G116" s="21"/>
    </row>
    <row r="117" spans="1:7" ht="12.75" x14ac:dyDescent="0.2">
      <c r="A117" s="5"/>
      <c r="B117" s="5" t="s">
        <v>19</v>
      </c>
      <c r="C117" s="5"/>
      <c r="D117" s="5" t="str">
        <f t="shared" ref="D117:E117" ca="1" si="113">IFERROR(__xludf.DUMMYFUNCTION("If (A117&lt;&gt;"""", GOOGLETRANSLATE(A117, ""auto"", ""en""), """")"),"")</f>
        <v/>
      </c>
      <c r="E117" s="5" t="str">
        <f t="shared" ca="1" si="113"/>
        <v/>
      </c>
      <c r="F117" s="3" t="s">
        <v>12</v>
      </c>
      <c r="G117" s="3"/>
    </row>
    <row r="118" spans="1:7" ht="12.75" x14ac:dyDescent="0.2">
      <c r="A118" s="8" t="s">
        <v>21</v>
      </c>
      <c r="B118" s="10" t="s">
        <v>24</v>
      </c>
      <c r="C118" s="11" t="s">
        <v>26</v>
      </c>
      <c r="D118" s="8" t="str">
        <f t="shared" ref="D118:E118" ca="1" si="114">IFERROR(__xludf.DUMMYFUNCTION("If (A118&lt;&gt;"""", GOOGLETRANSLATE(A118, ""auto"", ""en""), """")"),"Quick Replies")</f>
        <v>Quick Replies</v>
      </c>
      <c r="E118" s="9" t="str">
        <f t="shared" ca="1" si="114"/>
        <v>Quick Replies</v>
      </c>
      <c r="F118" s="3" t="s">
        <v>12</v>
      </c>
      <c r="G118" s="12" t="str">
        <f t="shared" ref="G118:G121" si="115">"{""text"":"""&amp;B118&amp;""",""postback"":"""&amp;C118&amp;"""},"</f>
        <v>{"text":"その他の質問（ゲスト）","postback":"FAQ-Guest-First"},</v>
      </c>
    </row>
    <row r="119" spans="1:7" ht="12.75" x14ac:dyDescent="0.2">
      <c r="A119" s="9"/>
      <c r="B119" s="10" t="s">
        <v>32</v>
      </c>
      <c r="C119" s="11" t="s">
        <v>29</v>
      </c>
      <c r="D119" s="9" t="str">
        <f t="shared" ref="D119:E119" ca="1" si="116">IFERROR(__xludf.DUMMYFUNCTION("If (A119&lt;&gt;"""", GOOGLETRANSLATE(A119, ""auto"", ""en""), """")"),"")</f>
        <v/>
      </c>
      <c r="E119" s="9" t="str">
        <f t="shared" ca="1" si="116"/>
        <v/>
      </c>
      <c r="F119" s="3" t="s">
        <v>12</v>
      </c>
      <c r="G119" s="12" t="str">
        <f t="shared" si="115"/>
        <v>{"text":"その他の質問（ホスト）","postback":"FAQ-Host-First"},</v>
      </c>
    </row>
    <row r="120" spans="1:7" ht="12.75" x14ac:dyDescent="0.2">
      <c r="A120" s="9"/>
      <c r="B120" s="9" t="s">
        <v>25</v>
      </c>
      <c r="C120" s="11" t="s">
        <v>27</v>
      </c>
      <c r="D120" s="9" t="str">
        <f t="shared" ref="D120:E120" ca="1" si="117">IFERROR(__xludf.DUMMYFUNCTION("If (A120&lt;&gt;"""", GOOGLETRANSLATE(A120, ""auto"", ""en""), """")"),"")</f>
        <v/>
      </c>
      <c r="E120" s="9" t="str">
        <f t="shared" ca="1" si="117"/>
        <v/>
      </c>
      <c r="F120" s="3" t="s">
        <v>12</v>
      </c>
      <c r="G120" s="12" t="str">
        <f t="shared" si="115"/>
        <v>{"text":"宿泊先を探す","postback":"Search-House"},</v>
      </c>
    </row>
    <row r="121" spans="1:7" ht="12.75" x14ac:dyDescent="0.2">
      <c r="A121" s="9"/>
      <c r="B121" s="9" t="s">
        <v>30</v>
      </c>
      <c r="C121" s="11" t="s">
        <v>31</v>
      </c>
      <c r="D121" s="9" t="str">
        <f t="shared" ref="D121:E121" ca="1" si="118">IFERROR(__xludf.DUMMYFUNCTION("If (A121&lt;&gt;"""", GOOGLETRANSLATE(A121, ""auto"", ""en""), """")"),"")</f>
        <v/>
      </c>
      <c r="E121" s="9" t="str">
        <f t="shared" ca="1" si="118"/>
        <v/>
      </c>
      <c r="F121" s="3" t="s">
        <v>12</v>
      </c>
      <c r="G121" s="12" t="str">
        <f t="shared" si="115"/>
        <v>{"text":"物件の登録をする","postback":"Register-House"},</v>
      </c>
    </row>
    <row r="122" spans="1:7" ht="12.75" x14ac:dyDescent="0.2">
      <c r="A122" s="84" t="s">
        <v>137</v>
      </c>
      <c r="B122" s="85"/>
      <c r="C122" s="86"/>
      <c r="D122" s="2"/>
      <c r="E122" s="2"/>
      <c r="F122" s="3" t="s">
        <v>12</v>
      </c>
      <c r="G122" s="4"/>
    </row>
    <row r="123" spans="1:7" ht="38.25" x14ac:dyDescent="0.2">
      <c r="A123" s="20" t="s">
        <v>136</v>
      </c>
      <c r="B123" s="20" t="s">
        <v>353</v>
      </c>
      <c r="C123" s="20"/>
      <c r="D123" s="5" t="str">
        <f t="shared" ref="D123:E123" ca="1" si="119">IFERROR(__xludf.DUMMYFUNCTION("If (A123&lt;&gt;"""", GOOGLETRANSLATE(A123, ""auto"", ""en""), """")"),"About Amenities")</f>
        <v>About Amenities</v>
      </c>
      <c r="E123" s="5" t="str">
        <f t="shared" ca="1" si="119"/>
        <v>About Amenities</v>
      </c>
      <c r="F123" s="3" t="s">
        <v>12</v>
      </c>
      <c r="G123" s="21"/>
    </row>
    <row r="124" spans="1:7" ht="12.75" x14ac:dyDescent="0.2">
      <c r="A124" s="5"/>
      <c r="B124" s="5" t="s">
        <v>19</v>
      </c>
      <c r="C124" s="5"/>
      <c r="D124" s="5" t="str">
        <f t="shared" ref="D124:E124" ca="1" si="120">IFERROR(__xludf.DUMMYFUNCTION("If (A124&lt;&gt;"""", GOOGLETRANSLATE(A124, ""auto"", ""en""), """")"),"")</f>
        <v/>
      </c>
      <c r="E124" s="5" t="str">
        <f t="shared" ca="1" si="120"/>
        <v/>
      </c>
      <c r="F124" s="3" t="s">
        <v>12</v>
      </c>
      <c r="G124" s="3"/>
    </row>
    <row r="125" spans="1:7" ht="12.75" x14ac:dyDescent="0.2">
      <c r="A125" s="8" t="s">
        <v>21</v>
      </c>
      <c r="B125" s="10" t="s">
        <v>24</v>
      </c>
      <c r="C125" s="11" t="s">
        <v>26</v>
      </c>
      <c r="D125" s="8" t="str">
        <f t="shared" ref="D125:E125" ca="1" si="121">IFERROR(__xludf.DUMMYFUNCTION("If (A125&lt;&gt;"""", GOOGLETRANSLATE(A125, ""auto"", ""en""), """")"),"Quick Replies")</f>
        <v>Quick Replies</v>
      </c>
      <c r="E125" s="9" t="str">
        <f t="shared" ca="1" si="121"/>
        <v>Quick Replies</v>
      </c>
      <c r="F125" s="3" t="s">
        <v>12</v>
      </c>
      <c r="G125" s="12" t="str">
        <f t="shared" ref="G125:G128" si="122">"{""text"":"""&amp;B125&amp;""",""postback"":"""&amp;C125&amp;"""},"</f>
        <v>{"text":"その他の質問（ゲスト）","postback":"FAQ-Guest-First"},</v>
      </c>
    </row>
    <row r="126" spans="1:7" ht="12.75" x14ac:dyDescent="0.2">
      <c r="A126" s="9"/>
      <c r="B126" s="10" t="s">
        <v>32</v>
      </c>
      <c r="C126" s="11" t="s">
        <v>29</v>
      </c>
      <c r="D126" s="9" t="str">
        <f t="shared" ref="D126:E126" ca="1" si="123">IFERROR(__xludf.DUMMYFUNCTION("If (A126&lt;&gt;"""", GOOGLETRANSLATE(A126, ""auto"", ""en""), """")"),"")</f>
        <v/>
      </c>
      <c r="E126" s="9" t="str">
        <f t="shared" ca="1" si="123"/>
        <v/>
      </c>
      <c r="F126" s="3" t="s">
        <v>12</v>
      </c>
      <c r="G126" s="12" t="str">
        <f t="shared" si="122"/>
        <v>{"text":"その他の質問（ホスト）","postback":"FAQ-Host-First"},</v>
      </c>
    </row>
    <row r="127" spans="1:7" ht="12.75" x14ac:dyDescent="0.2">
      <c r="A127" s="9"/>
      <c r="B127" s="9" t="s">
        <v>25</v>
      </c>
      <c r="C127" s="11" t="s">
        <v>27</v>
      </c>
      <c r="D127" s="9" t="str">
        <f t="shared" ref="D127:E127" ca="1" si="124">IFERROR(__xludf.DUMMYFUNCTION("If (A127&lt;&gt;"""", GOOGLETRANSLATE(A127, ""auto"", ""en""), """")"),"")</f>
        <v/>
      </c>
      <c r="E127" s="9" t="str">
        <f t="shared" ca="1" si="124"/>
        <v/>
      </c>
      <c r="F127" s="3" t="s">
        <v>12</v>
      </c>
      <c r="G127" s="12" t="str">
        <f t="shared" si="122"/>
        <v>{"text":"宿泊先を探す","postback":"Search-House"},</v>
      </c>
    </row>
    <row r="128" spans="1:7" ht="12.75" x14ac:dyDescent="0.2">
      <c r="A128" s="9"/>
      <c r="B128" s="9" t="s">
        <v>30</v>
      </c>
      <c r="C128" s="11" t="s">
        <v>31</v>
      </c>
      <c r="D128" s="9" t="str">
        <f t="shared" ref="D128:E128" ca="1" si="125">IFERROR(__xludf.DUMMYFUNCTION("If (A128&lt;&gt;"""", GOOGLETRANSLATE(A128, ""auto"", ""en""), """")"),"")</f>
        <v/>
      </c>
      <c r="E128" s="9" t="str">
        <f t="shared" ca="1" si="125"/>
        <v/>
      </c>
      <c r="F128" s="3" t="s">
        <v>12</v>
      </c>
      <c r="G128" s="12" t="str">
        <f t="shared" si="122"/>
        <v>{"text":"物件の登録をする","postback":"Register-House"},</v>
      </c>
    </row>
    <row r="129" spans="1:7" ht="12.75" x14ac:dyDescent="0.2">
      <c r="A129" s="84" t="s">
        <v>140</v>
      </c>
      <c r="B129" s="85"/>
      <c r="C129" s="86"/>
      <c r="D129" s="2"/>
      <c r="E129" s="2"/>
      <c r="F129" s="3" t="s">
        <v>12</v>
      </c>
      <c r="G129" s="4"/>
    </row>
    <row r="130" spans="1:7" ht="63.75" x14ac:dyDescent="0.2">
      <c r="A130" s="20" t="s">
        <v>138</v>
      </c>
      <c r="B130" s="20" t="s">
        <v>364</v>
      </c>
      <c r="C130" s="20"/>
      <c r="D130" s="5" t="str">
        <f t="shared" ref="D130:E130" ca="1" si="126">IFERROR(__xludf.DUMMYFUNCTION("If (A130&lt;&gt;"""", GOOGLETRANSLATE(A130, ""auto"", ""en""), """")"),"About trouble in accommodation")</f>
        <v>About trouble in accommodation</v>
      </c>
      <c r="E130" s="5" t="str">
        <f t="shared" ca="1" si="126"/>
        <v>About trouble in accommodation</v>
      </c>
      <c r="F130" s="3" t="s">
        <v>12</v>
      </c>
      <c r="G130" s="21"/>
    </row>
    <row r="131" spans="1:7" ht="12.75" x14ac:dyDescent="0.2">
      <c r="A131" s="5"/>
      <c r="B131" s="5" t="s">
        <v>19</v>
      </c>
      <c r="C131" s="5"/>
      <c r="D131" s="5" t="str">
        <f t="shared" ref="D131:E131" ca="1" si="127">IFERROR(__xludf.DUMMYFUNCTION("If (A131&lt;&gt;"""", GOOGLETRANSLATE(A131, ""auto"", ""en""), """")"),"")</f>
        <v/>
      </c>
      <c r="E131" s="5" t="str">
        <f t="shared" ca="1" si="127"/>
        <v/>
      </c>
      <c r="F131" s="3" t="s">
        <v>12</v>
      </c>
      <c r="G131" s="3"/>
    </row>
    <row r="132" spans="1:7" ht="12.75" x14ac:dyDescent="0.2">
      <c r="A132" s="8" t="s">
        <v>21</v>
      </c>
      <c r="B132" s="10" t="s">
        <v>24</v>
      </c>
      <c r="C132" s="11" t="s">
        <v>26</v>
      </c>
      <c r="D132" s="8" t="str">
        <f t="shared" ref="D132:E132" ca="1" si="128">IFERROR(__xludf.DUMMYFUNCTION("If (A132&lt;&gt;"""", GOOGLETRANSLATE(A132, ""auto"", ""en""), """")"),"Quick Replies")</f>
        <v>Quick Replies</v>
      </c>
      <c r="E132" s="9" t="str">
        <f t="shared" ca="1" si="128"/>
        <v>Quick Replies</v>
      </c>
      <c r="F132" s="3" t="s">
        <v>12</v>
      </c>
      <c r="G132" s="12" t="str">
        <f t="shared" ref="G132:G135" si="129">"{""text"":"""&amp;B132&amp;""",""postback"":"""&amp;C132&amp;"""},"</f>
        <v>{"text":"その他の質問（ゲスト）","postback":"FAQ-Guest-First"},</v>
      </c>
    </row>
    <row r="133" spans="1:7" ht="12.75" x14ac:dyDescent="0.2">
      <c r="A133" s="9"/>
      <c r="B133" s="10" t="s">
        <v>32</v>
      </c>
      <c r="C133" s="11" t="s">
        <v>29</v>
      </c>
      <c r="D133" s="9" t="str">
        <f t="shared" ref="D133:E133" ca="1" si="130">IFERROR(__xludf.DUMMYFUNCTION("If (A133&lt;&gt;"""", GOOGLETRANSLATE(A133, ""auto"", ""en""), """")"),"")</f>
        <v/>
      </c>
      <c r="E133" s="9" t="str">
        <f t="shared" ca="1" si="130"/>
        <v/>
      </c>
      <c r="F133" s="3" t="s">
        <v>12</v>
      </c>
      <c r="G133" s="12" t="str">
        <f t="shared" si="129"/>
        <v>{"text":"その他の質問（ホスト）","postback":"FAQ-Host-First"},</v>
      </c>
    </row>
    <row r="134" spans="1:7" ht="12.75" x14ac:dyDescent="0.2">
      <c r="A134" s="9"/>
      <c r="B134" s="9" t="s">
        <v>25</v>
      </c>
      <c r="C134" s="11" t="s">
        <v>27</v>
      </c>
      <c r="D134" s="9" t="str">
        <f t="shared" ref="D134:E134" ca="1" si="131">IFERROR(__xludf.DUMMYFUNCTION("If (A134&lt;&gt;"""", GOOGLETRANSLATE(A134, ""auto"", ""en""), """")"),"")</f>
        <v/>
      </c>
      <c r="E134" s="9" t="str">
        <f t="shared" ca="1" si="131"/>
        <v/>
      </c>
      <c r="F134" s="3" t="s">
        <v>12</v>
      </c>
      <c r="G134" s="12" t="str">
        <f t="shared" si="129"/>
        <v>{"text":"宿泊先を探す","postback":"Search-House"},</v>
      </c>
    </row>
    <row r="135" spans="1:7" ht="12.75" x14ac:dyDescent="0.2">
      <c r="A135" s="9"/>
      <c r="B135" s="9" t="s">
        <v>30</v>
      </c>
      <c r="C135" s="11" t="s">
        <v>31</v>
      </c>
      <c r="D135" s="9" t="str">
        <f t="shared" ref="D135:E135" ca="1" si="132">IFERROR(__xludf.DUMMYFUNCTION("If (A135&lt;&gt;"""", GOOGLETRANSLATE(A135, ""auto"", ""en""), """")"),"")</f>
        <v/>
      </c>
      <c r="E135" s="9" t="str">
        <f t="shared" ca="1" si="132"/>
        <v/>
      </c>
      <c r="F135" s="3" t="s">
        <v>12</v>
      </c>
      <c r="G135" s="12" t="str">
        <f t="shared" si="129"/>
        <v>{"text":"物件の登録をする","postback":"Register-House"},</v>
      </c>
    </row>
    <row r="136" spans="1:7" ht="12.75" x14ac:dyDescent="0.2">
      <c r="A136" s="84" t="s">
        <v>146</v>
      </c>
      <c r="B136" s="85"/>
      <c r="C136" s="86"/>
      <c r="D136" s="2"/>
      <c r="E136" s="2"/>
      <c r="F136" s="3" t="s">
        <v>12</v>
      </c>
      <c r="G136" s="4"/>
    </row>
    <row r="137" spans="1:7" ht="25.5" x14ac:dyDescent="0.2">
      <c r="A137" s="20" t="s">
        <v>145</v>
      </c>
      <c r="B137" s="20" t="s">
        <v>365</v>
      </c>
      <c r="C137" s="20"/>
      <c r="D137" s="5" t="str">
        <f t="shared" ref="D137:E137" ca="1" si="133">IFERROR(__xludf.DUMMYFUNCTION("If (A137&lt;&gt;"""", GOOGLETRANSLATE(A137, ""auto"", ""en""), """")"),"For payment of the reservation")</f>
        <v>For payment of the reservation</v>
      </c>
      <c r="E137" s="5" t="str">
        <f t="shared" ca="1" si="133"/>
        <v>For payment of the reservation</v>
      </c>
      <c r="F137" s="3" t="s">
        <v>12</v>
      </c>
      <c r="G137" s="21"/>
    </row>
    <row r="138" spans="1:7" ht="12.75" x14ac:dyDescent="0.2">
      <c r="A138" s="5"/>
      <c r="B138" s="5" t="s">
        <v>19</v>
      </c>
      <c r="C138" s="5"/>
      <c r="D138" s="5" t="str">
        <f t="shared" ref="D138:E138" ca="1" si="134">IFERROR(__xludf.DUMMYFUNCTION("If (A138&lt;&gt;"""", GOOGLETRANSLATE(A138, ""auto"", ""en""), """")"),"")</f>
        <v/>
      </c>
      <c r="E138" s="5" t="str">
        <f t="shared" ca="1" si="134"/>
        <v/>
      </c>
      <c r="F138" s="3" t="s">
        <v>12</v>
      </c>
      <c r="G138" s="3"/>
    </row>
    <row r="139" spans="1:7" ht="12.75" x14ac:dyDescent="0.2">
      <c r="A139" s="8" t="s">
        <v>21</v>
      </c>
      <c r="B139" s="10" t="s">
        <v>24</v>
      </c>
      <c r="C139" s="11" t="s">
        <v>26</v>
      </c>
      <c r="D139" s="8" t="str">
        <f t="shared" ref="D139:E139" ca="1" si="135">IFERROR(__xludf.DUMMYFUNCTION("If (A139&lt;&gt;"""", GOOGLETRANSLATE(A139, ""auto"", ""en""), """")"),"Quick Replies")</f>
        <v>Quick Replies</v>
      </c>
      <c r="E139" s="9" t="str">
        <f t="shared" ca="1" si="135"/>
        <v>Quick Replies</v>
      </c>
      <c r="F139" s="3" t="s">
        <v>12</v>
      </c>
      <c r="G139" s="12" t="str">
        <f t="shared" ref="G139:G142" si="136">"{""text"":"""&amp;B139&amp;""",""postback"":"""&amp;C139&amp;"""},"</f>
        <v>{"text":"その他の質問（ゲスト）","postback":"FAQ-Guest-First"},</v>
      </c>
    </row>
    <row r="140" spans="1:7" ht="12.75" x14ac:dyDescent="0.2">
      <c r="A140" s="9"/>
      <c r="B140" s="10" t="s">
        <v>32</v>
      </c>
      <c r="C140" s="11" t="s">
        <v>29</v>
      </c>
      <c r="D140" s="9" t="str">
        <f t="shared" ref="D140:E140" ca="1" si="137">IFERROR(__xludf.DUMMYFUNCTION("If (A140&lt;&gt;"""", GOOGLETRANSLATE(A140, ""auto"", ""en""), """")"),"")</f>
        <v/>
      </c>
      <c r="E140" s="9" t="str">
        <f t="shared" ca="1" si="137"/>
        <v/>
      </c>
      <c r="F140" s="3" t="s">
        <v>12</v>
      </c>
      <c r="G140" s="12" t="str">
        <f t="shared" si="136"/>
        <v>{"text":"その他の質問（ホスト）","postback":"FAQ-Host-First"},</v>
      </c>
    </row>
    <row r="141" spans="1:7" ht="12.75" x14ac:dyDescent="0.2">
      <c r="A141" s="9"/>
      <c r="B141" s="9" t="s">
        <v>25</v>
      </c>
      <c r="C141" s="11" t="s">
        <v>27</v>
      </c>
      <c r="D141" s="9" t="str">
        <f t="shared" ref="D141:E141" ca="1" si="138">IFERROR(__xludf.DUMMYFUNCTION("If (A141&lt;&gt;"""", GOOGLETRANSLATE(A141, ""auto"", ""en""), """")"),"")</f>
        <v/>
      </c>
      <c r="E141" s="9" t="str">
        <f t="shared" ca="1" si="138"/>
        <v/>
      </c>
      <c r="F141" s="3" t="s">
        <v>12</v>
      </c>
      <c r="G141" s="12" t="str">
        <f t="shared" si="136"/>
        <v>{"text":"宿泊先を探す","postback":"Search-House"},</v>
      </c>
    </row>
    <row r="142" spans="1:7" ht="12.75" x14ac:dyDescent="0.2">
      <c r="A142" s="9"/>
      <c r="B142" s="9" t="s">
        <v>30</v>
      </c>
      <c r="C142" s="11" t="s">
        <v>31</v>
      </c>
      <c r="D142" s="9" t="str">
        <f t="shared" ref="D142:E142" ca="1" si="139">IFERROR(__xludf.DUMMYFUNCTION("If (A142&lt;&gt;"""", GOOGLETRANSLATE(A142, ""auto"", ""en""), """")"),"")</f>
        <v/>
      </c>
      <c r="E142" s="9" t="str">
        <f t="shared" ca="1" si="139"/>
        <v/>
      </c>
      <c r="F142" s="3" t="s">
        <v>12</v>
      </c>
      <c r="G142" s="12" t="str">
        <f t="shared" si="136"/>
        <v>{"text":"物件の登録をする","postback":"Register-House"},</v>
      </c>
    </row>
    <row r="143" spans="1:7" ht="12.75" x14ac:dyDescent="0.2">
      <c r="A143" s="84" t="s">
        <v>153</v>
      </c>
      <c r="B143" s="85"/>
      <c r="C143" s="86"/>
      <c r="D143" s="2"/>
      <c r="E143" s="2"/>
      <c r="F143" s="3" t="s">
        <v>12</v>
      </c>
      <c r="G143" s="4"/>
    </row>
    <row r="144" spans="1:7" ht="38.25" x14ac:dyDescent="0.2">
      <c r="A144" s="20" t="s">
        <v>152</v>
      </c>
      <c r="B144" s="20" t="s">
        <v>366</v>
      </c>
      <c r="C144" s="20"/>
      <c r="D144" s="5" t="str">
        <f t="shared" ref="D144:E144" ca="1" si="140">IFERROR(__xludf.DUMMYFUNCTION("If (A144&lt;&gt;"""", GOOGLETRANSLATE(A144, ""auto"", ""en""), """")"),"For fees that will apply for withdrawal")</f>
        <v>For fees that will apply for withdrawal</v>
      </c>
      <c r="E144" s="5" t="str">
        <f t="shared" ca="1" si="140"/>
        <v>For fees that will apply for withdrawal</v>
      </c>
      <c r="F144" s="3" t="s">
        <v>12</v>
      </c>
      <c r="G144" s="21"/>
    </row>
    <row r="145" spans="1:7" ht="12.75" x14ac:dyDescent="0.2">
      <c r="A145" s="5"/>
      <c r="B145" s="5" t="s">
        <v>19</v>
      </c>
      <c r="C145" s="5"/>
      <c r="D145" s="5" t="str">
        <f t="shared" ref="D145:E145" ca="1" si="141">IFERROR(__xludf.DUMMYFUNCTION("If (A145&lt;&gt;"""", GOOGLETRANSLATE(A145, ""auto"", ""en""), """")"),"")</f>
        <v/>
      </c>
      <c r="E145" s="5" t="str">
        <f t="shared" ca="1" si="141"/>
        <v/>
      </c>
      <c r="F145" s="3" t="s">
        <v>12</v>
      </c>
      <c r="G145" s="3"/>
    </row>
    <row r="146" spans="1:7" ht="12.75" x14ac:dyDescent="0.2">
      <c r="A146" s="8" t="s">
        <v>21</v>
      </c>
      <c r="B146" s="10" t="s">
        <v>24</v>
      </c>
      <c r="C146" s="11" t="s">
        <v>26</v>
      </c>
      <c r="D146" s="8" t="str">
        <f t="shared" ref="D146:E146" ca="1" si="142">IFERROR(__xludf.DUMMYFUNCTION("If (A146&lt;&gt;"""", GOOGLETRANSLATE(A146, ""auto"", ""en""), """")"),"Quick Replies")</f>
        <v>Quick Replies</v>
      </c>
      <c r="E146" s="9" t="str">
        <f t="shared" ca="1" si="142"/>
        <v>Quick Replies</v>
      </c>
      <c r="F146" s="3" t="s">
        <v>12</v>
      </c>
      <c r="G146" s="12" t="str">
        <f t="shared" ref="G146:G149" si="143">"{""text"":"""&amp;B146&amp;""",""postback"":"""&amp;C146&amp;"""},"</f>
        <v>{"text":"その他の質問（ゲスト）","postback":"FAQ-Guest-First"},</v>
      </c>
    </row>
    <row r="147" spans="1:7" ht="12.75" x14ac:dyDescent="0.2">
      <c r="A147" s="9"/>
      <c r="B147" s="10" t="s">
        <v>32</v>
      </c>
      <c r="C147" s="11" t="s">
        <v>29</v>
      </c>
      <c r="D147" s="9" t="str">
        <f t="shared" ref="D147:E147" ca="1" si="144">IFERROR(__xludf.DUMMYFUNCTION("If (A147&lt;&gt;"""", GOOGLETRANSLATE(A147, ""auto"", ""en""), """")"),"")</f>
        <v/>
      </c>
      <c r="E147" s="9" t="str">
        <f t="shared" ca="1" si="144"/>
        <v/>
      </c>
      <c r="F147" s="3" t="s">
        <v>12</v>
      </c>
      <c r="G147" s="12" t="str">
        <f t="shared" si="143"/>
        <v>{"text":"その他の質問（ホスト）","postback":"FAQ-Host-First"},</v>
      </c>
    </row>
    <row r="148" spans="1:7" ht="12.75" x14ac:dyDescent="0.2">
      <c r="A148" s="9"/>
      <c r="B148" s="9" t="s">
        <v>25</v>
      </c>
      <c r="C148" s="11" t="s">
        <v>27</v>
      </c>
      <c r="D148" s="9" t="str">
        <f t="shared" ref="D148:E148" ca="1" si="145">IFERROR(__xludf.DUMMYFUNCTION("If (A148&lt;&gt;"""", GOOGLETRANSLATE(A148, ""auto"", ""en""), """")"),"")</f>
        <v/>
      </c>
      <c r="E148" s="9" t="str">
        <f t="shared" ca="1" si="145"/>
        <v/>
      </c>
      <c r="F148" s="3" t="s">
        <v>12</v>
      </c>
      <c r="G148" s="12" t="str">
        <f t="shared" si="143"/>
        <v>{"text":"宿泊先を探す","postback":"Search-House"},</v>
      </c>
    </row>
    <row r="149" spans="1:7" ht="12.75" x14ac:dyDescent="0.2">
      <c r="A149" s="9"/>
      <c r="B149" s="9" t="s">
        <v>30</v>
      </c>
      <c r="C149" s="11" t="s">
        <v>31</v>
      </c>
      <c r="D149" s="9" t="str">
        <f t="shared" ref="D149:E149" ca="1" si="146">IFERROR(__xludf.DUMMYFUNCTION("If (A149&lt;&gt;"""", GOOGLETRANSLATE(A149, ""auto"", ""en""), """")"),"")</f>
        <v/>
      </c>
      <c r="E149" s="9" t="str">
        <f t="shared" ca="1" si="146"/>
        <v/>
      </c>
      <c r="F149" s="3" t="s">
        <v>12</v>
      </c>
      <c r="G149" s="12" t="str">
        <f t="shared" si="143"/>
        <v>{"text":"物件の登録をする","postback":"Register-House"},</v>
      </c>
    </row>
    <row r="150" spans="1:7" ht="12.75" x14ac:dyDescent="0.2">
      <c r="A150" s="84" t="s">
        <v>156</v>
      </c>
      <c r="B150" s="85"/>
      <c r="C150" s="86"/>
      <c r="D150" s="2"/>
      <c r="E150" s="2"/>
      <c r="F150" s="3" t="s">
        <v>12</v>
      </c>
      <c r="G150" s="4"/>
    </row>
    <row r="151" spans="1:7" ht="25.5" x14ac:dyDescent="0.2">
      <c r="A151" s="20" t="s">
        <v>155</v>
      </c>
      <c r="B151" s="20" t="s">
        <v>371</v>
      </c>
      <c r="C151" s="20"/>
      <c r="D151" s="5" t="str">
        <f t="shared" ref="D151:E151" ca="1" si="147">IFERROR(__xludf.DUMMYFUNCTION("If (A151&lt;&gt;"""", GOOGLETRANSLATE(A151, ""auto"", ""en""), """")"),"For refund of the case that have not been reserved approval")</f>
        <v>For refund of the case that have not been reserved approval</v>
      </c>
      <c r="E151" s="5" t="str">
        <f t="shared" ca="1" si="147"/>
        <v>For refund of the case that have not been reserved approval</v>
      </c>
      <c r="F151" s="3" t="s">
        <v>12</v>
      </c>
      <c r="G151" s="21"/>
    </row>
    <row r="152" spans="1:7" ht="12.75" x14ac:dyDescent="0.2">
      <c r="A152" s="5"/>
      <c r="B152" s="5" t="s">
        <v>19</v>
      </c>
      <c r="C152" s="5"/>
      <c r="D152" s="5" t="str">
        <f t="shared" ref="D152:E152" ca="1" si="148">IFERROR(__xludf.DUMMYFUNCTION("If (A152&lt;&gt;"""", GOOGLETRANSLATE(A152, ""auto"", ""en""), """")"),"")</f>
        <v/>
      </c>
      <c r="E152" s="5" t="str">
        <f t="shared" ca="1" si="148"/>
        <v/>
      </c>
      <c r="F152" s="3" t="s">
        <v>12</v>
      </c>
      <c r="G152" s="3"/>
    </row>
    <row r="153" spans="1:7" ht="12.75" x14ac:dyDescent="0.2">
      <c r="A153" s="8" t="s">
        <v>21</v>
      </c>
      <c r="B153" s="10" t="s">
        <v>24</v>
      </c>
      <c r="C153" s="11" t="s">
        <v>26</v>
      </c>
      <c r="D153" s="8" t="str">
        <f t="shared" ref="D153:E153" ca="1" si="149">IFERROR(__xludf.DUMMYFUNCTION("If (A153&lt;&gt;"""", GOOGLETRANSLATE(A153, ""auto"", ""en""), """")"),"Quick Replies")</f>
        <v>Quick Replies</v>
      </c>
      <c r="E153" s="9" t="str">
        <f t="shared" ca="1" si="149"/>
        <v>Quick Replies</v>
      </c>
      <c r="F153" s="3" t="s">
        <v>12</v>
      </c>
      <c r="G153" s="12" t="str">
        <f t="shared" ref="G153:G156" si="150">"{""text"":"""&amp;B153&amp;""",""postback"":"""&amp;C153&amp;"""},"</f>
        <v>{"text":"その他の質問（ゲスト）","postback":"FAQ-Guest-First"},</v>
      </c>
    </row>
    <row r="154" spans="1:7" ht="12.75" x14ac:dyDescent="0.2">
      <c r="A154" s="9"/>
      <c r="B154" s="10" t="s">
        <v>32</v>
      </c>
      <c r="C154" s="11" t="s">
        <v>29</v>
      </c>
      <c r="D154" s="9" t="str">
        <f t="shared" ref="D154:E154" ca="1" si="151">IFERROR(__xludf.DUMMYFUNCTION("If (A154&lt;&gt;"""", GOOGLETRANSLATE(A154, ""auto"", ""en""), """")"),"")</f>
        <v/>
      </c>
      <c r="E154" s="9" t="str">
        <f t="shared" ca="1" si="151"/>
        <v/>
      </c>
      <c r="F154" s="3" t="s">
        <v>12</v>
      </c>
      <c r="G154" s="12" t="str">
        <f t="shared" si="150"/>
        <v>{"text":"その他の質問（ホスト）","postback":"FAQ-Host-First"},</v>
      </c>
    </row>
    <row r="155" spans="1:7" ht="12.75" x14ac:dyDescent="0.2">
      <c r="A155" s="9"/>
      <c r="B155" s="9" t="s">
        <v>25</v>
      </c>
      <c r="C155" s="11" t="s">
        <v>27</v>
      </c>
      <c r="D155" s="9" t="str">
        <f t="shared" ref="D155:E155" ca="1" si="152">IFERROR(__xludf.DUMMYFUNCTION("If (A155&lt;&gt;"""", GOOGLETRANSLATE(A155, ""auto"", ""en""), """")"),"")</f>
        <v/>
      </c>
      <c r="E155" s="9" t="str">
        <f t="shared" ca="1" si="152"/>
        <v/>
      </c>
      <c r="F155" s="3" t="s">
        <v>12</v>
      </c>
      <c r="G155" s="12" t="str">
        <f t="shared" si="150"/>
        <v>{"text":"宿泊先を探す","postback":"Search-House"},</v>
      </c>
    </row>
    <row r="156" spans="1:7" ht="12.75" x14ac:dyDescent="0.2">
      <c r="A156" s="9"/>
      <c r="B156" s="9" t="s">
        <v>30</v>
      </c>
      <c r="C156" s="11" t="s">
        <v>31</v>
      </c>
      <c r="D156" s="9" t="str">
        <f t="shared" ref="D156:E156" ca="1" si="153">IFERROR(__xludf.DUMMYFUNCTION("If (A156&lt;&gt;"""", GOOGLETRANSLATE(A156, ""auto"", ""en""), """")"),"")</f>
        <v/>
      </c>
      <c r="E156" s="9" t="str">
        <f t="shared" ca="1" si="153"/>
        <v/>
      </c>
      <c r="F156" s="3" t="s">
        <v>12</v>
      </c>
      <c r="G156" s="12" t="str">
        <f t="shared" si="150"/>
        <v>{"text":"物件の登録をする","postback":"Register-House"},</v>
      </c>
    </row>
    <row r="157" spans="1:7" ht="12.75" x14ac:dyDescent="0.2">
      <c r="A157" s="84" t="s">
        <v>159</v>
      </c>
      <c r="B157" s="85"/>
      <c r="C157" s="86"/>
      <c r="D157" s="2"/>
      <c r="E157" s="2"/>
      <c r="F157" s="3" t="s">
        <v>12</v>
      </c>
      <c r="G157" s="4"/>
    </row>
    <row r="158" spans="1:7" ht="38.25" x14ac:dyDescent="0.2">
      <c r="A158" s="20" t="s">
        <v>158</v>
      </c>
      <c r="B158" s="20" t="s">
        <v>377</v>
      </c>
      <c r="C158" s="20"/>
      <c r="D158" s="5" t="str">
        <f t="shared" ref="D158:E158" ca="1" si="154">IFERROR(__xludf.DUMMYFUNCTION("If (A158&lt;&gt;"""", GOOGLETRANSLATE(A158, ""auto"", ""en""), """")"),"Issuance of receipt")</f>
        <v>Issuance of receipt</v>
      </c>
      <c r="E158" s="5" t="str">
        <f t="shared" ca="1" si="154"/>
        <v>Issuance of receipt</v>
      </c>
      <c r="F158" s="3" t="s">
        <v>12</v>
      </c>
      <c r="G158" s="21"/>
    </row>
    <row r="159" spans="1:7" ht="12.75" x14ac:dyDescent="0.2">
      <c r="A159" s="5"/>
      <c r="B159" s="5" t="s">
        <v>19</v>
      </c>
      <c r="C159" s="5"/>
      <c r="D159" s="5" t="str">
        <f t="shared" ref="D159:E159" ca="1" si="155">IFERROR(__xludf.DUMMYFUNCTION("If (A159&lt;&gt;"""", GOOGLETRANSLATE(A159, ""auto"", ""en""), """")"),"")</f>
        <v/>
      </c>
      <c r="E159" s="5" t="str">
        <f t="shared" ca="1" si="155"/>
        <v/>
      </c>
      <c r="F159" s="3" t="s">
        <v>12</v>
      </c>
      <c r="G159" s="3"/>
    </row>
    <row r="160" spans="1:7" ht="12.75" x14ac:dyDescent="0.2">
      <c r="A160" s="8" t="s">
        <v>21</v>
      </c>
      <c r="B160" s="10" t="s">
        <v>24</v>
      </c>
      <c r="C160" s="11" t="s">
        <v>26</v>
      </c>
      <c r="D160" s="8" t="str">
        <f t="shared" ref="D160:E160" ca="1" si="156">IFERROR(__xludf.DUMMYFUNCTION("If (A160&lt;&gt;"""", GOOGLETRANSLATE(A160, ""auto"", ""en""), """")"),"Quick Replies")</f>
        <v>Quick Replies</v>
      </c>
      <c r="E160" s="9" t="str">
        <f t="shared" ca="1" si="156"/>
        <v>Quick Replies</v>
      </c>
      <c r="F160" s="3" t="s">
        <v>12</v>
      </c>
      <c r="G160" s="12" t="str">
        <f t="shared" ref="G160:G163" si="157">"{""text"":"""&amp;B160&amp;""",""postback"":"""&amp;C160&amp;"""},"</f>
        <v>{"text":"その他の質問（ゲスト）","postback":"FAQ-Guest-First"},</v>
      </c>
    </row>
    <row r="161" spans="1:7" ht="12.75" x14ac:dyDescent="0.2">
      <c r="A161" s="9"/>
      <c r="B161" s="10" t="s">
        <v>32</v>
      </c>
      <c r="C161" s="11" t="s">
        <v>29</v>
      </c>
      <c r="D161" s="9" t="str">
        <f t="shared" ref="D161:E161" ca="1" si="158">IFERROR(__xludf.DUMMYFUNCTION("If (A161&lt;&gt;"""", GOOGLETRANSLATE(A161, ""auto"", ""en""), """")"),"")</f>
        <v/>
      </c>
      <c r="E161" s="9" t="str">
        <f t="shared" ca="1" si="158"/>
        <v/>
      </c>
      <c r="F161" s="3" t="s">
        <v>12</v>
      </c>
      <c r="G161" s="12" t="str">
        <f t="shared" si="157"/>
        <v>{"text":"その他の質問（ホスト）","postback":"FAQ-Host-First"},</v>
      </c>
    </row>
    <row r="162" spans="1:7" ht="12.75" x14ac:dyDescent="0.2">
      <c r="A162" s="9"/>
      <c r="B162" s="9" t="s">
        <v>25</v>
      </c>
      <c r="C162" s="11" t="s">
        <v>27</v>
      </c>
      <c r="D162" s="9" t="str">
        <f t="shared" ref="D162:E162" ca="1" si="159">IFERROR(__xludf.DUMMYFUNCTION("If (A162&lt;&gt;"""", GOOGLETRANSLATE(A162, ""auto"", ""en""), """")"),"")</f>
        <v/>
      </c>
      <c r="E162" s="9" t="str">
        <f t="shared" ca="1" si="159"/>
        <v/>
      </c>
      <c r="F162" s="3" t="s">
        <v>12</v>
      </c>
      <c r="G162" s="12" t="str">
        <f t="shared" si="157"/>
        <v>{"text":"宿泊先を探す","postback":"Search-House"},</v>
      </c>
    </row>
    <row r="163" spans="1:7" ht="12.75" x14ac:dyDescent="0.2">
      <c r="A163" s="9"/>
      <c r="B163" s="9" t="s">
        <v>30</v>
      </c>
      <c r="C163" s="11" t="s">
        <v>31</v>
      </c>
      <c r="D163" s="9" t="str">
        <f t="shared" ref="D163:E163" ca="1" si="160">IFERROR(__xludf.DUMMYFUNCTION("If (A163&lt;&gt;"""", GOOGLETRANSLATE(A163, ""auto"", ""en""), """")"),"")</f>
        <v/>
      </c>
      <c r="E163" s="9" t="str">
        <f t="shared" ca="1" si="160"/>
        <v/>
      </c>
      <c r="F163" s="3" t="s">
        <v>12</v>
      </c>
      <c r="G163" s="12" t="str">
        <f t="shared" si="157"/>
        <v>{"text":"物件の登録をする","postback":"Register-House"},</v>
      </c>
    </row>
    <row r="164" spans="1:7" ht="12.75" x14ac:dyDescent="0.2">
      <c r="A164" s="84" t="s">
        <v>167</v>
      </c>
      <c r="B164" s="85"/>
      <c r="C164" s="86"/>
      <c r="D164" s="2"/>
      <c r="E164" s="2"/>
      <c r="F164" s="3" t="s">
        <v>12</v>
      </c>
      <c r="G164" s="4"/>
    </row>
    <row r="165" spans="1:7" ht="51" x14ac:dyDescent="0.2">
      <c r="A165" s="20" t="s">
        <v>166</v>
      </c>
      <c r="B165" s="20" t="s">
        <v>381</v>
      </c>
      <c r="C165" s="20"/>
      <c r="D165" s="5" t="str">
        <f t="shared" ref="D165:E165" ca="1" si="161">IFERROR(__xludf.DUMMYFUNCTION("If (A165&lt;&gt;"""", GOOGLETRANSLATE(A165, ""auto"", ""en""), """")"),"You can not log in")</f>
        <v>You can not log in</v>
      </c>
      <c r="E165" s="5" t="str">
        <f t="shared" ca="1" si="161"/>
        <v>You can not log in</v>
      </c>
      <c r="F165" s="3" t="s">
        <v>12</v>
      </c>
      <c r="G165" s="21"/>
    </row>
    <row r="166" spans="1:7" ht="12.75" x14ac:dyDescent="0.2">
      <c r="A166" s="5"/>
      <c r="B166" s="5" t="s">
        <v>19</v>
      </c>
      <c r="C166" s="5"/>
      <c r="D166" s="5" t="str">
        <f t="shared" ref="D166:E166" ca="1" si="162">IFERROR(__xludf.DUMMYFUNCTION("If (A166&lt;&gt;"""", GOOGLETRANSLATE(A166, ""auto"", ""en""), """")"),"")</f>
        <v/>
      </c>
      <c r="E166" s="5" t="str">
        <f t="shared" ca="1" si="162"/>
        <v/>
      </c>
      <c r="F166" s="3" t="s">
        <v>12</v>
      </c>
      <c r="G166" s="3"/>
    </row>
    <row r="167" spans="1:7" ht="12.75" x14ac:dyDescent="0.2">
      <c r="A167" s="8" t="s">
        <v>21</v>
      </c>
      <c r="B167" s="10" t="s">
        <v>24</v>
      </c>
      <c r="C167" s="11" t="s">
        <v>26</v>
      </c>
      <c r="D167" s="8" t="str">
        <f t="shared" ref="D167:E167" ca="1" si="163">IFERROR(__xludf.DUMMYFUNCTION("If (A167&lt;&gt;"""", GOOGLETRANSLATE(A167, ""auto"", ""en""), """")"),"Quick Replies")</f>
        <v>Quick Replies</v>
      </c>
      <c r="E167" s="9" t="str">
        <f t="shared" ca="1" si="163"/>
        <v>Quick Replies</v>
      </c>
      <c r="F167" s="3" t="s">
        <v>12</v>
      </c>
      <c r="G167" s="12" t="str">
        <f t="shared" ref="G167:G170" si="164">"{""text"":"""&amp;B167&amp;""",""postback"":"""&amp;C167&amp;"""},"</f>
        <v>{"text":"その他の質問（ゲスト）","postback":"FAQ-Guest-First"},</v>
      </c>
    </row>
    <row r="168" spans="1:7" ht="12.75" x14ac:dyDescent="0.2">
      <c r="A168" s="9"/>
      <c r="B168" s="10" t="s">
        <v>32</v>
      </c>
      <c r="C168" s="11" t="s">
        <v>29</v>
      </c>
      <c r="D168" s="9" t="str">
        <f t="shared" ref="D168:E168" ca="1" si="165">IFERROR(__xludf.DUMMYFUNCTION("If (A168&lt;&gt;"""", GOOGLETRANSLATE(A168, ""auto"", ""en""), """")"),"")</f>
        <v/>
      </c>
      <c r="E168" s="9" t="str">
        <f t="shared" ca="1" si="165"/>
        <v/>
      </c>
      <c r="F168" s="3" t="s">
        <v>12</v>
      </c>
      <c r="G168" s="12" t="str">
        <f t="shared" si="164"/>
        <v>{"text":"その他の質問（ホスト）","postback":"FAQ-Host-First"},</v>
      </c>
    </row>
    <row r="169" spans="1:7" ht="12.75" x14ac:dyDescent="0.2">
      <c r="A169" s="9"/>
      <c r="B169" s="9" t="s">
        <v>25</v>
      </c>
      <c r="C169" s="11" t="s">
        <v>27</v>
      </c>
      <c r="D169" s="9" t="str">
        <f t="shared" ref="D169:E169" ca="1" si="166">IFERROR(__xludf.DUMMYFUNCTION("If (A169&lt;&gt;"""", GOOGLETRANSLATE(A169, ""auto"", ""en""), """")"),"")</f>
        <v/>
      </c>
      <c r="E169" s="9" t="str">
        <f t="shared" ca="1" si="166"/>
        <v/>
      </c>
      <c r="F169" s="3" t="s">
        <v>12</v>
      </c>
      <c r="G169" s="12" t="str">
        <f t="shared" si="164"/>
        <v>{"text":"宿泊先を探す","postback":"Search-House"},</v>
      </c>
    </row>
    <row r="170" spans="1:7" ht="12.75" x14ac:dyDescent="0.2">
      <c r="A170" s="9"/>
      <c r="B170" s="9" t="s">
        <v>30</v>
      </c>
      <c r="C170" s="11" t="s">
        <v>31</v>
      </c>
      <c r="D170" s="9" t="str">
        <f t="shared" ref="D170:E170" ca="1" si="167">IFERROR(__xludf.DUMMYFUNCTION("If (A170&lt;&gt;"""", GOOGLETRANSLATE(A170, ""auto"", ""en""), """")"),"")</f>
        <v/>
      </c>
      <c r="E170" s="9" t="str">
        <f t="shared" ca="1" si="167"/>
        <v/>
      </c>
      <c r="F170" s="3" t="s">
        <v>12</v>
      </c>
      <c r="G170" s="12" t="str">
        <f t="shared" si="164"/>
        <v>{"text":"物件の登録をする","postback":"Register-House"},</v>
      </c>
    </row>
    <row r="171" spans="1:7" ht="12.75" x14ac:dyDescent="0.2">
      <c r="A171" s="84" t="s">
        <v>174</v>
      </c>
      <c r="B171" s="85"/>
      <c r="C171" s="86"/>
      <c r="D171" s="2"/>
      <c r="E171" s="2"/>
      <c r="F171" s="3" t="s">
        <v>12</v>
      </c>
      <c r="G171" s="4"/>
    </row>
    <row r="172" spans="1:7" ht="38.25" x14ac:dyDescent="0.2">
      <c r="A172" s="20" t="s">
        <v>173</v>
      </c>
      <c r="B172" s="20" t="s">
        <v>383</v>
      </c>
      <c r="C172" s="20"/>
      <c r="D172" s="5" t="str">
        <f t="shared" ref="D172:E172" ca="1" si="168">IFERROR(__xludf.DUMMYFUNCTION("If (A172&lt;&gt;"""", GOOGLETRANSLATE(A172, ""auto"", ""en""), """")"),"I forgot the password")</f>
        <v>I forgot the password</v>
      </c>
      <c r="E172" s="5" t="str">
        <f t="shared" ca="1" si="168"/>
        <v>I forgot the password</v>
      </c>
      <c r="F172" s="3" t="s">
        <v>12</v>
      </c>
      <c r="G172" s="21"/>
    </row>
    <row r="173" spans="1:7" ht="12.75" x14ac:dyDescent="0.2">
      <c r="A173" s="5"/>
      <c r="B173" s="5" t="s">
        <v>19</v>
      </c>
      <c r="C173" s="5"/>
      <c r="D173" s="5" t="str">
        <f t="shared" ref="D173:E173" ca="1" si="169">IFERROR(__xludf.DUMMYFUNCTION("If (A173&lt;&gt;"""", GOOGLETRANSLATE(A173, ""auto"", ""en""), """")"),"")</f>
        <v/>
      </c>
      <c r="E173" s="5" t="str">
        <f t="shared" ca="1" si="169"/>
        <v/>
      </c>
      <c r="F173" s="3" t="s">
        <v>12</v>
      </c>
      <c r="G173" s="3"/>
    </row>
    <row r="174" spans="1:7" ht="12.75" x14ac:dyDescent="0.2">
      <c r="A174" s="8" t="s">
        <v>21</v>
      </c>
      <c r="B174" s="10" t="s">
        <v>24</v>
      </c>
      <c r="C174" s="11" t="s">
        <v>26</v>
      </c>
      <c r="D174" s="8" t="str">
        <f t="shared" ref="D174:E174" ca="1" si="170">IFERROR(__xludf.DUMMYFUNCTION("If (A174&lt;&gt;"""", GOOGLETRANSLATE(A174, ""auto"", ""en""), """")"),"Quick Replies")</f>
        <v>Quick Replies</v>
      </c>
      <c r="E174" s="9" t="str">
        <f t="shared" ca="1" si="170"/>
        <v>Quick Replies</v>
      </c>
      <c r="F174" s="3" t="s">
        <v>12</v>
      </c>
      <c r="G174" s="12" t="str">
        <f t="shared" ref="G174:G177" si="171">"{""text"":"""&amp;B174&amp;""",""postback"":"""&amp;C174&amp;"""},"</f>
        <v>{"text":"その他の質問（ゲスト）","postback":"FAQ-Guest-First"},</v>
      </c>
    </row>
    <row r="175" spans="1:7" ht="12.75" x14ac:dyDescent="0.2">
      <c r="A175" s="9"/>
      <c r="B175" s="10" t="s">
        <v>32</v>
      </c>
      <c r="C175" s="11" t="s">
        <v>29</v>
      </c>
      <c r="D175" s="9" t="str">
        <f t="shared" ref="D175:E175" ca="1" si="172">IFERROR(__xludf.DUMMYFUNCTION("If (A175&lt;&gt;"""", GOOGLETRANSLATE(A175, ""auto"", ""en""), """")"),"")</f>
        <v/>
      </c>
      <c r="E175" s="9" t="str">
        <f t="shared" ca="1" si="172"/>
        <v/>
      </c>
      <c r="F175" s="3" t="s">
        <v>12</v>
      </c>
      <c r="G175" s="12" t="str">
        <f t="shared" si="171"/>
        <v>{"text":"その他の質問（ホスト）","postback":"FAQ-Host-First"},</v>
      </c>
    </row>
    <row r="176" spans="1:7" ht="12.75" x14ac:dyDescent="0.2">
      <c r="A176" s="9"/>
      <c r="B176" s="9" t="s">
        <v>25</v>
      </c>
      <c r="C176" s="11" t="s">
        <v>27</v>
      </c>
      <c r="D176" s="9" t="str">
        <f t="shared" ref="D176:E176" ca="1" si="173">IFERROR(__xludf.DUMMYFUNCTION("If (A176&lt;&gt;"""", GOOGLETRANSLATE(A176, ""auto"", ""en""), """")"),"")</f>
        <v/>
      </c>
      <c r="E176" s="9" t="str">
        <f t="shared" ca="1" si="173"/>
        <v/>
      </c>
      <c r="F176" s="3" t="s">
        <v>12</v>
      </c>
      <c r="G176" s="12" t="str">
        <f t="shared" si="171"/>
        <v>{"text":"宿泊先を探す","postback":"Search-House"},</v>
      </c>
    </row>
    <row r="177" spans="1:7" ht="12.75" x14ac:dyDescent="0.2">
      <c r="A177" s="9"/>
      <c r="B177" s="9" t="s">
        <v>30</v>
      </c>
      <c r="C177" s="11" t="s">
        <v>31</v>
      </c>
      <c r="D177" s="9" t="str">
        <f t="shared" ref="D177:E177" ca="1" si="174">IFERROR(__xludf.DUMMYFUNCTION("If (A177&lt;&gt;"""", GOOGLETRANSLATE(A177, ""auto"", ""en""), """")"),"")</f>
        <v/>
      </c>
      <c r="E177" s="9" t="str">
        <f t="shared" ca="1" si="174"/>
        <v/>
      </c>
      <c r="F177" s="3" t="s">
        <v>12</v>
      </c>
      <c r="G177" s="12" t="str">
        <f t="shared" si="171"/>
        <v>{"text":"物件の登録をする","postback":"Register-House"},</v>
      </c>
    </row>
    <row r="178" spans="1:7" ht="12.75" x14ac:dyDescent="0.2">
      <c r="A178" s="84" t="s">
        <v>178</v>
      </c>
      <c r="B178" s="85"/>
      <c r="C178" s="86"/>
      <c r="D178" s="2"/>
      <c r="E178" s="2"/>
      <c r="F178" s="3" t="s">
        <v>12</v>
      </c>
      <c r="G178" s="4"/>
    </row>
    <row r="179" spans="1:7" ht="38.25" x14ac:dyDescent="0.2">
      <c r="A179" s="20" t="s">
        <v>177</v>
      </c>
      <c r="B179" s="20" t="s">
        <v>387</v>
      </c>
      <c r="C179" s="20"/>
      <c r="D179" s="5" t="str">
        <f t="shared" ref="D179:E179" ca="1" si="175">IFERROR(__xludf.DUMMYFUNCTION("If (A179&lt;&gt;"""", GOOGLETRANSLATE(A179, ""auto"", ""en""), """")"),"I want to unsubscribe")</f>
        <v>I want to unsubscribe</v>
      </c>
      <c r="E179" s="5" t="str">
        <f t="shared" ca="1" si="175"/>
        <v>I want to unsubscribe</v>
      </c>
      <c r="F179" s="3" t="s">
        <v>12</v>
      </c>
      <c r="G179" s="21"/>
    </row>
    <row r="180" spans="1:7" ht="12.75" x14ac:dyDescent="0.2">
      <c r="A180" s="5"/>
      <c r="B180" s="5" t="s">
        <v>19</v>
      </c>
      <c r="C180" s="5"/>
      <c r="D180" s="5" t="str">
        <f t="shared" ref="D180:E180" ca="1" si="176">IFERROR(__xludf.DUMMYFUNCTION("If (A180&lt;&gt;"""", GOOGLETRANSLATE(A180, ""auto"", ""en""), """")"),"")</f>
        <v/>
      </c>
      <c r="E180" s="5" t="str">
        <f t="shared" ca="1" si="176"/>
        <v/>
      </c>
      <c r="F180" s="3" t="s">
        <v>12</v>
      </c>
      <c r="G180" s="3"/>
    </row>
    <row r="181" spans="1:7" ht="12.75" x14ac:dyDescent="0.2">
      <c r="A181" s="8" t="s">
        <v>21</v>
      </c>
      <c r="B181" s="10" t="s">
        <v>24</v>
      </c>
      <c r="C181" s="11" t="s">
        <v>26</v>
      </c>
      <c r="D181" s="8" t="str">
        <f t="shared" ref="D181:E181" ca="1" si="177">IFERROR(__xludf.DUMMYFUNCTION("If (A181&lt;&gt;"""", GOOGLETRANSLATE(A181, ""auto"", ""en""), """")"),"Quick Replies")</f>
        <v>Quick Replies</v>
      </c>
      <c r="E181" s="9" t="str">
        <f t="shared" ca="1" si="177"/>
        <v>Quick Replies</v>
      </c>
      <c r="F181" s="3" t="s">
        <v>12</v>
      </c>
      <c r="G181" s="12" t="str">
        <f t="shared" ref="G181:G184" si="178">"{""text"":"""&amp;B181&amp;""",""postback"":"""&amp;C181&amp;"""},"</f>
        <v>{"text":"その他の質問（ゲスト）","postback":"FAQ-Guest-First"},</v>
      </c>
    </row>
    <row r="182" spans="1:7" ht="12.75" x14ac:dyDescent="0.2">
      <c r="A182" s="9"/>
      <c r="B182" s="10" t="s">
        <v>32</v>
      </c>
      <c r="C182" s="11" t="s">
        <v>29</v>
      </c>
      <c r="D182" s="9" t="str">
        <f t="shared" ref="D182:E182" ca="1" si="179">IFERROR(__xludf.DUMMYFUNCTION("If (A182&lt;&gt;"""", GOOGLETRANSLATE(A182, ""auto"", ""en""), """")"),"")</f>
        <v/>
      </c>
      <c r="E182" s="9" t="str">
        <f t="shared" ca="1" si="179"/>
        <v/>
      </c>
      <c r="F182" s="3" t="s">
        <v>12</v>
      </c>
      <c r="G182" s="12" t="str">
        <f t="shared" si="178"/>
        <v>{"text":"その他の質問（ホスト）","postback":"FAQ-Host-First"},</v>
      </c>
    </row>
    <row r="183" spans="1:7" ht="12.75" x14ac:dyDescent="0.2">
      <c r="A183" s="9"/>
      <c r="B183" s="9" t="s">
        <v>25</v>
      </c>
      <c r="C183" s="11" t="s">
        <v>27</v>
      </c>
      <c r="D183" s="9" t="str">
        <f t="shared" ref="D183:E183" ca="1" si="180">IFERROR(__xludf.DUMMYFUNCTION("If (A183&lt;&gt;"""", GOOGLETRANSLATE(A183, ""auto"", ""en""), """")"),"")</f>
        <v/>
      </c>
      <c r="E183" s="9" t="str">
        <f t="shared" ca="1" si="180"/>
        <v/>
      </c>
      <c r="F183" s="3" t="s">
        <v>12</v>
      </c>
      <c r="G183" s="12" t="str">
        <f t="shared" si="178"/>
        <v>{"text":"宿泊先を探す","postback":"Search-House"},</v>
      </c>
    </row>
    <row r="184" spans="1:7" ht="12.75" x14ac:dyDescent="0.2">
      <c r="A184" s="9"/>
      <c r="B184" s="9" t="s">
        <v>30</v>
      </c>
      <c r="C184" s="11" t="s">
        <v>31</v>
      </c>
      <c r="D184" s="9" t="str">
        <f t="shared" ref="D184:E184" ca="1" si="181">IFERROR(__xludf.DUMMYFUNCTION("If (A184&lt;&gt;"""", GOOGLETRANSLATE(A184, ""auto"", ""en""), """")"),"")</f>
        <v/>
      </c>
      <c r="E184" s="9" t="str">
        <f t="shared" ca="1" si="181"/>
        <v/>
      </c>
      <c r="F184" s="3" t="s">
        <v>12</v>
      </c>
      <c r="G184" s="12" t="str">
        <f t="shared" si="178"/>
        <v>{"text":"物件の登録をする","postback":"Register-House"},</v>
      </c>
    </row>
    <row r="185" spans="1:7" x14ac:dyDescent="0.2">
      <c r="A185" s="84"/>
      <c r="B185" s="85"/>
      <c r="C185" s="86"/>
      <c r="D185" s="2"/>
      <c r="E185" s="2" t="str">
        <f ca="1">IFERROR(__xludf.DUMMYFUNCTION("If (B185&lt;&gt;"""", GOOGLETRANSLATE(B185, ""auto"", ""en""), """")"),"")</f>
        <v/>
      </c>
      <c r="F185" s="4"/>
      <c r="G185" s="4"/>
    </row>
    <row r="186" spans="1:7" ht="12.75" x14ac:dyDescent="0.2">
      <c r="A186" s="17"/>
      <c r="B186" s="17"/>
      <c r="C186" s="17"/>
      <c r="D186" s="5" t="str">
        <f t="shared" ref="D186:E186" ca="1" si="182">IFERROR(__xludf.DUMMYFUNCTION("If (A186&lt;&gt;"""", GOOGLETRANSLATE(A186, ""auto"", ""en""), """")"),"")</f>
        <v/>
      </c>
      <c r="E186" s="5" t="str">
        <f t="shared" ca="1" si="182"/>
        <v/>
      </c>
      <c r="F186" s="30"/>
      <c r="G186" s="30"/>
    </row>
    <row r="187" spans="1:7" ht="12.75" x14ac:dyDescent="0.2">
      <c r="A187" s="17"/>
      <c r="B187" s="17"/>
      <c r="C187" s="17"/>
      <c r="D187" s="5" t="str">
        <f t="shared" ref="D187:E187" ca="1" si="183">IFERROR(__xludf.DUMMYFUNCTION("If (A187&lt;&gt;"""", GOOGLETRANSLATE(A187, ""auto"", ""en""), """")"),"")</f>
        <v/>
      </c>
      <c r="E187" s="5" t="str">
        <f t="shared" ca="1" si="183"/>
        <v/>
      </c>
      <c r="F187" s="30"/>
      <c r="G187" s="30"/>
    </row>
    <row r="188" spans="1:7" ht="12.75" x14ac:dyDescent="0.2">
      <c r="A188" s="17"/>
      <c r="B188" s="17"/>
      <c r="C188" s="17"/>
      <c r="D188" s="5" t="str">
        <f t="shared" ref="D188:E188" ca="1" si="184">IFERROR(__xludf.DUMMYFUNCTION("If (A188&lt;&gt;"""", GOOGLETRANSLATE(A188, ""auto"", ""en""), """")"),"")</f>
        <v/>
      </c>
      <c r="E188" s="5" t="str">
        <f t="shared" ca="1" si="184"/>
        <v/>
      </c>
      <c r="F188" s="30"/>
      <c r="G188" s="30"/>
    </row>
    <row r="189" spans="1:7" ht="12.75" x14ac:dyDescent="0.2">
      <c r="A189" s="17"/>
      <c r="B189" s="17"/>
      <c r="C189" s="17"/>
      <c r="D189" s="5" t="str">
        <f t="shared" ref="D189:E189" ca="1" si="185">IFERROR(__xludf.DUMMYFUNCTION("If (A189&lt;&gt;"""", GOOGLETRANSLATE(A189, ""auto"", ""en""), """")"),"")</f>
        <v/>
      </c>
      <c r="E189" s="5" t="str">
        <f t="shared" ca="1" si="185"/>
        <v/>
      </c>
      <c r="F189" s="30"/>
      <c r="G189" s="30"/>
    </row>
    <row r="190" spans="1:7" ht="12.75" x14ac:dyDescent="0.2">
      <c r="A190" s="17"/>
      <c r="B190" s="17"/>
      <c r="C190" s="17"/>
      <c r="D190" s="5" t="str">
        <f t="shared" ref="D190:E190" ca="1" si="186">IFERROR(__xludf.DUMMYFUNCTION("If (A190&lt;&gt;"""", GOOGLETRANSLATE(A190, ""auto"", ""en""), """")"),"")</f>
        <v/>
      </c>
      <c r="E190" s="5" t="str">
        <f t="shared" ca="1" si="186"/>
        <v/>
      </c>
      <c r="F190" s="30"/>
      <c r="G190" s="30"/>
    </row>
    <row r="191" spans="1:7" ht="12.75" x14ac:dyDescent="0.2">
      <c r="A191" s="17"/>
      <c r="B191" s="17"/>
      <c r="C191" s="17"/>
      <c r="D191" s="5" t="str">
        <f t="shared" ref="D191:E191" ca="1" si="187">IFERROR(__xludf.DUMMYFUNCTION("If (A191&lt;&gt;"""", GOOGLETRANSLATE(A191, ""auto"", ""en""), """")"),"")</f>
        <v/>
      </c>
      <c r="E191" s="5" t="str">
        <f t="shared" ca="1" si="187"/>
        <v/>
      </c>
      <c r="F191" s="30"/>
      <c r="G191" s="30"/>
    </row>
    <row r="192" spans="1:7" ht="12.75" x14ac:dyDescent="0.2">
      <c r="A192" s="17"/>
      <c r="B192" s="17"/>
      <c r="C192" s="17"/>
      <c r="D192" s="5" t="str">
        <f t="shared" ref="D192:E192" ca="1" si="188">IFERROR(__xludf.DUMMYFUNCTION("If (A192&lt;&gt;"""", GOOGLETRANSLATE(A192, ""auto"", ""en""), """")"),"")</f>
        <v/>
      </c>
      <c r="E192" s="5" t="str">
        <f t="shared" ca="1" si="188"/>
        <v/>
      </c>
      <c r="F192" s="30"/>
      <c r="G192" s="30"/>
    </row>
    <row r="193" spans="1:7" ht="12.75" x14ac:dyDescent="0.2">
      <c r="A193" s="17"/>
      <c r="B193" s="17"/>
      <c r="C193" s="17"/>
      <c r="D193" s="5" t="str">
        <f t="shared" ref="D193:E193" ca="1" si="189">IFERROR(__xludf.DUMMYFUNCTION("If (A193&lt;&gt;"""", GOOGLETRANSLATE(A193, ""auto"", ""en""), """")"),"")</f>
        <v/>
      </c>
      <c r="E193" s="5" t="str">
        <f t="shared" ca="1" si="189"/>
        <v/>
      </c>
      <c r="F193" s="30"/>
      <c r="G193" s="30"/>
    </row>
    <row r="194" spans="1:7" ht="12.75" x14ac:dyDescent="0.2">
      <c r="A194" s="17"/>
      <c r="B194" s="17"/>
      <c r="C194" s="17"/>
      <c r="D194" s="5" t="str">
        <f t="shared" ref="D194:E194" ca="1" si="190">IFERROR(__xludf.DUMMYFUNCTION("If (A194&lt;&gt;"""", GOOGLETRANSLATE(A194, ""auto"", ""en""), """")"),"")</f>
        <v/>
      </c>
      <c r="E194" s="5" t="str">
        <f t="shared" ca="1" si="190"/>
        <v/>
      </c>
      <c r="F194" s="30"/>
      <c r="G194" s="30"/>
    </row>
    <row r="195" spans="1:7" ht="12.75" x14ac:dyDescent="0.2">
      <c r="A195" s="17"/>
      <c r="B195" s="17"/>
      <c r="C195" s="17"/>
      <c r="D195" s="5" t="str">
        <f t="shared" ref="D195:E195" ca="1" si="191">IFERROR(__xludf.DUMMYFUNCTION("If (A195&lt;&gt;"""", GOOGLETRANSLATE(A195, ""auto"", ""en""), """")"),"")</f>
        <v/>
      </c>
      <c r="E195" s="5" t="str">
        <f t="shared" ca="1" si="191"/>
        <v/>
      </c>
      <c r="F195" s="30"/>
      <c r="G195" s="30"/>
    </row>
  </sheetData>
  <mergeCells count="29">
    <mergeCell ref="D1:G1"/>
    <mergeCell ref="A24:C24"/>
    <mergeCell ref="A17:C17"/>
    <mergeCell ref="A38:C38"/>
    <mergeCell ref="A45:C45"/>
    <mergeCell ref="A87:C87"/>
    <mergeCell ref="A31:C31"/>
    <mergeCell ref="A10:C10"/>
    <mergeCell ref="A1:C1"/>
    <mergeCell ref="A3:C3"/>
    <mergeCell ref="A52:C52"/>
    <mergeCell ref="A59:C59"/>
    <mergeCell ref="A66:C66"/>
    <mergeCell ref="A73:C73"/>
    <mergeCell ref="A80:C80"/>
    <mergeCell ref="A136:C136"/>
    <mergeCell ref="A101:C101"/>
    <mergeCell ref="A94:C94"/>
    <mergeCell ref="A108:C108"/>
    <mergeCell ref="A122:C122"/>
    <mergeCell ref="A115:C115"/>
    <mergeCell ref="A129:C129"/>
    <mergeCell ref="A143:C143"/>
    <mergeCell ref="A150:C150"/>
    <mergeCell ref="A171:C171"/>
    <mergeCell ref="A178:C178"/>
    <mergeCell ref="A185:C185"/>
    <mergeCell ref="A157:C157"/>
    <mergeCell ref="A164:C164"/>
  </mergeCells>
  <conditionalFormatting sqref="F2:G195">
    <cfRule type="cellIs" dxfId="29" priority="1" operator="equal">
      <formula>"done"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41.140625" customWidth="1"/>
    <col min="2" max="2" width="51.85546875" customWidth="1"/>
    <col min="3" max="3" width="14.5703125" customWidth="1"/>
    <col min="4" max="4" width="29.140625" customWidth="1"/>
    <col min="5" max="5" width="41.28515625" customWidth="1"/>
    <col min="6" max="6" width="13.28515625" customWidth="1"/>
    <col min="7" max="7" width="64.710937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29</v>
      </c>
      <c r="B3" s="85"/>
      <c r="C3" s="86"/>
      <c r="D3" s="26"/>
      <c r="E3" s="26"/>
      <c r="F3" s="3" t="s">
        <v>12</v>
      </c>
      <c r="G3" s="27"/>
    </row>
    <row r="4" spans="1:7" ht="15.75" customHeight="1" x14ac:dyDescent="0.2">
      <c r="A4" s="5" t="s">
        <v>28</v>
      </c>
      <c r="B4" s="5" t="s">
        <v>210</v>
      </c>
      <c r="C4" s="5"/>
      <c r="D4" s="5" t="str">
        <f t="shared" ref="D4:E4" ca="1" si="0">IFERROR(__xludf.DUMMYFUNCTION("If (A4&lt;&gt;"""", GOOGLETRANSLATE(A4, ""auto"", ""en""), """")"),"As a host")</f>
        <v>As a host</v>
      </c>
      <c r="E4" s="5" t="str">
        <f t="shared" ca="1" si="0"/>
        <v>As a host</v>
      </c>
      <c r="F4" s="3" t="s">
        <v>12</v>
      </c>
      <c r="G4" s="7"/>
    </row>
    <row r="5" spans="1:7" ht="15.75" customHeight="1" x14ac:dyDescent="0.2">
      <c r="A5" s="5" t="s">
        <v>32</v>
      </c>
      <c r="B5" s="5"/>
      <c r="C5" s="5"/>
      <c r="D5" s="5" t="str">
        <f t="shared" ref="D5:E5" ca="1" si="1">IFERROR(__xludf.DUMMYFUNCTION("If (A5&lt;&gt;"""", GOOGLETRANSLATE(A5, ""auto"", ""en""), """")"),"Other questions (host)")</f>
        <v>Other questions (host)</v>
      </c>
      <c r="E5" s="5" t="str">
        <f t="shared" ca="1" si="1"/>
        <v>Other questions (host)</v>
      </c>
      <c r="F5" s="3" t="s">
        <v>12</v>
      </c>
      <c r="G5" s="7"/>
    </row>
    <row r="6" spans="1:7" ht="15.75" customHeight="1" x14ac:dyDescent="0.2">
      <c r="A6" s="5" t="s">
        <v>56</v>
      </c>
      <c r="B6" s="5"/>
      <c r="C6" s="5"/>
      <c r="D6" s="5" t="str">
        <f t="shared" ref="D6:E6" ca="1" si="2">IFERROR(__xludf.DUMMYFUNCTION("If (A6&lt;&gt;"""", GOOGLETRANSLATE(A6, ""auto"", ""en""), """")"),"Want to question as the host (host)")</f>
        <v>Want to question as the host (host)</v>
      </c>
      <c r="E6" s="5" t="str">
        <f t="shared" ca="1" si="2"/>
        <v>Want to question as the host (host)</v>
      </c>
      <c r="F6" s="3" t="s">
        <v>12</v>
      </c>
      <c r="G6" s="7"/>
    </row>
    <row r="7" spans="1:7" ht="15.75" customHeight="1" x14ac:dyDescent="0.2">
      <c r="A7" s="8" t="s">
        <v>21</v>
      </c>
      <c r="B7" s="9" t="s">
        <v>215</v>
      </c>
      <c r="C7" s="11" t="str">
        <f t="shared" ref="C7:C10" ca="1" si="3">INDIRECT("A"&amp;(MATCH(B7,A:A,0)-1))</f>
        <v>FAQ-Host1</v>
      </c>
      <c r="D7" s="8" t="str">
        <f t="shared" ref="D7:E7" ca="1" si="4">IFERROR(__xludf.DUMMYFUNCTION("If (A7&lt;&gt;"""", GOOGLETRANSLATE(A7, ""auto"", ""en""), """")"),"Quick Replies")</f>
        <v>Quick Replies</v>
      </c>
      <c r="E7" s="9" t="str">
        <f t="shared" ca="1" si="4"/>
        <v>Quick Replies</v>
      </c>
      <c r="F7" s="3" t="s">
        <v>12</v>
      </c>
      <c r="G7" s="12" t="str">
        <f t="shared" ref="G7:G12" ca="1" si="5">"{""text"":"""&amp;B7&amp;""",""postback"":"""&amp;C7&amp;"""},"</f>
        <v>{"text":"ホストの登録について","postback":"FAQ-Host1"},</v>
      </c>
    </row>
    <row r="8" spans="1:7" ht="15.75" customHeight="1" x14ac:dyDescent="0.2">
      <c r="A8" s="9"/>
      <c r="B8" s="11" t="s">
        <v>227</v>
      </c>
      <c r="C8" s="11" t="str">
        <f t="shared" ca="1" si="3"/>
        <v>FAQ-Host2</v>
      </c>
      <c r="D8" s="9" t="str">
        <f t="shared" ref="D8:E8" ca="1" si="6">IFERROR(__xludf.DUMMYFUNCTION("If (A8&lt;&gt;"""", GOOGLETRANSLATE(A8, ""auto"", ""en""), """")"),"")</f>
        <v/>
      </c>
      <c r="E8" s="9" t="str">
        <f t="shared" ca="1" si="6"/>
        <v/>
      </c>
      <c r="F8" s="3" t="s">
        <v>12</v>
      </c>
      <c r="G8" s="12" t="str">
        <f t="shared" ca="1" si="5"/>
        <v>{"text":"物件の登録について","postback":"FAQ-Host2"},</v>
      </c>
    </row>
    <row r="9" spans="1:7" ht="15.75" customHeight="1" x14ac:dyDescent="0.2">
      <c r="A9" s="9"/>
      <c r="B9" s="11" t="s">
        <v>229</v>
      </c>
      <c r="C9" s="11" t="str">
        <f t="shared" ca="1" si="3"/>
        <v>FAQ-Host3</v>
      </c>
      <c r="D9" s="9" t="str">
        <f t="shared" ref="D9:E9" ca="1" si="7">IFERROR(__xludf.DUMMYFUNCTION("If (A9&lt;&gt;"""", GOOGLETRANSLATE(A9, ""auto"", ""en""), """")"),"")</f>
        <v/>
      </c>
      <c r="E9" s="9" t="str">
        <f t="shared" ca="1" si="7"/>
        <v/>
      </c>
      <c r="F9" s="3" t="s">
        <v>12</v>
      </c>
      <c r="G9" s="12" t="str">
        <f t="shared" ca="1" si="5"/>
        <v>{"text":"料金設定について","postback":"FAQ-Host3"},</v>
      </c>
    </row>
    <row r="10" spans="1:7" ht="15.75" customHeight="1" x14ac:dyDescent="0.2">
      <c r="A10" s="9"/>
      <c r="B10" s="11" t="s">
        <v>232</v>
      </c>
      <c r="C10" s="11" t="str">
        <f t="shared" ca="1" si="3"/>
        <v>FAQ-Host4</v>
      </c>
      <c r="D10" s="9" t="str">
        <f t="shared" ref="D10:E10" ca="1" si="8">IFERROR(__xludf.DUMMYFUNCTION("If (A10&lt;&gt;"""", GOOGLETRANSLATE(A10, ""auto"", ""en""), """")"),"")</f>
        <v/>
      </c>
      <c r="E10" s="9" t="str">
        <f t="shared" ca="1" si="8"/>
        <v/>
      </c>
      <c r="F10" s="3" t="s">
        <v>12</v>
      </c>
      <c r="G10" s="12" t="str">
        <f t="shared" ca="1" si="5"/>
        <v>{"text":"ゲストからの予約について","postback":"FAQ-Host4"},</v>
      </c>
    </row>
    <row r="11" spans="1:7" ht="15.75" customHeight="1" x14ac:dyDescent="0.2">
      <c r="A11" s="9"/>
      <c r="B11" s="11" t="s">
        <v>53</v>
      </c>
      <c r="C11" s="11" t="s">
        <v>164</v>
      </c>
      <c r="D11" s="9" t="str">
        <f t="shared" ref="D11:E11" ca="1" si="9">IFERROR(__xludf.DUMMYFUNCTION("If (A11&lt;&gt;"""", GOOGLETRANSLATE(A11, ""auto"", ""en""), """")"),"")</f>
        <v/>
      </c>
      <c r="E11" s="9" t="str">
        <f t="shared" ca="1" si="9"/>
        <v/>
      </c>
      <c r="F11" s="3" t="s">
        <v>12</v>
      </c>
      <c r="G11" s="12" t="str">
        <f t="shared" si="5"/>
        <v>{"text":"アカウントについて","postback":"FAQ-Guest6"},</v>
      </c>
    </row>
    <row r="12" spans="1:7" ht="15.75" customHeight="1" x14ac:dyDescent="0.2">
      <c r="A12" s="9"/>
      <c r="B12" s="11" t="s">
        <v>38</v>
      </c>
      <c r="C12" s="9" t="s">
        <v>26</v>
      </c>
      <c r="D12" s="9" t="str">
        <f t="shared" ref="D12:E12" ca="1" si="10">IFERROR(__xludf.DUMMYFUNCTION("If (A12&lt;&gt;"""", GOOGLETRANSLATE(A12, ""auto"", ""en""), """")"),"")</f>
        <v/>
      </c>
      <c r="E12" s="9" t="str">
        <f t="shared" ca="1" si="10"/>
        <v/>
      </c>
      <c r="F12" s="3" t="s">
        <v>12</v>
      </c>
      <c r="G12" s="12" t="str">
        <f t="shared" si="5"/>
        <v>{"text":"ゲスト（旅行者）として質問をしたい","postback":"FAQ-Guest-First"},</v>
      </c>
    </row>
    <row r="13" spans="1:7" ht="15.75" customHeight="1" x14ac:dyDescent="0.2">
      <c r="A13" s="84" t="s">
        <v>239</v>
      </c>
      <c r="B13" s="85"/>
      <c r="C13" s="86"/>
      <c r="D13" s="26"/>
      <c r="E13" s="26"/>
      <c r="F13" s="3" t="s">
        <v>12</v>
      </c>
      <c r="G13" s="27"/>
    </row>
    <row r="14" spans="1:7" ht="15.75" customHeight="1" x14ac:dyDescent="0.2">
      <c r="A14" s="5" t="s">
        <v>215</v>
      </c>
      <c r="B14" s="5" t="s">
        <v>241</v>
      </c>
      <c r="C14" s="5"/>
      <c r="D14" s="5" t="str">
        <f t="shared" ref="D14:E14" ca="1" si="11">IFERROR(__xludf.DUMMYFUNCTION("If (A14&lt;&gt;"""", GOOGLETRANSLATE(A14, ""auto"", ""en""), """")"),"For registration of the host")</f>
        <v>For registration of the host</v>
      </c>
      <c r="E14" s="5" t="str">
        <f t="shared" ca="1" si="11"/>
        <v>For registration of the host</v>
      </c>
      <c r="F14" s="3" t="s">
        <v>12</v>
      </c>
      <c r="G14" s="7"/>
    </row>
    <row r="15" spans="1:7" ht="15.75" customHeight="1" x14ac:dyDescent="0.2">
      <c r="A15" s="8" t="s">
        <v>21</v>
      </c>
      <c r="B15" s="9" t="s">
        <v>243</v>
      </c>
      <c r="C15" s="11" t="s">
        <v>244</v>
      </c>
      <c r="D15" s="8" t="str">
        <f t="shared" ref="D15:E15" ca="1" si="12">IFERROR(__xludf.DUMMYFUNCTION("If (A15&lt;&gt;"""", GOOGLETRANSLATE(A15, ""auto"", ""en""), """")"),"Quick Replies")</f>
        <v>Quick Replies</v>
      </c>
      <c r="E15" s="9" t="str">
        <f t="shared" ca="1" si="12"/>
        <v>Quick Replies</v>
      </c>
      <c r="F15" s="3" t="s">
        <v>12</v>
      </c>
      <c r="G15" s="12" t="str">
        <f t="shared" ref="G15:G19" si="13">"{""text"":"""&amp;B15&amp;""",""postback"":"""&amp;C15&amp;"""},"</f>
        <v>{"text":"認定書について","postback":"FAQ-Host1-1"},</v>
      </c>
    </row>
    <row r="16" spans="1:7" ht="15.75" customHeight="1" x14ac:dyDescent="0.2">
      <c r="A16" s="9"/>
      <c r="B16" s="11" t="s">
        <v>37</v>
      </c>
      <c r="C16" s="11" t="s">
        <v>36</v>
      </c>
      <c r="D16" s="9" t="str">
        <f t="shared" ref="D16:E16" ca="1" si="14">IFERROR(__xludf.DUMMYFUNCTION("If (A16&lt;&gt;"""", GOOGLETRANSLATE(A16, ""auto"", ""en""), """")"),"")</f>
        <v/>
      </c>
      <c r="E16" s="9" t="str">
        <f t="shared" ca="1" si="14"/>
        <v/>
      </c>
      <c r="F16" s="3" t="s">
        <v>12</v>
      </c>
      <c r="G16" s="12" t="str">
        <f t="shared" si="13"/>
        <v>{"text":"パスポートについて","postback":"FAQ-Guest1-2"},</v>
      </c>
    </row>
    <row r="17" spans="1:7" ht="15.75" customHeight="1" x14ac:dyDescent="0.2">
      <c r="A17" s="9"/>
      <c r="B17" s="11" t="s">
        <v>58</v>
      </c>
      <c r="C17" s="11" t="s">
        <v>55</v>
      </c>
      <c r="D17" s="9" t="str">
        <f t="shared" ref="D17:E17" ca="1" si="15">IFERROR(__xludf.DUMMYFUNCTION("If (A17&lt;&gt;"""", GOOGLETRANSLATE(A17, ""auto"", ""en""), """")"),"")</f>
        <v/>
      </c>
      <c r="E17" s="9" t="str">
        <f t="shared" ca="1" si="15"/>
        <v/>
      </c>
      <c r="F17" s="3" t="s">
        <v>12</v>
      </c>
      <c r="G17" s="12" t="str">
        <f t="shared" si="13"/>
        <v>{"text":"個人情報について","postback":"FAQ-Guest1-3"},</v>
      </c>
    </row>
    <row r="18" spans="1:7" ht="15.75" customHeight="1" x14ac:dyDescent="0.2">
      <c r="A18" s="9"/>
      <c r="B18" s="11" t="s">
        <v>83</v>
      </c>
      <c r="C18" s="11" t="s">
        <v>84</v>
      </c>
      <c r="D18" s="9" t="str">
        <f t="shared" ref="D18:E18" ca="1" si="16">IFERROR(__xludf.DUMMYFUNCTION("If (A18&lt;&gt;"""", GOOGLETRANSLATE(A18, ""auto"", ""en""), """")"),"")</f>
        <v/>
      </c>
      <c r="E18" s="9" t="str">
        <f t="shared" ca="1" si="16"/>
        <v/>
      </c>
      <c r="F18" s="3" t="s">
        <v>12</v>
      </c>
      <c r="G18" s="12" t="str">
        <f t="shared" si="13"/>
        <v>{"text":"顔写真について","postback":"FAQ-Guest2-2"},</v>
      </c>
    </row>
    <row r="19" spans="1:7" ht="15.75" customHeight="1" x14ac:dyDescent="0.2">
      <c r="A19" s="18"/>
      <c r="B19" s="11" t="s">
        <v>32</v>
      </c>
      <c r="C19" s="11" t="s">
        <v>29</v>
      </c>
      <c r="D19" s="9" t="str">
        <f t="shared" ref="D19:E19" ca="1" si="17">IFERROR(__xludf.DUMMYFUNCTION("If (A19&lt;&gt;"""", GOOGLETRANSLATE(A19, ""auto"", ""en""), """")"),"")</f>
        <v/>
      </c>
      <c r="E19" s="9" t="str">
        <f t="shared" ca="1" si="17"/>
        <v/>
      </c>
      <c r="F19" s="3" t="s">
        <v>12</v>
      </c>
      <c r="G19" s="12" t="str">
        <f t="shared" si="13"/>
        <v>{"text":"その他の質問（ホスト）","postback":"FAQ-Host-First"},</v>
      </c>
    </row>
    <row r="20" spans="1:7" ht="15.75" customHeight="1" x14ac:dyDescent="0.2">
      <c r="A20" s="84" t="s">
        <v>256</v>
      </c>
      <c r="B20" s="85"/>
      <c r="C20" s="86"/>
      <c r="D20" s="26"/>
      <c r="E20" s="26"/>
      <c r="F20" s="3" t="s">
        <v>12</v>
      </c>
      <c r="G20" s="27"/>
    </row>
    <row r="21" spans="1:7" ht="15.75" customHeight="1" x14ac:dyDescent="0.2">
      <c r="A21" s="5" t="s">
        <v>227</v>
      </c>
      <c r="B21" s="5" t="s">
        <v>258</v>
      </c>
      <c r="C21" s="5"/>
      <c r="D21" s="5" t="str">
        <f t="shared" ref="D21:E21" ca="1" si="18">IFERROR(__xludf.DUMMYFUNCTION("If (A21&lt;&gt;"""", GOOGLETRANSLATE(A21, ""auto"", ""en""), """")"),"For registration of property")</f>
        <v>For registration of property</v>
      </c>
      <c r="E21" s="5" t="str">
        <f t="shared" ca="1" si="18"/>
        <v>For registration of property</v>
      </c>
      <c r="F21" s="3" t="s">
        <v>12</v>
      </c>
      <c r="G21" s="7"/>
    </row>
    <row r="22" spans="1:7" ht="15.75" customHeight="1" x14ac:dyDescent="0.2">
      <c r="A22" s="8" t="s">
        <v>21</v>
      </c>
      <c r="B22" s="9" t="s">
        <v>260</v>
      </c>
      <c r="C22" s="11" t="s">
        <v>261</v>
      </c>
      <c r="D22" s="8" t="str">
        <f t="shared" ref="D22:E22" ca="1" si="19">IFERROR(__xludf.DUMMYFUNCTION("If (A22&lt;&gt;"""", GOOGLETRANSLATE(A22, ""auto"", ""en""), """")"),"Quick Replies")</f>
        <v>Quick Replies</v>
      </c>
      <c r="E22" s="9" t="str">
        <f t="shared" ca="1" si="19"/>
        <v>Quick Replies</v>
      </c>
      <c r="F22" s="3" t="s">
        <v>12</v>
      </c>
      <c r="G22" s="12" t="str">
        <f t="shared" ref="G22:G31" si="20">"{""text"":"""&amp;B22&amp;""",""postback"":"""&amp;C22&amp;"""},"</f>
        <v>{"text":"賃貸物件の登録について","postback":"FAQ-Host2-1"},</v>
      </c>
    </row>
    <row r="23" spans="1:7" ht="15.75" customHeight="1" x14ac:dyDescent="0.2">
      <c r="A23" s="18"/>
      <c r="B23" s="11" t="s">
        <v>271</v>
      </c>
      <c r="C23" s="11" t="s">
        <v>272</v>
      </c>
      <c r="D23" s="9" t="str">
        <f t="shared" ref="D23:E23" ca="1" si="21">IFERROR(__xludf.DUMMYFUNCTION("If (A23&lt;&gt;"""", GOOGLETRANSLATE(A23, ""auto"", ""en""), """")"),"")</f>
        <v/>
      </c>
      <c r="E23" s="9" t="str">
        <f t="shared" ca="1" si="21"/>
        <v/>
      </c>
      <c r="F23" s="3" t="s">
        <v>12</v>
      </c>
      <c r="G23" s="12" t="str">
        <f t="shared" si="20"/>
        <v>{"text":"部屋の複数登録について","postback":"FAQ-Host2-2"},</v>
      </c>
    </row>
    <row r="24" spans="1:7" ht="15.75" customHeight="1" x14ac:dyDescent="0.2">
      <c r="A24" s="9"/>
      <c r="B24" s="11" t="s">
        <v>275</v>
      </c>
      <c r="C24" s="11" t="s">
        <v>276</v>
      </c>
      <c r="D24" s="9" t="str">
        <f t="shared" ref="D24:E24" ca="1" si="22">IFERROR(__xludf.DUMMYFUNCTION("If (A24&lt;&gt;"""", GOOGLETRANSLATE(A24, ""auto"", ""en""), """")"),"")</f>
        <v/>
      </c>
      <c r="E24" s="9" t="str">
        <f t="shared" ca="1" si="22"/>
        <v/>
      </c>
      <c r="F24" s="3" t="s">
        <v>12</v>
      </c>
      <c r="G24" s="12" t="str">
        <f t="shared" si="20"/>
        <v>{"text":"掲載内容の変更について","postback":"FAQ-Host2-3"},</v>
      </c>
    </row>
    <row r="25" spans="1:7" ht="15.75" customHeight="1" x14ac:dyDescent="0.2">
      <c r="A25" s="18"/>
      <c r="B25" s="11" t="s">
        <v>278</v>
      </c>
      <c r="C25" s="11" t="s">
        <v>279</v>
      </c>
      <c r="D25" s="9" t="str">
        <f t="shared" ref="D25:E25" ca="1" si="23">IFERROR(__xludf.DUMMYFUNCTION("If (A25&lt;&gt;"""", GOOGLETRANSLATE(A25, ""auto"", ""en""), """")"),"")</f>
        <v/>
      </c>
      <c r="E25" s="9" t="str">
        <f t="shared" ca="1" si="23"/>
        <v/>
      </c>
      <c r="F25" s="3" t="s">
        <v>12</v>
      </c>
      <c r="G25" s="12" t="str">
        <f t="shared" si="20"/>
        <v>{"text":"登録済みの物件の削除について","postback":"FAQ-Host2-4"},</v>
      </c>
    </row>
    <row r="26" spans="1:7" ht="15.75" customHeight="1" x14ac:dyDescent="0.2">
      <c r="A26" s="18"/>
      <c r="B26" s="11" t="s">
        <v>281</v>
      </c>
      <c r="C26" s="11" t="s">
        <v>282</v>
      </c>
      <c r="D26" s="9" t="str">
        <f t="shared" ref="D26:E26" ca="1" si="24">IFERROR(__xludf.DUMMYFUNCTION("If (A26&lt;&gt;"""", GOOGLETRANSLATE(A26, ""auto"", ""en""), """")"),"")</f>
        <v/>
      </c>
      <c r="E26" s="9" t="str">
        <f t="shared" ca="1" si="24"/>
        <v/>
      </c>
      <c r="F26" s="3" t="s">
        <v>12</v>
      </c>
      <c r="G26" s="12" t="str">
        <f t="shared" si="20"/>
        <v>{"text":"写真の撮影について","postback":"FAQ-Host2-5"},</v>
      </c>
    </row>
    <row r="27" spans="1:7" ht="15.75" customHeight="1" x14ac:dyDescent="0.2">
      <c r="A27" s="18"/>
      <c r="B27" s="11" t="s">
        <v>285</v>
      </c>
      <c r="C27" s="11" t="s">
        <v>286</v>
      </c>
      <c r="D27" s="9" t="str">
        <f t="shared" ref="D27:E27" ca="1" si="25">IFERROR(__xludf.DUMMYFUNCTION("If (A27&lt;&gt;"""", GOOGLETRANSLATE(A27, ""auto"", ""en""), """")"),"")</f>
        <v/>
      </c>
      <c r="E27" s="9" t="str">
        <f t="shared" ca="1" si="25"/>
        <v/>
      </c>
      <c r="F27" s="3" t="s">
        <v>12</v>
      </c>
      <c r="G27" s="12" t="str">
        <f t="shared" si="20"/>
        <v>{"text":"キャンセルポリシーについて","postback":"FAQ-Host2-6"},</v>
      </c>
    </row>
    <row r="28" spans="1:7" ht="15.75" customHeight="1" x14ac:dyDescent="0.2">
      <c r="A28" s="18"/>
      <c r="B28" s="11" t="s">
        <v>288</v>
      </c>
      <c r="C28" s="11" t="s">
        <v>289</v>
      </c>
      <c r="D28" s="9" t="str">
        <f t="shared" ref="D28:E28" ca="1" si="26">IFERROR(__xludf.DUMMYFUNCTION("If (A28&lt;&gt;"""", GOOGLETRANSLATE(A28, ""auto"", ""en""), """")"),"")</f>
        <v/>
      </c>
      <c r="E28" s="9" t="str">
        <f t="shared" ca="1" si="26"/>
        <v/>
      </c>
      <c r="F28" s="3" t="s">
        <v>12</v>
      </c>
      <c r="G28" s="12" t="str">
        <f t="shared" si="20"/>
        <v>{"text":"登録数の制限について","postback":"FAQ-Host2-7"},</v>
      </c>
    </row>
    <row r="29" spans="1:7" ht="15.75" customHeight="1" x14ac:dyDescent="0.2">
      <c r="A29" s="18"/>
      <c r="B29" s="11" t="s">
        <v>293</v>
      </c>
      <c r="C29" s="11" t="s">
        <v>294</v>
      </c>
      <c r="D29" s="9" t="str">
        <f t="shared" ref="D29:E29" ca="1" si="27">IFERROR(__xludf.DUMMYFUNCTION("If (A29&lt;&gt;"""", GOOGLETRANSLATE(A29, ""auto"", ""en""), """")"),"")</f>
        <v/>
      </c>
      <c r="E29" s="9" t="str">
        <f t="shared" ca="1" si="27"/>
        <v/>
      </c>
      <c r="F29" s="3" t="s">
        <v>12</v>
      </c>
      <c r="G29" s="12" t="str">
        <f t="shared" si="20"/>
        <v>{"text":"古民家の利用について","postback":"FAQ-Host2-8"},</v>
      </c>
    </row>
    <row r="30" spans="1:7" ht="15.75" customHeight="1" x14ac:dyDescent="0.2">
      <c r="A30" s="18"/>
      <c r="B30" s="11" t="s">
        <v>296</v>
      </c>
      <c r="C30" s="11" t="s">
        <v>297</v>
      </c>
      <c r="D30" s="9" t="str">
        <f t="shared" ref="D30:E30" ca="1" si="28">IFERROR(__xludf.DUMMYFUNCTION("If (A30&lt;&gt;"""", GOOGLETRANSLATE(A30, ""auto"", ""en""), """")"),"")</f>
        <v/>
      </c>
      <c r="E30" s="9" t="str">
        <f t="shared" ca="1" si="28"/>
        <v/>
      </c>
      <c r="F30" s="3" t="s">
        <v>12</v>
      </c>
      <c r="G30" s="12" t="str">
        <f t="shared" si="20"/>
        <v>{"text":"レビューの審査について","postback":"FAQ-Host2-9"},</v>
      </c>
    </row>
    <row r="31" spans="1:7" ht="15.75" customHeight="1" x14ac:dyDescent="0.2">
      <c r="A31" s="18"/>
      <c r="B31" s="11" t="s">
        <v>32</v>
      </c>
      <c r="C31" s="11" t="s">
        <v>29</v>
      </c>
      <c r="D31" s="9" t="str">
        <f t="shared" ref="D31:E31" ca="1" si="29">IFERROR(__xludf.DUMMYFUNCTION("If (A31&lt;&gt;"""", GOOGLETRANSLATE(A31, ""auto"", ""en""), """")"),"")</f>
        <v/>
      </c>
      <c r="E31" s="9" t="str">
        <f t="shared" ca="1" si="29"/>
        <v/>
      </c>
      <c r="F31" s="3" t="s">
        <v>12</v>
      </c>
      <c r="G31" s="12" t="str">
        <f t="shared" si="20"/>
        <v>{"text":"その他の質問（ホスト）","postback":"FAQ-Host-First"},</v>
      </c>
    </row>
    <row r="32" spans="1:7" ht="15.75" customHeight="1" x14ac:dyDescent="0.2">
      <c r="A32" s="84" t="s">
        <v>300</v>
      </c>
      <c r="B32" s="85"/>
      <c r="C32" s="86"/>
      <c r="D32" s="26"/>
      <c r="E32" s="26"/>
      <c r="F32" s="3" t="s">
        <v>12</v>
      </c>
      <c r="G32" s="27"/>
    </row>
    <row r="33" spans="1:7" ht="12.75" x14ac:dyDescent="0.2">
      <c r="A33" s="5" t="s">
        <v>229</v>
      </c>
      <c r="B33" s="5" t="s">
        <v>302</v>
      </c>
      <c r="C33" s="5"/>
      <c r="D33" s="5" t="str">
        <f t="shared" ref="D33:E33" ca="1" si="30">IFERROR(__xludf.DUMMYFUNCTION("If (A33&lt;&gt;"""", GOOGLETRANSLATE(A33, ""auto"", ""en""), """")"),"About pricing")</f>
        <v>About pricing</v>
      </c>
      <c r="E33" s="5" t="str">
        <f t="shared" ca="1" si="30"/>
        <v>About pricing</v>
      </c>
      <c r="F33" s="3" t="s">
        <v>12</v>
      </c>
      <c r="G33" s="7"/>
    </row>
    <row r="34" spans="1:7" ht="25.5" x14ac:dyDescent="0.2">
      <c r="A34" s="8" t="s">
        <v>21</v>
      </c>
      <c r="B34" s="9" t="s">
        <v>304</v>
      </c>
      <c r="C34" s="11" t="s">
        <v>305</v>
      </c>
      <c r="D34" s="8" t="str">
        <f t="shared" ref="D34:E34" ca="1" si="31">IFERROR(__xludf.DUMMYFUNCTION("If (A34&lt;&gt;"""", GOOGLETRANSLATE(A34, ""auto"", ""en""), """")"),"Quick Replies")</f>
        <v>Quick Replies</v>
      </c>
      <c r="E34" s="9" t="str">
        <f t="shared" ca="1" si="31"/>
        <v>Quick Replies</v>
      </c>
      <c r="F34" s="3" t="s">
        <v>12</v>
      </c>
      <c r="G34" s="12" t="str">
        <f t="shared" ref="G34:G38" si="32">"{""text"":"""&amp;B34&amp;""",""postback"":"""&amp;C34&amp;"""},"</f>
        <v>{"text":"人数による滞在料金の変更について","postback":"FAQ-Host3-1"},</v>
      </c>
    </row>
    <row r="35" spans="1:7" ht="25.5" x14ac:dyDescent="0.2">
      <c r="A35" s="9"/>
      <c r="B35" s="11" t="s">
        <v>312</v>
      </c>
      <c r="C35" s="11" t="s">
        <v>313</v>
      </c>
      <c r="D35" s="9" t="str">
        <f t="shared" ref="D35:E35" ca="1" si="33">IFERROR(__xludf.DUMMYFUNCTION("If (A35&lt;&gt;"""", GOOGLETRANSLATE(A35, ""auto"", ""en""), """")"),"")</f>
        <v/>
      </c>
      <c r="E35" s="9" t="str">
        <f t="shared" ca="1" si="33"/>
        <v/>
      </c>
      <c r="F35" s="3" t="s">
        <v>12</v>
      </c>
      <c r="G35" s="12" t="str">
        <f t="shared" si="32"/>
        <v>{"text":"時期による滞在料金の変更について","postback":"FAQ-Host3-2"},</v>
      </c>
    </row>
    <row r="36" spans="1:7" ht="12.75" x14ac:dyDescent="0.2">
      <c r="A36" s="9"/>
      <c r="B36" s="9" t="s">
        <v>317</v>
      </c>
      <c r="C36" s="11" t="s">
        <v>318</v>
      </c>
      <c r="D36" s="9" t="str">
        <f t="shared" ref="D36:E36" ca="1" si="34">IFERROR(__xludf.DUMMYFUNCTION("If (A36&lt;&gt;"""", GOOGLETRANSLATE(A36, ""auto"", ""en""), """")"),"")</f>
        <v/>
      </c>
      <c r="E36" s="9" t="str">
        <f t="shared" ca="1" si="34"/>
        <v/>
      </c>
      <c r="F36" s="3" t="s">
        <v>12</v>
      </c>
      <c r="G36" s="12" t="str">
        <f t="shared" si="32"/>
        <v>{"text":"滞在料金の受け取りについて","postback":"FAQ-Host3-3"},</v>
      </c>
    </row>
    <row r="37" spans="1:7" ht="12.75" x14ac:dyDescent="0.2">
      <c r="A37" s="9"/>
      <c r="B37" s="9" t="s">
        <v>320</v>
      </c>
      <c r="C37" s="11" t="s">
        <v>321</v>
      </c>
      <c r="D37" s="9" t="str">
        <f t="shared" ref="D37:E37" ca="1" si="35">IFERROR(__xludf.DUMMYFUNCTION("If (A37&lt;&gt;"""", GOOGLETRANSLATE(A37, ""auto"", ""en""), """")"),"")</f>
        <v/>
      </c>
      <c r="E37" s="9" t="str">
        <f t="shared" ca="1" si="35"/>
        <v/>
      </c>
      <c r="F37" s="3" t="s">
        <v>12</v>
      </c>
      <c r="G37" s="12" t="str">
        <f t="shared" si="32"/>
        <v>{"text":"手数料について","postback":"FAQ-Host3-4"},</v>
      </c>
    </row>
    <row r="38" spans="1:7" ht="12.75" x14ac:dyDescent="0.2">
      <c r="A38" s="18"/>
      <c r="B38" s="11" t="s">
        <v>32</v>
      </c>
      <c r="C38" s="11" t="s">
        <v>29</v>
      </c>
      <c r="D38" s="9" t="str">
        <f t="shared" ref="D38:E38" ca="1" si="36">IFERROR(__xludf.DUMMYFUNCTION("If (A38&lt;&gt;"""", GOOGLETRANSLATE(A38, ""auto"", ""en""), """")"),"")</f>
        <v/>
      </c>
      <c r="E38" s="9" t="str">
        <f t="shared" ca="1" si="36"/>
        <v/>
      </c>
      <c r="F38" s="3" t="s">
        <v>12</v>
      </c>
      <c r="G38" s="12" t="str">
        <f t="shared" si="32"/>
        <v>{"text":"その他の質問（ホスト）","postback":"FAQ-Host-First"},</v>
      </c>
    </row>
    <row r="39" spans="1:7" x14ac:dyDescent="0.2">
      <c r="A39" s="84" t="s">
        <v>325</v>
      </c>
      <c r="B39" s="85"/>
      <c r="C39" s="86"/>
      <c r="D39" s="26"/>
      <c r="E39" s="26"/>
      <c r="F39" s="3" t="s">
        <v>12</v>
      </c>
      <c r="G39" s="27"/>
    </row>
    <row r="40" spans="1:7" ht="12.75" x14ac:dyDescent="0.2">
      <c r="A40" s="5" t="s">
        <v>232</v>
      </c>
      <c r="B40" s="5" t="s">
        <v>326</v>
      </c>
      <c r="C40" s="5"/>
      <c r="D40" s="5" t="str">
        <f t="shared" ref="D40:E40" ca="1" si="37">IFERROR(__xludf.DUMMYFUNCTION("If (A40&lt;&gt;"""", GOOGLETRANSLATE(A40, ""auto"", ""en""), """")"),"For reservations from the guest")</f>
        <v>For reservations from the guest</v>
      </c>
      <c r="E40" s="5" t="str">
        <f t="shared" ca="1" si="37"/>
        <v>For reservations from the guest</v>
      </c>
      <c r="F40" s="3" t="s">
        <v>12</v>
      </c>
      <c r="G40" s="7"/>
    </row>
    <row r="41" spans="1:7" ht="12.75" x14ac:dyDescent="0.2">
      <c r="A41" s="8" t="s">
        <v>21</v>
      </c>
      <c r="B41" s="9" t="s">
        <v>329</v>
      </c>
      <c r="C41" s="11" t="s">
        <v>330</v>
      </c>
      <c r="D41" s="8" t="str">
        <f t="shared" ref="D41:E41" ca="1" si="38">IFERROR(__xludf.DUMMYFUNCTION("If (A41&lt;&gt;"""", GOOGLETRANSLATE(A41, ""auto"", ""en""), """")"),"Quick Replies")</f>
        <v>Quick Replies</v>
      </c>
      <c r="E41" s="9" t="str">
        <f t="shared" ca="1" si="38"/>
        <v>Quick Replies</v>
      </c>
      <c r="F41" s="3" t="s">
        <v>12</v>
      </c>
      <c r="G41" s="12" t="str">
        <f t="shared" ref="G41:G48" si="39">"{""text"":"""&amp;B41&amp;""",""postback"":"""&amp;C41&amp;"""},"</f>
        <v>{"text":"予約の確認方法について","postback":"FAQ-Host4-1"},</v>
      </c>
    </row>
    <row r="42" spans="1:7" ht="12.75" x14ac:dyDescent="0.2">
      <c r="A42" s="9"/>
      <c r="B42" s="11" t="s">
        <v>341</v>
      </c>
      <c r="C42" s="11" t="s">
        <v>342</v>
      </c>
      <c r="D42" s="9" t="str">
        <f t="shared" ref="D42:E42" ca="1" si="40">IFERROR(__xludf.DUMMYFUNCTION("If (A42&lt;&gt;"""", GOOGLETRANSLATE(A42, ""auto"", ""en""), """")"),"")</f>
        <v/>
      </c>
      <c r="E42" s="9" t="str">
        <f t="shared" ca="1" si="40"/>
        <v/>
      </c>
      <c r="F42" s="3" t="s">
        <v>12</v>
      </c>
      <c r="G42" s="12" t="str">
        <f t="shared" si="39"/>
        <v>{"text":"電話での問合せについて","postback":"FAQ-Host4-2"},</v>
      </c>
    </row>
    <row r="43" spans="1:7" ht="12.75" x14ac:dyDescent="0.2">
      <c r="A43" s="9"/>
      <c r="B43" s="9" t="s">
        <v>344</v>
      </c>
      <c r="C43" s="11" t="s">
        <v>345</v>
      </c>
      <c r="D43" s="9" t="str">
        <f t="shared" ref="D43:E43" ca="1" si="41">IFERROR(__xludf.DUMMYFUNCTION("If (A43&lt;&gt;"""", GOOGLETRANSLATE(A43, ""auto"", ""en""), """")"),"")</f>
        <v/>
      </c>
      <c r="E43" s="9" t="str">
        <f t="shared" ca="1" si="41"/>
        <v/>
      </c>
      <c r="F43" s="3" t="s">
        <v>12</v>
      </c>
      <c r="G43" s="12" t="str">
        <f t="shared" si="39"/>
        <v>{"text":"対応の忘れについて","postback":"FAQ-Host4-3"},</v>
      </c>
    </row>
    <row r="44" spans="1:7" ht="12.75" x14ac:dyDescent="0.2">
      <c r="A44" s="9"/>
      <c r="B44" s="9" t="s">
        <v>348</v>
      </c>
      <c r="C44" s="11" t="s">
        <v>349</v>
      </c>
      <c r="D44" s="9" t="str">
        <f t="shared" ref="D44:E44" ca="1" si="42">IFERROR(__xludf.DUMMYFUNCTION("If (A44&lt;&gt;"""", GOOGLETRANSLATE(A44, ""auto"", ""en""), """")"),"")</f>
        <v/>
      </c>
      <c r="E44" s="9" t="str">
        <f t="shared" ca="1" si="42"/>
        <v/>
      </c>
      <c r="F44" s="3" t="s">
        <v>12</v>
      </c>
      <c r="G44" s="12" t="str">
        <f t="shared" si="39"/>
        <v>{"text":"鍵について","postback":"FAQ-Host4-4"},</v>
      </c>
    </row>
    <row r="45" spans="1:7" ht="12.75" x14ac:dyDescent="0.2">
      <c r="A45" s="9"/>
      <c r="B45" s="9" t="s">
        <v>351</v>
      </c>
      <c r="C45" s="11" t="s">
        <v>352</v>
      </c>
      <c r="D45" s="9" t="str">
        <f t="shared" ref="D45:E45" ca="1" si="43">IFERROR(__xludf.DUMMYFUNCTION("If (A45&lt;&gt;"""", GOOGLETRANSLATE(A45, ""auto"", ""en""), """")"),"")</f>
        <v/>
      </c>
      <c r="E45" s="9" t="str">
        <f t="shared" ca="1" si="43"/>
        <v/>
      </c>
      <c r="F45" s="3" t="s">
        <v>12</v>
      </c>
      <c r="G45" s="12" t="str">
        <f t="shared" si="39"/>
        <v>{"text":"ゲストへの違和感について","postback":"FAQ-Host4-5"},</v>
      </c>
    </row>
    <row r="46" spans="1:7" ht="12.75" x14ac:dyDescent="0.2">
      <c r="A46" s="9"/>
      <c r="B46" s="9" t="s">
        <v>356</v>
      </c>
      <c r="C46" s="11" t="s">
        <v>357</v>
      </c>
      <c r="D46" s="9" t="str">
        <f t="shared" ref="D46:E46" ca="1" si="44">IFERROR(__xludf.DUMMYFUNCTION("If (A46&lt;&gt;"""", GOOGLETRANSLATE(A46, ""auto"", ""en""), """")"),"")</f>
        <v/>
      </c>
      <c r="E46" s="9" t="str">
        <f t="shared" ca="1" si="44"/>
        <v/>
      </c>
      <c r="F46" s="3" t="s">
        <v>12</v>
      </c>
      <c r="G46" s="12" t="str">
        <f t="shared" si="39"/>
        <v>{"text":"ゲストとの連絡について","postback":"FAQ-Host4-6"},</v>
      </c>
    </row>
    <row r="47" spans="1:7" ht="12.75" x14ac:dyDescent="0.2">
      <c r="A47" s="18"/>
      <c r="B47" s="11" t="s">
        <v>358</v>
      </c>
      <c r="C47" s="11" t="s">
        <v>359</v>
      </c>
      <c r="D47" s="9" t="str">
        <f t="shared" ref="D47:E47" ca="1" si="45">IFERROR(__xludf.DUMMYFUNCTION("If (A47&lt;&gt;"""", GOOGLETRANSLATE(A47, ""auto"", ""en""), """")"),"")</f>
        <v/>
      </c>
      <c r="E47" s="9" t="str">
        <f t="shared" ca="1" si="45"/>
        <v/>
      </c>
      <c r="F47" s="3" t="s">
        <v>12</v>
      </c>
      <c r="G47" s="12" t="str">
        <f t="shared" si="39"/>
        <v>{"text":"ゲストからの苦情について","postback":"FAQ-Host4-7"},</v>
      </c>
    </row>
    <row r="48" spans="1:7" ht="12.75" x14ac:dyDescent="0.2">
      <c r="A48" s="18"/>
      <c r="B48" s="11" t="s">
        <v>32</v>
      </c>
      <c r="C48" s="11" t="s">
        <v>29</v>
      </c>
      <c r="D48" s="9" t="str">
        <f t="shared" ref="D48:E48" ca="1" si="46">IFERROR(__xludf.DUMMYFUNCTION("If (A48&lt;&gt;"""", GOOGLETRANSLATE(A48, ""auto"", ""en""), """")"),"")</f>
        <v/>
      </c>
      <c r="E48" s="9" t="str">
        <f t="shared" ca="1" si="46"/>
        <v/>
      </c>
      <c r="F48" s="3" t="s">
        <v>12</v>
      </c>
      <c r="G48" s="12" t="str">
        <f t="shared" si="39"/>
        <v>{"text":"その他の質問（ホスト）","postback":"FAQ-Host-First"},</v>
      </c>
    </row>
    <row r="49" spans="1:7" x14ac:dyDescent="0.2">
      <c r="A49" s="84"/>
      <c r="B49" s="85"/>
      <c r="C49" s="86"/>
      <c r="D49" s="26"/>
      <c r="E49" s="26"/>
      <c r="F49" s="28"/>
      <c r="G49" s="27"/>
    </row>
    <row r="50" spans="1:7" ht="12.75" x14ac:dyDescent="0.2">
      <c r="A50" s="5"/>
      <c r="B50" s="5"/>
      <c r="C50" s="5"/>
      <c r="D50" s="5"/>
      <c r="E50" s="5"/>
      <c r="F50" s="3"/>
      <c r="G50" s="7"/>
    </row>
    <row r="51" spans="1:7" ht="12.75" x14ac:dyDescent="0.2">
      <c r="A51" s="5"/>
      <c r="B51" s="5"/>
      <c r="C51" s="5"/>
      <c r="D51" s="5"/>
      <c r="E51" s="5"/>
      <c r="F51" s="3"/>
      <c r="G51" s="7"/>
    </row>
    <row r="52" spans="1:7" ht="12.75" x14ac:dyDescent="0.2">
      <c r="A52" s="5"/>
      <c r="B52" s="5"/>
      <c r="C52" s="5"/>
      <c r="D52" s="5"/>
      <c r="E52" s="5"/>
      <c r="F52" s="3"/>
      <c r="G52" s="7"/>
    </row>
    <row r="53" spans="1:7" ht="12.75" x14ac:dyDescent="0.2">
      <c r="A53" s="5"/>
      <c r="B53" s="5"/>
      <c r="C53" s="5"/>
      <c r="D53" s="5"/>
      <c r="E53" s="5"/>
      <c r="F53" s="3"/>
      <c r="G53" s="7"/>
    </row>
    <row r="54" spans="1:7" ht="12.75" x14ac:dyDescent="0.2">
      <c r="A54" s="5"/>
      <c r="B54" s="5"/>
      <c r="C54" s="5"/>
      <c r="D54" s="5"/>
      <c r="E54" s="5"/>
      <c r="F54" s="3"/>
      <c r="G54" s="7"/>
    </row>
    <row r="55" spans="1:7" x14ac:dyDescent="0.2">
      <c r="A55" s="84"/>
      <c r="B55" s="85"/>
      <c r="C55" s="86"/>
      <c r="D55" s="26"/>
      <c r="E55" s="26"/>
      <c r="F55" s="28"/>
      <c r="G55" s="27"/>
    </row>
    <row r="56" spans="1:7" ht="12.75" x14ac:dyDescent="0.2">
      <c r="A56" s="14"/>
      <c r="B56" s="15"/>
      <c r="C56" s="15"/>
      <c r="D56" s="5"/>
      <c r="E56" s="5"/>
      <c r="F56" s="16"/>
      <c r="G56" s="22"/>
    </row>
    <row r="57" spans="1:7" ht="12.75" x14ac:dyDescent="0.2">
      <c r="A57" s="14"/>
      <c r="B57" s="17"/>
      <c r="C57" s="17"/>
      <c r="D57" s="5"/>
      <c r="E57" s="5"/>
      <c r="F57" s="16"/>
      <c r="G57" s="22"/>
    </row>
    <row r="58" spans="1:7" ht="12.75" x14ac:dyDescent="0.2">
      <c r="A58" s="14"/>
      <c r="B58" s="17"/>
      <c r="C58" s="17"/>
      <c r="D58" s="5"/>
      <c r="E58" s="5"/>
      <c r="F58" s="16"/>
      <c r="G58" s="22"/>
    </row>
    <row r="59" spans="1:7" ht="12.75" x14ac:dyDescent="0.2">
      <c r="A59" s="14"/>
      <c r="B59" s="17"/>
      <c r="C59" s="17"/>
      <c r="D59" s="5"/>
      <c r="E59" s="5"/>
      <c r="F59" s="16"/>
      <c r="G59" s="22"/>
    </row>
    <row r="60" spans="1:7" ht="12.75" x14ac:dyDescent="0.2">
      <c r="A60" s="14"/>
      <c r="B60" s="17"/>
      <c r="C60" s="17"/>
      <c r="D60" s="5"/>
      <c r="E60" s="5"/>
      <c r="F60" s="16"/>
      <c r="G60" s="22"/>
    </row>
    <row r="61" spans="1:7" x14ac:dyDescent="0.2">
      <c r="A61" s="84"/>
      <c r="B61" s="85"/>
      <c r="C61" s="86"/>
      <c r="D61" s="26"/>
      <c r="E61" s="26"/>
      <c r="F61" s="28"/>
      <c r="G61" s="27"/>
    </row>
    <row r="62" spans="1:7" ht="12.75" x14ac:dyDescent="0.2">
      <c r="A62" s="14"/>
      <c r="B62" s="5"/>
      <c r="C62" s="5"/>
      <c r="D62" s="5"/>
      <c r="E62" s="5"/>
      <c r="F62" s="3"/>
      <c r="G62" s="7"/>
    </row>
    <row r="63" spans="1:7" ht="12.75" x14ac:dyDescent="0.2">
      <c r="A63" s="14"/>
      <c r="B63" s="17"/>
      <c r="C63" s="17"/>
      <c r="D63" s="5"/>
      <c r="E63" s="5"/>
      <c r="F63" s="3"/>
      <c r="G63" s="7"/>
    </row>
    <row r="64" spans="1:7" ht="12.75" x14ac:dyDescent="0.2">
      <c r="A64" s="14"/>
      <c r="B64" s="17"/>
      <c r="C64" s="17"/>
      <c r="D64" s="5"/>
      <c r="E64" s="5"/>
      <c r="F64" s="3"/>
      <c r="G64" s="7"/>
    </row>
    <row r="65" spans="1:7" ht="12.75" x14ac:dyDescent="0.2">
      <c r="A65" s="14"/>
      <c r="B65" s="17"/>
      <c r="C65" s="17"/>
      <c r="D65" s="5"/>
      <c r="E65" s="5"/>
      <c r="F65" s="3"/>
      <c r="G65" s="7"/>
    </row>
    <row r="66" spans="1:7" ht="12.75" x14ac:dyDescent="0.2">
      <c r="A66" s="14"/>
      <c r="B66" s="17"/>
      <c r="C66" s="17"/>
      <c r="D66" s="5"/>
      <c r="E66" s="5"/>
      <c r="F66" s="3"/>
      <c r="G66" s="7"/>
    </row>
    <row r="67" spans="1:7" x14ac:dyDescent="0.2">
      <c r="A67" s="84"/>
      <c r="B67" s="85"/>
      <c r="C67" s="86"/>
      <c r="D67" s="26"/>
      <c r="E67" s="26"/>
      <c r="F67" s="28"/>
      <c r="G67" s="27"/>
    </row>
    <row r="68" spans="1:7" ht="12.75" x14ac:dyDescent="0.2">
      <c r="A68" s="14"/>
      <c r="B68" s="15"/>
      <c r="C68" s="15"/>
      <c r="D68" s="5"/>
      <c r="E68" s="5"/>
      <c r="F68" s="16"/>
      <c r="G68" s="22"/>
    </row>
    <row r="69" spans="1:7" ht="12.75" x14ac:dyDescent="0.2">
      <c r="A69" s="14"/>
      <c r="B69" s="17"/>
      <c r="C69" s="17"/>
      <c r="D69" s="5"/>
      <c r="E69" s="5"/>
      <c r="F69" s="16"/>
      <c r="G69" s="22"/>
    </row>
    <row r="70" spans="1:7" ht="12.75" x14ac:dyDescent="0.2">
      <c r="A70" s="14"/>
      <c r="B70" s="17"/>
      <c r="C70" s="17"/>
      <c r="D70" s="5"/>
      <c r="E70" s="5"/>
      <c r="F70" s="16"/>
      <c r="G70" s="22"/>
    </row>
    <row r="71" spans="1:7" ht="12.75" x14ac:dyDescent="0.2">
      <c r="A71" s="14"/>
      <c r="B71" s="17"/>
      <c r="C71" s="17"/>
      <c r="D71" s="5"/>
      <c r="E71" s="5"/>
      <c r="F71" s="16"/>
      <c r="G71" s="22"/>
    </row>
    <row r="72" spans="1:7" ht="12.75" x14ac:dyDescent="0.2">
      <c r="A72" s="14"/>
      <c r="B72" s="17"/>
      <c r="C72" s="17"/>
      <c r="D72" s="5"/>
      <c r="E72" s="5"/>
      <c r="F72" s="16"/>
      <c r="G72" s="22"/>
    </row>
    <row r="73" spans="1:7" x14ac:dyDescent="0.2">
      <c r="A73" s="84"/>
      <c r="B73" s="85"/>
      <c r="C73" s="86"/>
      <c r="D73" s="26"/>
      <c r="E73" s="26"/>
      <c r="F73" s="28"/>
      <c r="G73" s="27"/>
    </row>
    <row r="74" spans="1:7" ht="12.75" x14ac:dyDescent="0.2">
      <c r="A74" s="14"/>
      <c r="B74" s="15"/>
      <c r="C74" s="15"/>
      <c r="D74" s="5"/>
      <c r="E74" s="5"/>
      <c r="F74" s="16"/>
      <c r="G74" s="22"/>
    </row>
    <row r="75" spans="1:7" ht="12.75" x14ac:dyDescent="0.2">
      <c r="A75" s="14"/>
      <c r="B75" s="17"/>
      <c r="C75" s="17"/>
      <c r="D75" s="5"/>
      <c r="E75" s="5"/>
      <c r="F75" s="16"/>
      <c r="G75" s="22"/>
    </row>
    <row r="76" spans="1:7" ht="12.75" x14ac:dyDescent="0.2">
      <c r="A76" s="14"/>
      <c r="B76" s="17"/>
      <c r="C76" s="17"/>
      <c r="D76" s="5"/>
      <c r="E76" s="5"/>
      <c r="F76" s="16"/>
      <c r="G76" s="22"/>
    </row>
    <row r="77" spans="1:7" ht="12.75" x14ac:dyDescent="0.2">
      <c r="A77" s="14"/>
      <c r="B77" s="17"/>
      <c r="C77" s="17"/>
      <c r="D77" s="5"/>
      <c r="E77" s="5"/>
      <c r="F77" s="16"/>
      <c r="G77" s="22"/>
    </row>
    <row r="78" spans="1:7" ht="12.75" x14ac:dyDescent="0.2">
      <c r="A78" s="14"/>
      <c r="B78" s="17"/>
      <c r="C78" s="17"/>
      <c r="D78" s="5"/>
      <c r="E78" s="5"/>
      <c r="F78" s="16"/>
      <c r="G78" s="22"/>
    </row>
    <row r="79" spans="1:7" x14ac:dyDescent="0.2">
      <c r="A79" s="84"/>
      <c r="B79" s="85"/>
      <c r="C79" s="86"/>
      <c r="D79" s="26"/>
      <c r="E79" s="26"/>
      <c r="F79" s="28"/>
      <c r="G79" s="27"/>
    </row>
    <row r="80" spans="1:7" ht="12.75" x14ac:dyDescent="0.2">
      <c r="A80" s="14"/>
      <c r="B80" s="14"/>
      <c r="C80" s="14"/>
      <c r="D80" s="5"/>
      <c r="E80" s="5"/>
      <c r="F80" s="16"/>
      <c r="G80" s="22"/>
    </row>
    <row r="81" spans="1:7" ht="12.75" x14ac:dyDescent="0.2">
      <c r="A81" s="14"/>
      <c r="B81" s="14"/>
      <c r="C81" s="14"/>
      <c r="D81" s="5"/>
      <c r="E81" s="5"/>
      <c r="F81" s="16"/>
      <c r="G81" s="22"/>
    </row>
    <row r="82" spans="1:7" ht="12.75" x14ac:dyDescent="0.2">
      <c r="A82" s="14"/>
      <c r="B82" s="14"/>
      <c r="C82" s="14"/>
      <c r="D82" s="5"/>
      <c r="E82" s="5"/>
      <c r="F82" s="16"/>
      <c r="G82" s="22"/>
    </row>
    <row r="83" spans="1:7" ht="12.75" x14ac:dyDescent="0.2">
      <c r="A83" s="14"/>
      <c r="B83" s="23"/>
      <c r="C83" s="23"/>
      <c r="D83" s="5"/>
      <c r="E83" s="5"/>
      <c r="F83" s="16"/>
      <c r="G83" s="22"/>
    </row>
    <row r="84" spans="1:7" ht="12.75" x14ac:dyDescent="0.2">
      <c r="A84" s="14"/>
      <c r="B84" s="23"/>
      <c r="C84" s="23"/>
      <c r="D84" s="5"/>
      <c r="E84" s="5"/>
      <c r="F84" s="16"/>
      <c r="G84" s="22"/>
    </row>
    <row r="85" spans="1:7" x14ac:dyDescent="0.2">
      <c r="A85" s="84"/>
      <c r="B85" s="85"/>
      <c r="C85" s="86"/>
      <c r="D85" s="26"/>
      <c r="E85" s="26"/>
      <c r="F85" s="28"/>
      <c r="G85" s="27"/>
    </row>
    <row r="86" spans="1:7" ht="12.75" x14ac:dyDescent="0.2">
      <c r="A86" s="14"/>
      <c r="B86" s="14"/>
      <c r="C86" s="14"/>
      <c r="D86" s="5"/>
      <c r="E86" s="5"/>
      <c r="F86" s="16"/>
      <c r="G86" s="22"/>
    </row>
    <row r="87" spans="1:7" ht="12.75" x14ac:dyDescent="0.2">
      <c r="A87" s="14"/>
      <c r="B87" s="14"/>
      <c r="C87" s="14"/>
      <c r="D87" s="5"/>
      <c r="E87" s="5"/>
      <c r="F87" s="16"/>
      <c r="G87" s="22"/>
    </row>
    <row r="88" spans="1:7" ht="12.75" x14ac:dyDescent="0.2">
      <c r="A88" s="14"/>
      <c r="B88" s="14"/>
      <c r="C88" s="14"/>
      <c r="D88" s="5"/>
      <c r="E88" s="5"/>
      <c r="F88" s="16"/>
      <c r="G88" s="22"/>
    </row>
    <row r="89" spans="1:7" ht="12.75" x14ac:dyDescent="0.2">
      <c r="A89" s="14"/>
      <c r="B89" s="23"/>
      <c r="C89" s="23"/>
      <c r="D89" s="5"/>
      <c r="E89" s="5"/>
      <c r="F89" s="16"/>
      <c r="G89" s="22"/>
    </row>
    <row r="90" spans="1:7" ht="12.75" x14ac:dyDescent="0.2">
      <c r="A90" s="14"/>
      <c r="B90" s="23"/>
      <c r="C90" s="23"/>
      <c r="D90" s="5"/>
      <c r="E90" s="5"/>
      <c r="F90" s="16"/>
      <c r="G90" s="22"/>
    </row>
    <row r="91" spans="1:7" x14ac:dyDescent="0.2">
      <c r="A91" s="84"/>
      <c r="B91" s="85"/>
      <c r="C91" s="86"/>
      <c r="D91" s="26"/>
      <c r="E91" s="26"/>
      <c r="F91" s="28"/>
      <c r="G91" s="27"/>
    </row>
    <row r="92" spans="1:7" ht="12.75" x14ac:dyDescent="0.2">
      <c r="A92" s="20"/>
      <c r="B92" s="20"/>
      <c r="C92" s="20"/>
      <c r="D92" s="5" t="str">
        <f t="shared" ref="D92:E92" ca="1" si="47">IFERROR(__xludf.DUMMYFUNCTION("If (A92&lt;&gt;"""", GOOGLETRANSLATE(A92, ""auto"", ""en""), """")"),"")</f>
        <v/>
      </c>
      <c r="E92" s="5" t="str">
        <f t="shared" ca="1" si="47"/>
        <v/>
      </c>
      <c r="F92" s="21"/>
      <c r="G92" s="24"/>
    </row>
    <row r="93" spans="1:7" ht="12.75" x14ac:dyDescent="0.2">
      <c r="A93" s="20"/>
      <c r="B93" s="20"/>
      <c r="C93" s="20"/>
      <c r="D93" s="5" t="str">
        <f t="shared" ref="D93:E93" ca="1" si="48">IFERROR(__xludf.DUMMYFUNCTION("If (A93&lt;&gt;"""", GOOGLETRANSLATE(A93, ""auto"", ""en""), """")"),"")</f>
        <v/>
      </c>
      <c r="E93" s="5" t="str">
        <f t="shared" ca="1" si="48"/>
        <v/>
      </c>
      <c r="F93" s="21"/>
      <c r="G93" s="24"/>
    </row>
    <row r="94" spans="1:7" ht="12.75" x14ac:dyDescent="0.2">
      <c r="A94" s="20"/>
      <c r="B94" s="20"/>
      <c r="C94" s="20"/>
      <c r="D94" s="5" t="str">
        <f t="shared" ref="D94:E94" ca="1" si="49">IFERROR(__xludf.DUMMYFUNCTION("If (A94&lt;&gt;"""", GOOGLETRANSLATE(A94, ""auto"", ""en""), """")"),"")</f>
        <v/>
      </c>
      <c r="E94" s="5" t="str">
        <f t="shared" ca="1" si="49"/>
        <v/>
      </c>
      <c r="F94" s="21"/>
      <c r="G94" s="24"/>
    </row>
    <row r="95" spans="1:7" ht="12.75" x14ac:dyDescent="0.2">
      <c r="A95" s="29"/>
      <c r="B95" s="17"/>
      <c r="C95" s="17"/>
      <c r="D95" s="5" t="str">
        <f t="shared" ref="D95:E95" ca="1" si="50">IFERROR(__xludf.DUMMYFUNCTION("If (A95&lt;&gt;"""", GOOGLETRANSLATE(A95, ""auto"", ""en""), """")"),"")</f>
        <v/>
      </c>
      <c r="E95" s="5" t="str">
        <f t="shared" ca="1" si="50"/>
        <v/>
      </c>
      <c r="F95" s="30"/>
      <c r="G95" s="31"/>
    </row>
    <row r="96" spans="1:7" ht="12.75" x14ac:dyDescent="0.2">
      <c r="A96" s="29"/>
      <c r="B96" s="17"/>
      <c r="C96" s="17"/>
      <c r="D96" s="5" t="str">
        <f t="shared" ref="D96:E96" ca="1" si="51">IFERROR(__xludf.DUMMYFUNCTION("If (A96&lt;&gt;"""", GOOGLETRANSLATE(A96, ""auto"", ""en""), """")"),"")</f>
        <v/>
      </c>
      <c r="E96" s="5" t="str">
        <f t="shared" ca="1" si="51"/>
        <v/>
      </c>
      <c r="F96" s="30"/>
      <c r="G96" s="31"/>
    </row>
    <row r="97" spans="1:7" ht="12.75" x14ac:dyDescent="0.2">
      <c r="A97" s="29"/>
      <c r="B97" s="17"/>
      <c r="C97" s="17"/>
      <c r="D97" s="5" t="str">
        <f t="shared" ref="D97:E97" ca="1" si="52">IFERROR(__xludf.DUMMYFUNCTION("If (A97&lt;&gt;"""", GOOGLETRANSLATE(A97, ""auto"", ""en""), """")"),"")</f>
        <v/>
      </c>
      <c r="E97" s="5" t="str">
        <f t="shared" ca="1" si="52"/>
        <v/>
      </c>
      <c r="F97" s="30"/>
      <c r="G97" s="31"/>
    </row>
    <row r="98" spans="1:7" ht="12.75" x14ac:dyDescent="0.2">
      <c r="A98" s="29"/>
      <c r="B98" s="17"/>
      <c r="C98" s="17"/>
      <c r="D98" s="5" t="str">
        <f t="shared" ref="D98:E98" ca="1" si="53">IFERROR(__xludf.DUMMYFUNCTION("If (A98&lt;&gt;"""", GOOGLETRANSLATE(A98, ""auto"", ""en""), """")"),"")</f>
        <v/>
      </c>
      <c r="E98" s="5" t="str">
        <f t="shared" ca="1" si="53"/>
        <v/>
      </c>
      <c r="F98" s="30"/>
      <c r="G98" s="31"/>
    </row>
    <row r="99" spans="1:7" ht="12.75" x14ac:dyDescent="0.2">
      <c r="A99" s="29"/>
      <c r="B99" s="17"/>
      <c r="C99" s="17"/>
      <c r="D99" s="5" t="str">
        <f t="shared" ref="D99:E99" ca="1" si="54">IFERROR(__xludf.DUMMYFUNCTION("If (A99&lt;&gt;"""", GOOGLETRANSLATE(A99, ""auto"", ""en""), """")"),"")</f>
        <v/>
      </c>
      <c r="E99" s="5" t="str">
        <f t="shared" ca="1" si="54"/>
        <v/>
      </c>
      <c r="F99" s="30"/>
      <c r="G99" s="31"/>
    </row>
    <row r="100" spans="1:7" ht="12.75" x14ac:dyDescent="0.2">
      <c r="A100" s="29"/>
      <c r="B100" s="17"/>
      <c r="C100" s="17"/>
      <c r="D100" s="5" t="str">
        <f t="shared" ref="D100:E100" ca="1" si="55">IFERROR(__xludf.DUMMYFUNCTION("If (A100&lt;&gt;"""", GOOGLETRANSLATE(A100, ""auto"", ""en""), """")"),"")</f>
        <v/>
      </c>
      <c r="E100" s="5" t="str">
        <f t="shared" ca="1" si="55"/>
        <v/>
      </c>
      <c r="F100" s="30"/>
      <c r="G100" s="31"/>
    </row>
    <row r="101" spans="1:7" ht="12.75" x14ac:dyDescent="0.2">
      <c r="A101" s="29"/>
      <c r="B101" s="17"/>
      <c r="C101" s="17"/>
      <c r="D101" s="5" t="str">
        <f t="shared" ref="D101:E101" ca="1" si="56">IFERROR(__xludf.DUMMYFUNCTION("If (A101&lt;&gt;"""", GOOGLETRANSLATE(A101, ""auto"", ""en""), """")"),"")</f>
        <v/>
      </c>
      <c r="E101" s="5" t="str">
        <f t="shared" ca="1" si="56"/>
        <v/>
      </c>
      <c r="F101" s="30"/>
      <c r="G101" s="31"/>
    </row>
    <row r="102" spans="1:7" ht="12.75" x14ac:dyDescent="0.2">
      <c r="A102" s="29"/>
      <c r="B102" s="17"/>
      <c r="C102" s="17"/>
      <c r="D102" s="5" t="str">
        <f t="shared" ref="D102:E102" ca="1" si="57">IFERROR(__xludf.DUMMYFUNCTION("If (A102&lt;&gt;"""", GOOGLETRANSLATE(A102, ""auto"", ""en""), """")"),"")</f>
        <v/>
      </c>
      <c r="E102" s="5" t="str">
        <f t="shared" ca="1" si="57"/>
        <v/>
      </c>
      <c r="F102" s="30"/>
      <c r="G102" s="31"/>
    </row>
    <row r="103" spans="1:7" ht="12.75" x14ac:dyDescent="0.2">
      <c r="A103" s="29"/>
      <c r="B103" s="17"/>
      <c r="C103" s="17"/>
      <c r="D103" s="5" t="str">
        <f t="shared" ref="D103:E103" ca="1" si="58">IFERROR(__xludf.DUMMYFUNCTION("If (A103&lt;&gt;"""", GOOGLETRANSLATE(A103, ""auto"", ""en""), """")"),"")</f>
        <v/>
      </c>
      <c r="E103" s="5" t="str">
        <f t="shared" ca="1" si="58"/>
        <v/>
      </c>
      <c r="F103" s="30"/>
      <c r="G103" s="31"/>
    </row>
    <row r="104" spans="1:7" ht="12.75" x14ac:dyDescent="0.2">
      <c r="A104" s="17"/>
      <c r="B104" s="17"/>
      <c r="C104" s="17"/>
      <c r="D104" s="5" t="str">
        <f t="shared" ref="D104:E104" ca="1" si="59">IFERROR(__xludf.DUMMYFUNCTION("If (A104&lt;&gt;"""", GOOGLETRANSLATE(A104, ""auto"", ""en""), """")"),"")</f>
        <v/>
      </c>
      <c r="E104" s="5" t="str">
        <f t="shared" ca="1" si="59"/>
        <v/>
      </c>
      <c r="F104" s="30"/>
      <c r="G104" s="31"/>
    </row>
    <row r="105" spans="1:7" ht="12.75" x14ac:dyDescent="0.2">
      <c r="A105" s="17"/>
      <c r="B105" s="17"/>
      <c r="C105" s="17"/>
      <c r="D105" s="5" t="str">
        <f t="shared" ref="D105:E105" ca="1" si="60">IFERROR(__xludf.DUMMYFUNCTION("If (A105&lt;&gt;"""", GOOGLETRANSLATE(A105, ""auto"", ""en""), """")"),"")</f>
        <v/>
      </c>
      <c r="E105" s="5" t="str">
        <f t="shared" ca="1" si="60"/>
        <v/>
      </c>
      <c r="F105" s="30"/>
      <c r="G105" s="31"/>
    </row>
    <row r="106" spans="1:7" ht="12.75" x14ac:dyDescent="0.2">
      <c r="A106" s="17"/>
      <c r="B106" s="17"/>
      <c r="C106" s="17"/>
      <c r="D106" s="5" t="str">
        <f t="shared" ref="D106:E106" ca="1" si="61">IFERROR(__xludf.DUMMYFUNCTION("If (A106&lt;&gt;"""", GOOGLETRANSLATE(A106, ""auto"", ""en""), """")"),"")</f>
        <v/>
      </c>
      <c r="E106" s="5" t="str">
        <f t="shared" ca="1" si="61"/>
        <v/>
      </c>
      <c r="F106" s="30"/>
      <c r="G106" s="31"/>
    </row>
    <row r="107" spans="1:7" ht="12.75" x14ac:dyDescent="0.2">
      <c r="A107" s="17"/>
      <c r="B107" s="17"/>
      <c r="C107" s="17"/>
      <c r="D107" s="5" t="str">
        <f t="shared" ref="D107:E107" ca="1" si="62">IFERROR(__xludf.DUMMYFUNCTION("If (A107&lt;&gt;"""", GOOGLETRANSLATE(A107, ""auto"", ""en""), """")"),"")</f>
        <v/>
      </c>
      <c r="E107" s="5" t="str">
        <f t="shared" ca="1" si="62"/>
        <v/>
      </c>
      <c r="F107" s="30"/>
      <c r="G107" s="31"/>
    </row>
  </sheetData>
  <mergeCells count="15">
    <mergeCell ref="A85:C85"/>
    <mergeCell ref="A91:C91"/>
    <mergeCell ref="A55:C55"/>
    <mergeCell ref="A61:C61"/>
    <mergeCell ref="A67:C67"/>
    <mergeCell ref="A73:C73"/>
    <mergeCell ref="A79:C79"/>
    <mergeCell ref="A49:C49"/>
    <mergeCell ref="A1:C1"/>
    <mergeCell ref="D1:G1"/>
    <mergeCell ref="A3:C3"/>
    <mergeCell ref="A13:C13"/>
    <mergeCell ref="A20:C20"/>
    <mergeCell ref="A32:C32"/>
    <mergeCell ref="A39:C39"/>
  </mergeCells>
  <conditionalFormatting sqref="F2:G107">
    <cfRule type="cellIs" dxfId="28" priority="1" operator="equal">
      <formula>"done"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33" customWidth="1"/>
    <col min="2" max="2" width="54.7109375" customWidth="1"/>
    <col min="3" max="3" width="16.28515625" customWidth="1"/>
    <col min="4" max="4" width="35.42578125" customWidth="1"/>
    <col min="5" max="5" width="45.140625" customWidth="1"/>
    <col min="6" max="6" width="13.5703125" customWidth="1"/>
    <col min="7" max="7" width="54.14062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row>
    <row r="3" spans="1:7" ht="15.75" customHeight="1" x14ac:dyDescent="0.2">
      <c r="A3" s="84" t="s">
        <v>244</v>
      </c>
      <c r="B3" s="85"/>
      <c r="C3" s="86"/>
      <c r="D3" s="26"/>
      <c r="E3" s="26"/>
      <c r="F3" s="3" t="s">
        <v>12</v>
      </c>
      <c r="G3" s="28"/>
    </row>
    <row r="4" spans="1:7" ht="15.75" customHeight="1" x14ac:dyDescent="0.2">
      <c r="A4" s="5" t="s">
        <v>243</v>
      </c>
      <c r="B4" s="5" t="s">
        <v>367</v>
      </c>
      <c r="C4" s="32"/>
      <c r="D4" s="5" t="str">
        <f t="shared" ref="D4:E4" ca="1" si="0">IFERROR(__xludf.DUMMYFUNCTION("If (A4&lt;&gt;"""", GOOGLETRANSLATE(A4, ""auto"", ""en""), """")"),"About certification")</f>
        <v>About certification</v>
      </c>
      <c r="E4" s="5" t="str">
        <f t="shared" ca="1" si="0"/>
        <v>About certification</v>
      </c>
      <c r="F4" s="3" t="s">
        <v>12</v>
      </c>
      <c r="G4" s="3"/>
    </row>
    <row r="5" spans="1:7" ht="15.75" customHeight="1" x14ac:dyDescent="0.2">
      <c r="A5" s="5"/>
      <c r="B5" s="5" t="s">
        <v>19</v>
      </c>
      <c r="C5" s="32"/>
      <c r="D5" s="5" t="str">
        <f t="shared" ref="D5:E5" ca="1" si="1">IFERROR(__xludf.DUMMYFUNCTION("If (A5&lt;&gt;"""", GOOGLETRANSLATE(A5, ""auto"", ""en""), """")"),"")</f>
        <v/>
      </c>
      <c r="E5" s="5" t="str">
        <f t="shared" ca="1" si="1"/>
        <v/>
      </c>
      <c r="F5" s="3" t="s">
        <v>12</v>
      </c>
      <c r="G5" s="3"/>
    </row>
    <row r="6" spans="1:7" ht="15.75" customHeight="1" x14ac:dyDescent="0.2">
      <c r="A6" s="8" t="s">
        <v>21</v>
      </c>
      <c r="B6" s="10" t="s">
        <v>24</v>
      </c>
      <c r="C6" s="11" t="s">
        <v>26</v>
      </c>
      <c r="D6" s="8" t="str">
        <f t="shared" ref="D6:E6" ca="1" si="2">IFERROR(__xludf.DUMMYFUNCTION("If (A6&lt;&gt;"""", GOOGLETRANSLATE(A6, ""auto"", ""en""), """")"),"Quick Replies")</f>
        <v>Quick Replies</v>
      </c>
      <c r="E6" s="9" t="str">
        <f t="shared" ca="1" si="2"/>
        <v>Quick Replies</v>
      </c>
      <c r="F6" s="3" t="s">
        <v>12</v>
      </c>
      <c r="G6" s="12" t="str">
        <f t="shared" ref="G6:G9" si="3">"{""text"":"""&amp;B6&amp;""",""postback"":"""&amp;C6&amp;"""},"</f>
        <v>{"text":"その他の質問（ゲスト）","postback":"FAQ-Guest-First"},</v>
      </c>
    </row>
    <row r="7" spans="1:7" ht="15.75" customHeight="1" x14ac:dyDescent="0.2">
      <c r="A7" s="9"/>
      <c r="B7" s="10" t="s">
        <v>32</v>
      </c>
      <c r="C7" s="11" t="s">
        <v>29</v>
      </c>
      <c r="D7" s="9" t="str">
        <f t="shared" ref="D7:E7" ca="1" si="4">IFERROR(__xludf.DUMMYFUNCTION("If (A7&lt;&gt;"""", GOOGLETRANSLATE(A7, ""auto"", ""en""), """")"),"")</f>
        <v/>
      </c>
      <c r="E7" s="9" t="str">
        <f t="shared" ca="1" si="4"/>
        <v/>
      </c>
      <c r="F7" s="3" t="s">
        <v>12</v>
      </c>
      <c r="G7" s="12" t="str">
        <f t="shared" si="3"/>
        <v>{"text":"その他の質問（ホスト）","postback":"FAQ-Host-First"},</v>
      </c>
    </row>
    <row r="8" spans="1:7" ht="15.75" customHeight="1" x14ac:dyDescent="0.2">
      <c r="A8" s="9"/>
      <c r="B8" s="9" t="s">
        <v>25</v>
      </c>
      <c r="C8" s="11" t="s">
        <v>27</v>
      </c>
      <c r="D8" s="9" t="str">
        <f t="shared" ref="D8:E8" ca="1" si="5">IFERROR(__xludf.DUMMYFUNCTION("If (A8&lt;&gt;"""", GOOGLETRANSLATE(A8, ""auto"", ""en""), """")"),"")</f>
        <v/>
      </c>
      <c r="E8" s="9" t="str">
        <f t="shared" ca="1" si="5"/>
        <v/>
      </c>
      <c r="F8" s="3" t="s">
        <v>12</v>
      </c>
      <c r="G8" s="12" t="str">
        <f t="shared" si="3"/>
        <v>{"text":"宿泊先を探す","postback":"Search-House"},</v>
      </c>
    </row>
    <row r="9" spans="1:7" ht="15.75" customHeight="1" x14ac:dyDescent="0.2">
      <c r="A9" s="9"/>
      <c r="B9" s="9" t="s">
        <v>30</v>
      </c>
      <c r="C9" s="11" t="s">
        <v>31</v>
      </c>
      <c r="D9" s="9" t="str">
        <f t="shared" ref="D9:E9" ca="1" si="6">IFERROR(__xludf.DUMMYFUNCTION("If (A9&lt;&gt;"""", GOOGLETRANSLATE(A9, ""auto"", ""en""), """")"),"")</f>
        <v/>
      </c>
      <c r="E9" s="9" t="str">
        <f t="shared" ca="1" si="6"/>
        <v/>
      </c>
      <c r="F9" s="3" t="s">
        <v>12</v>
      </c>
      <c r="G9" s="12" t="str">
        <f t="shared" si="3"/>
        <v>{"text":"物件の登録をする","postback":"Register-House"},</v>
      </c>
    </row>
    <row r="10" spans="1:7" ht="15.75" customHeight="1" x14ac:dyDescent="0.2">
      <c r="A10" s="84" t="s">
        <v>261</v>
      </c>
      <c r="B10" s="85"/>
      <c r="C10" s="86"/>
      <c r="D10" s="26"/>
      <c r="E10" s="26"/>
      <c r="F10" s="3" t="s">
        <v>12</v>
      </c>
      <c r="G10" s="28"/>
    </row>
    <row r="11" spans="1:7" ht="15.75" customHeight="1" x14ac:dyDescent="0.2">
      <c r="A11" s="14" t="s">
        <v>260</v>
      </c>
      <c r="B11" s="15" t="s">
        <v>372</v>
      </c>
      <c r="C11" s="3"/>
      <c r="D11" s="5" t="str">
        <f t="shared" ref="D11:E11" ca="1" si="7">IFERROR(__xludf.DUMMYFUNCTION("If (A11&lt;&gt;"""", GOOGLETRANSLATE(A11, ""auto"", ""en""), """")"),"For registration of rental property")</f>
        <v>For registration of rental property</v>
      </c>
      <c r="E11" s="5" t="str">
        <f t="shared" ca="1" si="7"/>
        <v>For registration of rental property</v>
      </c>
      <c r="F11" s="3" t="s">
        <v>12</v>
      </c>
      <c r="G11" s="3"/>
    </row>
    <row r="12" spans="1:7" ht="15.75" customHeight="1" x14ac:dyDescent="0.2">
      <c r="A12" s="5"/>
      <c r="B12" s="5" t="s">
        <v>19</v>
      </c>
      <c r="C12" s="3"/>
      <c r="D12" s="5" t="str">
        <f t="shared" ref="D12:E12" ca="1" si="8">IFERROR(__xludf.DUMMYFUNCTION("If (A12&lt;&gt;"""", GOOGLETRANSLATE(A12, ""auto"", ""en""), """")"),"")</f>
        <v/>
      </c>
      <c r="E12" s="5" t="str">
        <f t="shared" ca="1" si="8"/>
        <v/>
      </c>
      <c r="F12" s="3" t="s">
        <v>12</v>
      </c>
      <c r="G12" s="3"/>
    </row>
    <row r="13" spans="1:7" ht="15.75" customHeight="1" x14ac:dyDescent="0.2">
      <c r="A13" s="8" t="s">
        <v>21</v>
      </c>
      <c r="B13" s="10" t="s">
        <v>24</v>
      </c>
      <c r="C13" s="11" t="s">
        <v>26</v>
      </c>
      <c r="D13" s="8" t="str">
        <f t="shared" ref="D13:E13" ca="1" si="9">IFERROR(__xludf.DUMMYFUNCTION("If (A13&lt;&gt;"""", GOOGLETRANSLATE(A13, ""auto"", ""en""), """")"),"Quick Replies")</f>
        <v>Quick Replies</v>
      </c>
      <c r="E13" s="9" t="str">
        <f t="shared" ca="1" si="9"/>
        <v>Quick Replies</v>
      </c>
      <c r="F13" s="3" t="s">
        <v>12</v>
      </c>
      <c r="G13" s="12" t="str">
        <f t="shared" ref="G13:G16" si="10">"{""text"":"""&amp;B13&amp;""",""postback"":"""&amp;C13&amp;"""},"</f>
        <v>{"text":"その他の質問（ゲスト）","postback":"FAQ-Guest-First"},</v>
      </c>
    </row>
    <row r="14" spans="1:7" ht="15.75" customHeight="1" x14ac:dyDescent="0.2">
      <c r="A14" s="9"/>
      <c r="B14" s="10" t="s">
        <v>32</v>
      </c>
      <c r="C14" s="11" t="s">
        <v>29</v>
      </c>
      <c r="D14" s="9" t="str">
        <f t="shared" ref="D14:E14" ca="1" si="11">IFERROR(__xludf.DUMMYFUNCTION("If (A14&lt;&gt;"""", GOOGLETRANSLATE(A14, ""auto"", ""en""), """")"),"")</f>
        <v/>
      </c>
      <c r="E14" s="9" t="str">
        <f t="shared" ca="1" si="11"/>
        <v/>
      </c>
      <c r="F14" s="3" t="s">
        <v>12</v>
      </c>
      <c r="G14" s="12" t="str">
        <f t="shared" si="10"/>
        <v>{"text":"その他の質問（ホスト）","postback":"FAQ-Host-First"},</v>
      </c>
    </row>
    <row r="15" spans="1:7" ht="15.75" customHeight="1" x14ac:dyDescent="0.2">
      <c r="A15" s="9"/>
      <c r="B15" s="9" t="s">
        <v>25</v>
      </c>
      <c r="C15" s="11" t="s">
        <v>27</v>
      </c>
      <c r="D15" s="9" t="str">
        <f t="shared" ref="D15:E15" ca="1" si="12">IFERROR(__xludf.DUMMYFUNCTION("If (A15&lt;&gt;"""", GOOGLETRANSLATE(A15, ""auto"", ""en""), """")"),"")</f>
        <v/>
      </c>
      <c r="E15" s="9" t="str">
        <f t="shared" ca="1" si="12"/>
        <v/>
      </c>
      <c r="F15" s="3" t="s">
        <v>12</v>
      </c>
      <c r="G15" s="12" t="str">
        <f t="shared" si="10"/>
        <v>{"text":"宿泊先を探す","postback":"Search-House"},</v>
      </c>
    </row>
    <row r="16" spans="1:7" ht="15.75" customHeight="1" x14ac:dyDescent="0.2">
      <c r="A16" s="9"/>
      <c r="B16" s="9" t="s">
        <v>30</v>
      </c>
      <c r="C16" s="11" t="s">
        <v>31</v>
      </c>
      <c r="D16" s="9" t="str">
        <f t="shared" ref="D16:E16" ca="1" si="13">IFERROR(__xludf.DUMMYFUNCTION("If (A16&lt;&gt;"""", GOOGLETRANSLATE(A16, ""auto"", ""en""), """")"),"")</f>
        <v/>
      </c>
      <c r="E16" s="9" t="str">
        <f t="shared" ca="1" si="13"/>
        <v/>
      </c>
      <c r="F16" s="3" t="s">
        <v>12</v>
      </c>
      <c r="G16" s="12" t="str">
        <f t="shared" si="10"/>
        <v>{"text":"物件の登録をする","postback":"Register-House"},</v>
      </c>
    </row>
    <row r="17" spans="1:7" ht="15.75" customHeight="1" x14ac:dyDescent="0.2">
      <c r="A17" s="84" t="s">
        <v>272</v>
      </c>
      <c r="B17" s="85"/>
      <c r="C17" s="86"/>
      <c r="D17" s="26"/>
      <c r="E17" s="26"/>
      <c r="F17" s="3" t="s">
        <v>12</v>
      </c>
      <c r="G17" s="28"/>
    </row>
    <row r="18" spans="1:7" ht="15.75" customHeight="1" x14ac:dyDescent="0.2">
      <c r="A18" s="20" t="s">
        <v>271</v>
      </c>
      <c r="B18" s="20" t="s">
        <v>376</v>
      </c>
      <c r="C18" s="3"/>
      <c r="D18" s="5" t="str">
        <f t="shared" ref="D18:E18" ca="1" si="14">IFERROR(__xludf.DUMMYFUNCTION("If (A18&lt;&gt;"""", GOOGLETRANSLATE(A18, ""auto"", ""en""), """")"),"For multiple registration of the room")</f>
        <v>For multiple registration of the room</v>
      </c>
      <c r="E18" s="5" t="str">
        <f t="shared" ca="1" si="14"/>
        <v>For multiple registration of the room</v>
      </c>
      <c r="F18" s="3" t="s">
        <v>12</v>
      </c>
      <c r="G18" s="3"/>
    </row>
    <row r="19" spans="1:7" ht="15.75" customHeight="1" x14ac:dyDescent="0.2">
      <c r="A19" s="5"/>
      <c r="B19" s="5" t="s">
        <v>19</v>
      </c>
      <c r="C19" s="3"/>
      <c r="D19" s="5" t="str">
        <f t="shared" ref="D19:E19" ca="1" si="15">IFERROR(__xludf.DUMMYFUNCTION("If (A19&lt;&gt;"""", GOOGLETRANSLATE(A19, ""auto"", ""en""), """")"),"")</f>
        <v/>
      </c>
      <c r="E19" s="5" t="str">
        <f t="shared" ca="1" si="15"/>
        <v/>
      </c>
      <c r="F19" s="3" t="s">
        <v>12</v>
      </c>
      <c r="G19" s="3"/>
    </row>
    <row r="20" spans="1:7" ht="15.75" customHeight="1" x14ac:dyDescent="0.2">
      <c r="A20" s="8" t="s">
        <v>21</v>
      </c>
      <c r="B20" s="10" t="s">
        <v>24</v>
      </c>
      <c r="C20" s="11" t="s">
        <v>26</v>
      </c>
      <c r="D20" s="8" t="str">
        <f t="shared" ref="D20:E20" ca="1" si="16">IFERROR(__xludf.DUMMYFUNCTION("If (A20&lt;&gt;"""", GOOGLETRANSLATE(A20, ""auto"", ""en""), """")"),"Quick Replies")</f>
        <v>Quick Replies</v>
      </c>
      <c r="E20" s="9" t="str">
        <f t="shared" ca="1" si="16"/>
        <v>Quick Replies</v>
      </c>
      <c r="F20" s="3" t="s">
        <v>12</v>
      </c>
      <c r="G20" s="12" t="str">
        <f t="shared" ref="G20:G23" si="17">"{""text"":"""&amp;B20&amp;""",""postback"":"""&amp;C20&amp;"""},"</f>
        <v>{"text":"その他の質問（ゲスト）","postback":"FAQ-Guest-First"},</v>
      </c>
    </row>
    <row r="21" spans="1:7" ht="15.75" customHeight="1" x14ac:dyDescent="0.2">
      <c r="A21" s="9"/>
      <c r="B21" s="10" t="s">
        <v>32</v>
      </c>
      <c r="C21" s="11" t="s">
        <v>29</v>
      </c>
      <c r="D21" s="9" t="str">
        <f t="shared" ref="D21:E21" ca="1" si="18">IFERROR(__xludf.DUMMYFUNCTION("If (A21&lt;&gt;"""", GOOGLETRANSLATE(A21, ""auto"", ""en""), """")"),"")</f>
        <v/>
      </c>
      <c r="E21" s="9" t="str">
        <f t="shared" ca="1" si="18"/>
        <v/>
      </c>
      <c r="F21" s="3" t="s">
        <v>12</v>
      </c>
      <c r="G21" s="12" t="str">
        <f t="shared" si="17"/>
        <v>{"text":"その他の質問（ホスト）","postback":"FAQ-Host-First"},</v>
      </c>
    </row>
    <row r="22" spans="1:7" ht="15.75" customHeight="1" x14ac:dyDescent="0.2">
      <c r="A22" s="9"/>
      <c r="B22" s="9" t="s">
        <v>25</v>
      </c>
      <c r="C22" s="11" t="s">
        <v>27</v>
      </c>
      <c r="D22" s="9" t="str">
        <f t="shared" ref="D22:E22" ca="1" si="19">IFERROR(__xludf.DUMMYFUNCTION("If (A22&lt;&gt;"""", GOOGLETRANSLATE(A22, ""auto"", ""en""), """")"),"")</f>
        <v/>
      </c>
      <c r="E22" s="9" t="str">
        <f t="shared" ca="1" si="19"/>
        <v/>
      </c>
      <c r="F22" s="3" t="s">
        <v>12</v>
      </c>
      <c r="G22" s="12" t="str">
        <f t="shared" si="17"/>
        <v>{"text":"宿泊先を探す","postback":"Search-House"},</v>
      </c>
    </row>
    <row r="23" spans="1:7" ht="15.75" customHeight="1" x14ac:dyDescent="0.2">
      <c r="A23" s="9"/>
      <c r="B23" s="9" t="s">
        <v>30</v>
      </c>
      <c r="C23" s="11" t="s">
        <v>31</v>
      </c>
      <c r="D23" s="9" t="str">
        <f t="shared" ref="D23:E23" ca="1" si="20">IFERROR(__xludf.DUMMYFUNCTION("If (A23&lt;&gt;"""", GOOGLETRANSLATE(A23, ""auto"", ""en""), """")"),"")</f>
        <v/>
      </c>
      <c r="E23" s="9" t="str">
        <f t="shared" ca="1" si="20"/>
        <v/>
      </c>
      <c r="F23" s="3" t="s">
        <v>12</v>
      </c>
      <c r="G23" s="12" t="str">
        <f t="shared" si="17"/>
        <v>{"text":"物件の登録をする","postback":"Register-House"},</v>
      </c>
    </row>
    <row r="24" spans="1:7" ht="15.75" customHeight="1" x14ac:dyDescent="0.2">
      <c r="A24" s="84" t="s">
        <v>276</v>
      </c>
      <c r="B24" s="85"/>
      <c r="C24" s="86"/>
      <c r="D24" s="26"/>
      <c r="E24" s="26"/>
      <c r="F24" s="3" t="s">
        <v>12</v>
      </c>
      <c r="G24" s="28"/>
    </row>
    <row r="25" spans="1:7" ht="15.75" customHeight="1" x14ac:dyDescent="0.2">
      <c r="A25" s="14" t="s">
        <v>275</v>
      </c>
      <c r="B25" s="15" t="s">
        <v>382</v>
      </c>
      <c r="C25" s="3"/>
      <c r="D25" s="5" t="str">
        <f t="shared" ref="D25:E25" ca="1" si="21">IFERROR(__xludf.DUMMYFUNCTION("If (A25&lt;&gt;"""", GOOGLETRANSLATE(A25, ""auto"", ""en""), """")"),"For information about changing the contents noted")</f>
        <v>For information about changing the contents noted</v>
      </c>
      <c r="E25" s="5" t="str">
        <f t="shared" ca="1" si="21"/>
        <v>For information about changing the contents noted</v>
      </c>
      <c r="F25" s="3" t="s">
        <v>12</v>
      </c>
      <c r="G25" s="3"/>
    </row>
    <row r="26" spans="1:7" ht="15.75" customHeight="1" x14ac:dyDescent="0.2">
      <c r="A26" s="5"/>
      <c r="B26" s="5" t="s">
        <v>19</v>
      </c>
      <c r="C26" s="3"/>
      <c r="D26" s="5" t="str">
        <f t="shared" ref="D26:E26" ca="1" si="22">IFERROR(__xludf.DUMMYFUNCTION("If (A26&lt;&gt;"""", GOOGLETRANSLATE(A26, ""auto"", ""en""), """")"),"")</f>
        <v/>
      </c>
      <c r="E26" s="5" t="str">
        <f t="shared" ca="1" si="22"/>
        <v/>
      </c>
      <c r="F26" s="3" t="s">
        <v>12</v>
      </c>
      <c r="G26" s="3"/>
    </row>
    <row r="27" spans="1:7" ht="15.75" customHeight="1" x14ac:dyDescent="0.2">
      <c r="A27" s="8" t="s">
        <v>21</v>
      </c>
      <c r="B27" s="10" t="s">
        <v>24</v>
      </c>
      <c r="C27" s="11" t="s">
        <v>26</v>
      </c>
      <c r="D27" s="8" t="str">
        <f t="shared" ref="D27:E27" ca="1" si="23">IFERROR(__xludf.DUMMYFUNCTION("If (A27&lt;&gt;"""", GOOGLETRANSLATE(A27, ""auto"", ""en""), """")"),"Quick Replies")</f>
        <v>Quick Replies</v>
      </c>
      <c r="E27" s="9" t="str">
        <f t="shared" ca="1" si="23"/>
        <v>Quick Replies</v>
      </c>
      <c r="F27" s="3" t="s">
        <v>12</v>
      </c>
      <c r="G27" s="12" t="str">
        <f t="shared" ref="G27:G30" si="24">"{""text"":"""&amp;B27&amp;""",""postback"":"""&amp;C27&amp;"""},"</f>
        <v>{"text":"その他の質問（ゲスト）","postback":"FAQ-Guest-First"},</v>
      </c>
    </row>
    <row r="28" spans="1:7" ht="15.75" customHeight="1" x14ac:dyDescent="0.2">
      <c r="A28" s="9"/>
      <c r="B28" s="10" t="s">
        <v>32</v>
      </c>
      <c r="C28" s="11" t="s">
        <v>29</v>
      </c>
      <c r="D28" s="9" t="str">
        <f t="shared" ref="D28:E28" ca="1" si="25">IFERROR(__xludf.DUMMYFUNCTION("If (A28&lt;&gt;"""", GOOGLETRANSLATE(A28, ""auto"", ""en""), """")"),"")</f>
        <v/>
      </c>
      <c r="E28" s="9" t="str">
        <f t="shared" ca="1" si="25"/>
        <v/>
      </c>
      <c r="F28" s="3" t="s">
        <v>12</v>
      </c>
      <c r="G28" s="12" t="str">
        <f t="shared" si="24"/>
        <v>{"text":"その他の質問（ホスト）","postback":"FAQ-Host-First"},</v>
      </c>
    </row>
    <row r="29" spans="1:7" ht="15.75" customHeight="1" x14ac:dyDescent="0.2">
      <c r="A29" s="9"/>
      <c r="B29" s="9" t="s">
        <v>25</v>
      </c>
      <c r="C29" s="11" t="s">
        <v>27</v>
      </c>
      <c r="D29" s="9" t="str">
        <f t="shared" ref="D29:E29" ca="1" si="26">IFERROR(__xludf.DUMMYFUNCTION("If (A29&lt;&gt;"""", GOOGLETRANSLATE(A29, ""auto"", ""en""), """")"),"")</f>
        <v/>
      </c>
      <c r="E29" s="9" t="str">
        <f t="shared" ca="1" si="26"/>
        <v/>
      </c>
      <c r="F29" s="3" t="s">
        <v>12</v>
      </c>
      <c r="G29" s="12" t="str">
        <f t="shared" si="24"/>
        <v>{"text":"宿泊先を探す","postback":"Search-House"},</v>
      </c>
    </row>
    <row r="30" spans="1:7" ht="15.75" customHeight="1" x14ac:dyDescent="0.2">
      <c r="A30" s="9"/>
      <c r="B30" s="9" t="s">
        <v>30</v>
      </c>
      <c r="C30" s="11" t="s">
        <v>31</v>
      </c>
      <c r="D30" s="9" t="str">
        <f t="shared" ref="D30:E30" ca="1" si="27">IFERROR(__xludf.DUMMYFUNCTION("If (A30&lt;&gt;"""", GOOGLETRANSLATE(A30, ""auto"", ""en""), """")"),"")</f>
        <v/>
      </c>
      <c r="E30" s="9" t="str">
        <f t="shared" ca="1" si="27"/>
        <v/>
      </c>
      <c r="F30" s="3" t="s">
        <v>12</v>
      </c>
      <c r="G30" s="12" t="str">
        <f t="shared" si="24"/>
        <v>{"text":"物件の登録をする","postback":"Register-House"},</v>
      </c>
    </row>
    <row r="31" spans="1:7" ht="15.75" customHeight="1" x14ac:dyDescent="0.2">
      <c r="A31" s="84" t="s">
        <v>279</v>
      </c>
      <c r="B31" s="85"/>
      <c r="C31" s="86"/>
      <c r="D31" s="26"/>
      <c r="E31" s="26"/>
      <c r="F31" s="3" t="s">
        <v>12</v>
      </c>
      <c r="G31" s="28"/>
    </row>
    <row r="32" spans="1:7" ht="15.75" customHeight="1" x14ac:dyDescent="0.2">
      <c r="A32" s="14" t="s">
        <v>278</v>
      </c>
      <c r="B32" s="14" t="s">
        <v>384</v>
      </c>
      <c r="C32" s="3"/>
      <c r="D32" s="5" t="str">
        <f t="shared" ref="D32:E32" ca="1" si="28">IFERROR(__xludf.DUMMYFUNCTION("If (A32&lt;&gt;"""", GOOGLETRANSLATE(A32, ""auto"", ""en""), """")"),"For deletion of the registered property")</f>
        <v>For deletion of the registered property</v>
      </c>
      <c r="E32" s="5" t="str">
        <f t="shared" ca="1" si="28"/>
        <v>For deletion of the registered property</v>
      </c>
      <c r="F32" s="3" t="s">
        <v>12</v>
      </c>
      <c r="G32" s="3"/>
    </row>
    <row r="33" spans="1:7" ht="12.75" x14ac:dyDescent="0.2">
      <c r="A33" s="5"/>
      <c r="B33" s="5" t="s">
        <v>19</v>
      </c>
      <c r="C33" s="3"/>
      <c r="D33" s="5" t="str">
        <f t="shared" ref="D33:E33" ca="1" si="29">IFERROR(__xludf.DUMMYFUNCTION("If (A33&lt;&gt;"""", GOOGLETRANSLATE(A33, ""auto"", ""en""), """")"),"")</f>
        <v/>
      </c>
      <c r="E33" s="5" t="str">
        <f t="shared" ca="1" si="29"/>
        <v/>
      </c>
      <c r="F33" s="3" t="s">
        <v>12</v>
      </c>
      <c r="G33" s="3"/>
    </row>
    <row r="34" spans="1:7" ht="25.5" x14ac:dyDescent="0.2">
      <c r="A34" s="8" t="s">
        <v>21</v>
      </c>
      <c r="B34" s="10" t="s">
        <v>24</v>
      </c>
      <c r="C34" s="11" t="s">
        <v>26</v>
      </c>
      <c r="D34" s="8" t="str">
        <f t="shared" ref="D34:E34" ca="1" si="30">IFERROR(__xludf.DUMMYFUNCTION("If (A34&lt;&gt;"""", GOOGLETRANSLATE(A34, ""auto"", ""en""), """")"),"Quick Replies")</f>
        <v>Quick Replies</v>
      </c>
      <c r="E34" s="9" t="str">
        <f t="shared" ca="1" si="30"/>
        <v>Quick Replies</v>
      </c>
      <c r="F34" s="3" t="s">
        <v>12</v>
      </c>
      <c r="G34" s="12" t="str">
        <f t="shared" ref="G34:G37" si="31">"{""text"":"""&amp;B34&amp;""",""postback"":"""&amp;C34&amp;"""},"</f>
        <v>{"text":"その他の質問（ゲスト）","postback":"FAQ-Guest-First"},</v>
      </c>
    </row>
    <row r="35" spans="1:7" ht="25.5" x14ac:dyDescent="0.2">
      <c r="A35" s="9"/>
      <c r="B35" s="10" t="s">
        <v>32</v>
      </c>
      <c r="C35" s="11" t="s">
        <v>29</v>
      </c>
      <c r="D35" s="9" t="str">
        <f t="shared" ref="D35:E35" ca="1" si="32">IFERROR(__xludf.DUMMYFUNCTION("If (A35&lt;&gt;"""", GOOGLETRANSLATE(A35, ""auto"", ""en""), """")"),"")</f>
        <v/>
      </c>
      <c r="E35" s="9" t="str">
        <f t="shared" ca="1" si="32"/>
        <v/>
      </c>
      <c r="F35" s="3" t="s">
        <v>12</v>
      </c>
      <c r="G35" s="12" t="str">
        <f t="shared" si="31"/>
        <v>{"text":"その他の質問（ホスト）","postback":"FAQ-Host-First"},</v>
      </c>
    </row>
    <row r="36" spans="1:7" ht="12.75" x14ac:dyDescent="0.2">
      <c r="A36" s="9"/>
      <c r="B36" s="9" t="s">
        <v>25</v>
      </c>
      <c r="C36" s="11" t="s">
        <v>27</v>
      </c>
      <c r="D36" s="9" t="str">
        <f t="shared" ref="D36:E36" ca="1" si="33">IFERROR(__xludf.DUMMYFUNCTION("If (A36&lt;&gt;"""", GOOGLETRANSLATE(A36, ""auto"", ""en""), """")"),"")</f>
        <v/>
      </c>
      <c r="E36" s="9" t="str">
        <f t="shared" ca="1" si="33"/>
        <v/>
      </c>
      <c r="F36" s="3" t="s">
        <v>12</v>
      </c>
      <c r="G36" s="12" t="str">
        <f t="shared" si="31"/>
        <v>{"text":"宿泊先を探す","postback":"Search-House"},</v>
      </c>
    </row>
    <row r="37" spans="1:7" ht="12.75" x14ac:dyDescent="0.2">
      <c r="A37" s="9"/>
      <c r="B37" s="9" t="s">
        <v>30</v>
      </c>
      <c r="C37" s="11" t="s">
        <v>31</v>
      </c>
      <c r="D37" s="9" t="str">
        <f t="shared" ref="D37:E37" ca="1" si="34">IFERROR(__xludf.DUMMYFUNCTION("If (A37&lt;&gt;"""", GOOGLETRANSLATE(A37, ""auto"", ""en""), """")"),"")</f>
        <v/>
      </c>
      <c r="E37" s="9" t="str">
        <f t="shared" ca="1" si="34"/>
        <v/>
      </c>
      <c r="F37" s="3" t="s">
        <v>12</v>
      </c>
      <c r="G37" s="12" t="str">
        <f t="shared" si="31"/>
        <v>{"text":"物件の登録をする","postback":"Register-House"},</v>
      </c>
    </row>
    <row r="38" spans="1:7" x14ac:dyDescent="0.2">
      <c r="A38" s="84" t="s">
        <v>282</v>
      </c>
      <c r="B38" s="85"/>
      <c r="C38" s="86"/>
      <c r="D38" s="26"/>
      <c r="E38" s="26"/>
      <c r="F38" s="3" t="s">
        <v>12</v>
      </c>
      <c r="G38" s="28"/>
    </row>
    <row r="39" spans="1:7" ht="38.25" x14ac:dyDescent="0.2">
      <c r="A39" s="14" t="s">
        <v>281</v>
      </c>
      <c r="B39" s="14" t="s">
        <v>388</v>
      </c>
      <c r="C39" s="3"/>
      <c r="D39" s="5" t="str">
        <f t="shared" ref="D39:E39" ca="1" si="35">IFERROR(__xludf.DUMMYFUNCTION("If (A39&lt;&gt;"""", GOOGLETRANSLATE(A39, ""auto"", ""en""), """")"),"For taking photos")</f>
        <v>For taking photos</v>
      </c>
      <c r="E39" s="5" t="str">
        <f t="shared" ca="1" si="35"/>
        <v>For taking photos</v>
      </c>
      <c r="F39" s="3" t="s">
        <v>12</v>
      </c>
      <c r="G39" s="3"/>
    </row>
    <row r="40" spans="1:7" ht="12.75" x14ac:dyDescent="0.2">
      <c r="A40" s="5"/>
      <c r="B40" s="5" t="s">
        <v>19</v>
      </c>
      <c r="C40" s="3"/>
      <c r="D40" s="5" t="str">
        <f t="shared" ref="D40:E40" ca="1" si="36">IFERROR(__xludf.DUMMYFUNCTION("If (A40&lt;&gt;"""", GOOGLETRANSLATE(A40, ""auto"", ""en""), """")"),"")</f>
        <v/>
      </c>
      <c r="E40" s="5" t="str">
        <f t="shared" ca="1" si="36"/>
        <v/>
      </c>
      <c r="F40" s="3" t="s">
        <v>12</v>
      </c>
      <c r="G40" s="3"/>
    </row>
    <row r="41" spans="1:7" ht="25.5" x14ac:dyDescent="0.2">
      <c r="A41" s="8" t="s">
        <v>21</v>
      </c>
      <c r="B41" s="10" t="s">
        <v>24</v>
      </c>
      <c r="C41" s="11" t="s">
        <v>26</v>
      </c>
      <c r="D41" s="8" t="str">
        <f t="shared" ref="D41:E41" ca="1" si="37">IFERROR(__xludf.DUMMYFUNCTION("If (A41&lt;&gt;"""", GOOGLETRANSLATE(A41, ""auto"", ""en""), """")"),"Quick Replies")</f>
        <v>Quick Replies</v>
      </c>
      <c r="E41" s="9" t="str">
        <f t="shared" ca="1" si="37"/>
        <v>Quick Replies</v>
      </c>
      <c r="F41" s="3" t="s">
        <v>12</v>
      </c>
      <c r="G41" s="12" t="str">
        <f t="shared" ref="G41:G44" si="38">"{""text"":"""&amp;B41&amp;""",""postback"":"""&amp;C41&amp;"""},"</f>
        <v>{"text":"その他の質問（ゲスト）","postback":"FAQ-Guest-First"},</v>
      </c>
    </row>
    <row r="42" spans="1:7" ht="25.5" x14ac:dyDescent="0.2">
      <c r="A42" s="9"/>
      <c r="B42" s="10" t="s">
        <v>32</v>
      </c>
      <c r="C42" s="11" t="s">
        <v>29</v>
      </c>
      <c r="D42" s="9" t="str">
        <f t="shared" ref="D42:E42" ca="1" si="39">IFERROR(__xludf.DUMMYFUNCTION("If (A42&lt;&gt;"""", GOOGLETRANSLATE(A42, ""auto"", ""en""), """")"),"")</f>
        <v/>
      </c>
      <c r="E42" s="9" t="str">
        <f t="shared" ca="1" si="39"/>
        <v/>
      </c>
      <c r="F42" s="3" t="s">
        <v>12</v>
      </c>
      <c r="G42" s="12" t="str">
        <f t="shared" si="38"/>
        <v>{"text":"その他の質問（ホスト）","postback":"FAQ-Host-First"},</v>
      </c>
    </row>
    <row r="43" spans="1:7" ht="12.75" x14ac:dyDescent="0.2">
      <c r="A43" s="9"/>
      <c r="B43" s="9" t="s">
        <v>25</v>
      </c>
      <c r="C43" s="11" t="s">
        <v>27</v>
      </c>
      <c r="D43" s="9" t="str">
        <f t="shared" ref="D43:E43" ca="1" si="40">IFERROR(__xludf.DUMMYFUNCTION("If (A43&lt;&gt;"""", GOOGLETRANSLATE(A43, ""auto"", ""en""), """")"),"")</f>
        <v/>
      </c>
      <c r="E43" s="9" t="str">
        <f t="shared" ca="1" si="40"/>
        <v/>
      </c>
      <c r="F43" s="3" t="s">
        <v>12</v>
      </c>
      <c r="G43" s="12" t="str">
        <f t="shared" si="38"/>
        <v>{"text":"宿泊先を探す","postback":"Search-House"},</v>
      </c>
    </row>
    <row r="44" spans="1:7" ht="12.75" x14ac:dyDescent="0.2">
      <c r="A44" s="9"/>
      <c r="B44" s="9" t="s">
        <v>30</v>
      </c>
      <c r="C44" s="11" t="s">
        <v>31</v>
      </c>
      <c r="D44" s="9" t="str">
        <f t="shared" ref="D44:E44" ca="1" si="41">IFERROR(__xludf.DUMMYFUNCTION("If (A44&lt;&gt;"""", GOOGLETRANSLATE(A44, ""auto"", ""en""), """")"),"")</f>
        <v/>
      </c>
      <c r="E44" s="9" t="str">
        <f t="shared" ca="1" si="41"/>
        <v/>
      </c>
      <c r="F44" s="3" t="s">
        <v>12</v>
      </c>
      <c r="G44" s="12" t="str">
        <f t="shared" si="38"/>
        <v>{"text":"物件の登録をする","postback":"Register-House"},</v>
      </c>
    </row>
    <row r="45" spans="1:7" x14ac:dyDescent="0.2">
      <c r="A45" s="84" t="s">
        <v>286</v>
      </c>
      <c r="B45" s="85"/>
      <c r="C45" s="86"/>
      <c r="D45" s="26"/>
      <c r="E45" s="26"/>
      <c r="F45" s="3" t="s">
        <v>12</v>
      </c>
      <c r="G45" s="28"/>
    </row>
    <row r="46" spans="1:7" ht="25.5" x14ac:dyDescent="0.2">
      <c r="A46" s="14" t="s">
        <v>285</v>
      </c>
      <c r="B46" s="14" t="s">
        <v>389</v>
      </c>
      <c r="C46" s="3"/>
      <c r="D46" s="5" t="str">
        <f t="shared" ref="D46:E46" ca="1" si="42">IFERROR(__xludf.DUMMYFUNCTION("If (A46&lt;&gt;"""", GOOGLETRANSLATE(A46, ""auto"", ""en""), """")"),"Cancellation Policy")</f>
        <v>Cancellation Policy</v>
      </c>
      <c r="E46" s="5" t="str">
        <f t="shared" ca="1" si="42"/>
        <v>Cancellation Policy</v>
      </c>
      <c r="F46" s="3" t="s">
        <v>12</v>
      </c>
      <c r="G46" s="3"/>
    </row>
    <row r="47" spans="1:7" ht="12.75" x14ac:dyDescent="0.2">
      <c r="A47" s="5"/>
      <c r="B47" s="5" t="s">
        <v>19</v>
      </c>
      <c r="C47" s="3"/>
      <c r="D47" s="5" t="str">
        <f t="shared" ref="D47:E47" ca="1" si="43">IFERROR(__xludf.DUMMYFUNCTION("If (A47&lt;&gt;"""", GOOGLETRANSLATE(A47, ""auto"", ""en""), """")"),"")</f>
        <v/>
      </c>
      <c r="E47" s="5" t="str">
        <f t="shared" ca="1" si="43"/>
        <v/>
      </c>
      <c r="F47" s="3" t="s">
        <v>12</v>
      </c>
      <c r="G47" s="3"/>
    </row>
    <row r="48" spans="1:7" ht="25.5" x14ac:dyDescent="0.2">
      <c r="A48" s="8" t="s">
        <v>21</v>
      </c>
      <c r="B48" s="10" t="s">
        <v>24</v>
      </c>
      <c r="C48" s="11" t="s">
        <v>26</v>
      </c>
      <c r="D48" s="8" t="str">
        <f t="shared" ref="D48:E48" ca="1" si="44">IFERROR(__xludf.DUMMYFUNCTION("If (A48&lt;&gt;"""", GOOGLETRANSLATE(A48, ""auto"", ""en""), """")"),"Quick Replies")</f>
        <v>Quick Replies</v>
      </c>
      <c r="E48" s="9" t="str">
        <f t="shared" ca="1" si="44"/>
        <v>Quick Replies</v>
      </c>
      <c r="F48" s="3" t="s">
        <v>12</v>
      </c>
      <c r="G48" s="12" t="str">
        <f t="shared" ref="G48:G51" si="45">"{""text"":"""&amp;B48&amp;""",""postback"":"""&amp;C48&amp;"""},"</f>
        <v>{"text":"その他の質問（ゲスト）","postback":"FAQ-Guest-First"},</v>
      </c>
    </row>
    <row r="49" spans="1:7" ht="25.5" x14ac:dyDescent="0.2">
      <c r="A49" s="9"/>
      <c r="B49" s="10" t="s">
        <v>32</v>
      </c>
      <c r="C49" s="11" t="s">
        <v>29</v>
      </c>
      <c r="D49" s="9" t="str">
        <f t="shared" ref="D49:E49" ca="1" si="46">IFERROR(__xludf.DUMMYFUNCTION("If (A49&lt;&gt;"""", GOOGLETRANSLATE(A49, ""auto"", ""en""), """")"),"")</f>
        <v/>
      </c>
      <c r="E49" s="9" t="str">
        <f t="shared" ca="1" si="46"/>
        <v/>
      </c>
      <c r="F49" s="3" t="s">
        <v>12</v>
      </c>
      <c r="G49" s="12" t="str">
        <f t="shared" si="45"/>
        <v>{"text":"その他の質問（ホスト）","postback":"FAQ-Host-First"},</v>
      </c>
    </row>
    <row r="50" spans="1:7" ht="12.75" x14ac:dyDescent="0.2">
      <c r="A50" s="9"/>
      <c r="B50" s="9" t="s">
        <v>25</v>
      </c>
      <c r="C50" s="11" t="s">
        <v>27</v>
      </c>
      <c r="D50" s="9" t="str">
        <f t="shared" ref="D50:E50" ca="1" si="47">IFERROR(__xludf.DUMMYFUNCTION("If (A50&lt;&gt;"""", GOOGLETRANSLATE(A50, ""auto"", ""en""), """")"),"")</f>
        <v/>
      </c>
      <c r="E50" s="9" t="str">
        <f t="shared" ca="1" si="47"/>
        <v/>
      </c>
      <c r="F50" s="3" t="s">
        <v>12</v>
      </c>
      <c r="G50" s="12" t="str">
        <f t="shared" si="45"/>
        <v>{"text":"宿泊先を探す","postback":"Search-House"},</v>
      </c>
    </row>
    <row r="51" spans="1:7" ht="12.75" x14ac:dyDescent="0.2">
      <c r="A51" s="9"/>
      <c r="B51" s="9" t="s">
        <v>30</v>
      </c>
      <c r="C51" s="11" t="s">
        <v>31</v>
      </c>
      <c r="D51" s="9" t="str">
        <f t="shared" ref="D51:E51" ca="1" si="48">IFERROR(__xludf.DUMMYFUNCTION("If (A51&lt;&gt;"""", GOOGLETRANSLATE(A51, ""auto"", ""en""), """")"),"")</f>
        <v/>
      </c>
      <c r="E51" s="9" t="str">
        <f t="shared" ca="1" si="48"/>
        <v/>
      </c>
      <c r="F51" s="3" t="s">
        <v>12</v>
      </c>
      <c r="G51" s="12" t="str">
        <f t="shared" si="45"/>
        <v>{"text":"物件の登録をする","postback":"Register-House"},</v>
      </c>
    </row>
    <row r="52" spans="1:7" x14ac:dyDescent="0.2">
      <c r="A52" s="84" t="s">
        <v>289</v>
      </c>
      <c r="B52" s="85"/>
      <c r="C52" s="86"/>
      <c r="D52" s="26"/>
      <c r="E52" s="26"/>
      <c r="F52" s="3" t="s">
        <v>12</v>
      </c>
      <c r="G52" s="28"/>
    </row>
    <row r="53" spans="1:7" ht="12.75" x14ac:dyDescent="0.2">
      <c r="A53" s="20" t="s">
        <v>288</v>
      </c>
      <c r="B53" s="20" t="s">
        <v>393</v>
      </c>
      <c r="C53" s="3"/>
      <c r="D53" s="5" t="str">
        <f t="shared" ref="D53:E53" ca="1" si="49">IFERROR(__xludf.DUMMYFUNCTION("If (A53&lt;&gt;"""", GOOGLETRANSLATE(A53, ""auto"", ""en""), """")"),"For registration limit on the number of")</f>
        <v>For registration limit on the number of</v>
      </c>
      <c r="E53" s="5" t="str">
        <f t="shared" ca="1" si="49"/>
        <v>For registration limit on the number of</v>
      </c>
      <c r="F53" s="3" t="s">
        <v>12</v>
      </c>
      <c r="G53" s="3"/>
    </row>
    <row r="54" spans="1:7" ht="12.75" x14ac:dyDescent="0.2">
      <c r="A54" s="5"/>
      <c r="B54" s="5" t="s">
        <v>19</v>
      </c>
      <c r="C54" s="3"/>
      <c r="D54" s="5" t="str">
        <f t="shared" ref="D54:E54" ca="1" si="50">IFERROR(__xludf.DUMMYFUNCTION("If (A54&lt;&gt;"""", GOOGLETRANSLATE(A54, ""auto"", ""en""), """")"),"")</f>
        <v/>
      </c>
      <c r="E54" s="5" t="str">
        <f t="shared" ca="1" si="50"/>
        <v/>
      </c>
      <c r="F54" s="3" t="s">
        <v>12</v>
      </c>
      <c r="G54" s="3"/>
    </row>
    <row r="55" spans="1:7" ht="25.5" x14ac:dyDescent="0.2">
      <c r="A55" s="8" t="s">
        <v>21</v>
      </c>
      <c r="B55" s="10" t="s">
        <v>24</v>
      </c>
      <c r="C55" s="11" t="s">
        <v>26</v>
      </c>
      <c r="D55" s="8" t="str">
        <f t="shared" ref="D55:E55" ca="1" si="51">IFERROR(__xludf.DUMMYFUNCTION("If (A55&lt;&gt;"""", GOOGLETRANSLATE(A55, ""auto"", ""en""), """")"),"Quick Replies")</f>
        <v>Quick Replies</v>
      </c>
      <c r="E55" s="9" t="str">
        <f t="shared" ca="1" si="51"/>
        <v>Quick Replies</v>
      </c>
      <c r="F55" s="3" t="s">
        <v>12</v>
      </c>
      <c r="G55" s="12" t="str">
        <f t="shared" ref="G55:G58" si="52">"{""text"":"""&amp;B55&amp;""",""postback"":"""&amp;C55&amp;"""},"</f>
        <v>{"text":"その他の質問（ゲスト）","postback":"FAQ-Guest-First"},</v>
      </c>
    </row>
    <row r="56" spans="1:7" ht="25.5" x14ac:dyDescent="0.2">
      <c r="A56" s="9"/>
      <c r="B56" s="10" t="s">
        <v>32</v>
      </c>
      <c r="C56" s="11" t="s">
        <v>29</v>
      </c>
      <c r="D56" s="9" t="str">
        <f t="shared" ref="D56:E56" ca="1" si="53">IFERROR(__xludf.DUMMYFUNCTION("If (A56&lt;&gt;"""", GOOGLETRANSLATE(A56, ""auto"", ""en""), """")"),"")</f>
        <v/>
      </c>
      <c r="E56" s="9" t="str">
        <f t="shared" ca="1" si="53"/>
        <v/>
      </c>
      <c r="F56" s="3" t="s">
        <v>12</v>
      </c>
      <c r="G56" s="12" t="str">
        <f t="shared" si="52"/>
        <v>{"text":"その他の質問（ホスト）","postback":"FAQ-Host-First"},</v>
      </c>
    </row>
    <row r="57" spans="1:7" ht="12.75" x14ac:dyDescent="0.2">
      <c r="A57" s="9"/>
      <c r="B57" s="9" t="s">
        <v>25</v>
      </c>
      <c r="C57" s="11" t="s">
        <v>27</v>
      </c>
      <c r="D57" s="9" t="str">
        <f t="shared" ref="D57:E57" ca="1" si="54">IFERROR(__xludf.DUMMYFUNCTION("If (A57&lt;&gt;"""", GOOGLETRANSLATE(A57, ""auto"", ""en""), """")"),"")</f>
        <v/>
      </c>
      <c r="E57" s="9" t="str">
        <f t="shared" ca="1" si="54"/>
        <v/>
      </c>
      <c r="F57" s="3" t="s">
        <v>12</v>
      </c>
      <c r="G57" s="12" t="str">
        <f t="shared" si="52"/>
        <v>{"text":"宿泊先を探す","postback":"Search-House"},</v>
      </c>
    </row>
    <row r="58" spans="1:7" ht="12.75" x14ac:dyDescent="0.2">
      <c r="A58" s="9"/>
      <c r="B58" s="9" t="s">
        <v>30</v>
      </c>
      <c r="C58" s="11" t="s">
        <v>31</v>
      </c>
      <c r="D58" s="9" t="str">
        <f t="shared" ref="D58:E58" ca="1" si="55">IFERROR(__xludf.DUMMYFUNCTION("If (A58&lt;&gt;"""", GOOGLETRANSLATE(A58, ""auto"", ""en""), """")"),"")</f>
        <v/>
      </c>
      <c r="E58" s="9" t="str">
        <f t="shared" ca="1" si="55"/>
        <v/>
      </c>
      <c r="F58" s="3" t="s">
        <v>12</v>
      </c>
      <c r="G58" s="12" t="str">
        <f t="shared" si="52"/>
        <v>{"text":"物件の登録をする","postback":"Register-House"},</v>
      </c>
    </row>
    <row r="59" spans="1:7" x14ac:dyDescent="0.2">
      <c r="A59" s="84" t="s">
        <v>294</v>
      </c>
      <c r="B59" s="85"/>
      <c r="C59" s="86"/>
      <c r="D59" s="26"/>
      <c r="E59" s="26"/>
      <c r="F59" s="3" t="s">
        <v>12</v>
      </c>
      <c r="G59" s="28"/>
    </row>
    <row r="60" spans="1:7" ht="38.25" x14ac:dyDescent="0.2">
      <c r="A60" s="20" t="s">
        <v>293</v>
      </c>
      <c r="B60" s="20" t="s">
        <v>404</v>
      </c>
      <c r="C60" s="3"/>
      <c r="D60" s="5" t="str">
        <f t="shared" ref="D60:E60" ca="1" si="56">IFERROR(__xludf.DUMMYFUNCTION("If (A60&lt;&gt;"""", GOOGLETRANSLATE(A60, ""auto"", ""en""), """")"),"For the use of old houses")</f>
        <v>For the use of old houses</v>
      </c>
      <c r="E60" s="5" t="str">
        <f t="shared" ca="1" si="56"/>
        <v>For the use of old houses</v>
      </c>
      <c r="F60" s="3" t="s">
        <v>12</v>
      </c>
      <c r="G60" s="3"/>
    </row>
    <row r="61" spans="1:7" ht="12.75" x14ac:dyDescent="0.2">
      <c r="A61" s="5"/>
      <c r="B61" s="5" t="s">
        <v>19</v>
      </c>
      <c r="C61" s="3"/>
      <c r="D61" s="5" t="str">
        <f t="shared" ref="D61:E61" ca="1" si="57">IFERROR(__xludf.DUMMYFUNCTION("If (A61&lt;&gt;"""", GOOGLETRANSLATE(A61, ""auto"", ""en""), """")"),"")</f>
        <v/>
      </c>
      <c r="E61" s="5" t="str">
        <f t="shared" ca="1" si="57"/>
        <v/>
      </c>
      <c r="F61" s="3" t="s">
        <v>12</v>
      </c>
      <c r="G61" s="3"/>
    </row>
    <row r="62" spans="1:7" ht="25.5" x14ac:dyDescent="0.2">
      <c r="A62" s="8" t="s">
        <v>21</v>
      </c>
      <c r="B62" s="10" t="s">
        <v>24</v>
      </c>
      <c r="C62" s="11" t="s">
        <v>26</v>
      </c>
      <c r="D62" s="8" t="str">
        <f t="shared" ref="D62:E62" ca="1" si="58">IFERROR(__xludf.DUMMYFUNCTION("If (A62&lt;&gt;"""", GOOGLETRANSLATE(A62, ""auto"", ""en""), """")"),"Quick Replies")</f>
        <v>Quick Replies</v>
      </c>
      <c r="E62" s="9" t="str">
        <f t="shared" ca="1" si="58"/>
        <v>Quick Replies</v>
      </c>
      <c r="F62" s="3" t="s">
        <v>12</v>
      </c>
      <c r="G62" s="12" t="str">
        <f t="shared" ref="G62:G65" si="59">"{""text"":"""&amp;B62&amp;""",""postback"":"""&amp;C62&amp;"""},"</f>
        <v>{"text":"その他の質問（ゲスト）","postback":"FAQ-Guest-First"},</v>
      </c>
    </row>
    <row r="63" spans="1:7" ht="25.5" x14ac:dyDescent="0.2">
      <c r="A63" s="9"/>
      <c r="B63" s="10" t="s">
        <v>32</v>
      </c>
      <c r="C63" s="11" t="s">
        <v>29</v>
      </c>
      <c r="D63" s="9" t="str">
        <f t="shared" ref="D63:E63" ca="1" si="60">IFERROR(__xludf.DUMMYFUNCTION("If (A63&lt;&gt;"""", GOOGLETRANSLATE(A63, ""auto"", ""en""), """")"),"")</f>
        <v/>
      </c>
      <c r="E63" s="9" t="str">
        <f t="shared" ca="1" si="60"/>
        <v/>
      </c>
      <c r="F63" s="3" t="s">
        <v>12</v>
      </c>
      <c r="G63" s="12" t="str">
        <f t="shared" si="59"/>
        <v>{"text":"その他の質問（ホスト）","postback":"FAQ-Host-First"},</v>
      </c>
    </row>
    <row r="64" spans="1:7" ht="12.75" x14ac:dyDescent="0.2">
      <c r="A64" s="9"/>
      <c r="B64" s="9" t="s">
        <v>25</v>
      </c>
      <c r="C64" s="11" t="s">
        <v>27</v>
      </c>
      <c r="D64" s="9" t="str">
        <f t="shared" ref="D64:E64" ca="1" si="61">IFERROR(__xludf.DUMMYFUNCTION("If (A64&lt;&gt;"""", GOOGLETRANSLATE(A64, ""auto"", ""en""), """")"),"")</f>
        <v/>
      </c>
      <c r="E64" s="9" t="str">
        <f t="shared" ca="1" si="61"/>
        <v/>
      </c>
      <c r="F64" s="3" t="s">
        <v>12</v>
      </c>
      <c r="G64" s="12" t="str">
        <f t="shared" si="59"/>
        <v>{"text":"宿泊先を探す","postback":"Search-House"},</v>
      </c>
    </row>
    <row r="65" spans="1:7" ht="12.75" x14ac:dyDescent="0.2">
      <c r="A65" s="9"/>
      <c r="B65" s="9" t="s">
        <v>30</v>
      </c>
      <c r="C65" s="11" t="s">
        <v>31</v>
      </c>
      <c r="D65" s="9" t="str">
        <f t="shared" ref="D65:E65" ca="1" si="62">IFERROR(__xludf.DUMMYFUNCTION("If (A65&lt;&gt;"""", GOOGLETRANSLATE(A65, ""auto"", ""en""), """")"),"")</f>
        <v/>
      </c>
      <c r="E65" s="9" t="str">
        <f t="shared" ca="1" si="62"/>
        <v/>
      </c>
      <c r="F65" s="3" t="s">
        <v>12</v>
      </c>
      <c r="G65" s="12" t="str">
        <f t="shared" si="59"/>
        <v>{"text":"物件の登録をする","postback":"Register-House"},</v>
      </c>
    </row>
    <row r="66" spans="1:7" x14ac:dyDescent="0.2">
      <c r="A66" s="84" t="s">
        <v>297</v>
      </c>
      <c r="B66" s="85"/>
      <c r="C66" s="86"/>
      <c r="D66" s="26"/>
      <c r="E66" s="26"/>
      <c r="F66" s="3" t="s">
        <v>12</v>
      </c>
      <c r="G66" s="28"/>
    </row>
    <row r="67" spans="1:7" ht="38.25" x14ac:dyDescent="0.2">
      <c r="A67" s="20" t="s">
        <v>296</v>
      </c>
      <c r="B67" s="20" t="s">
        <v>443</v>
      </c>
      <c r="C67" s="3"/>
      <c r="D67" s="5" t="str">
        <f t="shared" ref="D67:E67" ca="1" si="63">IFERROR(__xludf.DUMMYFUNCTION("If (A67&lt;&gt;"""", GOOGLETRANSLATE(A67, ""auto"", ""en""), """")"),"For review of the examination")</f>
        <v>For review of the examination</v>
      </c>
      <c r="E67" s="5" t="str">
        <f t="shared" ca="1" si="63"/>
        <v>For review of the examination</v>
      </c>
      <c r="F67" s="3" t="s">
        <v>12</v>
      </c>
      <c r="G67" s="3"/>
    </row>
    <row r="68" spans="1:7" ht="12.75" x14ac:dyDescent="0.2">
      <c r="A68" s="5"/>
      <c r="B68" s="5" t="s">
        <v>19</v>
      </c>
      <c r="C68" s="3"/>
      <c r="D68" s="5" t="str">
        <f t="shared" ref="D68:E68" ca="1" si="64">IFERROR(__xludf.DUMMYFUNCTION("If (A68&lt;&gt;"""", GOOGLETRANSLATE(A68, ""auto"", ""en""), """")"),"")</f>
        <v/>
      </c>
      <c r="E68" s="5" t="str">
        <f t="shared" ca="1" si="64"/>
        <v/>
      </c>
      <c r="F68" s="3" t="s">
        <v>12</v>
      </c>
      <c r="G68" s="3"/>
    </row>
    <row r="69" spans="1:7" ht="25.5" x14ac:dyDescent="0.2">
      <c r="A69" s="8" t="s">
        <v>21</v>
      </c>
      <c r="B69" s="10" t="s">
        <v>24</v>
      </c>
      <c r="C69" s="11" t="s">
        <v>26</v>
      </c>
      <c r="D69" s="8" t="str">
        <f t="shared" ref="D69:E69" ca="1" si="65">IFERROR(__xludf.DUMMYFUNCTION("If (A69&lt;&gt;"""", GOOGLETRANSLATE(A69, ""auto"", ""en""), """")"),"Quick Replies")</f>
        <v>Quick Replies</v>
      </c>
      <c r="E69" s="9" t="str">
        <f t="shared" ca="1" si="65"/>
        <v>Quick Replies</v>
      </c>
      <c r="F69" s="3" t="s">
        <v>12</v>
      </c>
      <c r="G69" s="12" t="str">
        <f t="shared" ref="G69:G72" si="66">"{""text"":"""&amp;B69&amp;""",""postback"":"""&amp;C69&amp;"""},"</f>
        <v>{"text":"その他の質問（ゲスト）","postback":"FAQ-Guest-First"},</v>
      </c>
    </row>
    <row r="70" spans="1:7" ht="25.5" x14ac:dyDescent="0.2">
      <c r="A70" s="9"/>
      <c r="B70" s="10" t="s">
        <v>32</v>
      </c>
      <c r="C70" s="11" t="s">
        <v>29</v>
      </c>
      <c r="D70" s="9" t="str">
        <f t="shared" ref="D70:E70" ca="1" si="67">IFERROR(__xludf.DUMMYFUNCTION("If (A70&lt;&gt;"""", GOOGLETRANSLATE(A70, ""auto"", ""en""), """")"),"")</f>
        <v/>
      </c>
      <c r="E70" s="9" t="str">
        <f t="shared" ca="1" si="67"/>
        <v/>
      </c>
      <c r="F70" s="3" t="s">
        <v>12</v>
      </c>
      <c r="G70" s="12" t="str">
        <f t="shared" si="66"/>
        <v>{"text":"その他の質問（ホスト）","postback":"FAQ-Host-First"},</v>
      </c>
    </row>
    <row r="71" spans="1:7" ht="12.75" x14ac:dyDescent="0.2">
      <c r="A71" s="9"/>
      <c r="B71" s="9" t="s">
        <v>25</v>
      </c>
      <c r="C71" s="11" t="s">
        <v>27</v>
      </c>
      <c r="D71" s="9" t="str">
        <f t="shared" ref="D71:E71" ca="1" si="68">IFERROR(__xludf.DUMMYFUNCTION("If (A71&lt;&gt;"""", GOOGLETRANSLATE(A71, ""auto"", ""en""), """")"),"")</f>
        <v/>
      </c>
      <c r="E71" s="9" t="str">
        <f t="shared" ca="1" si="68"/>
        <v/>
      </c>
      <c r="F71" s="3" t="s">
        <v>12</v>
      </c>
      <c r="G71" s="12" t="str">
        <f t="shared" si="66"/>
        <v>{"text":"宿泊先を探す","postback":"Search-House"},</v>
      </c>
    </row>
    <row r="72" spans="1:7" ht="12.75" x14ac:dyDescent="0.2">
      <c r="A72" s="9"/>
      <c r="B72" s="9" t="s">
        <v>30</v>
      </c>
      <c r="C72" s="11" t="s">
        <v>31</v>
      </c>
      <c r="D72" s="9" t="str">
        <f t="shared" ref="D72:E72" ca="1" si="69">IFERROR(__xludf.DUMMYFUNCTION("If (A72&lt;&gt;"""", GOOGLETRANSLATE(A72, ""auto"", ""en""), """")"),"")</f>
        <v/>
      </c>
      <c r="E72" s="9" t="str">
        <f t="shared" ca="1" si="69"/>
        <v/>
      </c>
      <c r="F72" s="3" t="s">
        <v>12</v>
      </c>
      <c r="G72" s="12" t="str">
        <f t="shared" si="66"/>
        <v>{"text":"物件の登録をする","postback":"Register-House"},</v>
      </c>
    </row>
    <row r="73" spans="1:7" x14ac:dyDescent="0.2">
      <c r="A73" s="84" t="s">
        <v>305</v>
      </c>
      <c r="B73" s="85"/>
      <c r="C73" s="86"/>
      <c r="D73" s="26"/>
      <c r="E73" s="26"/>
      <c r="F73" s="3" t="s">
        <v>12</v>
      </c>
      <c r="G73" s="28"/>
    </row>
    <row r="74" spans="1:7" ht="25.5" x14ac:dyDescent="0.2">
      <c r="A74" s="20" t="s">
        <v>304</v>
      </c>
      <c r="B74" s="20" t="s">
        <v>490</v>
      </c>
      <c r="C74" s="3"/>
      <c r="D74" s="5" t="str">
        <f t="shared" ref="D74:E74" ca="1" si="70">IFERROR(__xludf.DUMMYFUNCTION("If (A74&lt;&gt;"""", GOOGLETRANSLATE(A74, ""auto"", ""en""), """")"),"Changes to stay fee by the number of people")</f>
        <v>Changes to stay fee by the number of people</v>
      </c>
      <c r="E74" s="5" t="str">
        <f t="shared" ca="1" si="70"/>
        <v>Changes to stay fee by the number of people</v>
      </c>
      <c r="F74" s="3" t="s">
        <v>12</v>
      </c>
      <c r="G74" s="3"/>
    </row>
    <row r="75" spans="1:7" ht="12.75" x14ac:dyDescent="0.2">
      <c r="A75" s="5"/>
      <c r="B75" s="5" t="s">
        <v>19</v>
      </c>
      <c r="C75" s="3"/>
      <c r="D75" s="5" t="str">
        <f t="shared" ref="D75:E75" ca="1" si="71">IFERROR(__xludf.DUMMYFUNCTION("If (A75&lt;&gt;"""", GOOGLETRANSLATE(A75, ""auto"", ""en""), """")"),"")</f>
        <v/>
      </c>
      <c r="E75" s="5" t="str">
        <f t="shared" ca="1" si="71"/>
        <v/>
      </c>
      <c r="F75" s="3" t="s">
        <v>12</v>
      </c>
      <c r="G75" s="3"/>
    </row>
    <row r="76" spans="1:7" ht="25.5" x14ac:dyDescent="0.2">
      <c r="A76" s="8" t="s">
        <v>21</v>
      </c>
      <c r="B76" s="10" t="s">
        <v>24</v>
      </c>
      <c r="C76" s="11" t="s">
        <v>26</v>
      </c>
      <c r="D76" s="8" t="str">
        <f t="shared" ref="D76:E76" ca="1" si="72">IFERROR(__xludf.DUMMYFUNCTION("If (A76&lt;&gt;"""", GOOGLETRANSLATE(A76, ""auto"", ""en""), """")"),"Quick Replies")</f>
        <v>Quick Replies</v>
      </c>
      <c r="E76" s="9" t="str">
        <f t="shared" ca="1" si="72"/>
        <v>Quick Replies</v>
      </c>
      <c r="F76" s="3" t="s">
        <v>12</v>
      </c>
      <c r="G76" s="12" t="str">
        <f t="shared" ref="G76:G79" si="73">"{""text"":"""&amp;B76&amp;""",""postback"":"""&amp;C76&amp;"""},"</f>
        <v>{"text":"その他の質問（ゲスト）","postback":"FAQ-Guest-First"},</v>
      </c>
    </row>
    <row r="77" spans="1:7" ht="25.5" x14ac:dyDescent="0.2">
      <c r="A77" s="9"/>
      <c r="B77" s="10" t="s">
        <v>32</v>
      </c>
      <c r="C77" s="11" t="s">
        <v>29</v>
      </c>
      <c r="D77" s="9" t="str">
        <f t="shared" ref="D77:E77" ca="1" si="74">IFERROR(__xludf.DUMMYFUNCTION("If (A77&lt;&gt;"""", GOOGLETRANSLATE(A77, ""auto"", ""en""), """")"),"")</f>
        <v/>
      </c>
      <c r="E77" s="9" t="str">
        <f t="shared" ca="1" si="74"/>
        <v/>
      </c>
      <c r="F77" s="3" t="s">
        <v>12</v>
      </c>
      <c r="G77" s="12" t="str">
        <f t="shared" si="73"/>
        <v>{"text":"その他の質問（ホスト）","postback":"FAQ-Host-First"},</v>
      </c>
    </row>
    <row r="78" spans="1:7" ht="12.75" x14ac:dyDescent="0.2">
      <c r="A78" s="9"/>
      <c r="B78" s="9" t="s">
        <v>25</v>
      </c>
      <c r="C78" s="11" t="s">
        <v>27</v>
      </c>
      <c r="D78" s="9" t="str">
        <f t="shared" ref="D78:E78" ca="1" si="75">IFERROR(__xludf.DUMMYFUNCTION("If (A78&lt;&gt;"""", GOOGLETRANSLATE(A78, ""auto"", ""en""), """")"),"")</f>
        <v/>
      </c>
      <c r="E78" s="9" t="str">
        <f t="shared" ca="1" si="75"/>
        <v/>
      </c>
      <c r="F78" s="3" t="s">
        <v>12</v>
      </c>
      <c r="G78" s="12" t="str">
        <f t="shared" si="73"/>
        <v>{"text":"宿泊先を探す","postback":"Search-House"},</v>
      </c>
    </row>
    <row r="79" spans="1:7" ht="12.75" x14ac:dyDescent="0.2">
      <c r="A79" s="9"/>
      <c r="B79" s="9" t="s">
        <v>30</v>
      </c>
      <c r="C79" s="11" t="s">
        <v>31</v>
      </c>
      <c r="D79" s="9" t="str">
        <f t="shared" ref="D79:E79" ca="1" si="76">IFERROR(__xludf.DUMMYFUNCTION("If (A79&lt;&gt;"""", GOOGLETRANSLATE(A79, ""auto"", ""en""), """")"),"")</f>
        <v/>
      </c>
      <c r="E79" s="9" t="str">
        <f t="shared" ca="1" si="76"/>
        <v/>
      </c>
      <c r="F79" s="3" t="s">
        <v>12</v>
      </c>
      <c r="G79" s="12" t="str">
        <f t="shared" si="73"/>
        <v>{"text":"物件の登録をする","postback":"Register-House"},</v>
      </c>
    </row>
    <row r="80" spans="1:7" x14ac:dyDescent="0.2">
      <c r="A80" s="84" t="s">
        <v>313</v>
      </c>
      <c r="B80" s="85"/>
      <c r="C80" s="86"/>
      <c r="D80" s="26"/>
      <c r="E80" s="26"/>
      <c r="F80" s="3" t="s">
        <v>12</v>
      </c>
      <c r="G80" s="28"/>
    </row>
    <row r="81" spans="1:7" ht="25.5" x14ac:dyDescent="0.2">
      <c r="A81" s="20" t="s">
        <v>312</v>
      </c>
      <c r="B81" s="20" t="s">
        <v>544</v>
      </c>
      <c r="C81" s="3"/>
      <c r="D81" s="5" t="str">
        <f t="shared" ref="D81:E81" ca="1" si="77">IFERROR(__xludf.DUMMYFUNCTION("If (A81&lt;&gt;"""", GOOGLETRANSLATE(A81, ""auto"", ""en""), """")"),"Changes to stay by the time fee")</f>
        <v>Changes to stay by the time fee</v>
      </c>
      <c r="E81" s="5" t="str">
        <f t="shared" ca="1" si="77"/>
        <v>Changes to stay by the time fee</v>
      </c>
      <c r="F81" s="3" t="s">
        <v>12</v>
      </c>
      <c r="G81" s="3"/>
    </row>
    <row r="82" spans="1:7" ht="12.75" x14ac:dyDescent="0.2">
      <c r="A82" s="5"/>
      <c r="B82" s="5" t="s">
        <v>19</v>
      </c>
      <c r="C82" s="3"/>
      <c r="D82" s="5" t="str">
        <f t="shared" ref="D82:E82" ca="1" si="78">IFERROR(__xludf.DUMMYFUNCTION("If (A82&lt;&gt;"""", GOOGLETRANSLATE(A82, ""auto"", ""en""), """")"),"")</f>
        <v/>
      </c>
      <c r="E82" s="5" t="str">
        <f t="shared" ca="1" si="78"/>
        <v/>
      </c>
      <c r="F82" s="3" t="s">
        <v>12</v>
      </c>
      <c r="G82" s="3"/>
    </row>
    <row r="83" spans="1:7" ht="25.5" x14ac:dyDescent="0.2">
      <c r="A83" s="8" t="s">
        <v>21</v>
      </c>
      <c r="B83" s="10" t="s">
        <v>24</v>
      </c>
      <c r="C83" s="11" t="s">
        <v>26</v>
      </c>
      <c r="D83" s="8" t="str">
        <f t="shared" ref="D83:E83" ca="1" si="79">IFERROR(__xludf.DUMMYFUNCTION("If (A83&lt;&gt;"""", GOOGLETRANSLATE(A83, ""auto"", ""en""), """")"),"Quick Replies")</f>
        <v>Quick Replies</v>
      </c>
      <c r="E83" s="9" t="str">
        <f t="shared" ca="1" si="79"/>
        <v>Quick Replies</v>
      </c>
      <c r="F83" s="3" t="s">
        <v>12</v>
      </c>
      <c r="G83" s="12" t="str">
        <f t="shared" ref="G83:G86" si="80">"{""text"":"""&amp;B83&amp;""",""postback"":"""&amp;C83&amp;"""},"</f>
        <v>{"text":"その他の質問（ゲスト）","postback":"FAQ-Guest-First"},</v>
      </c>
    </row>
    <row r="84" spans="1:7" ht="25.5" x14ac:dyDescent="0.2">
      <c r="A84" s="9"/>
      <c r="B84" s="10" t="s">
        <v>32</v>
      </c>
      <c r="C84" s="11" t="s">
        <v>29</v>
      </c>
      <c r="D84" s="9" t="str">
        <f t="shared" ref="D84:E84" ca="1" si="81">IFERROR(__xludf.DUMMYFUNCTION("If (A84&lt;&gt;"""", GOOGLETRANSLATE(A84, ""auto"", ""en""), """")"),"")</f>
        <v/>
      </c>
      <c r="E84" s="9" t="str">
        <f t="shared" ca="1" si="81"/>
        <v/>
      </c>
      <c r="F84" s="3" t="s">
        <v>12</v>
      </c>
      <c r="G84" s="12" t="str">
        <f t="shared" si="80"/>
        <v>{"text":"その他の質問（ホスト）","postback":"FAQ-Host-First"},</v>
      </c>
    </row>
    <row r="85" spans="1:7" ht="12.75" x14ac:dyDescent="0.2">
      <c r="A85" s="9"/>
      <c r="B85" s="9" t="s">
        <v>25</v>
      </c>
      <c r="C85" s="11" t="s">
        <v>27</v>
      </c>
      <c r="D85" s="9" t="str">
        <f t="shared" ref="D85:E85" ca="1" si="82">IFERROR(__xludf.DUMMYFUNCTION("If (A85&lt;&gt;"""", GOOGLETRANSLATE(A85, ""auto"", ""en""), """")"),"")</f>
        <v/>
      </c>
      <c r="E85" s="9" t="str">
        <f t="shared" ca="1" si="82"/>
        <v/>
      </c>
      <c r="F85" s="3" t="s">
        <v>12</v>
      </c>
      <c r="G85" s="12" t="str">
        <f t="shared" si="80"/>
        <v>{"text":"宿泊先を探す","postback":"Search-House"},</v>
      </c>
    </row>
    <row r="86" spans="1:7" ht="12.75" x14ac:dyDescent="0.2">
      <c r="A86" s="9"/>
      <c r="B86" s="9" t="s">
        <v>30</v>
      </c>
      <c r="C86" s="11" t="s">
        <v>31</v>
      </c>
      <c r="D86" s="9" t="str">
        <f t="shared" ref="D86:E86" ca="1" si="83">IFERROR(__xludf.DUMMYFUNCTION("If (A86&lt;&gt;"""", GOOGLETRANSLATE(A86, ""auto"", ""en""), """")"),"")</f>
        <v/>
      </c>
      <c r="E86" s="9" t="str">
        <f t="shared" ca="1" si="83"/>
        <v/>
      </c>
      <c r="F86" s="3" t="s">
        <v>12</v>
      </c>
      <c r="G86" s="12" t="str">
        <f t="shared" si="80"/>
        <v>{"text":"物件の登録をする","postback":"Register-House"},</v>
      </c>
    </row>
    <row r="87" spans="1:7" x14ac:dyDescent="0.2">
      <c r="A87" s="84" t="s">
        <v>318</v>
      </c>
      <c r="B87" s="85"/>
      <c r="C87" s="86"/>
      <c r="D87" s="26"/>
      <c r="E87" s="26"/>
      <c r="F87" s="3" t="s">
        <v>12</v>
      </c>
      <c r="G87" s="28"/>
    </row>
    <row r="88" spans="1:7" ht="38.25" x14ac:dyDescent="0.2">
      <c r="A88" s="20" t="s">
        <v>317</v>
      </c>
      <c r="B88" s="20" t="s">
        <v>586</v>
      </c>
      <c r="C88" s="3"/>
      <c r="D88" s="5" t="str">
        <f t="shared" ref="D88:E88" ca="1" si="84">IFERROR(__xludf.DUMMYFUNCTION("If (A88&lt;&gt;"""", GOOGLETRANSLATE(A88, ""auto"", ""en""), """")"),"For receipt of the stay Rates")</f>
        <v>For receipt of the stay Rates</v>
      </c>
      <c r="E88" s="5" t="str">
        <f t="shared" ca="1" si="84"/>
        <v>For receipt of the stay Rates</v>
      </c>
      <c r="F88" s="3" t="s">
        <v>12</v>
      </c>
      <c r="G88" s="3"/>
    </row>
    <row r="89" spans="1:7" ht="12.75" x14ac:dyDescent="0.2">
      <c r="A89" s="5"/>
      <c r="B89" s="5" t="s">
        <v>19</v>
      </c>
      <c r="C89" s="3"/>
      <c r="D89" s="5" t="str">
        <f t="shared" ref="D89:E89" ca="1" si="85">IFERROR(__xludf.DUMMYFUNCTION("If (A89&lt;&gt;"""", GOOGLETRANSLATE(A89, ""auto"", ""en""), """")"),"")</f>
        <v/>
      </c>
      <c r="E89" s="5" t="str">
        <f t="shared" ca="1" si="85"/>
        <v/>
      </c>
      <c r="F89" s="3" t="s">
        <v>12</v>
      </c>
      <c r="G89" s="3"/>
    </row>
    <row r="90" spans="1:7" ht="25.5" x14ac:dyDescent="0.2">
      <c r="A90" s="8" t="s">
        <v>21</v>
      </c>
      <c r="B90" s="10" t="s">
        <v>24</v>
      </c>
      <c r="C90" s="11" t="s">
        <v>26</v>
      </c>
      <c r="D90" s="8" t="str">
        <f t="shared" ref="D90:E90" ca="1" si="86">IFERROR(__xludf.DUMMYFUNCTION("If (A90&lt;&gt;"""", GOOGLETRANSLATE(A90, ""auto"", ""en""), """")"),"Quick Replies")</f>
        <v>Quick Replies</v>
      </c>
      <c r="E90" s="9" t="str">
        <f t="shared" ca="1" si="86"/>
        <v>Quick Replies</v>
      </c>
      <c r="F90" s="3" t="s">
        <v>12</v>
      </c>
      <c r="G90" s="12" t="str">
        <f t="shared" ref="G90:G93" si="87">"{""text"":"""&amp;B90&amp;""",""postback"":"""&amp;C90&amp;"""},"</f>
        <v>{"text":"その他の質問（ゲスト）","postback":"FAQ-Guest-First"},</v>
      </c>
    </row>
    <row r="91" spans="1:7" ht="25.5" x14ac:dyDescent="0.2">
      <c r="A91" s="9"/>
      <c r="B91" s="10" t="s">
        <v>32</v>
      </c>
      <c r="C91" s="11" t="s">
        <v>29</v>
      </c>
      <c r="D91" s="9" t="str">
        <f t="shared" ref="D91:E91" ca="1" si="88">IFERROR(__xludf.DUMMYFUNCTION("If (A91&lt;&gt;"""", GOOGLETRANSLATE(A91, ""auto"", ""en""), """")"),"")</f>
        <v/>
      </c>
      <c r="E91" s="9" t="str">
        <f t="shared" ca="1" si="88"/>
        <v/>
      </c>
      <c r="F91" s="3" t="s">
        <v>12</v>
      </c>
      <c r="G91" s="12" t="str">
        <f t="shared" si="87"/>
        <v>{"text":"その他の質問（ホスト）","postback":"FAQ-Host-First"},</v>
      </c>
    </row>
    <row r="92" spans="1:7" ht="12.75" x14ac:dyDescent="0.2">
      <c r="A92" s="9"/>
      <c r="B92" s="9" t="s">
        <v>25</v>
      </c>
      <c r="C92" s="11" t="s">
        <v>27</v>
      </c>
      <c r="D92" s="9" t="str">
        <f t="shared" ref="D92:E92" ca="1" si="89">IFERROR(__xludf.DUMMYFUNCTION("If (A92&lt;&gt;"""", GOOGLETRANSLATE(A92, ""auto"", ""en""), """")"),"")</f>
        <v/>
      </c>
      <c r="E92" s="9" t="str">
        <f t="shared" ca="1" si="89"/>
        <v/>
      </c>
      <c r="F92" s="3" t="s">
        <v>12</v>
      </c>
      <c r="G92" s="12" t="str">
        <f t="shared" si="87"/>
        <v>{"text":"宿泊先を探す","postback":"Search-House"},</v>
      </c>
    </row>
    <row r="93" spans="1:7" ht="12.75" x14ac:dyDescent="0.2">
      <c r="A93" s="9"/>
      <c r="B93" s="9" t="s">
        <v>30</v>
      </c>
      <c r="C93" s="11" t="s">
        <v>31</v>
      </c>
      <c r="D93" s="9" t="str">
        <f t="shared" ref="D93:E93" ca="1" si="90">IFERROR(__xludf.DUMMYFUNCTION("If (A93&lt;&gt;"""", GOOGLETRANSLATE(A93, ""auto"", ""en""), """")"),"")</f>
        <v/>
      </c>
      <c r="E93" s="9" t="str">
        <f t="shared" ca="1" si="90"/>
        <v/>
      </c>
      <c r="F93" s="3" t="s">
        <v>12</v>
      </c>
      <c r="G93" s="12" t="str">
        <f t="shared" si="87"/>
        <v>{"text":"物件の登録をする","postback":"Register-House"},</v>
      </c>
    </row>
    <row r="94" spans="1:7" x14ac:dyDescent="0.2">
      <c r="A94" s="84" t="s">
        <v>321</v>
      </c>
      <c r="B94" s="85"/>
      <c r="C94" s="86"/>
      <c r="D94" s="26"/>
      <c r="E94" s="26"/>
      <c r="F94" s="3" t="s">
        <v>12</v>
      </c>
      <c r="G94" s="28"/>
    </row>
    <row r="95" spans="1:7" ht="51" x14ac:dyDescent="0.2">
      <c r="A95" s="20" t="s">
        <v>320</v>
      </c>
      <c r="B95" s="20" t="s">
        <v>636</v>
      </c>
      <c r="C95" s="3"/>
      <c r="D95" s="5" t="str">
        <f t="shared" ref="D95:E95" ca="1" si="91">IFERROR(__xludf.DUMMYFUNCTION("If (A95&lt;&gt;"""", GOOGLETRANSLATE(A95, ""auto"", ""en""), """")"),"About commission")</f>
        <v>About commission</v>
      </c>
      <c r="E95" s="5" t="str">
        <f t="shared" ca="1" si="91"/>
        <v>About commission</v>
      </c>
      <c r="F95" s="3" t="s">
        <v>12</v>
      </c>
      <c r="G95" s="3"/>
    </row>
    <row r="96" spans="1:7" ht="12.75" x14ac:dyDescent="0.2">
      <c r="A96" s="5"/>
      <c r="B96" s="5" t="s">
        <v>19</v>
      </c>
      <c r="C96" s="3"/>
      <c r="D96" s="5" t="str">
        <f t="shared" ref="D96:E96" ca="1" si="92">IFERROR(__xludf.DUMMYFUNCTION("If (A96&lt;&gt;"""", GOOGLETRANSLATE(A96, ""auto"", ""en""), """")"),"")</f>
        <v/>
      </c>
      <c r="E96" s="5" t="str">
        <f t="shared" ca="1" si="92"/>
        <v/>
      </c>
      <c r="F96" s="3" t="s">
        <v>12</v>
      </c>
      <c r="G96" s="3"/>
    </row>
    <row r="97" spans="1:7" ht="25.5" x14ac:dyDescent="0.2">
      <c r="A97" s="8" t="s">
        <v>21</v>
      </c>
      <c r="B97" s="10" t="s">
        <v>24</v>
      </c>
      <c r="C97" s="11" t="s">
        <v>26</v>
      </c>
      <c r="D97" s="8" t="str">
        <f t="shared" ref="D97:E97" ca="1" si="93">IFERROR(__xludf.DUMMYFUNCTION("If (A97&lt;&gt;"""", GOOGLETRANSLATE(A97, ""auto"", ""en""), """")"),"Quick Replies")</f>
        <v>Quick Replies</v>
      </c>
      <c r="E97" s="9" t="str">
        <f t="shared" ca="1" si="93"/>
        <v>Quick Replies</v>
      </c>
      <c r="F97" s="3" t="s">
        <v>12</v>
      </c>
      <c r="G97" s="12" t="str">
        <f t="shared" ref="G97:G100" si="94">"{""text"":"""&amp;B97&amp;""",""postback"":"""&amp;C97&amp;"""},"</f>
        <v>{"text":"その他の質問（ゲスト）","postback":"FAQ-Guest-First"},</v>
      </c>
    </row>
    <row r="98" spans="1:7" ht="25.5" x14ac:dyDescent="0.2">
      <c r="A98" s="9"/>
      <c r="B98" s="10" t="s">
        <v>32</v>
      </c>
      <c r="C98" s="11" t="s">
        <v>29</v>
      </c>
      <c r="D98" s="9" t="str">
        <f t="shared" ref="D98:E98" ca="1" si="95">IFERROR(__xludf.DUMMYFUNCTION("If (A98&lt;&gt;"""", GOOGLETRANSLATE(A98, ""auto"", ""en""), """")"),"")</f>
        <v/>
      </c>
      <c r="E98" s="9" t="str">
        <f t="shared" ca="1" si="95"/>
        <v/>
      </c>
      <c r="F98" s="3" t="s">
        <v>12</v>
      </c>
      <c r="G98" s="12" t="str">
        <f t="shared" si="94"/>
        <v>{"text":"その他の質問（ホスト）","postback":"FAQ-Host-First"},</v>
      </c>
    </row>
    <row r="99" spans="1:7" ht="12.75" x14ac:dyDescent="0.2">
      <c r="A99" s="9"/>
      <c r="B99" s="9" t="s">
        <v>25</v>
      </c>
      <c r="C99" s="11" t="s">
        <v>27</v>
      </c>
      <c r="D99" s="9" t="str">
        <f t="shared" ref="D99:E99" ca="1" si="96">IFERROR(__xludf.DUMMYFUNCTION("If (A99&lt;&gt;"""", GOOGLETRANSLATE(A99, ""auto"", ""en""), """")"),"")</f>
        <v/>
      </c>
      <c r="E99" s="9" t="str">
        <f t="shared" ca="1" si="96"/>
        <v/>
      </c>
      <c r="F99" s="3" t="s">
        <v>12</v>
      </c>
      <c r="G99" s="12" t="str">
        <f t="shared" si="94"/>
        <v>{"text":"宿泊先を探す","postback":"Search-House"},</v>
      </c>
    </row>
    <row r="100" spans="1:7" ht="12.75" x14ac:dyDescent="0.2">
      <c r="A100" s="9"/>
      <c r="B100" s="9" t="s">
        <v>30</v>
      </c>
      <c r="C100" s="11" t="s">
        <v>31</v>
      </c>
      <c r="D100" s="9" t="str">
        <f t="shared" ref="D100:E100" ca="1" si="97">IFERROR(__xludf.DUMMYFUNCTION("If (A100&lt;&gt;"""", GOOGLETRANSLATE(A100, ""auto"", ""en""), """")"),"")</f>
        <v/>
      </c>
      <c r="E100" s="9" t="str">
        <f t="shared" ca="1" si="97"/>
        <v/>
      </c>
      <c r="F100" s="3" t="s">
        <v>12</v>
      </c>
      <c r="G100" s="12" t="str">
        <f t="shared" si="94"/>
        <v>{"text":"物件の登録をする","postback":"Register-House"},</v>
      </c>
    </row>
    <row r="101" spans="1:7" x14ac:dyDescent="0.2">
      <c r="A101" s="84" t="s">
        <v>330</v>
      </c>
      <c r="B101" s="85"/>
      <c r="C101" s="86"/>
      <c r="D101" s="26"/>
      <c r="E101" s="26"/>
      <c r="F101" s="3" t="s">
        <v>12</v>
      </c>
      <c r="G101" s="28"/>
    </row>
    <row r="102" spans="1:7" ht="38.25" x14ac:dyDescent="0.2">
      <c r="A102" s="20" t="s">
        <v>329</v>
      </c>
      <c r="B102" s="20" t="s">
        <v>694</v>
      </c>
      <c r="C102" s="3"/>
      <c r="D102" s="5" t="str">
        <f t="shared" ref="D102:E102" ca="1" si="98">IFERROR(__xludf.DUMMYFUNCTION("If (A102&lt;&gt;"""", GOOGLETRANSLATE(A102, ""auto"", ""en""), """")"),"How to check the reservation")</f>
        <v>How to check the reservation</v>
      </c>
      <c r="E102" s="5" t="str">
        <f t="shared" ca="1" si="98"/>
        <v>How to check the reservation</v>
      </c>
      <c r="F102" s="3" t="s">
        <v>12</v>
      </c>
      <c r="G102" s="3"/>
    </row>
    <row r="103" spans="1:7" ht="12.75" x14ac:dyDescent="0.2">
      <c r="A103" s="5"/>
      <c r="B103" s="5" t="s">
        <v>19</v>
      </c>
      <c r="C103" s="3"/>
      <c r="D103" s="5" t="str">
        <f t="shared" ref="D103:E103" ca="1" si="99">IFERROR(__xludf.DUMMYFUNCTION("If (A103&lt;&gt;"""", GOOGLETRANSLATE(A103, ""auto"", ""en""), """")"),"")</f>
        <v/>
      </c>
      <c r="E103" s="5" t="str">
        <f t="shared" ca="1" si="99"/>
        <v/>
      </c>
      <c r="F103" s="3" t="s">
        <v>12</v>
      </c>
      <c r="G103" s="3"/>
    </row>
    <row r="104" spans="1:7" ht="25.5" x14ac:dyDescent="0.2">
      <c r="A104" s="8" t="s">
        <v>21</v>
      </c>
      <c r="B104" s="10" t="s">
        <v>24</v>
      </c>
      <c r="C104" s="11" t="s">
        <v>26</v>
      </c>
      <c r="D104" s="8" t="str">
        <f t="shared" ref="D104:E104" ca="1" si="100">IFERROR(__xludf.DUMMYFUNCTION("If (A104&lt;&gt;"""", GOOGLETRANSLATE(A104, ""auto"", ""en""), """")"),"Quick Replies")</f>
        <v>Quick Replies</v>
      </c>
      <c r="E104" s="9" t="str">
        <f t="shared" ca="1" si="100"/>
        <v>Quick Replies</v>
      </c>
      <c r="F104" s="3" t="s">
        <v>12</v>
      </c>
      <c r="G104" s="12" t="str">
        <f t="shared" ref="G104:G107" si="101">"{""text"":"""&amp;B104&amp;""",""postback"":"""&amp;C104&amp;"""},"</f>
        <v>{"text":"その他の質問（ゲスト）","postback":"FAQ-Guest-First"},</v>
      </c>
    </row>
    <row r="105" spans="1:7" ht="25.5" x14ac:dyDescent="0.2">
      <c r="A105" s="9"/>
      <c r="B105" s="10" t="s">
        <v>32</v>
      </c>
      <c r="C105" s="11" t="s">
        <v>29</v>
      </c>
      <c r="D105" s="9" t="str">
        <f t="shared" ref="D105:E105" ca="1" si="102">IFERROR(__xludf.DUMMYFUNCTION("If (A105&lt;&gt;"""", GOOGLETRANSLATE(A105, ""auto"", ""en""), """")"),"")</f>
        <v/>
      </c>
      <c r="E105" s="9" t="str">
        <f t="shared" ca="1" si="102"/>
        <v/>
      </c>
      <c r="F105" s="3" t="s">
        <v>12</v>
      </c>
      <c r="G105" s="12" t="str">
        <f t="shared" si="101"/>
        <v>{"text":"その他の質問（ホスト）","postback":"FAQ-Host-First"},</v>
      </c>
    </row>
    <row r="106" spans="1:7" ht="12.75" x14ac:dyDescent="0.2">
      <c r="A106" s="9"/>
      <c r="B106" s="9" t="s">
        <v>25</v>
      </c>
      <c r="C106" s="11" t="s">
        <v>27</v>
      </c>
      <c r="D106" s="9" t="str">
        <f t="shared" ref="D106:E106" ca="1" si="103">IFERROR(__xludf.DUMMYFUNCTION("If (A106&lt;&gt;"""", GOOGLETRANSLATE(A106, ""auto"", ""en""), """")"),"")</f>
        <v/>
      </c>
      <c r="E106" s="9" t="str">
        <f t="shared" ca="1" si="103"/>
        <v/>
      </c>
      <c r="F106" s="3" t="s">
        <v>12</v>
      </c>
      <c r="G106" s="12" t="str">
        <f t="shared" si="101"/>
        <v>{"text":"宿泊先を探す","postback":"Search-House"},</v>
      </c>
    </row>
    <row r="107" spans="1:7" ht="12.75" x14ac:dyDescent="0.2">
      <c r="A107" s="9"/>
      <c r="B107" s="9" t="s">
        <v>30</v>
      </c>
      <c r="C107" s="11" t="s">
        <v>31</v>
      </c>
      <c r="D107" s="9" t="str">
        <f t="shared" ref="D107:E107" ca="1" si="104">IFERROR(__xludf.DUMMYFUNCTION("If (A107&lt;&gt;"""", GOOGLETRANSLATE(A107, ""auto"", ""en""), """")"),"")</f>
        <v/>
      </c>
      <c r="E107" s="9" t="str">
        <f t="shared" ca="1" si="104"/>
        <v/>
      </c>
      <c r="F107" s="3" t="s">
        <v>12</v>
      </c>
      <c r="G107" s="12" t="str">
        <f t="shared" si="101"/>
        <v>{"text":"物件の登録をする","postback":"Register-House"},</v>
      </c>
    </row>
    <row r="108" spans="1:7" x14ac:dyDescent="0.2">
      <c r="A108" s="84" t="s">
        <v>342</v>
      </c>
      <c r="B108" s="85"/>
      <c r="C108" s="86"/>
      <c r="D108" s="26"/>
      <c r="E108" s="26"/>
      <c r="F108" s="3" t="s">
        <v>12</v>
      </c>
      <c r="G108" s="28"/>
    </row>
    <row r="109" spans="1:7" ht="12.75" x14ac:dyDescent="0.2">
      <c r="A109" s="20" t="s">
        <v>341</v>
      </c>
      <c r="B109" s="20" t="s">
        <v>717</v>
      </c>
      <c r="C109" s="3"/>
      <c r="D109" s="5" t="str">
        <f t="shared" ref="D109:E109" ca="1" si="105">IFERROR(__xludf.DUMMYFUNCTION("If (A109&lt;&gt;"""", GOOGLETRANSLATE(A109, ""auto"", ""en""), """")"),"For inquiries on the phone")</f>
        <v>For inquiries on the phone</v>
      </c>
      <c r="E109" s="5" t="str">
        <f t="shared" ca="1" si="105"/>
        <v>For inquiries on the phone</v>
      </c>
      <c r="F109" s="3" t="s">
        <v>12</v>
      </c>
      <c r="G109" s="3"/>
    </row>
    <row r="110" spans="1:7" ht="12.75" x14ac:dyDescent="0.2">
      <c r="A110" s="5"/>
      <c r="B110" s="5" t="s">
        <v>19</v>
      </c>
      <c r="C110" s="3"/>
      <c r="D110" s="5" t="str">
        <f t="shared" ref="D110:E110" ca="1" si="106">IFERROR(__xludf.DUMMYFUNCTION("If (A110&lt;&gt;"""", GOOGLETRANSLATE(A110, ""auto"", ""en""), """")"),"")</f>
        <v/>
      </c>
      <c r="E110" s="5" t="str">
        <f t="shared" ca="1" si="106"/>
        <v/>
      </c>
      <c r="F110" s="3" t="s">
        <v>12</v>
      </c>
      <c r="G110" s="3"/>
    </row>
    <row r="111" spans="1:7" ht="25.5" x14ac:dyDescent="0.2">
      <c r="A111" s="8" t="s">
        <v>21</v>
      </c>
      <c r="B111" s="10" t="s">
        <v>24</v>
      </c>
      <c r="C111" s="11" t="s">
        <v>26</v>
      </c>
      <c r="D111" s="8" t="str">
        <f t="shared" ref="D111:E111" ca="1" si="107">IFERROR(__xludf.DUMMYFUNCTION("If (A111&lt;&gt;"""", GOOGLETRANSLATE(A111, ""auto"", ""en""), """")"),"Quick Replies")</f>
        <v>Quick Replies</v>
      </c>
      <c r="E111" s="9" t="str">
        <f t="shared" ca="1" si="107"/>
        <v>Quick Replies</v>
      </c>
      <c r="F111" s="3" t="s">
        <v>12</v>
      </c>
      <c r="G111" s="12" t="str">
        <f t="shared" ref="G111:G114" si="108">"{""text"":"""&amp;B111&amp;""",""postback"":"""&amp;C111&amp;"""},"</f>
        <v>{"text":"その他の質問（ゲスト）","postback":"FAQ-Guest-First"},</v>
      </c>
    </row>
    <row r="112" spans="1:7" ht="25.5" x14ac:dyDescent="0.2">
      <c r="A112" s="9"/>
      <c r="B112" s="10" t="s">
        <v>32</v>
      </c>
      <c r="C112" s="11" t="s">
        <v>29</v>
      </c>
      <c r="D112" s="9" t="str">
        <f t="shared" ref="D112:E112" ca="1" si="109">IFERROR(__xludf.DUMMYFUNCTION("If (A112&lt;&gt;"""", GOOGLETRANSLATE(A112, ""auto"", ""en""), """")"),"")</f>
        <v/>
      </c>
      <c r="E112" s="9" t="str">
        <f t="shared" ca="1" si="109"/>
        <v/>
      </c>
      <c r="F112" s="3" t="s">
        <v>12</v>
      </c>
      <c r="G112" s="12" t="str">
        <f t="shared" si="108"/>
        <v>{"text":"その他の質問（ホスト）","postback":"FAQ-Host-First"},</v>
      </c>
    </row>
    <row r="113" spans="1:7" ht="12.75" x14ac:dyDescent="0.2">
      <c r="A113" s="9"/>
      <c r="B113" s="9" t="s">
        <v>25</v>
      </c>
      <c r="C113" s="11" t="s">
        <v>27</v>
      </c>
      <c r="D113" s="9" t="str">
        <f t="shared" ref="D113:E113" ca="1" si="110">IFERROR(__xludf.DUMMYFUNCTION("If (A113&lt;&gt;"""", GOOGLETRANSLATE(A113, ""auto"", ""en""), """")"),"")</f>
        <v/>
      </c>
      <c r="E113" s="9" t="str">
        <f t="shared" ca="1" si="110"/>
        <v/>
      </c>
      <c r="F113" s="3" t="s">
        <v>12</v>
      </c>
      <c r="G113" s="12" t="str">
        <f t="shared" si="108"/>
        <v>{"text":"宿泊先を探す","postback":"Search-House"},</v>
      </c>
    </row>
    <row r="114" spans="1:7" ht="12.75" x14ac:dyDescent="0.2">
      <c r="A114" s="9"/>
      <c r="B114" s="9" t="s">
        <v>30</v>
      </c>
      <c r="C114" s="11" t="s">
        <v>31</v>
      </c>
      <c r="D114" s="9" t="str">
        <f t="shared" ref="D114:E114" ca="1" si="111">IFERROR(__xludf.DUMMYFUNCTION("If (A114&lt;&gt;"""", GOOGLETRANSLATE(A114, ""auto"", ""en""), """")"),"")</f>
        <v/>
      </c>
      <c r="E114" s="9" t="str">
        <f t="shared" ca="1" si="111"/>
        <v/>
      </c>
      <c r="F114" s="3" t="s">
        <v>12</v>
      </c>
      <c r="G114" s="12" t="str">
        <f t="shared" si="108"/>
        <v>{"text":"物件の登録をする","postback":"Register-House"},</v>
      </c>
    </row>
    <row r="115" spans="1:7" x14ac:dyDescent="0.2">
      <c r="A115" s="84" t="s">
        <v>345</v>
      </c>
      <c r="B115" s="85"/>
      <c r="C115" s="86"/>
      <c r="D115" s="26"/>
      <c r="E115" s="26"/>
      <c r="F115" s="3" t="s">
        <v>12</v>
      </c>
      <c r="G115" s="28"/>
    </row>
    <row r="116" spans="1:7" ht="25.5" x14ac:dyDescent="0.2">
      <c r="A116" s="20" t="s">
        <v>344</v>
      </c>
      <c r="B116" s="20" t="s">
        <v>732</v>
      </c>
      <c r="C116" s="3"/>
      <c r="D116" s="5" t="str">
        <f t="shared" ref="D116:E116" ca="1" si="112">IFERROR(__xludf.DUMMYFUNCTION("If (A116&lt;&gt;"""", GOOGLETRANSLATE(A116, ""auto"", ""en""), """")"),"About Forget the corresponding")</f>
        <v>About Forget the corresponding</v>
      </c>
      <c r="E116" s="5" t="str">
        <f t="shared" ca="1" si="112"/>
        <v>About Forget the corresponding</v>
      </c>
      <c r="F116" s="3" t="s">
        <v>12</v>
      </c>
      <c r="G116" s="3"/>
    </row>
    <row r="117" spans="1:7" ht="12.75" x14ac:dyDescent="0.2">
      <c r="A117" s="5"/>
      <c r="B117" s="5" t="s">
        <v>19</v>
      </c>
      <c r="C117" s="3"/>
      <c r="D117" s="5" t="str">
        <f t="shared" ref="D117:E117" ca="1" si="113">IFERROR(__xludf.DUMMYFUNCTION("If (A117&lt;&gt;"""", GOOGLETRANSLATE(A117, ""auto"", ""en""), """")"),"")</f>
        <v/>
      </c>
      <c r="E117" s="5" t="str">
        <f t="shared" ca="1" si="113"/>
        <v/>
      </c>
      <c r="F117" s="3" t="s">
        <v>12</v>
      </c>
      <c r="G117" s="3"/>
    </row>
    <row r="118" spans="1:7" ht="25.5" x14ac:dyDescent="0.2">
      <c r="A118" s="8" t="s">
        <v>21</v>
      </c>
      <c r="B118" s="10" t="s">
        <v>24</v>
      </c>
      <c r="C118" s="11" t="s">
        <v>26</v>
      </c>
      <c r="D118" s="8" t="str">
        <f t="shared" ref="D118:E118" ca="1" si="114">IFERROR(__xludf.DUMMYFUNCTION("If (A118&lt;&gt;"""", GOOGLETRANSLATE(A118, ""auto"", ""en""), """")"),"Quick Replies")</f>
        <v>Quick Replies</v>
      </c>
      <c r="E118" s="9" t="str">
        <f t="shared" ca="1" si="114"/>
        <v>Quick Replies</v>
      </c>
      <c r="F118" s="3" t="s">
        <v>12</v>
      </c>
      <c r="G118" s="12" t="str">
        <f t="shared" ref="G118:G121" si="115">"{""text"":"""&amp;B118&amp;""",""postback"":"""&amp;C118&amp;"""},"</f>
        <v>{"text":"その他の質問（ゲスト）","postback":"FAQ-Guest-First"},</v>
      </c>
    </row>
    <row r="119" spans="1:7" ht="25.5" x14ac:dyDescent="0.2">
      <c r="A119" s="9"/>
      <c r="B119" s="10" t="s">
        <v>32</v>
      </c>
      <c r="C119" s="11" t="s">
        <v>29</v>
      </c>
      <c r="D119" s="9" t="str">
        <f t="shared" ref="D119:E119" ca="1" si="116">IFERROR(__xludf.DUMMYFUNCTION("If (A119&lt;&gt;"""", GOOGLETRANSLATE(A119, ""auto"", ""en""), """")"),"")</f>
        <v/>
      </c>
      <c r="E119" s="9" t="str">
        <f t="shared" ca="1" si="116"/>
        <v/>
      </c>
      <c r="F119" s="3" t="s">
        <v>12</v>
      </c>
      <c r="G119" s="12" t="str">
        <f t="shared" si="115"/>
        <v>{"text":"その他の質問（ホスト）","postback":"FAQ-Host-First"},</v>
      </c>
    </row>
    <row r="120" spans="1:7" ht="12.75" x14ac:dyDescent="0.2">
      <c r="A120" s="9"/>
      <c r="B120" s="9" t="s">
        <v>25</v>
      </c>
      <c r="C120" s="11" t="s">
        <v>27</v>
      </c>
      <c r="D120" s="9" t="str">
        <f t="shared" ref="D120:E120" ca="1" si="117">IFERROR(__xludf.DUMMYFUNCTION("If (A120&lt;&gt;"""", GOOGLETRANSLATE(A120, ""auto"", ""en""), """")"),"")</f>
        <v/>
      </c>
      <c r="E120" s="9" t="str">
        <f t="shared" ca="1" si="117"/>
        <v/>
      </c>
      <c r="F120" s="3" t="s">
        <v>12</v>
      </c>
      <c r="G120" s="12" t="str">
        <f t="shared" si="115"/>
        <v>{"text":"宿泊先を探す","postback":"Search-House"},</v>
      </c>
    </row>
    <row r="121" spans="1:7" ht="12.75" x14ac:dyDescent="0.2">
      <c r="A121" s="9"/>
      <c r="B121" s="9" t="s">
        <v>30</v>
      </c>
      <c r="C121" s="11" t="s">
        <v>31</v>
      </c>
      <c r="D121" s="9" t="str">
        <f t="shared" ref="D121:E121" ca="1" si="118">IFERROR(__xludf.DUMMYFUNCTION("If (A121&lt;&gt;"""", GOOGLETRANSLATE(A121, ""auto"", ""en""), """")"),"")</f>
        <v/>
      </c>
      <c r="E121" s="9" t="str">
        <f t="shared" ca="1" si="118"/>
        <v/>
      </c>
      <c r="F121" s="3" t="s">
        <v>12</v>
      </c>
      <c r="G121" s="12" t="str">
        <f t="shared" si="115"/>
        <v>{"text":"物件の登録をする","postback":"Register-House"},</v>
      </c>
    </row>
    <row r="122" spans="1:7" x14ac:dyDescent="0.2">
      <c r="A122" s="84" t="s">
        <v>349</v>
      </c>
      <c r="B122" s="85"/>
      <c r="C122" s="86"/>
      <c r="D122" s="26"/>
      <c r="E122" s="26"/>
      <c r="F122" s="3" t="s">
        <v>12</v>
      </c>
      <c r="G122" s="28"/>
    </row>
    <row r="123" spans="1:7" ht="25.5" x14ac:dyDescent="0.2">
      <c r="A123" s="20" t="s">
        <v>348</v>
      </c>
      <c r="B123" s="20" t="s">
        <v>742</v>
      </c>
      <c r="C123" s="3"/>
      <c r="D123" s="5" t="str">
        <f t="shared" ref="D123:E123" ca="1" si="119">IFERROR(__xludf.DUMMYFUNCTION("If (A123&lt;&gt;"""", GOOGLETRANSLATE(A123, ""auto"", ""en""), """")"),"About key")</f>
        <v>About key</v>
      </c>
      <c r="E123" s="5" t="str">
        <f t="shared" ca="1" si="119"/>
        <v>About key</v>
      </c>
      <c r="F123" s="3" t="s">
        <v>12</v>
      </c>
      <c r="G123" s="3"/>
    </row>
    <row r="124" spans="1:7" ht="12.75" x14ac:dyDescent="0.2">
      <c r="A124" s="5"/>
      <c r="B124" s="5" t="s">
        <v>19</v>
      </c>
      <c r="C124" s="3"/>
      <c r="D124" s="5" t="str">
        <f t="shared" ref="D124:E124" ca="1" si="120">IFERROR(__xludf.DUMMYFUNCTION("If (A124&lt;&gt;"""", GOOGLETRANSLATE(A124, ""auto"", ""en""), """")"),"")</f>
        <v/>
      </c>
      <c r="E124" s="5" t="str">
        <f t="shared" ca="1" si="120"/>
        <v/>
      </c>
      <c r="F124" s="3" t="s">
        <v>12</v>
      </c>
      <c r="G124" s="3"/>
    </row>
    <row r="125" spans="1:7" ht="25.5" x14ac:dyDescent="0.2">
      <c r="A125" s="8" t="s">
        <v>21</v>
      </c>
      <c r="B125" s="10" t="s">
        <v>24</v>
      </c>
      <c r="C125" s="11" t="s">
        <v>26</v>
      </c>
      <c r="D125" s="8" t="str">
        <f t="shared" ref="D125:E125" ca="1" si="121">IFERROR(__xludf.DUMMYFUNCTION("If (A125&lt;&gt;"""", GOOGLETRANSLATE(A125, ""auto"", ""en""), """")"),"Quick Replies")</f>
        <v>Quick Replies</v>
      </c>
      <c r="E125" s="9" t="str">
        <f t="shared" ca="1" si="121"/>
        <v>Quick Replies</v>
      </c>
      <c r="F125" s="3" t="s">
        <v>12</v>
      </c>
      <c r="G125" s="12" t="str">
        <f t="shared" ref="G125:G128" si="122">"{""text"":"""&amp;B125&amp;""",""postback"":"""&amp;C125&amp;"""},"</f>
        <v>{"text":"その他の質問（ゲスト）","postback":"FAQ-Guest-First"},</v>
      </c>
    </row>
    <row r="126" spans="1:7" ht="25.5" x14ac:dyDescent="0.2">
      <c r="A126" s="9"/>
      <c r="B126" s="10" t="s">
        <v>32</v>
      </c>
      <c r="C126" s="11" t="s">
        <v>29</v>
      </c>
      <c r="D126" s="9" t="str">
        <f t="shared" ref="D126:E126" ca="1" si="123">IFERROR(__xludf.DUMMYFUNCTION("If (A126&lt;&gt;"""", GOOGLETRANSLATE(A126, ""auto"", ""en""), """")"),"")</f>
        <v/>
      </c>
      <c r="E126" s="9" t="str">
        <f t="shared" ca="1" si="123"/>
        <v/>
      </c>
      <c r="F126" s="3" t="s">
        <v>12</v>
      </c>
      <c r="G126" s="12" t="str">
        <f t="shared" si="122"/>
        <v>{"text":"その他の質問（ホスト）","postback":"FAQ-Host-First"},</v>
      </c>
    </row>
    <row r="127" spans="1:7" ht="12.75" x14ac:dyDescent="0.2">
      <c r="A127" s="9"/>
      <c r="B127" s="9" t="s">
        <v>25</v>
      </c>
      <c r="C127" s="11" t="s">
        <v>27</v>
      </c>
      <c r="D127" s="9" t="str">
        <f t="shared" ref="D127:E127" ca="1" si="124">IFERROR(__xludf.DUMMYFUNCTION("If (A127&lt;&gt;"""", GOOGLETRANSLATE(A127, ""auto"", ""en""), """")"),"")</f>
        <v/>
      </c>
      <c r="E127" s="9" t="str">
        <f t="shared" ca="1" si="124"/>
        <v/>
      </c>
      <c r="F127" s="3" t="s">
        <v>12</v>
      </c>
      <c r="G127" s="12" t="str">
        <f t="shared" si="122"/>
        <v>{"text":"宿泊先を探す","postback":"Search-House"},</v>
      </c>
    </row>
    <row r="128" spans="1:7" ht="12.75" x14ac:dyDescent="0.2">
      <c r="A128" s="9"/>
      <c r="B128" s="9" t="s">
        <v>30</v>
      </c>
      <c r="C128" s="11" t="s">
        <v>31</v>
      </c>
      <c r="D128" s="9" t="str">
        <f t="shared" ref="D128:E128" ca="1" si="125">IFERROR(__xludf.DUMMYFUNCTION("If (A128&lt;&gt;"""", GOOGLETRANSLATE(A128, ""auto"", ""en""), """")"),"")</f>
        <v/>
      </c>
      <c r="E128" s="9" t="str">
        <f t="shared" ca="1" si="125"/>
        <v/>
      </c>
      <c r="F128" s="3" t="s">
        <v>12</v>
      </c>
      <c r="G128" s="12" t="str">
        <f t="shared" si="122"/>
        <v>{"text":"物件の登録をする","postback":"Register-House"},</v>
      </c>
    </row>
    <row r="129" spans="1:7" x14ac:dyDescent="0.2">
      <c r="A129" s="84" t="s">
        <v>352</v>
      </c>
      <c r="B129" s="85"/>
      <c r="C129" s="86"/>
      <c r="D129" s="26"/>
      <c r="E129" s="26"/>
      <c r="F129" s="3" t="s">
        <v>12</v>
      </c>
      <c r="G129" s="28"/>
    </row>
    <row r="130" spans="1:7" ht="38.25" x14ac:dyDescent="0.2">
      <c r="A130" s="20" t="s">
        <v>351</v>
      </c>
      <c r="B130" s="20" t="s">
        <v>879</v>
      </c>
      <c r="C130" s="3"/>
      <c r="D130" s="5" t="str">
        <f t="shared" ref="D130:E130" ca="1" si="126">IFERROR(__xludf.DUMMYFUNCTION("If (A130&lt;&gt;"""", GOOGLETRANSLATE(A130, ""auto"", ""en""), """")"),"For discomfort to the guest")</f>
        <v>For discomfort to the guest</v>
      </c>
      <c r="E130" s="5" t="str">
        <f t="shared" ca="1" si="126"/>
        <v>For discomfort to the guest</v>
      </c>
      <c r="F130" s="3" t="s">
        <v>12</v>
      </c>
      <c r="G130" s="3"/>
    </row>
    <row r="131" spans="1:7" ht="12.75" x14ac:dyDescent="0.2">
      <c r="A131" s="5"/>
      <c r="B131" s="5" t="s">
        <v>19</v>
      </c>
      <c r="C131" s="3"/>
      <c r="D131" s="5" t="str">
        <f t="shared" ref="D131:E131" ca="1" si="127">IFERROR(__xludf.DUMMYFUNCTION("If (A131&lt;&gt;"""", GOOGLETRANSLATE(A131, ""auto"", ""en""), """")"),"")</f>
        <v/>
      </c>
      <c r="E131" s="5" t="str">
        <f t="shared" ca="1" si="127"/>
        <v/>
      </c>
      <c r="F131" s="3" t="s">
        <v>12</v>
      </c>
      <c r="G131" s="3"/>
    </row>
    <row r="132" spans="1:7" ht="25.5" x14ac:dyDescent="0.2">
      <c r="A132" s="8" t="s">
        <v>21</v>
      </c>
      <c r="B132" s="10" t="s">
        <v>24</v>
      </c>
      <c r="C132" s="11" t="s">
        <v>26</v>
      </c>
      <c r="D132" s="8" t="str">
        <f t="shared" ref="D132:E132" ca="1" si="128">IFERROR(__xludf.DUMMYFUNCTION("If (A132&lt;&gt;"""", GOOGLETRANSLATE(A132, ""auto"", ""en""), """")"),"Quick Replies")</f>
        <v>Quick Replies</v>
      </c>
      <c r="E132" s="9" t="str">
        <f t="shared" ca="1" si="128"/>
        <v>Quick Replies</v>
      </c>
      <c r="F132" s="3" t="s">
        <v>12</v>
      </c>
      <c r="G132" s="12" t="str">
        <f t="shared" ref="G132:G135" si="129">"{""text"":"""&amp;B132&amp;""",""postback"":"""&amp;C132&amp;"""},"</f>
        <v>{"text":"その他の質問（ゲスト）","postback":"FAQ-Guest-First"},</v>
      </c>
    </row>
    <row r="133" spans="1:7" ht="25.5" x14ac:dyDescent="0.2">
      <c r="A133" s="9"/>
      <c r="B133" s="10" t="s">
        <v>32</v>
      </c>
      <c r="C133" s="11" t="s">
        <v>29</v>
      </c>
      <c r="D133" s="9" t="str">
        <f t="shared" ref="D133:E133" ca="1" si="130">IFERROR(__xludf.DUMMYFUNCTION("If (A133&lt;&gt;"""", GOOGLETRANSLATE(A133, ""auto"", ""en""), """")"),"")</f>
        <v/>
      </c>
      <c r="E133" s="9" t="str">
        <f t="shared" ca="1" si="130"/>
        <v/>
      </c>
      <c r="F133" s="3" t="s">
        <v>12</v>
      </c>
      <c r="G133" s="12" t="str">
        <f t="shared" si="129"/>
        <v>{"text":"その他の質問（ホスト）","postback":"FAQ-Host-First"},</v>
      </c>
    </row>
    <row r="134" spans="1:7" ht="12.75" x14ac:dyDescent="0.2">
      <c r="A134" s="9"/>
      <c r="B134" s="9" t="s">
        <v>25</v>
      </c>
      <c r="C134" s="11" t="s">
        <v>27</v>
      </c>
      <c r="D134" s="9" t="str">
        <f t="shared" ref="D134:E134" ca="1" si="131">IFERROR(__xludf.DUMMYFUNCTION("If (A134&lt;&gt;"""", GOOGLETRANSLATE(A134, ""auto"", ""en""), """")"),"")</f>
        <v/>
      </c>
      <c r="E134" s="9" t="str">
        <f t="shared" ca="1" si="131"/>
        <v/>
      </c>
      <c r="F134" s="3" t="s">
        <v>12</v>
      </c>
      <c r="G134" s="12" t="str">
        <f t="shared" si="129"/>
        <v>{"text":"宿泊先を探す","postback":"Search-House"},</v>
      </c>
    </row>
    <row r="135" spans="1:7" ht="12.75" x14ac:dyDescent="0.2">
      <c r="A135" s="9"/>
      <c r="B135" s="9" t="s">
        <v>30</v>
      </c>
      <c r="C135" s="11" t="s">
        <v>31</v>
      </c>
      <c r="D135" s="9" t="str">
        <f t="shared" ref="D135:E135" ca="1" si="132">IFERROR(__xludf.DUMMYFUNCTION("If (A135&lt;&gt;"""", GOOGLETRANSLATE(A135, ""auto"", ""en""), """")"),"")</f>
        <v/>
      </c>
      <c r="E135" s="9" t="str">
        <f t="shared" ca="1" si="132"/>
        <v/>
      </c>
      <c r="F135" s="3" t="s">
        <v>12</v>
      </c>
      <c r="G135" s="12" t="str">
        <f t="shared" si="129"/>
        <v>{"text":"物件の登録をする","postback":"Register-House"},</v>
      </c>
    </row>
    <row r="136" spans="1:7" x14ac:dyDescent="0.2">
      <c r="A136" s="84" t="s">
        <v>357</v>
      </c>
      <c r="B136" s="85"/>
      <c r="C136" s="86"/>
      <c r="D136" s="26"/>
      <c r="E136" s="26"/>
      <c r="F136" s="3" t="s">
        <v>12</v>
      </c>
      <c r="G136" s="28"/>
    </row>
    <row r="137" spans="1:7" ht="25.5" x14ac:dyDescent="0.2">
      <c r="A137" s="20" t="s">
        <v>356</v>
      </c>
      <c r="B137" s="20" t="s">
        <v>769</v>
      </c>
      <c r="C137" s="3"/>
      <c r="D137" s="5" t="str">
        <f t="shared" ref="D137:E137" ca="1" si="133">IFERROR(__xludf.DUMMYFUNCTION("If (A137&lt;&gt;"""", GOOGLETRANSLATE(A137, ""auto"", ""en""), """")"),"For contact with the guest")</f>
        <v>For contact with the guest</v>
      </c>
      <c r="E137" s="5" t="str">
        <f t="shared" ca="1" si="133"/>
        <v>For contact with the guest</v>
      </c>
      <c r="F137" s="3" t="s">
        <v>12</v>
      </c>
      <c r="G137" s="3"/>
    </row>
    <row r="138" spans="1:7" ht="12.75" x14ac:dyDescent="0.2">
      <c r="A138" s="5"/>
      <c r="B138" s="5" t="s">
        <v>19</v>
      </c>
      <c r="C138" s="3"/>
      <c r="D138" s="5" t="str">
        <f t="shared" ref="D138:E138" ca="1" si="134">IFERROR(__xludf.DUMMYFUNCTION("If (A138&lt;&gt;"""", GOOGLETRANSLATE(A138, ""auto"", ""en""), """")"),"")</f>
        <v/>
      </c>
      <c r="E138" s="5" t="str">
        <f t="shared" ca="1" si="134"/>
        <v/>
      </c>
      <c r="F138" s="3" t="s">
        <v>12</v>
      </c>
      <c r="G138" s="3"/>
    </row>
    <row r="139" spans="1:7" ht="25.5" x14ac:dyDescent="0.2">
      <c r="A139" s="8" t="s">
        <v>21</v>
      </c>
      <c r="B139" s="10" t="s">
        <v>24</v>
      </c>
      <c r="C139" s="11" t="s">
        <v>26</v>
      </c>
      <c r="D139" s="8" t="str">
        <f t="shared" ref="D139:E139" ca="1" si="135">IFERROR(__xludf.DUMMYFUNCTION("If (A139&lt;&gt;"""", GOOGLETRANSLATE(A139, ""auto"", ""en""), """")"),"Quick Replies")</f>
        <v>Quick Replies</v>
      </c>
      <c r="E139" s="9" t="str">
        <f t="shared" ca="1" si="135"/>
        <v>Quick Replies</v>
      </c>
      <c r="F139" s="3" t="s">
        <v>12</v>
      </c>
      <c r="G139" s="12" t="str">
        <f t="shared" ref="G139:G142" si="136">"{""text"":"""&amp;B139&amp;""",""postback"":"""&amp;C139&amp;"""},"</f>
        <v>{"text":"その他の質問（ゲスト）","postback":"FAQ-Guest-First"},</v>
      </c>
    </row>
    <row r="140" spans="1:7" ht="25.5" x14ac:dyDescent="0.2">
      <c r="A140" s="9"/>
      <c r="B140" s="10" t="s">
        <v>32</v>
      </c>
      <c r="C140" s="11" t="s">
        <v>29</v>
      </c>
      <c r="D140" s="9" t="str">
        <f t="shared" ref="D140:E140" ca="1" si="137">IFERROR(__xludf.DUMMYFUNCTION("If (A140&lt;&gt;"""", GOOGLETRANSLATE(A140, ""auto"", ""en""), """")"),"")</f>
        <v/>
      </c>
      <c r="E140" s="9" t="str">
        <f t="shared" ca="1" si="137"/>
        <v/>
      </c>
      <c r="F140" s="3" t="s">
        <v>12</v>
      </c>
      <c r="G140" s="12" t="str">
        <f t="shared" si="136"/>
        <v>{"text":"その他の質問（ホスト）","postback":"FAQ-Host-First"},</v>
      </c>
    </row>
    <row r="141" spans="1:7" ht="12.75" x14ac:dyDescent="0.2">
      <c r="A141" s="9"/>
      <c r="B141" s="9" t="s">
        <v>25</v>
      </c>
      <c r="C141" s="11" t="s">
        <v>27</v>
      </c>
      <c r="D141" s="9" t="str">
        <f t="shared" ref="D141:E141" ca="1" si="138">IFERROR(__xludf.DUMMYFUNCTION("If (A141&lt;&gt;"""", GOOGLETRANSLATE(A141, ""auto"", ""en""), """")"),"")</f>
        <v/>
      </c>
      <c r="E141" s="9" t="str">
        <f t="shared" ca="1" si="138"/>
        <v/>
      </c>
      <c r="F141" s="3" t="s">
        <v>12</v>
      </c>
      <c r="G141" s="12" t="str">
        <f t="shared" si="136"/>
        <v>{"text":"宿泊先を探す","postback":"Search-House"},</v>
      </c>
    </row>
    <row r="142" spans="1:7" ht="12.75" x14ac:dyDescent="0.2">
      <c r="A142" s="9"/>
      <c r="B142" s="9" t="s">
        <v>30</v>
      </c>
      <c r="C142" s="11" t="s">
        <v>31</v>
      </c>
      <c r="D142" s="9" t="str">
        <f t="shared" ref="D142:E142" ca="1" si="139">IFERROR(__xludf.DUMMYFUNCTION("If (A142&lt;&gt;"""", GOOGLETRANSLATE(A142, ""auto"", ""en""), """")"),"")</f>
        <v/>
      </c>
      <c r="E142" s="9" t="str">
        <f t="shared" ca="1" si="139"/>
        <v/>
      </c>
      <c r="F142" s="3" t="s">
        <v>12</v>
      </c>
      <c r="G142" s="12" t="str">
        <f t="shared" si="136"/>
        <v>{"text":"物件の登録をする","postback":"Register-House"},</v>
      </c>
    </row>
    <row r="143" spans="1:7" x14ac:dyDescent="0.2">
      <c r="A143" s="84" t="s">
        <v>359</v>
      </c>
      <c r="B143" s="85"/>
      <c r="C143" s="86"/>
      <c r="D143" s="26"/>
      <c r="E143" s="26"/>
      <c r="F143" s="3" t="s">
        <v>12</v>
      </c>
      <c r="G143" s="28"/>
    </row>
    <row r="144" spans="1:7" ht="25.5" x14ac:dyDescent="0.2">
      <c r="A144" s="20" t="s">
        <v>358</v>
      </c>
      <c r="B144" s="20" t="s">
        <v>783</v>
      </c>
      <c r="C144" s="3"/>
      <c r="D144" s="5" t="str">
        <f t="shared" ref="D144:E144" ca="1" si="140">IFERROR(__xludf.DUMMYFUNCTION("If (A144&lt;&gt;"""", GOOGLETRANSLATE(A144, ""auto"", ""en""), """")"),"Complaints from the guest")</f>
        <v>Complaints from the guest</v>
      </c>
      <c r="E144" s="5" t="str">
        <f t="shared" ca="1" si="140"/>
        <v>Complaints from the guest</v>
      </c>
      <c r="F144" s="3" t="s">
        <v>12</v>
      </c>
      <c r="G144" s="3"/>
    </row>
    <row r="145" spans="1:7" ht="12.75" x14ac:dyDescent="0.2">
      <c r="A145" s="5"/>
      <c r="B145" s="5" t="s">
        <v>19</v>
      </c>
      <c r="C145" s="3"/>
      <c r="D145" s="5" t="str">
        <f t="shared" ref="D145:E145" ca="1" si="141">IFERROR(__xludf.DUMMYFUNCTION("If (A145&lt;&gt;"""", GOOGLETRANSLATE(A145, ""auto"", ""en""), """")"),"")</f>
        <v/>
      </c>
      <c r="E145" s="5" t="str">
        <f t="shared" ca="1" si="141"/>
        <v/>
      </c>
      <c r="F145" s="3" t="s">
        <v>12</v>
      </c>
      <c r="G145" s="3"/>
    </row>
    <row r="146" spans="1:7" ht="25.5" x14ac:dyDescent="0.2">
      <c r="A146" s="8" t="s">
        <v>21</v>
      </c>
      <c r="B146" s="10" t="s">
        <v>24</v>
      </c>
      <c r="C146" s="11" t="s">
        <v>26</v>
      </c>
      <c r="D146" s="8" t="str">
        <f t="shared" ref="D146:E146" ca="1" si="142">IFERROR(__xludf.DUMMYFUNCTION("If (A146&lt;&gt;"""", GOOGLETRANSLATE(A146, ""auto"", ""en""), """")"),"Quick Replies")</f>
        <v>Quick Replies</v>
      </c>
      <c r="E146" s="9" t="str">
        <f t="shared" ca="1" si="142"/>
        <v>Quick Replies</v>
      </c>
      <c r="F146" s="3" t="s">
        <v>12</v>
      </c>
      <c r="G146" s="12" t="str">
        <f t="shared" ref="G146:G149" si="143">"{""text"":"""&amp;B146&amp;""",""postback"":"""&amp;C146&amp;"""},"</f>
        <v>{"text":"その他の質問（ゲスト）","postback":"FAQ-Guest-First"},</v>
      </c>
    </row>
    <row r="147" spans="1:7" ht="25.5" x14ac:dyDescent="0.2">
      <c r="A147" s="9"/>
      <c r="B147" s="10" t="s">
        <v>32</v>
      </c>
      <c r="C147" s="11" t="s">
        <v>29</v>
      </c>
      <c r="D147" s="9" t="str">
        <f t="shared" ref="D147:E147" ca="1" si="144">IFERROR(__xludf.DUMMYFUNCTION("If (A147&lt;&gt;"""", GOOGLETRANSLATE(A147, ""auto"", ""en""), """")"),"")</f>
        <v/>
      </c>
      <c r="E147" s="9" t="str">
        <f t="shared" ca="1" si="144"/>
        <v/>
      </c>
      <c r="F147" s="3" t="s">
        <v>12</v>
      </c>
      <c r="G147" s="12" t="str">
        <f t="shared" si="143"/>
        <v>{"text":"その他の質問（ホスト）","postback":"FAQ-Host-First"},</v>
      </c>
    </row>
    <row r="148" spans="1:7" ht="12.75" x14ac:dyDescent="0.2">
      <c r="A148" s="9"/>
      <c r="B148" s="9" t="s">
        <v>25</v>
      </c>
      <c r="C148" s="11" t="s">
        <v>27</v>
      </c>
      <c r="D148" s="9" t="str">
        <f t="shared" ref="D148:E148" ca="1" si="145">IFERROR(__xludf.DUMMYFUNCTION("If (A148&lt;&gt;"""", GOOGLETRANSLATE(A148, ""auto"", ""en""), """")"),"")</f>
        <v/>
      </c>
      <c r="E148" s="9" t="str">
        <f t="shared" ca="1" si="145"/>
        <v/>
      </c>
      <c r="F148" s="3" t="s">
        <v>12</v>
      </c>
      <c r="G148" s="12" t="str">
        <f t="shared" si="143"/>
        <v>{"text":"宿泊先を探す","postback":"Search-House"},</v>
      </c>
    </row>
    <row r="149" spans="1:7" ht="12.75" x14ac:dyDescent="0.2">
      <c r="A149" s="9"/>
      <c r="B149" s="9" t="s">
        <v>30</v>
      </c>
      <c r="C149" s="11" t="s">
        <v>31</v>
      </c>
      <c r="D149" s="9" t="str">
        <f t="shared" ref="D149:E149" ca="1" si="146">IFERROR(__xludf.DUMMYFUNCTION("If (A149&lt;&gt;"""", GOOGLETRANSLATE(A149, ""auto"", ""en""), """")"),"")</f>
        <v/>
      </c>
      <c r="E149" s="9" t="str">
        <f t="shared" ca="1" si="146"/>
        <v/>
      </c>
      <c r="F149" s="3" t="s">
        <v>12</v>
      </c>
      <c r="G149" s="12" t="str">
        <f t="shared" si="143"/>
        <v>{"text":"物件の登録をする","postback":"Register-House"},</v>
      </c>
    </row>
    <row r="150" spans="1:7" x14ac:dyDescent="0.2">
      <c r="A150" s="84"/>
      <c r="B150" s="85"/>
      <c r="C150" s="86"/>
      <c r="D150" s="26"/>
      <c r="E150" s="26"/>
      <c r="F150" s="28"/>
      <c r="G150" s="28"/>
    </row>
    <row r="151" spans="1:7" ht="12.75" x14ac:dyDescent="0.2">
      <c r="A151" s="17"/>
      <c r="B151" s="17"/>
      <c r="C151" s="17"/>
      <c r="D151" s="5" t="str">
        <f t="shared" ref="D151:E151" ca="1" si="147">IFERROR(__xludf.DUMMYFUNCTION("If (A151&lt;&gt;"""", GOOGLETRANSLATE(A151, ""auto"", ""en""), """")"),"")</f>
        <v/>
      </c>
      <c r="E151" s="5" t="str">
        <f t="shared" ca="1" si="147"/>
        <v/>
      </c>
      <c r="F151" s="30"/>
      <c r="G151" s="30"/>
    </row>
    <row r="152" spans="1:7" ht="12.75" x14ac:dyDescent="0.2">
      <c r="A152" s="17"/>
      <c r="B152" s="17"/>
      <c r="C152" s="17"/>
      <c r="D152" s="5" t="str">
        <f t="shared" ref="D152:E152" ca="1" si="148">IFERROR(__xludf.DUMMYFUNCTION("If (A152&lt;&gt;"""", GOOGLETRANSLATE(A152, ""auto"", ""en""), """")"),"")</f>
        <v/>
      </c>
      <c r="E152" s="5" t="str">
        <f t="shared" ca="1" si="148"/>
        <v/>
      </c>
      <c r="F152" s="30"/>
      <c r="G152" s="30"/>
    </row>
    <row r="153" spans="1:7" ht="12.75" x14ac:dyDescent="0.2">
      <c r="A153" s="17"/>
      <c r="B153" s="17"/>
      <c r="C153" s="17"/>
      <c r="D153" s="5" t="str">
        <f t="shared" ref="D153:E153" ca="1" si="149">IFERROR(__xludf.DUMMYFUNCTION("If (A153&lt;&gt;"""", GOOGLETRANSLATE(A153, ""auto"", ""en""), """")"),"")</f>
        <v/>
      </c>
      <c r="E153" s="5" t="str">
        <f t="shared" ca="1" si="149"/>
        <v/>
      </c>
      <c r="F153" s="30"/>
      <c r="G153" s="30"/>
    </row>
    <row r="154" spans="1:7" ht="12.75" x14ac:dyDescent="0.2">
      <c r="A154" s="17"/>
      <c r="B154" s="17"/>
      <c r="C154" s="17"/>
      <c r="D154" s="5" t="str">
        <f t="shared" ref="D154:E154" ca="1" si="150">IFERROR(__xludf.DUMMYFUNCTION("If (A154&lt;&gt;"""", GOOGLETRANSLATE(A154, ""auto"", ""en""), """")"),"")</f>
        <v/>
      </c>
      <c r="E154" s="5" t="str">
        <f t="shared" ca="1" si="150"/>
        <v/>
      </c>
      <c r="F154" s="30"/>
      <c r="G154" s="30"/>
    </row>
    <row r="155" spans="1:7" ht="12.75" x14ac:dyDescent="0.2">
      <c r="A155" s="17"/>
      <c r="B155" s="17"/>
      <c r="C155" s="17"/>
      <c r="D155" s="5" t="str">
        <f t="shared" ref="D155:E155" ca="1" si="151">IFERROR(__xludf.DUMMYFUNCTION("If (A155&lt;&gt;"""", GOOGLETRANSLATE(A155, ""auto"", ""en""), """")"),"")</f>
        <v/>
      </c>
      <c r="E155" s="5" t="str">
        <f t="shared" ca="1" si="151"/>
        <v/>
      </c>
      <c r="F155" s="30"/>
      <c r="G155" s="30"/>
    </row>
    <row r="156" spans="1:7" ht="12.75" x14ac:dyDescent="0.2">
      <c r="A156" s="17"/>
      <c r="B156" s="17"/>
      <c r="C156" s="17"/>
      <c r="D156" s="5" t="str">
        <f t="shared" ref="D156:E156" ca="1" si="152">IFERROR(__xludf.DUMMYFUNCTION("If (A156&lt;&gt;"""", GOOGLETRANSLATE(A156, ""auto"", ""en""), """")"),"")</f>
        <v/>
      </c>
      <c r="E156" s="5" t="str">
        <f t="shared" ca="1" si="152"/>
        <v/>
      </c>
      <c r="F156" s="30"/>
      <c r="G156" s="30"/>
    </row>
    <row r="157" spans="1:7" ht="12.75" x14ac:dyDescent="0.2">
      <c r="A157" s="17"/>
      <c r="B157" s="17"/>
      <c r="C157" s="17"/>
      <c r="D157" s="5" t="str">
        <f t="shared" ref="D157:E157" ca="1" si="153">IFERROR(__xludf.DUMMYFUNCTION("If (A157&lt;&gt;"""", GOOGLETRANSLATE(A157, ""auto"", ""en""), """")"),"")</f>
        <v/>
      </c>
      <c r="E157" s="5" t="str">
        <f t="shared" ca="1" si="153"/>
        <v/>
      </c>
      <c r="F157" s="30"/>
      <c r="G157" s="30"/>
    </row>
    <row r="158" spans="1:7" ht="12.75" x14ac:dyDescent="0.2">
      <c r="A158" s="17"/>
      <c r="B158" s="17"/>
      <c r="C158" s="17"/>
      <c r="D158" s="5" t="str">
        <f t="shared" ref="D158:E158" ca="1" si="154">IFERROR(__xludf.DUMMYFUNCTION("If (A158&lt;&gt;"""", GOOGLETRANSLATE(A158, ""auto"", ""en""), """")"),"")</f>
        <v/>
      </c>
      <c r="E158" s="5" t="str">
        <f t="shared" ca="1" si="154"/>
        <v/>
      </c>
      <c r="F158" s="30"/>
      <c r="G158" s="30"/>
    </row>
    <row r="159" spans="1:7" ht="12.75" x14ac:dyDescent="0.2">
      <c r="A159" s="17"/>
      <c r="B159" s="17"/>
      <c r="C159" s="17"/>
      <c r="D159" s="5" t="str">
        <f t="shared" ref="D159:E159" ca="1" si="155">IFERROR(__xludf.DUMMYFUNCTION("If (A159&lt;&gt;"""", GOOGLETRANSLATE(A159, ""auto"", ""en""), """")"),"")</f>
        <v/>
      </c>
      <c r="E159" s="5" t="str">
        <f t="shared" ca="1" si="155"/>
        <v/>
      </c>
      <c r="F159" s="30"/>
      <c r="G159" s="30"/>
    </row>
    <row r="160" spans="1:7" ht="12.75" x14ac:dyDescent="0.2">
      <c r="A160" s="17"/>
      <c r="B160" s="17"/>
      <c r="C160" s="17"/>
      <c r="D160" s="5" t="str">
        <f t="shared" ref="D160:E160" ca="1" si="156">IFERROR(__xludf.DUMMYFUNCTION("If (A160&lt;&gt;"""", GOOGLETRANSLATE(A160, ""auto"", ""en""), """")"),"")</f>
        <v/>
      </c>
      <c r="E160" s="5" t="str">
        <f t="shared" ca="1" si="156"/>
        <v/>
      </c>
      <c r="F160" s="30"/>
      <c r="G160" s="30"/>
    </row>
  </sheetData>
  <mergeCells count="24">
    <mergeCell ref="A66:C66"/>
    <mergeCell ref="A1:C1"/>
    <mergeCell ref="A143:C143"/>
    <mergeCell ref="A150:C150"/>
    <mergeCell ref="A115:C115"/>
    <mergeCell ref="A108:C108"/>
    <mergeCell ref="A122:C122"/>
    <mergeCell ref="A136:C136"/>
    <mergeCell ref="D1:G1"/>
    <mergeCell ref="A94:C94"/>
    <mergeCell ref="A101:C101"/>
    <mergeCell ref="A129:C129"/>
    <mergeCell ref="A59:C59"/>
    <mergeCell ref="A52:C52"/>
    <mergeCell ref="A45:C45"/>
    <mergeCell ref="A38:C38"/>
    <mergeCell ref="A3:C3"/>
    <mergeCell ref="A10:C10"/>
    <mergeCell ref="A24:C24"/>
    <mergeCell ref="A17:C17"/>
    <mergeCell ref="A31:C31"/>
    <mergeCell ref="A87:C87"/>
    <mergeCell ref="A73:C73"/>
    <mergeCell ref="A80:C80"/>
  </mergeCells>
  <conditionalFormatting sqref="F2:G160 C11:C12 C18:C19 C25:C26 C32:C33 C39:C40 C46:C47 C53:C54 C60:C61 C67:C68 C74:C75 C81:C82 C88:C89 C95:C96 C102:C103 C109:C110 C116:C117 C123:C124 C130:C131 C137:C138 C144:C145">
    <cfRule type="cellIs" dxfId="27" priority="1" operator="equal">
      <formula>"done"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28.28515625" customWidth="1"/>
    <col min="2" max="2" width="57.7109375" customWidth="1"/>
    <col min="3" max="3" width="16.28515625" customWidth="1"/>
    <col min="4" max="4" width="29" customWidth="1"/>
    <col min="5" max="5" width="45.140625" customWidth="1"/>
    <col min="6" max="6" width="13.28515625" customWidth="1"/>
    <col min="7" max="7" width="65.2851562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row>
    <row r="3" spans="1:7" ht="15.75" customHeight="1" x14ac:dyDescent="0.2">
      <c r="A3" s="84" t="s">
        <v>368</v>
      </c>
      <c r="B3" s="85"/>
      <c r="C3" s="86"/>
      <c r="D3" s="26"/>
      <c r="E3" s="26"/>
      <c r="F3" s="3" t="s">
        <v>12</v>
      </c>
      <c r="G3" s="28"/>
    </row>
    <row r="4" spans="1:7" ht="15.75" customHeight="1" x14ac:dyDescent="0.2">
      <c r="A4" s="20" t="s">
        <v>369</v>
      </c>
      <c r="B4" s="20" t="s">
        <v>370</v>
      </c>
      <c r="C4" s="20"/>
      <c r="D4" s="5" t="str">
        <f t="shared" ref="D4:E4" ca="1" si="0">IFERROR(__xludf.DUMMYFUNCTION("If (A4&lt;&gt;"""", GOOGLETRANSLATE(A4, ""auto"", ""en""), """")"),"Children Rates")</f>
        <v>Children Rates</v>
      </c>
      <c r="E4" s="5" t="str">
        <f t="shared" ca="1" si="0"/>
        <v>Children Rates</v>
      </c>
      <c r="F4" s="3" t="s">
        <v>12</v>
      </c>
      <c r="G4" s="21"/>
    </row>
    <row r="5" spans="1:7" ht="15.75" customHeight="1" x14ac:dyDescent="0.2">
      <c r="A5" s="5"/>
      <c r="B5" s="5" t="s">
        <v>19</v>
      </c>
      <c r="C5" s="5"/>
      <c r="D5" s="5" t="str">
        <f t="shared" ref="D5:E5" ca="1" si="1">IFERROR(__xludf.DUMMYFUNCTION("If (A5&lt;&gt;"""", GOOGLETRANSLATE(A5, ""auto"", ""en""), """")"),"")</f>
        <v/>
      </c>
      <c r="E5" s="5" t="str">
        <f t="shared" ca="1" si="1"/>
        <v/>
      </c>
      <c r="F5" s="3" t="s">
        <v>12</v>
      </c>
      <c r="G5" s="3"/>
    </row>
    <row r="6" spans="1:7" ht="15.75" customHeight="1" x14ac:dyDescent="0.2">
      <c r="A6" s="8" t="s">
        <v>21</v>
      </c>
      <c r="B6" s="11" t="s">
        <v>38</v>
      </c>
      <c r="C6" s="11" t="s">
        <v>26</v>
      </c>
      <c r="D6" s="8" t="str">
        <f t="shared" ref="D6:E6" ca="1" si="2">IFERROR(__xludf.DUMMYFUNCTION("If (A6&lt;&gt;"""", GOOGLETRANSLATE(A6, ""auto"", ""en""), """")"),"Quick Replies")</f>
        <v>Quick Replies</v>
      </c>
      <c r="E6" s="9" t="str">
        <f t="shared" ca="1" si="2"/>
        <v>Quick Replies</v>
      </c>
      <c r="F6" s="3" t="s">
        <v>12</v>
      </c>
      <c r="G6" s="12" t="str">
        <f t="shared" ref="G6:G9" si="3">"{""text"":"""&amp;B6&amp;""",""postback"":"""&amp;C6&amp;"""},"</f>
        <v>{"text":"ゲスト（旅行者）として質問をしたい","postback":"FAQ-Guest-First"},</v>
      </c>
    </row>
    <row r="7" spans="1:7" ht="15.75" customHeight="1" x14ac:dyDescent="0.2">
      <c r="A7" s="9"/>
      <c r="B7" s="11" t="s">
        <v>56</v>
      </c>
      <c r="C7" s="11" t="s">
        <v>29</v>
      </c>
      <c r="D7" s="9" t="str">
        <f t="shared" ref="D7:E7" ca="1" si="4">IFERROR(__xludf.DUMMYFUNCTION("If (A7&lt;&gt;"""", GOOGLETRANSLATE(A7, ""auto"", ""en""), """")"),"")</f>
        <v/>
      </c>
      <c r="E7" s="9" t="str">
        <f t="shared" ca="1" si="4"/>
        <v/>
      </c>
      <c r="F7" s="3" t="s">
        <v>12</v>
      </c>
      <c r="G7" s="12" t="str">
        <f t="shared" si="3"/>
        <v>{"text":"ホスト（宿主）として質問をしたい","postback":"FAQ-Host-First"},</v>
      </c>
    </row>
    <row r="8" spans="1:7" ht="15.75" customHeight="1" x14ac:dyDescent="0.2">
      <c r="A8" s="9"/>
      <c r="B8" s="9" t="s">
        <v>25</v>
      </c>
      <c r="C8" s="11" t="s">
        <v>27</v>
      </c>
      <c r="D8" s="9" t="str">
        <f t="shared" ref="D8:E8" ca="1" si="5">IFERROR(__xludf.DUMMYFUNCTION("If (A8&lt;&gt;"""", GOOGLETRANSLATE(A8, ""auto"", ""en""), """")"),"")</f>
        <v/>
      </c>
      <c r="E8" s="9" t="str">
        <f t="shared" ca="1" si="5"/>
        <v/>
      </c>
      <c r="F8" s="3" t="s">
        <v>12</v>
      </c>
      <c r="G8" s="12" t="str">
        <f t="shared" si="3"/>
        <v>{"text":"宿泊先を探す","postback":"Search-House"},</v>
      </c>
    </row>
    <row r="9" spans="1:7" ht="15.75" customHeight="1" x14ac:dyDescent="0.2">
      <c r="A9" s="9"/>
      <c r="B9" s="9" t="s">
        <v>30</v>
      </c>
      <c r="C9" s="11" t="s">
        <v>31</v>
      </c>
      <c r="D9" s="9" t="str">
        <f t="shared" ref="D9:E9" ca="1" si="6">IFERROR(__xludf.DUMMYFUNCTION("If (A9&lt;&gt;"""", GOOGLETRANSLATE(A9, ""auto"", ""en""), """")"),"")</f>
        <v/>
      </c>
      <c r="E9" s="9" t="str">
        <f t="shared" ca="1" si="6"/>
        <v/>
      </c>
      <c r="F9" s="3" t="s">
        <v>12</v>
      </c>
      <c r="G9" s="12" t="str">
        <f t="shared" si="3"/>
        <v>{"text":"物件の登録をする","postback":"Register-House"},</v>
      </c>
    </row>
    <row r="10" spans="1:7" ht="15.75" customHeight="1" x14ac:dyDescent="0.2">
      <c r="A10" s="84" t="s">
        <v>373</v>
      </c>
      <c r="B10" s="85"/>
      <c r="C10" s="86"/>
      <c r="D10" s="26"/>
      <c r="E10" s="26"/>
      <c r="F10" s="3" t="s">
        <v>12</v>
      </c>
      <c r="G10" s="28"/>
    </row>
    <row r="11" spans="1:7" ht="15.75" customHeight="1" x14ac:dyDescent="0.2">
      <c r="A11" s="20" t="s">
        <v>374</v>
      </c>
      <c r="B11" s="20" t="s">
        <v>375</v>
      </c>
      <c r="C11" s="20"/>
      <c r="D11" s="5" t="str">
        <f t="shared" ref="D11:E11" ca="1" si="7">IFERROR(__xludf.DUMMYFUNCTION("If (A11&lt;&gt;"""", GOOGLETRANSLATE(A11, ""auto"", ""en""), """")"),"It is different from the reservation person and the hotel guest")</f>
        <v>It is different from the reservation person and the hotel guest</v>
      </c>
      <c r="E11" s="5" t="str">
        <f t="shared" ca="1" si="7"/>
        <v>It is different from the reservation person and the hotel guest</v>
      </c>
      <c r="F11" s="3" t="s">
        <v>12</v>
      </c>
      <c r="G11" s="21"/>
    </row>
    <row r="12" spans="1:7" ht="15.75" customHeight="1" x14ac:dyDescent="0.2">
      <c r="A12" s="5"/>
      <c r="B12" s="5" t="s">
        <v>19</v>
      </c>
      <c r="C12" s="5"/>
      <c r="D12" s="5" t="str">
        <f t="shared" ref="D12:E12" ca="1" si="8">IFERROR(__xludf.DUMMYFUNCTION("If (A12&lt;&gt;"""", GOOGLETRANSLATE(A12, ""auto"", ""en""), """")"),"")</f>
        <v/>
      </c>
      <c r="E12" s="5" t="str">
        <f t="shared" ca="1" si="8"/>
        <v/>
      </c>
      <c r="F12" s="3" t="s">
        <v>12</v>
      </c>
      <c r="G12" s="3"/>
    </row>
    <row r="13" spans="1:7" ht="15.75" customHeight="1" x14ac:dyDescent="0.2">
      <c r="A13" s="8" t="s">
        <v>21</v>
      </c>
      <c r="B13" s="11" t="s">
        <v>38</v>
      </c>
      <c r="C13" s="11" t="s">
        <v>26</v>
      </c>
      <c r="D13" s="8" t="str">
        <f t="shared" ref="D13:E13" ca="1" si="9">IFERROR(__xludf.DUMMYFUNCTION("If (A13&lt;&gt;"""", GOOGLETRANSLATE(A13, ""auto"", ""en""), """")"),"Quick Replies")</f>
        <v>Quick Replies</v>
      </c>
      <c r="E13" s="9" t="str">
        <f t="shared" ca="1" si="9"/>
        <v>Quick Replies</v>
      </c>
      <c r="F13" s="3" t="s">
        <v>12</v>
      </c>
      <c r="G13" s="12" t="str">
        <f t="shared" ref="G13:G16" si="10">"{""text"":"""&amp;B13&amp;""",""postback"":"""&amp;C13&amp;"""},"</f>
        <v>{"text":"ゲスト（旅行者）として質問をしたい","postback":"FAQ-Guest-First"},</v>
      </c>
    </row>
    <row r="14" spans="1:7" ht="15.75" customHeight="1" x14ac:dyDescent="0.2">
      <c r="A14" s="9"/>
      <c r="B14" s="11" t="s">
        <v>56</v>
      </c>
      <c r="C14" s="11" t="s">
        <v>29</v>
      </c>
      <c r="D14" s="9" t="str">
        <f t="shared" ref="D14:E14" ca="1" si="11">IFERROR(__xludf.DUMMYFUNCTION("If (A14&lt;&gt;"""", GOOGLETRANSLATE(A14, ""auto"", ""en""), """")"),"")</f>
        <v/>
      </c>
      <c r="E14" s="9" t="str">
        <f t="shared" ca="1" si="11"/>
        <v/>
      </c>
      <c r="F14" s="3" t="s">
        <v>12</v>
      </c>
      <c r="G14" s="12" t="str">
        <f t="shared" si="10"/>
        <v>{"text":"ホスト（宿主）として質問をしたい","postback":"FAQ-Host-First"},</v>
      </c>
    </row>
    <row r="15" spans="1:7" ht="15.75" customHeight="1" x14ac:dyDescent="0.2">
      <c r="A15" s="9"/>
      <c r="B15" s="9" t="s">
        <v>25</v>
      </c>
      <c r="C15" s="11" t="s">
        <v>27</v>
      </c>
      <c r="D15" s="9" t="str">
        <f t="shared" ref="D15:E15" ca="1" si="12">IFERROR(__xludf.DUMMYFUNCTION("If (A15&lt;&gt;"""", GOOGLETRANSLATE(A15, ""auto"", ""en""), """")"),"")</f>
        <v/>
      </c>
      <c r="E15" s="9" t="str">
        <f t="shared" ca="1" si="12"/>
        <v/>
      </c>
      <c r="F15" s="3" t="s">
        <v>12</v>
      </c>
      <c r="G15" s="12" t="str">
        <f t="shared" si="10"/>
        <v>{"text":"宿泊先を探す","postback":"Search-House"},</v>
      </c>
    </row>
    <row r="16" spans="1:7" ht="15.75" customHeight="1" x14ac:dyDescent="0.2">
      <c r="A16" s="9"/>
      <c r="B16" s="9" t="s">
        <v>30</v>
      </c>
      <c r="C16" s="11" t="s">
        <v>31</v>
      </c>
      <c r="D16" s="9" t="str">
        <f t="shared" ref="D16:E16" ca="1" si="13">IFERROR(__xludf.DUMMYFUNCTION("If (A16&lt;&gt;"""", GOOGLETRANSLATE(A16, ""auto"", ""en""), """")"),"")</f>
        <v/>
      </c>
      <c r="E16" s="9" t="str">
        <f t="shared" ca="1" si="13"/>
        <v/>
      </c>
      <c r="F16" s="3" t="s">
        <v>12</v>
      </c>
      <c r="G16" s="12" t="str">
        <f t="shared" si="10"/>
        <v>{"text":"物件の登録をする","postback":"Register-House"},</v>
      </c>
    </row>
    <row r="17" spans="1:7" ht="15.75" customHeight="1" x14ac:dyDescent="0.2">
      <c r="A17" s="84" t="s">
        <v>378</v>
      </c>
      <c r="B17" s="85"/>
      <c r="C17" s="86"/>
      <c r="D17" s="26"/>
      <c r="E17" s="26"/>
      <c r="F17" s="3" t="s">
        <v>12</v>
      </c>
      <c r="G17" s="28"/>
    </row>
    <row r="18" spans="1:7" ht="15.75" customHeight="1" x14ac:dyDescent="0.2">
      <c r="A18" s="20" t="s">
        <v>379</v>
      </c>
      <c r="B18" s="20" t="s">
        <v>380</v>
      </c>
      <c r="C18" s="20"/>
      <c r="D18" s="5" t="str">
        <f t="shared" ref="D18:E18" ca="1" si="14">IFERROR(__xludf.DUMMYFUNCTION("If (A18&lt;&gt;"""", GOOGLETRANSLATE(A18, ""auto"", ""en""), """")"),"Account creation")</f>
        <v>Account creation</v>
      </c>
      <c r="E18" s="5" t="str">
        <f t="shared" ca="1" si="14"/>
        <v>Account creation</v>
      </c>
      <c r="F18" s="3" t="s">
        <v>12</v>
      </c>
      <c r="G18" s="21"/>
    </row>
    <row r="19" spans="1:7" ht="15.75" customHeight="1" x14ac:dyDescent="0.2">
      <c r="A19" s="5"/>
      <c r="B19" s="5" t="s">
        <v>19</v>
      </c>
      <c r="C19" s="5"/>
      <c r="D19" s="5" t="str">
        <f t="shared" ref="D19:E19" ca="1" si="15">IFERROR(__xludf.DUMMYFUNCTION("If (A19&lt;&gt;"""", GOOGLETRANSLATE(A19, ""auto"", ""en""), """")"),"")</f>
        <v/>
      </c>
      <c r="E19" s="5" t="str">
        <f t="shared" ca="1" si="15"/>
        <v/>
      </c>
      <c r="F19" s="3" t="s">
        <v>12</v>
      </c>
      <c r="G19" s="3"/>
    </row>
    <row r="20" spans="1:7" ht="15.75" customHeight="1" x14ac:dyDescent="0.2">
      <c r="A20" s="8" t="s">
        <v>21</v>
      </c>
      <c r="B20" s="11" t="s">
        <v>38</v>
      </c>
      <c r="C20" s="11" t="s">
        <v>26</v>
      </c>
      <c r="D20" s="8" t="str">
        <f t="shared" ref="D20:E20" ca="1" si="16">IFERROR(__xludf.DUMMYFUNCTION("If (A20&lt;&gt;"""", GOOGLETRANSLATE(A20, ""auto"", ""en""), """")"),"Quick Replies")</f>
        <v>Quick Replies</v>
      </c>
      <c r="E20" s="9" t="str">
        <f t="shared" ca="1" si="16"/>
        <v>Quick Replies</v>
      </c>
      <c r="F20" s="3" t="s">
        <v>12</v>
      </c>
      <c r="G20" s="12" t="str">
        <f t="shared" ref="G20:G23" si="17">"{""text"":"""&amp;B20&amp;""",""postback"":"""&amp;C20&amp;"""},"</f>
        <v>{"text":"ゲスト（旅行者）として質問をしたい","postback":"FAQ-Guest-First"},</v>
      </c>
    </row>
    <row r="21" spans="1:7" ht="15.75" customHeight="1" x14ac:dyDescent="0.2">
      <c r="A21" s="9"/>
      <c r="B21" s="11" t="s">
        <v>56</v>
      </c>
      <c r="C21" s="11" t="s">
        <v>29</v>
      </c>
      <c r="D21" s="9" t="str">
        <f t="shared" ref="D21:E21" ca="1" si="18">IFERROR(__xludf.DUMMYFUNCTION("If (A21&lt;&gt;"""", GOOGLETRANSLATE(A21, ""auto"", ""en""), """")"),"")</f>
        <v/>
      </c>
      <c r="E21" s="9" t="str">
        <f t="shared" ca="1" si="18"/>
        <v/>
      </c>
      <c r="F21" s="3" t="s">
        <v>12</v>
      </c>
      <c r="G21" s="12" t="str">
        <f t="shared" si="17"/>
        <v>{"text":"ホスト（宿主）として質問をしたい","postback":"FAQ-Host-First"},</v>
      </c>
    </row>
    <row r="22" spans="1:7" ht="15.75" customHeight="1" x14ac:dyDescent="0.2">
      <c r="A22" s="9"/>
      <c r="B22" s="9" t="s">
        <v>25</v>
      </c>
      <c r="C22" s="11" t="s">
        <v>27</v>
      </c>
      <c r="D22" s="9" t="str">
        <f t="shared" ref="D22:E22" ca="1" si="19">IFERROR(__xludf.DUMMYFUNCTION("If (A22&lt;&gt;"""", GOOGLETRANSLATE(A22, ""auto"", ""en""), """")"),"")</f>
        <v/>
      </c>
      <c r="E22" s="9" t="str">
        <f t="shared" ca="1" si="19"/>
        <v/>
      </c>
      <c r="F22" s="3" t="s">
        <v>12</v>
      </c>
      <c r="G22" s="12" t="str">
        <f t="shared" si="17"/>
        <v>{"text":"宿泊先を探す","postback":"Search-House"},</v>
      </c>
    </row>
    <row r="23" spans="1:7" ht="15.75" customHeight="1" x14ac:dyDescent="0.2">
      <c r="A23" s="9"/>
      <c r="B23" s="9" t="s">
        <v>30</v>
      </c>
      <c r="C23" s="11" t="s">
        <v>31</v>
      </c>
      <c r="D23" s="9" t="str">
        <f t="shared" ref="D23:E23" ca="1" si="20">IFERROR(__xludf.DUMMYFUNCTION("If (A23&lt;&gt;"""", GOOGLETRANSLATE(A23, ""auto"", ""en""), """")"),"")</f>
        <v/>
      </c>
      <c r="E23" s="9" t="str">
        <f t="shared" ca="1" si="20"/>
        <v/>
      </c>
      <c r="F23" s="3" t="s">
        <v>12</v>
      </c>
      <c r="G23" s="12" t="str">
        <f t="shared" si="17"/>
        <v>{"text":"物件の登録をする","postback":"Register-House"},</v>
      </c>
    </row>
    <row r="24" spans="1:7" ht="15.75" customHeight="1" x14ac:dyDescent="0.2">
      <c r="A24" s="84"/>
      <c r="B24" s="85"/>
      <c r="C24" s="86"/>
      <c r="D24" s="26" t="str">
        <f t="shared" ref="D24:E24" ca="1" si="21">IFERROR(__xludf.DUMMYFUNCTION("If (A24&lt;&gt;"""", GOOGLETRANSLATE(A24, ""auto"", ""en""), """")"),"")</f>
        <v/>
      </c>
      <c r="E24" s="26" t="str">
        <f t="shared" ca="1" si="21"/>
        <v/>
      </c>
      <c r="F24" s="28"/>
      <c r="G24" s="28"/>
    </row>
    <row r="25" spans="1:7" ht="15.75" customHeight="1" x14ac:dyDescent="0.2">
      <c r="A25" s="17"/>
      <c r="B25" s="17"/>
      <c r="C25" s="17"/>
      <c r="D25" s="5" t="str">
        <f t="shared" ref="D25:E25" ca="1" si="22">IFERROR(__xludf.DUMMYFUNCTION("If (A25&lt;&gt;"""", GOOGLETRANSLATE(A25, ""auto"", ""en""), """")"),"")</f>
        <v/>
      </c>
      <c r="E25" s="5" t="str">
        <f t="shared" ca="1" si="22"/>
        <v/>
      </c>
      <c r="F25" s="30"/>
      <c r="G25" s="30"/>
    </row>
    <row r="26" spans="1:7" ht="15.75" customHeight="1" x14ac:dyDescent="0.2">
      <c r="A26" s="17"/>
      <c r="B26" s="17"/>
      <c r="C26" s="17"/>
      <c r="D26" s="5" t="str">
        <f t="shared" ref="D26:E26" ca="1" si="23">IFERROR(__xludf.DUMMYFUNCTION("If (A26&lt;&gt;"""", GOOGLETRANSLATE(A26, ""auto"", ""en""), """")"),"")</f>
        <v/>
      </c>
      <c r="E26" s="5" t="str">
        <f t="shared" ca="1" si="23"/>
        <v/>
      </c>
      <c r="F26" s="30"/>
      <c r="G26" s="30"/>
    </row>
    <row r="27" spans="1:7" ht="15.75" customHeight="1" x14ac:dyDescent="0.2">
      <c r="A27" s="17"/>
      <c r="B27" s="17"/>
      <c r="C27" s="17"/>
      <c r="D27" s="5" t="str">
        <f t="shared" ref="D27:E27" ca="1" si="24">IFERROR(__xludf.DUMMYFUNCTION("If (A27&lt;&gt;"""", GOOGLETRANSLATE(A27, ""auto"", ""en""), """")"),"")</f>
        <v/>
      </c>
      <c r="E27" s="5" t="str">
        <f t="shared" ca="1" si="24"/>
        <v/>
      </c>
      <c r="F27" s="30"/>
      <c r="G27" s="30"/>
    </row>
    <row r="28" spans="1:7" ht="15.75" customHeight="1" x14ac:dyDescent="0.2">
      <c r="A28" s="17"/>
      <c r="B28" s="17"/>
      <c r="C28" s="17"/>
      <c r="D28" s="5" t="str">
        <f t="shared" ref="D28:E28" ca="1" si="25">IFERROR(__xludf.DUMMYFUNCTION("If (A28&lt;&gt;"""", GOOGLETRANSLATE(A28, ""auto"", ""en""), """")"),"")</f>
        <v/>
      </c>
      <c r="E28" s="5" t="str">
        <f t="shared" ca="1" si="25"/>
        <v/>
      </c>
      <c r="F28" s="30"/>
      <c r="G28" s="30"/>
    </row>
    <row r="29" spans="1:7" ht="15.75" customHeight="1" x14ac:dyDescent="0.2">
      <c r="A29" s="84"/>
      <c r="B29" s="85"/>
      <c r="C29" s="86"/>
      <c r="D29" s="26" t="str">
        <f t="shared" ref="D29:E29" ca="1" si="26">IFERROR(__xludf.DUMMYFUNCTION("If (A29&lt;&gt;"""", GOOGLETRANSLATE(A29, ""auto"", ""en""), """")"),"")</f>
        <v/>
      </c>
      <c r="E29" s="26" t="str">
        <f t="shared" ca="1" si="26"/>
        <v/>
      </c>
      <c r="F29" s="28"/>
      <c r="G29" s="28"/>
    </row>
    <row r="30" spans="1:7" ht="15.75" customHeight="1" x14ac:dyDescent="0.2">
      <c r="A30" s="17"/>
      <c r="B30" s="17"/>
      <c r="C30" s="17"/>
      <c r="D30" s="5" t="str">
        <f t="shared" ref="D30:E30" ca="1" si="27">IFERROR(__xludf.DUMMYFUNCTION("If (A30&lt;&gt;"""", GOOGLETRANSLATE(A30, ""auto"", ""en""), """")"),"")</f>
        <v/>
      </c>
      <c r="E30" s="5" t="str">
        <f t="shared" ca="1" si="27"/>
        <v/>
      </c>
      <c r="F30" s="30"/>
      <c r="G30" s="30"/>
    </row>
    <row r="31" spans="1:7" ht="15.75" customHeight="1" x14ac:dyDescent="0.2">
      <c r="A31" s="17"/>
      <c r="B31" s="17"/>
      <c r="C31" s="17"/>
      <c r="D31" s="5" t="str">
        <f t="shared" ref="D31:E31" ca="1" si="28">IFERROR(__xludf.DUMMYFUNCTION("If (A31&lt;&gt;"""", GOOGLETRANSLATE(A31, ""auto"", ""en""), """")"),"")</f>
        <v/>
      </c>
      <c r="E31" s="5" t="str">
        <f t="shared" ca="1" si="28"/>
        <v/>
      </c>
      <c r="F31" s="30"/>
      <c r="G31" s="30"/>
    </row>
    <row r="32" spans="1:7" ht="15.75" customHeight="1" x14ac:dyDescent="0.2">
      <c r="A32" s="17"/>
      <c r="B32" s="17"/>
      <c r="C32" s="17"/>
      <c r="D32" s="5" t="str">
        <f t="shared" ref="D32:E32" ca="1" si="29">IFERROR(__xludf.DUMMYFUNCTION("If (A32&lt;&gt;"""", GOOGLETRANSLATE(A32, ""auto"", ""en""), """")"),"")</f>
        <v/>
      </c>
      <c r="E32" s="5" t="str">
        <f t="shared" ca="1" si="29"/>
        <v/>
      </c>
      <c r="F32" s="30"/>
      <c r="G32" s="30"/>
    </row>
    <row r="33" spans="1:7" ht="12.75" x14ac:dyDescent="0.2">
      <c r="A33" s="17"/>
      <c r="B33" s="17"/>
      <c r="C33" s="17"/>
      <c r="D33" s="5" t="str">
        <f t="shared" ref="D33:E33" ca="1" si="30">IFERROR(__xludf.DUMMYFUNCTION("If (A33&lt;&gt;"""", GOOGLETRANSLATE(A33, ""auto"", ""en""), """")"),"")</f>
        <v/>
      </c>
      <c r="E33" s="5" t="str">
        <f t="shared" ca="1" si="30"/>
        <v/>
      </c>
      <c r="F33" s="30"/>
      <c r="G33" s="30"/>
    </row>
  </sheetData>
  <mergeCells count="7">
    <mergeCell ref="A24:C24"/>
    <mergeCell ref="A29:C29"/>
    <mergeCell ref="A1:C1"/>
    <mergeCell ref="D1:G1"/>
    <mergeCell ref="A3:C3"/>
    <mergeCell ref="A10:C10"/>
    <mergeCell ref="A17:C17"/>
  </mergeCells>
  <conditionalFormatting sqref="F2:G33">
    <cfRule type="cellIs" dxfId="26" priority="1" operator="equal">
      <formula>"done"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26.5703125" customWidth="1"/>
    <col min="2" max="2" width="56.140625" customWidth="1"/>
    <col min="3" max="3" width="16.28515625" customWidth="1"/>
    <col min="4" max="4" width="35.42578125" customWidth="1"/>
    <col min="5" max="5" width="45.140625" customWidth="1"/>
    <col min="6" max="6" width="13.5703125" customWidth="1"/>
    <col min="7" max="7" width="69.7109375"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31</v>
      </c>
      <c r="B3" s="85"/>
      <c r="C3" s="86"/>
      <c r="D3" s="26"/>
      <c r="E3" s="26"/>
      <c r="F3" s="3" t="s">
        <v>12</v>
      </c>
      <c r="G3" s="28"/>
    </row>
    <row r="4" spans="1:7" ht="15.75" customHeight="1" x14ac:dyDescent="0.2">
      <c r="A4" s="5" t="s">
        <v>30</v>
      </c>
      <c r="B4" s="5" t="s">
        <v>385</v>
      </c>
      <c r="C4" s="32"/>
      <c r="D4" s="5" t="str">
        <f t="shared" ref="D4:E4" ca="1" si="0">IFERROR(__xludf.DUMMYFUNCTION("If (A4&lt;&gt;"""", GOOGLETRANSLATE(A4, ""auto"", ""en""), """")"),"The registration of property")</f>
        <v>The registration of property</v>
      </c>
      <c r="E4" s="5" t="str">
        <f t="shared" ca="1" si="0"/>
        <v>The registration of property</v>
      </c>
      <c r="F4" s="3" t="s">
        <v>12</v>
      </c>
      <c r="G4" s="3"/>
    </row>
    <row r="5" spans="1:7" ht="15.75" customHeight="1" x14ac:dyDescent="0.2">
      <c r="A5" s="5"/>
      <c r="B5" s="5" t="s">
        <v>386</v>
      </c>
      <c r="C5" s="32"/>
      <c r="D5" s="5" t="str">
        <f t="shared" ref="D5:E5" ca="1" si="1">IFERROR(__xludf.DUMMYFUNCTION("If (A5&lt;&gt;"""", GOOGLETRANSLATE(A5, ""auto"", ""en""), """")"),"")</f>
        <v/>
      </c>
      <c r="E5" s="5" t="str">
        <f t="shared" ca="1" si="1"/>
        <v/>
      </c>
      <c r="F5" s="3" t="s">
        <v>12</v>
      </c>
      <c r="G5" s="3"/>
    </row>
    <row r="6" spans="1:7" ht="15.75" customHeight="1" x14ac:dyDescent="0.2">
      <c r="A6" s="8" t="s">
        <v>21</v>
      </c>
      <c r="B6" s="11" t="s">
        <v>227</v>
      </c>
      <c r="C6" s="11" t="s">
        <v>256</v>
      </c>
      <c r="D6" s="8" t="str">
        <f t="shared" ref="D6:E6" ca="1" si="2">IFERROR(__xludf.DUMMYFUNCTION("If (A6&lt;&gt;"""", GOOGLETRANSLATE(A6, ""auto"", ""en""), """")"),"Quick Replies")</f>
        <v>Quick Replies</v>
      </c>
      <c r="E6" s="9" t="str">
        <f t="shared" ca="1" si="2"/>
        <v>Quick Replies</v>
      </c>
      <c r="F6" s="3" t="s">
        <v>12</v>
      </c>
      <c r="G6" s="12" t="str">
        <f t="shared" ref="G6:G8" si="3">"{""text"":"""&amp;B6&amp;""",""postback"":"""&amp;C6&amp;"""},"</f>
        <v>{"text":"物件の登録について","postback":"FAQ-Host2"},</v>
      </c>
    </row>
    <row r="7" spans="1:7" ht="15.75" customHeight="1" x14ac:dyDescent="0.2">
      <c r="A7" s="9"/>
      <c r="B7" s="9" t="s">
        <v>25</v>
      </c>
      <c r="C7" s="11" t="s">
        <v>27</v>
      </c>
      <c r="D7" s="9" t="str">
        <f t="shared" ref="D7:E7" ca="1" si="4">IFERROR(__xludf.DUMMYFUNCTION("If (A7&lt;&gt;"""", GOOGLETRANSLATE(A7, ""auto"", ""en""), """")"),"")</f>
        <v/>
      </c>
      <c r="E7" s="9" t="str">
        <f t="shared" ca="1" si="4"/>
        <v/>
      </c>
      <c r="F7" s="3"/>
      <c r="G7" s="12" t="str">
        <f t="shared" si="3"/>
        <v>{"text":"宿泊先を探す","postback":"Search-House"},</v>
      </c>
    </row>
    <row r="8" spans="1:7" ht="15.75" customHeight="1" x14ac:dyDescent="0.2">
      <c r="A8" s="9"/>
      <c r="B8" s="9" t="s">
        <v>16</v>
      </c>
      <c r="C8" s="11" t="s">
        <v>10</v>
      </c>
      <c r="D8" s="9" t="str">
        <f t="shared" ref="D8:E8" ca="1" si="5">IFERROR(__xludf.DUMMYFUNCTION("If (A8&lt;&gt;"""", GOOGLETRANSLATE(A8, ""auto"", ""en""), """")"),"")</f>
        <v/>
      </c>
      <c r="E8" s="9" t="str">
        <f t="shared" ca="1" si="5"/>
        <v/>
      </c>
      <c r="F8" s="3"/>
      <c r="G8" s="12" t="str">
        <f t="shared" si="3"/>
        <v>{"text":"質問をする","postback":"FAQ-First"},</v>
      </c>
    </row>
    <row r="9" spans="1:7" ht="15.75" customHeight="1" x14ac:dyDescent="0.2">
      <c r="A9" s="84"/>
      <c r="B9" s="85"/>
      <c r="C9" s="86"/>
      <c r="D9" s="26"/>
      <c r="E9" s="26"/>
      <c r="F9" s="28"/>
      <c r="G9" s="28"/>
    </row>
    <row r="10" spans="1:7" ht="15.75" customHeight="1" x14ac:dyDescent="0.2">
      <c r="A10" s="14"/>
      <c r="B10" s="15"/>
      <c r="C10" s="3"/>
      <c r="D10" s="5"/>
      <c r="E10" s="5"/>
      <c r="F10" s="3"/>
      <c r="G10" s="3"/>
    </row>
    <row r="11" spans="1:7" ht="15.75" customHeight="1" x14ac:dyDescent="0.2">
      <c r="A11" s="5"/>
      <c r="B11" s="5"/>
      <c r="C11" s="3"/>
      <c r="D11" s="5"/>
      <c r="E11" s="5"/>
      <c r="F11" s="3"/>
      <c r="G11" s="3"/>
    </row>
    <row r="12" spans="1:7" ht="15.75" customHeight="1" x14ac:dyDescent="0.2">
      <c r="A12" s="8"/>
      <c r="B12" s="10"/>
      <c r="C12" s="11"/>
      <c r="D12" s="9"/>
      <c r="E12" s="9"/>
      <c r="F12" s="33"/>
      <c r="G12" s="12"/>
    </row>
    <row r="13" spans="1:7" ht="15.75" customHeight="1" x14ac:dyDescent="0.2">
      <c r="A13" s="9"/>
      <c r="B13" s="10"/>
      <c r="C13" s="11"/>
      <c r="D13" s="9"/>
      <c r="E13" s="9"/>
      <c r="F13" s="33"/>
      <c r="G13" s="12"/>
    </row>
    <row r="14" spans="1:7" ht="15.75" customHeight="1" x14ac:dyDescent="0.2">
      <c r="A14" s="9"/>
      <c r="B14" s="9"/>
      <c r="C14" s="11"/>
      <c r="D14" s="9"/>
      <c r="E14" s="9"/>
      <c r="F14" s="33"/>
      <c r="G14" s="12"/>
    </row>
    <row r="15" spans="1:7" ht="15.75" customHeight="1" x14ac:dyDescent="0.2">
      <c r="A15" s="9"/>
      <c r="B15" s="9"/>
      <c r="C15" s="11"/>
      <c r="D15" s="9"/>
      <c r="E15" s="9"/>
      <c r="F15" s="33"/>
      <c r="G15" s="12"/>
    </row>
    <row r="16" spans="1:7" ht="15.75" customHeight="1" x14ac:dyDescent="0.2">
      <c r="A16" s="84"/>
      <c r="B16" s="85"/>
      <c r="C16" s="86"/>
      <c r="D16" s="26"/>
      <c r="E16" s="26"/>
      <c r="F16" s="28"/>
      <c r="G16" s="28"/>
    </row>
    <row r="17" spans="1:7" ht="15.75" customHeight="1" x14ac:dyDescent="0.2">
      <c r="A17" s="20"/>
      <c r="B17" s="20"/>
      <c r="C17" s="3"/>
      <c r="D17" s="5"/>
      <c r="E17" s="5"/>
      <c r="F17" s="3"/>
      <c r="G17" s="3"/>
    </row>
    <row r="18" spans="1:7" ht="15.75" customHeight="1" x14ac:dyDescent="0.2">
      <c r="A18" s="5"/>
      <c r="B18" s="5"/>
      <c r="C18" s="3"/>
      <c r="D18" s="5"/>
      <c r="E18" s="5"/>
      <c r="F18" s="3"/>
      <c r="G18" s="3"/>
    </row>
    <row r="19" spans="1:7" ht="15.75" customHeight="1" x14ac:dyDescent="0.2">
      <c r="A19" s="8"/>
      <c r="B19" s="10"/>
      <c r="C19" s="11"/>
      <c r="D19" s="9"/>
      <c r="E19" s="9"/>
      <c r="F19" s="11"/>
      <c r="G19" s="12"/>
    </row>
    <row r="20" spans="1:7" ht="15.75" customHeight="1" x14ac:dyDescent="0.2">
      <c r="A20" s="9"/>
      <c r="B20" s="10"/>
      <c r="C20" s="11"/>
      <c r="D20" s="9"/>
      <c r="E20" s="9"/>
      <c r="F20" s="11"/>
      <c r="G20" s="12"/>
    </row>
    <row r="21" spans="1:7" ht="15.75" customHeight="1" x14ac:dyDescent="0.2">
      <c r="A21" s="9"/>
      <c r="B21" s="9"/>
      <c r="C21" s="11"/>
      <c r="D21" s="9"/>
      <c r="E21" s="9"/>
      <c r="F21" s="33"/>
      <c r="G21" s="12"/>
    </row>
    <row r="22" spans="1:7" ht="15.75" customHeight="1" x14ac:dyDescent="0.2">
      <c r="A22" s="9"/>
      <c r="B22" s="9"/>
      <c r="C22" s="11"/>
      <c r="D22" s="9"/>
      <c r="E22" s="9"/>
      <c r="F22" s="33"/>
      <c r="G22" s="12"/>
    </row>
    <row r="23" spans="1:7" ht="15.75" customHeight="1" x14ac:dyDescent="0.2">
      <c r="A23" s="84"/>
      <c r="B23" s="85"/>
      <c r="C23" s="86"/>
      <c r="D23" s="26"/>
      <c r="E23" s="26"/>
      <c r="F23" s="28"/>
      <c r="G23" s="28"/>
    </row>
    <row r="24" spans="1:7" ht="15.75" customHeight="1" x14ac:dyDescent="0.2">
      <c r="A24" s="14"/>
      <c r="B24" s="15"/>
      <c r="C24" s="3"/>
      <c r="D24" s="5"/>
      <c r="E24" s="5"/>
      <c r="F24" s="3"/>
      <c r="G24" s="3"/>
    </row>
    <row r="25" spans="1:7" ht="15.75" customHeight="1" x14ac:dyDescent="0.2">
      <c r="A25" s="5"/>
      <c r="B25" s="5"/>
      <c r="C25" s="3"/>
      <c r="D25" s="5"/>
      <c r="E25" s="5"/>
      <c r="F25" s="3"/>
      <c r="G25" s="3"/>
    </row>
    <row r="26" spans="1:7" ht="15.75" customHeight="1" x14ac:dyDescent="0.2">
      <c r="A26" s="8"/>
      <c r="B26" s="10"/>
      <c r="C26" s="11"/>
      <c r="D26" s="9"/>
      <c r="E26" s="9"/>
      <c r="F26" s="11"/>
      <c r="G26" s="12"/>
    </row>
    <row r="27" spans="1:7" ht="15.75" customHeight="1" x14ac:dyDescent="0.2">
      <c r="A27" s="9"/>
      <c r="B27" s="10"/>
      <c r="C27" s="11"/>
      <c r="D27" s="9"/>
      <c r="E27" s="9"/>
      <c r="F27" s="11"/>
      <c r="G27" s="12"/>
    </row>
    <row r="28" spans="1:7" ht="15.75" customHeight="1" x14ac:dyDescent="0.2">
      <c r="A28" s="9"/>
      <c r="B28" s="9"/>
      <c r="C28" s="11"/>
      <c r="D28" s="9"/>
      <c r="E28" s="9"/>
      <c r="F28" s="33"/>
      <c r="G28" s="12"/>
    </row>
    <row r="29" spans="1:7" ht="15.75" customHeight="1" x14ac:dyDescent="0.2">
      <c r="A29" s="9"/>
      <c r="B29" s="9"/>
      <c r="C29" s="11"/>
      <c r="D29" s="9"/>
      <c r="E29" s="9"/>
      <c r="F29" s="33"/>
      <c r="G29" s="12"/>
    </row>
    <row r="30" spans="1:7" ht="15.75" customHeight="1" x14ac:dyDescent="0.2">
      <c r="A30" s="84"/>
      <c r="B30" s="85"/>
      <c r="C30" s="86"/>
      <c r="D30" s="26"/>
      <c r="E30" s="26"/>
      <c r="F30" s="28"/>
      <c r="G30" s="28"/>
    </row>
    <row r="31" spans="1:7" ht="15.75" customHeight="1" x14ac:dyDescent="0.2">
      <c r="A31" s="14"/>
      <c r="B31" s="14"/>
      <c r="C31" s="3"/>
      <c r="D31" s="5"/>
      <c r="E31" s="5"/>
      <c r="F31" s="3"/>
      <c r="G31" s="3"/>
    </row>
    <row r="32" spans="1:7" ht="15.75" customHeight="1" x14ac:dyDescent="0.2">
      <c r="A32" s="5"/>
      <c r="B32" s="5"/>
      <c r="C32" s="3"/>
      <c r="D32" s="5"/>
      <c r="E32" s="5"/>
      <c r="F32" s="3"/>
      <c r="G32" s="3"/>
    </row>
    <row r="33" spans="1:7" ht="12.75" x14ac:dyDescent="0.2">
      <c r="A33" s="8"/>
      <c r="B33" s="10"/>
      <c r="C33" s="11"/>
      <c r="D33" s="9"/>
      <c r="E33" s="9"/>
      <c r="F33" s="11"/>
      <c r="G33" s="12"/>
    </row>
    <row r="34" spans="1:7" ht="12.75" x14ac:dyDescent="0.2">
      <c r="A34" s="9"/>
      <c r="B34" s="10"/>
      <c r="C34" s="11"/>
      <c r="D34" s="9"/>
      <c r="E34" s="9"/>
      <c r="F34" s="11"/>
      <c r="G34" s="12"/>
    </row>
    <row r="35" spans="1:7" ht="12.75" x14ac:dyDescent="0.2">
      <c r="A35" s="9"/>
      <c r="B35" s="9"/>
      <c r="C35" s="11"/>
      <c r="D35" s="9"/>
      <c r="E35" s="9"/>
      <c r="F35" s="33"/>
      <c r="G35" s="12"/>
    </row>
    <row r="36" spans="1:7" ht="12.75" x14ac:dyDescent="0.2">
      <c r="A36" s="9"/>
      <c r="B36" s="9"/>
      <c r="C36" s="11"/>
      <c r="D36" s="9"/>
      <c r="E36" s="9"/>
      <c r="F36" s="33"/>
      <c r="G36" s="12"/>
    </row>
    <row r="37" spans="1:7" x14ac:dyDescent="0.2">
      <c r="A37" s="84"/>
      <c r="B37" s="85"/>
      <c r="C37" s="86"/>
      <c r="D37" s="26"/>
      <c r="E37" s="26"/>
      <c r="F37" s="28"/>
      <c r="G37" s="28"/>
    </row>
    <row r="38" spans="1:7" ht="12.75" x14ac:dyDescent="0.2">
      <c r="A38" s="14"/>
      <c r="B38" s="14"/>
      <c r="C38" s="3"/>
      <c r="D38" s="5"/>
      <c r="E38" s="5"/>
      <c r="F38" s="3"/>
      <c r="G38" s="3"/>
    </row>
    <row r="39" spans="1:7" ht="12.75" x14ac:dyDescent="0.2">
      <c r="A39" s="5"/>
      <c r="B39" s="5"/>
      <c r="C39" s="3"/>
      <c r="D39" s="5"/>
      <c r="E39" s="5"/>
      <c r="F39" s="3"/>
      <c r="G39" s="3"/>
    </row>
    <row r="40" spans="1:7" ht="12.75" x14ac:dyDescent="0.2">
      <c r="A40" s="8"/>
      <c r="B40" s="10"/>
      <c r="C40" s="11"/>
      <c r="D40" s="9"/>
      <c r="E40" s="9"/>
      <c r="F40" s="11"/>
      <c r="G40" s="12"/>
    </row>
    <row r="41" spans="1:7" ht="12.75" x14ac:dyDescent="0.2">
      <c r="A41" s="9"/>
      <c r="B41" s="10"/>
      <c r="C41" s="11"/>
      <c r="D41" s="9"/>
      <c r="E41" s="9"/>
      <c r="F41" s="11"/>
      <c r="G41" s="12"/>
    </row>
    <row r="42" spans="1:7" ht="12.75" x14ac:dyDescent="0.2">
      <c r="A42" s="9"/>
      <c r="B42" s="9"/>
      <c r="C42" s="11"/>
      <c r="D42" s="9"/>
      <c r="E42" s="9"/>
      <c r="F42" s="33"/>
      <c r="G42" s="12"/>
    </row>
    <row r="43" spans="1:7" ht="12.75" x14ac:dyDescent="0.2">
      <c r="A43" s="9"/>
      <c r="B43" s="9"/>
      <c r="C43" s="11"/>
      <c r="D43" s="9"/>
      <c r="E43" s="9"/>
      <c r="F43" s="33"/>
      <c r="G43" s="12"/>
    </row>
  </sheetData>
  <mergeCells count="8">
    <mergeCell ref="A23:C23"/>
    <mergeCell ref="A30:C30"/>
    <mergeCell ref="A37:C37"/>
    <mergeCell ref="A1:C1"/>
    <mergeCell ref="D1:G1"/>
    <mergeCell ref="A3:C3"/>
    <mergeCell ref="A9:C9"/>
    <mergeCell ref="A16:C16"/>
  </mergeCells>
  <conditionalFormatting sqref="F2:G18 C10:C11 C17:C18 G19:G20 F21:G25 C24:C25 G26:G27 F28:G32 C31:C32 G33:G34 F35:G39 C38:C39 G40:G41 F42:G43">
    <cfRule type="cellIs" dxfId="25" priority="1" operator="equal">
      <formula>"done"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pane xSplit="3" ySplit="2" topLeftCell="D3" activePane="bottomRight" state="frozen"/>
      <selection pane="topRight" activeCell="D1" sqref="D1"/>
      <selection pane="bottomLeft" activeCell="A3" sqref="A3"/>
      <selection pane="bottomRight" activeCell="D3" sqref="D3"/>
    </sheetView>
  </sheetViews>
  <sheetFormatPr defaultColWidth="14.42578125" defaultRowHeight="15.75" customHeight="1" x14ac:dyDescent="0.2"/>
  <cols>
    <col min="1" max="1" width="28.140625" customWidth="1"/>
    <col min="2" max="2" width="58.85546875" customWidth="1"/>
    <col min="3" max="3" width="16.28515625" customWidth="1"/>
    <col min="4" max="4" width="31.5703125" customWidth="1"/>
    <col min="5" max="5" width="45.140625" customWidth="1"/>
    <col min="6" max="6" width="13.5703125" customWidth="1"/>
    <col min="7" max="7" width="58" customWidth="1"/>
  </cols>
  <sheetData>
    <row r="1" spans="1:7" ht="15.75" customHeight="1" x14ac:dyDescent="0.2">
      <c r="A1" s="87" t="s">
        <v>0</v>
      </c>
      <c r="B1" s="85"/>
      <c r="C1" s="86"/>
      <c r="D1" s="88" t="s">
        <v>1</v>
      </c>
      <c r="E1" s="85"/>
      <c r="F1" s="85"/>
      <c r="G1" s="86"/>
    </row>
    <row r="2" spans="1:7" ht="15.75" customHeight="1" x14ac:dyDescent="0.2">
      <c r="A2" s="1" t="s">
        <v>2</v>
      </c>
      <c r="B2" s="1" t="s">
        <v>3</v>
      </c>
      <c r="C2" s="1" t="s">
        <v>4</v>
      </c>
      <c r="D2" s="1" t="s">
        <v>5</v>
      </c>
      <c r="E2" s="1" t="s">
        <v>6</v>
      </c>
      <c r="F2" s="1" t="s">
        <v>7</v>
      </c>
      <c r="G2" s="1" t="s">
        <v>8</v>
      </c>
    </row>
    <row r="3" spans="1:7" ht="15.75" customHeight="1" x14ac:dyDescent="0.2">
      <c r="A3" s="84" t="s">
        <v>27</v>
      </c>
      <c r="B3" s="85"/>
      <c r="C3" s="86"/>
      <c r="D3" s="26"/>
      <c r="E3" s="26"/>
      <c r="F3" s="3" t="s">
        <v>12</v>
      </c>
      <c r="G3" s="28"/>
    </row>
    <row r="4" spans="1:7" ht="15.75" customHeight="1" x14ac:dyDescent="0.2">
      <c r="A4" s="5" t="s">
        <v>25</v>
      </c>
      <c r="B4" s="5" t="s">
        <v>390</v>
      </c>
      <c r="D4" s="5" t="str">
        <f t="shared" ref="D4:E4" ca="1" si="0">IFERROR(__xludf.DUMMYFUNCTION("If (A4&lt;&gt;"""", GOOGLETRANSLATE(A4, ""auto"", ""en""), """")"),"Find accommodation")</f>
        <v>Find accommodation</v>
      </c>
      <c r="E4" s="5" t="str">
        <f t="shared" ca="1" si="0"/>
        <v>Find accommodation</v>
      </c>
      <c r="F4" s="3" t="s">
        <v>12</v>
      </c>
      <c r="G4" s="3"/>
    </row>
    <row r="5" spans="1:7" ht="15.75" customHeight="1" x14ac:dyDescent="0.2">
      <c r="A5" s="5" t="s">
        <v>391</v>
      </c>
      <c r="B5" s="5"/>
      <c r="C5" s="34" t="s">
        <v>392</v>
      </c>
      <c r="D5" s="5" t="str">
        <f t="shared" ref="D5:E5" ca="1" si="1">IFERROR(__xludf.DUMMYFUNCTION("If (A5&lt;&gt;"""", GOOGLETRANSLATE(A5, ""auto"", ""en""), """")"),"$district")</f>
        <v>$district</v>
      </c>
      <c r="E5" s="5" t="str">
        <f t="shared" ca="1" si="1"/>
        <v>$district</v>
      </c>
      <c r="F5" s="3" t="s">
        <v>12</v>
      </c>
      <c r="G5" s="3"/>
    </row>
    <row r="6" spans="1:7" ht="15.75" customHeight="1" x14ac:dyDescent="0.2">
      <c r="A6" s="8" t="s">
        <v>21</v>
      </c>
      <c r="B6" s="35"/>
      <c r="C6" s="11"/>
      <c r="D6" s="8" t="str">
        <f t="shared" ref="D6:E6" ca="1" si="2">IFERROR(__xludf.DUMMYFUNCTION("If (A6&lt;&gt;"""", GOOGLETRANSLATE(A6, ""auto"", ""en""), """")"),"Quick Replies")</f>
        <v>Quick Replies</v>
      </c>
      <c r="E6" s="9" t="str">
        <f t="shared" ca="1" si="2"/>
        <v>Quick Replies</v>
      </c>
      <c r="F6" s="3" t="s">
        <v>12</v>
      </c>
      <c r="G6" s="12"/>
    </row>
    <row r="7" spans="1:7" ht="15.75" customHeight="1" x14ac:dyDescent="0.2">
      <c r="A7" s="84" t="s">
        <v>392</v>
      </c>
      <c r="B7" s="85"/>
      <c r="C7" s="86"/>
      <c r="D7" s="26"/>
      <c r="E7" s="26"/>
      <c r="F7" s="3" t="s">
        <v>12</v>
      </c>
      <c r="G7" s="28"/>
    </row>
    <row r="8" spans="1:7" ht="15.75" customHeight="1" x14ac:dyDescent="0.2">
      <c r="B8" s="15" t="s">
        <v>394</v>
      </c>
      <c r="D8" s="5" t="str">
        <f t="shared" ref="D8:E8" ca="1" si="3">IFERROR(__xludf.DUMMYFUNCTION("If (A8&lt;&gt;"""", GOOGLETRANSLATE(A8, ""auto"", ""en""), """")"),"")</f>
        <v/>
      </c>
      <c r="E8" s="5" t="str">
        <f t="shared" ca="1" si="3"/>
        <v/>
      </c>
      <c r="F8" s="3" t="s">
        <v>12</v>
      </c>
      <c r="G8" s="3"/>
    </row>
    <row r="9" spans="1:7" ht="15.75" customHeight="1" x14ac:dyDescent="0.2">
      <c r="A9" s="14" t="s">
        <v>392</v>
      </c>
      <c r="B9" s="15"/>
      <c r="C9" s="3" t="s">
        <v>395</v>
      </c>
      <c r="D9" s="5" t="str">
        <f t="shared" ref="D9:E9" ca="1" si="4">IFERROR(__xludf.DUMMYFUNCTION("If (A9&lt;&gt;"""", GOOGLETRANSLATE(A9, ""auto"", ""en""), """")"),"$date")</f>
        <v>$date</v>
      </c>
      <c r="E9" s="5" t="str">
        <f t="shared" ca="1" si="4"/>
        <v>$date</v>
      </c>
      <c r="F9" s="3" t="s">
        <v>12</v>
      </c>
      <c r="G9" s="3"/>
    </row>
    <row r="10" spans="1:7" ht="15.75" customHeight="1" x14ac:dyDescent="0.2">
      <c r="A10" s="8" t="s">
        <v>21</v>
      </c>
      <c r="B10" s="35"/>
      <c r="C10" s="11"/>
      <c r="D10" s="9"/>
      <c r="E10" s="9"/>
      <c r="F10" s="3" t="s">
        <v>12</v>
      </c>
      <c r="G10" s="12"/>
    </row>
    <row r="11" spans="1:7" ht="15.75" customHeight="1" x14ac:dyDescent="0.2">
      <c r="A11" s="84" t="s">
        <v>395</v>
      </c>
      <c r="B11" s="85"/>
      <c r="C11" s="86"/>
      <c r="D11" s="26"/>
      <c r="E11" s="26"/>
      <c r="F11" s="3" t="s">
        <v>12</v>
      </c>
      <c r="G11" s="28"/>
    </row>
    <row r="12" spans="1:7" ht="15.75" customHeight="1" x14ac:dyDescent="0.2">
      <c r="A12" s="20"/>
      <c r="B12" s="20" t="s">
        <v>396</v>
      </c>
      <c r="C12" s="3"/>
      <c r="D12" s="5" t="str">
        <f t="shared" ref="D12:E12" ca="1" si="5">IFERROR(__xludf.DUMMYFUNCTION("If (A12&lt;&gt;"""", GOOGLETRANSLATE(A12, ""auto"", ""en""), """")"),"")</f>
        <v/>
      </c>
      <c r="E12" s="5" t="str">
        <f t="shared" ca="1" si="5"/>
        <v/>
      </c>
      <c r="F12" s="3" t="s">
        <v>12</v>
      </c>
      <c r="G12" s="3"/>
    </row>
    <row r="13" spans="1:7" ht="15.75" customHeight="1" x14ac:dyDescent="0.2">
      <c r="A13" s="8" t="s">
        <v>21</v>
      </c>
      <c r="B13" s="9" t="s">
        <v>397</v>
      </c>
      <c r="C13" s="11" t="s">
        <v>27</v>
      </c>
      <c r="D13" s="8" t="str">
        <f t="shared" ref="D13:E13" ca="1" si="6">IFERROR(__xludf.DUMMYFUNCTION("If (A13&lt;&gt;"""", GOOGLETRANSLATE(A13, ""auto"", ""en""), """")"),"Quick Replies")</f>
        <v>Quick Replies</v>
      </c>
      <c r="E13" s="11" t="str">
        <f t="shared" ca="1" si="6"/>
        <v>Quick Replies</v>
      </c>
      <c r="F13" s="3" t="s">
        <v>12</v>
      </c>
      <c r="G13" s="12" t="str">
        <f t="shared" ref="G13:G15" si="7">"{""text"":"""&amp;B13&amp;""",""postback"":"""&amp;C13&amp;"""},"</f>
        <v>{"text":"もう一度、宿泊先を探しなおす","postback":"Search-House"},</v>
      </c>
    </row>
    <row r="14" spans="1:7" ht="15.75" customHeight="1" x14ac:dyDescent="0.2">
      <c r="A14" s="9"/>
      <c r="B14" s="9" t="s">
        <v>30</v>
      </c>
      <c r="C14" s="11" t="s">
        <v>31</v>
      </c>
      <c r="D14" s="9" t="str">
        <f t="shared" ref="D14:E14" ca="1" si="8">IFERROR(__xludf.DUMMYFUNCTION("If (A14&lt;&gt;"""", GOOGLETRANSLATE(A14, ""auto"", ""en""), """")"),"")</f>
        <v/>
      </c>
      <c r="E14" s="11" t="str">
        <f t="shared" ca="1" si="8"/>
        <v/>
      </c>
      <c r="F14" s="3" t="s">
        <v>12</v>
      </c>
      <c r="G14" s="12" t="str">
        <f t="shared" si="7"/>
        <v>{"text":"物件の登録をする","postback":"Register-House"},</v>
      </c>
    </row>
    <row r="15" spans="1:7" ht="15.75" customHeight="1" x14ac:dyDescent="0.2">
      <c r="A15" s="9"/>
      <c r="B15" s="9" t="s">
        <v>16</v>
      </c>
      <c r="C15" s="11" t="s">
        <v>10</v>
      </c>
      <c r="D15" s="9" t="str">
        <f t="shared" ref="D15:E15" ca="1" si="9">IFERROR(__xludf.DUMMYFUNCTION("If (A15&lt;&gt;"""", GOOGLETRANSLATE(A15, ""auto"", ""en""), """")"),"")</f>
        <v/>
      </c>
      <c r="E15" s="11" t="str">
        <f t="shared" ca="1" si="9"/>
        <v/>
      </c>
      <c r="F15" s="3" t="s">
        <v>12</v>
      </c>
      <c r="G15" s="12" t="str">
        <f t="shared" si="7"/>
        <v>{"text":"質問をする","postback":"FAQ-First"},</v>
      </c>
    </row>
    <row r="16" spans="1:7" ht="15.75" customHeight="1" x14ac:dyDescent="0.2">
      <c r="A16" s="84"/>
      <c r="B16" s="85"/>
      <c r="C16" s="86"/>
      <c r="D16" s="26"/>
      <c r="E16" s="26"/>
      <c r="F16" s="28"/>
      <c r="G16" s="28"/>
    </row>
    <row r="17" spans="1:7" ht="15.75" customHeight="1" x14ac:dyDescent="0.2">
      <c r="A17" s="14"/>
      <c r="B17" s="15"/>
      <c r="C17" s="3"/>
      <c r="D17" s="5"/>
      <c r="E17" s="5"/>
      <c r="F17" s="3"/>
      <c r="G17" s="3"/>
    </row>
    <row r="18" spans="1:7" ht="15.75" customHeight="1" x14ac:dyDescent="0.2">
      <c r="A18" s="5"/>
      <c r="B18" s="5"/>
      <c r="C18" s="3"/>
      <c r="D18" s="5"/>
      <c r="E18" s="5"/>
      <c r="F18" s="3"/>
      <c r="G18" s="3"/>
    </row>
    <row r="19" spans="1:7" ht="15.75" customHeight="1" x14ac:dyDescent="0.2">
      <c r="A19" s="8"/>
      <c r="B19" s="35"/>
      <c r="C19" s="11"/>
      <c r="D19" s="9"/>
      <c r="E19" s="9"/>
      <c r="F19" s="33"/>
      <c r="G19" s="12"/>
    </row>
    <row r="20" spans="1:7" ht="15.75" customHeight="1" x14ac:dyDescent="0.2">
      <c r="A20" s="9"/>
      <c r="B20" s="35"/>
      <c r="C20" s="11"/>
      <c r="D20" s="9"/>
      <c r="E20" s="9"/>
      <c r="F20" s="33"/>
      <c r="G20" s="12"/>
    </row>
    <row r="21" spans="1:7" ht="15.75" customHeight="1" x14ac:dyDescent="0.2">
      <c r="A21" s="8"/>
      <c r="B21" s="35"/>
      <c r="C21" s="11"/>
      <c r="D21" s="9"/>
      <c r="E21" s="9"/>
      <c r="F21" s="33"/>
      <c r="G21" s="12"/>
    </row>
    <row r="22" spans="1:7" ht="15.75" customHeight="1" x14ac:dyDescent="0.2">
      <c r="A22" s="9"/>
      <c r="B22" s="35"/>
      <c r="C22" s="11"/>
      <c r="D22" s="9"/>
      <c r="E22" s="9"/>
      <c r="F22" s="33"/>
      <c r="G22" s="12"/>
    </row>
    <row r="23" spans="1:7" ht="15.75" customHeight="1" x14ac:dyDescent="0.2">
      <c r="A23" s="84"/>
      <c r="B23" s="85"/>
      <c r="C23" s="86"/>
      <c r="D23" s="26"/>
      <c r="E23" s="26"/>
      <c r="F23" s="28"/>
      <c r="G23" s="28"/>
    </row>
    <row r="24" spans="1:7" ht="15.75" customHeight="1" x14ac:dyDescent="0.2">
      <c r="A24" s="14"/>
      <c r="B24" s="14"/>
      <c r="C24" s="3"/>
      <c r="D24" s="5"/>
      <c r="E24" s="5"/>
      <c r="F24" s="3"/>
      <c r="G24" s="3"/>
    </row>
    <row r="25" spans="1:7" ht="15.75" customHeight="1" x14ac:dyDescent="0.2">
      <c r="A25" s="5"/>
      <c r="B25" s="5"/>
      <c r="C25" s="3"/>
      <c r="D25" s="5"/>
      <c r="E25" s="5"/>
      <c r="F25" s="3"/>
      <c r="G25" s="3"/>
    </row>
    <row r="26" spans="1:7" ht="15.75" customHeight="1" x14ac:dyDescent="0.2">
      <c r="A26" s="8"/>
      <c r="B26" s="35"/>
      <c r="C26" s="11"/>
      <c r="D26" s="9"/>
      <c r="E26" s="9"/>
      <c r="F26" s="33"/>
      <c r="G26" s="12"/>
    </row>
    <row r="27" spans="1:7" ht="15.75" customHeight="1" x14ac:dyDescent="0.2">
      <c r="A27" s="9"/>
      <c r="B27" s="35"/>
      <c r="C27" s="11"/>
      <c r="D27" s="9"/>
      <c r="E27" s="9"/>
      <c r="F27" s="33"/>
      <c r="G27" s="12"/>
    </row>
    <row r="28" spans="1:7" ht="15.75" customHeight="1" x14ac:dyDescent="0.2">
      <c r="A28" s="9"/>
      <c r="B28" s="9"/>
      <c r="C28" s="11"/>
      <c r="D28" s="9"/>
      <c r="E28" s="9"/>
      <c r="F28" s="33"/>
      <c r="G28" s="12"/>
    </row>
    <row r="29" spans="1:7" ht="15.75" customHeight="1" x14ac:dyDescent="0.2">
      <c r="A29" s="9"/>
      <c r="B29" s="9"/>
      <c r="C29" s="11"/>
      <c r="D29" s="9"/>
      <c r="E29" s="9"/>
      <c r="F29" s="33"/>
      <c r="G29" s="12"/>
    </row>
  </sheetData>
  <mergeCells count="7">
    <mergeCell ref="A16:C16"/>
    <mergeCell ref="A23:C23"/>
    <mergeCell ref="A1:C1"/>
    <mergeCell ref="D1:G1"/>
    <mergeCell ref="A3:C3"/>
    <mergeCell ref="A7:C7"/>
    <mergeCell ref="A11:C11"/>
  </mergeCells>
  <conditionalFormatting sqref="F2:G29 C9 C12 C17:C18 C24:C25">
    <cfRule type="cellIs" dxfId="24" priority="1" operator="equal">
      <formula>"done"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1. Greeting</vt:lpstr>
      <vt:lpstr>2. FAQ_Guest_Flow</vt:lpstr>
      <vt:lpstr>3. FAQ_Guest_Details</vt:lpstr>
      <vt:lpstr>4. FAQ_Host_Flow</vt:lpstr>
      <vt:lpstr>5. FAQ_Host_Details</vt:lpstr>
      <vt:lpstr>6. FAQ_Common_Details</vt:lpstr>
      <vt:lpstr>7. Register_House</vt:lpstr>
      <vt:lpstr>8. Search_House</vt:lpstr>
      <vt:lpstr>9. SmallTalk</vt:lpstr>
      <vt:lpstr>10. Weather</vt:lpstr>
      <vt:lpstr>Import Intent from DialogFlow 2</vt:lpstr>
      <vt:lpstr>Sheet23</vt:lpstr>
      <vt:lpstr>Import Entity from DialogFlow 2</vt:lpstr>
      <vt:lpstr>Sheet24</vt:lpstr>
      <vt:lpstr>Sheet25</vt:lpstr>
      <vt:lpstr>Import Entities from DialogFlow</vt:lpstr>
      <vt:lpstr>Flow Chat (Map)</vt:lpstr>
      <vt:lpstr>Sheet26</vt:lpstr>
      <vt:lpstr>Sheet27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Doan Quoc Hai</cp:lastModifiedBy>
  <dcterms:modified xsi:type="dcterms:W3CDTF">2017-11-16T09:39:31Z</dcterms:modified>
</cp:coreProperties>
</file>